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19\SEGUIMIENTO PDD 2019\II TRIMESTRE2019\SGTO PDD II TRIMESTRE 2019\PROGRAMACION II TRIMESTRE 2019\"/>
    </mc:Choice>
  </mc:AlternateContent>
  <bookViews>
    <workbookView xWindow="0" yWindow="0" windowWidth="24000" windowHeight="9735" firstSheet="10" activeTab="16"/>
  </bookViews>
  <sheets>
    <sheet name="PA ADMINISTRATIVA" sheetId="1" r:id="rId1"/>
    <sheet name="PA PLANEACION" sheetId="11" r:id="rId2"/>
    <sheet name="PA HACIENDA" sheetId="7" r:id="rId3"/>
    <sheet name="PA AGUAS INFRAESTRUCTURA" sheetId="3" r:id="rId4"/>
    <sheet name="PA INTERIOR" sheetId="10" r:id="rId5"/>
    <sheet name="PA CULTURA" sheetId="4" r:id="rId6"/>
    <sheet name="PA TURISMO" sheetId="17" r:id="rId7"/>
    <sheet name="PA AGRICULTURA" sheetId="2" r:id="rId8"/>
    <sheet name="PA PRIVADA" sheetId="12" r:id="rId9"/>
    <sheet name="PA EDUCACION" sheetId="5" r:id="rId10"/>
    <sheet name="PA FAMILIA" sheetId="6" r:id="rId11"/>
    <sheet name="PA REP JUDICIAL" sheetId="14" r:id="rId12"/>
    <sheet name="PA SALUD" sheetId="15" r:id="rId13"/>
    <sheet name="PA TIC" sheetId="16" r:id="rId14"/>
    <sheet name="PA INDEPORTES" sheetId="9" r:id="rId15"/>
    <sheet name="PA PROMOTORA" sheetId="13" r:id="rId16"/>
    <sheet name="PA IDTQ" sheetId="8" r:id="rId17"/>
  </sheets>
  <externalReferences>
    <externalReference r:id="rId18"/>
  </externalReferences>
  <definedNames>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6">#REF!</definedName>
    <definedName name="_1._Apoyo_con_equipos_para_la_seguridad_vial_Licenciamiento_de_software_para_comunicaciones" localSheetId="14">#REF!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5">#REF!</definedName>
    <definedName name="_1._Apoyo_con_equipos_para_la_seguridad_vial_Licenciamiento_de_software_para_comunicaciones" localSheetId="12">#REF!</definedName>
    <definedName name="_1._Apoyo_con_equipos_para_la_seguridad_vial_Licenciamiento_de_software_para_comunicaciones" localSheetId="13">#REF!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9" hidden="1">'PA EDUCACION'!$A$10:$BK$10</definedName>
    <definedName name="_xlnm.Print_Area" localSheetId="15">'PA PROMOTORA'!$A$1:$AO$44</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6">#REF!</definedName>
    <definedName name="CODIGO_DIVIPOLA" localSheetId="14">#REF!</definedName>
    <definedName name="CODIGO_DIVIPOLA" localSheetId="4">#REF!</definedName>
    <definedName name="CODIGO_DIVIPOLA" localSheetId="1">#REF!</definedName>
    <definedName name="CODIGO_DIVIPOLA" localSheetId="8">#REF!</definedName>
    <definedName name="CODIGO_DIVIPOLA" localSheetId="15">#REF!</definedName>
    <definedName name="CODIGO_DIVIPOLA" localSheetId="12">#REF!</definedName>
    <definedName name="CODIGO_DIVIPOLA" localSheetId="13">#REF!</definedName>
    <definedName name="CODIGO_DIVIPOLA" localSheetId="6">#REF!</definedName>
    <definedName name="CODIGO_DIVIPOLA">#REF!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6">#REF!</definedName>
    <definedName name="DboREGISTRO_LEY_617" localSheetId="14">#REF!</definedName>
    <definedName name="DboREGISTRO_LEY_617" localSheetId="4">#REF!</definedName>
    <definedName name="DboREGISTRO_LEY_617" localSheetId="1">#REF!</definedName>
    <definedName name="DboREGISTRO_LEY_617" localSheetId="8">#REF!</definedName>
    <definedName name="DboREGISTRO_LEY_617" localSheetId="15">#REF!</definedName>
    <definedName name="DboREGISTRO_LEY_617" localSheetId="12">#REF!</definedName>
    <definedName name="DboREGISTRO_LEY_617" localSheetId="13">#REF!</definedName>
    <definedName name="DboREGISTRO_LEY_617" localSheetId="6">#REF!</definedName>
    <definedName name="DboREGISTRO_LEY_617">#REF!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6">#REF!</definedName>
    <definedName name="ññ" localSheetId="14">#REF!</definedName>
    <definedName name="ññ" localSheetId="4">#REF!</definedName>
    <definedName name="ññ" localSheetId="1">#REF!</definedName>
    <definedName name="ññ" localSheetId="8">#REF!</definedName>
    <definedName name="ññ" localSheetId="15">#REF!</definedName>
    <definedName name="ññ" localSheetId="12">#REF!</definedName>
    <definedName name="ññ" localSheetId="13">#REF!</definedName>
    <definedName name="ññ" localSheetId="6">#REF!</definedName>
    <definedName name="ññ">#REF!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2" i="17" l="1"/>
  <c r="V81" i="17"/>
  <c r="R79" i="17" s="1"/>
  <c r="V80" i="17"/>
  <c r="AN79" i="17"/>
  <c r="AN66" i="17"/>
  <c r="R66" i="17"/>
  <c r="Q66" i="17"/>
  <c r="Q63" i="17"/>
  <c r="AN60" i="17"/>
  <c r="R60" i="17"/>
  <c r="Q60" i="17"/>
  <c r="V55" i="17"/>
  <c r="V52" i="17"/>
  <c r="V50" i="17"/>
  <c r="R49" i="17" s="1"/>
  <c r="Q52" i="17" s="1"/>
  <c r="AN49" i="17"/>
  <c r="V45" i="17"/>
  <c r="V33" i="17"/>
  <c r="R32" i="17" s="1"/>
  <c r="AN32" i="17"/>
  <c r="V23" i="17"/>
  <c r="Q22" i="17" s="1"/>
  <c r="AN22" i="17"/>
  <c r="R22" i="17"/>
  <c r="Q25" i="17" s="1"/>
  <c r="V13" i="17"/>
  <c r="V85" i="17" s="1"/>
  <c r="AN12" i="17"/>
  <c r="Q79" i="17" l="1"/>
  <c r="Q44" i="17"/>
  <c r="Q40" i="17"/>
  <c r="Q38" i="17"/>
  <c r="Q32" i="17"/>
  <c r="Q55" i="17"/>
  <c r="Q49" i="17"/>
  <c r="Q28" i="17"/>
  <c r="R12" i="17"/>
  <c r="Q16" i="17" l="1"/>
  <c r="Q12" i="17"/>
  <c r="R85" i="17"/>
  <c r="V22" i="16" l="1"/>
  <c r="V24" i="16" s="1"/>
  <c r="R22" i="16"/>
  <c r="Q22" i="16" s="1"/>
  <c r="R18" i="16"/>
  <c r="Q18" i="16"/>
  <c r="R16" i="16"/>
  <c r="Q16" i="16" s="1"/>
  <c r="R24" i="16" l="1"/>
  <c r="Q354" i="15" l="1"/>
  <c r="Q351" i="15"/>
  <c r="R350" i="15"/>
  <c r="R343" i="15"/>
  <c r="Q343" i="15" s="1"/>
  <c r="R332" i="15"/>
  <c r="Q336" i="15" s="1"/>
  <c r="R323" i="15"/>
  <c r="Q323" i="15" s="1"/>
  <c r="Q321" i="15"/>
  <c r="R318" i="15"/>
  <c r="Q318" i="15"/>
  <c r="R314" i="15"/>
  <c r="V301" i="15"/>
  <c r="V299" i="15"/>
  <c r="V298" i="15"/>
  <c r="R297" i="15" s="1"/>
  <c r="V287" i="15"/>
  <c r="R284" i="15" s="1"/>
  <c r="V280" i="15"/>
  <c r="V279" i="15"/>
  <c r="V278" i="15"/>
  <c r="Q276" i="15"/>
  <c r="R270" i="15"/>
  <c r="Q270" i="15" s="1"/>
  <c r="AC269" i="15"/>
  <c r="AC268" i="15"/>
  <c r="AC267" i="15"/>
  <c r="AC266" i="15"/>
  <c r="AC265" i="15"/>
  <c r="V265" i="15"/>
  <c r="AD264" i="15"/>
  <c r="AC264" i="15"/>
  <c r="AD263" i="15"/>
  <c r="AD269" i="15" s="1"/>
  <c r="AC263" i="15"/>
  <c r="AD262" i="15"/>
  <c r="AD268" i="15" s="1"/>
  <c r="AC262" i="15"/>
  <c r="AD261" i="15"/>
  <c r="AD267" i="15" s="1"/>
  <c r="AC261" i="15"/>
  <c r="AD260" i="15"/>
  <c r="AD266" i="15" s="1"/>
  <c r="AC260" i="15"/>
  <c r="AD259" i="15"/>
  <c r="AD265" i="15" s="1"/>
  <c r="AC259" i="15"/>
  <c r="V259" i="15"/>
  <c r="R259" i="15" s="1"/>
  <c r="V252" i="15"/>
  <c r="R250" i="15" s="1"/>
  <c r="Q241" i="15"/>
  <c r="Q234" i="15"/>
  <c r="Q225" i="15"/>
  <c r="R218" i="15"/>
  <c r="Q218" i="15"/>
  <c r="AO201" i="15"/>
  <c r="R201" i="15"/>
  <c r="Q208" i="15" s="1"/>
  <c r="Q195" i="15"/>
  <c r="R189" i="15"/>
  <c r="Q189" i="15"/>
  <c r="AD179" i="15"/>
  <c r="AC179" i="15"/>
  <c r="R179" i="15"/>
  <c r="Q183" i="15" s="1"/>
  <c r="R154" i="15"/>
  <c r="V153" i="15"/>
  <c r="V151" i="15"/>
  <c r="V149" i="15"/>
  <c r="V147" i="15"/>
  <c r="V145" i="15"/>
  <c r="V143" i="15"/>
  <c r="V141" i="15"/>
  <c r="V139" i="15"/>
  <c r="V135" i="15"/>
  <c r="R130" i="15" s="1"/>
  <c r="V132" i="15"/>
  <c r="Q125" i="15"/>
  <c r="R120" i="15"/>
  <c r="Q120" i="15"/>
  <c r="R106" i="15"/>
  <c r="Q115" i="15" s="1"/>
  <c r="Q100" i="15"/>
  <c r="AE84" i="15"/>
  <c r="AE106" i="15" s="1"/>
  <c r="R84" i="15"/>
  <c r="Q95" i="15" s="1"/>
  <c r="Q84" i="15"/>
  <c r="V77" i="15"/>
  <c r="R55" i="15" s="1"/>
  <c r="AD55" i="15"/>
  <c r="AD84" i="15" s="1"/>
  <c r="AD106" i="15" s="1"/>
  <c r="AC55" i="15"/>
  <c r="AC84" i="15" s="1"/>
  <c r="AC106" i="15" s="1"/>
  <c r="V48" i="15"/>
  <c r="V357" i="15" s="1"/>
  <c r="Q32" i="15"/>
  <c r="Q22" i="15"/>
  <c r="R12" i="15"/>
  <c r="Q12" i="15"/>
  <c r="Q250" i="15" l="1"/>
  <c r="Q257" i="15"/>
  <c r="Q146" i="15"/>
  <c r="Q130" i="15"/>
  <c r="Q291" i="15"/>
  <c r="Q284" i="15"/>
  <c r="Q287" i="15"/>
  <c r="Q66" i="15"/>
  <c r="Q78" i="15"/>
  <c r="Q61" i="15"/>
  <c r="Q55" i="15"/>
  <c r="Q111" i="15"/>
  <c r="Q206" i="15"/>
  <c r="Q338" i="15"/>
  <c r="Q106" i="15"/>
  <c r="Q179" i="15"/>
  <c r="Q201" i="15"/>
  <c r="Q332" i="15"/>
  <c r="R48" i="15"/>
  <c r="R357" i="15" l="1"/>
  <c r="Q50" i="15"/>
  <c r="Q48" i="15"/>
  <c r="V16" i="14" l="1"/>
  <c r="AN12" i="14"/>
  <c r="S21" i="13" l="1"/>
  <c r="S20" i="13"/>
  <c r="O20" i="13" s="1"/>
  <c r="N20" i="13" s="1"/>
  <c r="S19" i="13"/>
  <c r="S18" i="13"/>
  <c r="O18" i="13" s="1"/>
  <c r="S17" i="13"/>
  <c r="N17" i="13" s="1"/>
  <c r="O17" i="13"/>
  <c r="AB15" i="13"/>
  <c r="AA15" i="13"/>
  <c r="Z15" i="13"/>
  <c r="Y15" i="13"/>
  <c r="X15" i="13"/>
  <c r="AL15" i="13" s="1"/>
  <c r="W15" i="13"/>
  <c r="V15" i="13"/>
  <c r="S15" i="13"/>
  <c r="O15" i="13"/>
  <c r="N15" i="13"/>
  <c r="S13" i="13"/>
  <c r="AL12" i="13"/>
  <c r="S12" i="13"/>
  <c r="S22" i="13" s="1"/>
  <c r="O12" i="13"/>
  <c r="N12" i="13" s="1"/>
  <c r="N18" i="13" l="1"/>
  <c r="O22" i="13"/>
  <c r="T23" i="12" l="1"/>
  <c r="P19" i="12" s="1"/>
  <c r="O19" i="12" s="1"/>
  <c r="T20" i="12"/>
  <c r="AL19" i="12"/>
  <c r="AL16" i="12"/>
  <c r="P16" i="12"/>
  <c r="O16" i="12"/>
  <c r="T15" i="12"/>
  <c r="T24" i="12" s="1"/>
  <c r="T13" i="12"/>
  <c r="AL12" i="12"/>
  <c r="P12" i="12" l="1"/>
  <c r="P24" i="12" l="1"/>
  <c r="O12" i="12"/>
  <c r="V145" i="11" l="1"/>
  <c r="V141" i="11"/>
  <c r="V138" i="11"/>
  <c r="V131" i="11"/>
  <c r="V129" i="11"/>
  <c r="AN128" i="11"/>
  <c r="V127" i="11"/>
  <c r="V126" i="11"/>
  <c r="V125" i="11"/>
  <c r="V124" i="11"/>
  <c r="R116" i="11" s="1"/>
  <c r="AN116" i="11"/>
  <c r="AL116" i="11"/>
  <c r="V115" i="11"/>
  <c r="V113" i="11"/>
  <c r="V106" i="11"/>
  <c r="V102" i="11"/>
  <c r="V101" i="11"/>
  <c r="V100" i="11"/>
  <c r="V99" i="11"/>
  <c r="V98" i="11"/>
  <c r="AE96" i="11"/>
  <c r="V96" i="11"/>
  <c r="R96" i="11" s="1"/>
  <c r="V95" i="11"/>
  <c r="V94" i="11"/>
  <c r="V92" i="11"/>
  <c r="R91" i="11" s="1"/>
  <c r="AN91" i="11"/>
  <c r="V90" i="11"/>
  <c r="V89" i="11"/>
  <c r="V87" i="11"/>
  <c r="V86" i="11"/>
  <c r="V85" i="11"/>
  <c r="V84" i="11"/>
  <c r="R81" i="11" s="1"/>
  <c r="V82" i="11"/>
  <c r="AN81" i="11"/>
  <c r="V80" i="11"/>
  <c r="V78" i="11"/>
  <c r="V73" i="11"/>
  <c r="V72" i="11"/>
  <c r="V71" i="11"/>
  <c r="V70" i="11"/>
  <c r="V69" i="11"/>
  <c r="V68" i="11"/>
  <c r="V67" i="11"/>
  <c r="V66" i="11"/>
  <c r="AN65" i="11"/>
  <c r="V65" i="11"/>
  <c r="R65" i="11"/>
  <c r="Q77" i="11" s="1"/>
  <c r="V62" i="11"/>
  <c r="V61" i="11"/>
  <c r="V60" i="11"/>
  <c r="V59" i="11"/>
  <c r="V58" i="11"/>
  <c r="V57" i="11"/>
  <c r="V56" i="11"/>
  <c r="V149" i="11" s="1"/>
  <c r="AN52" i="11"/>
  <c r="AN34" i="11"/>
  <c r="R34" i="11"/>
  <c r="AN11" i="11"/>
  <c r="R11" i="11"/>
  <c r="Q128" i="11" l="1"/>
  <c r="Q75" i="11"/>
  <c r="R52" i="11"/>
  <c r="R128" i="11"/>
  <c r="Q65" i="11"/>
  <c r="Q74" i="11"/>
  <c r="Q76" i="11"/>
  <c r="Q147" i="11" l="1"/>
  <c r="Q135" i="11"/>
  <c r="Q137" i="11"/>
  <c r="Q140" i="11"/>
  <c r="Q133" i="11"/>
  <c r="Q144" i="11"/>
  <c r="Q143" i="11"/>
  <c r="Q130" i="11"/>
  <c r="R149" i="11"/>
  <c r="V190" i="10" l="1"/>
  <c r="R185" i="10"/>
  <c r="Q185" i="10" s="1"/>
  <c r="R178" i="10"/>
  <c r="Q178" i="10"/>
  <c r="R149" i="10"/>
  <c r="Q168" i="10" s="1"/>
  <c r="R143" i="10"/>
  <c r="Q145" i="10" s="1"/>
  <c r="Q143" i="10"/>
  <c r="Q130" i="10"/>
  <c r="Q129" i="10"/>
  <c r="Q128" i="10"/>
  <c r="V127" i="10"/>
  <c r="Q121" i="10"/>
  <c r="Q119" i="10"/>
  <c r="Q118" i="10"/>
  <c r="R117" i="10"/>
  <c r="Q131" i="10" s="1"/>
  <c r="Q117" i="10"/>
  <c r="R102" i="10"/>
  <c r="Q104" i="10" s="1"/>
  <c r="R93" i="10"/>
  <c r="Q99" i="10" s="1"/>
  <c r="Q86" i="10"/>
  <c r="Q80" i="10"/>
  <c r="R68" i="10"/>
  <c r="Q78" i="10" s="1"/>
  <c r="Q68" i="10"/>
  <c r="Q65" i="10"/>
  <c r="R51" i="10"/>
  <c r="Q58" i="10" s="1"/>
  <c r="Q51" i="10"/>
  <c r="R13" i="10"/>
  <c r="Q16" i="10" s="1"/>
  <c r="Q47" i="10" l="1"/>
  <c r="Q172" i="10"/>
  <c r="Q163" i="10"/>
  <c r="R190" i="10"/>
  <c r="Q88" i="10"/>
  <c r="Q13" i="10"/>
  <c r="Q20" i="10"/>
  <c r="Q93" i="10"/>
  <c r="Q102" i="10"/>
  <c r="Q149" i="10"/>
  <c r="Q169" i="10"/>
  <c r="Q15" i="10"/>
  <c r="Q95" i="10"/>
  <c r="R54" i="9" l="1"/>
  <c r="R57" i="9" s="1"/>
  <c r="V52" i="9"/>
  <c r="V57" i="9" s="1"/>
  <c r="AN49" i="9"/>
  <c r="R49" i="9"/>
  <c r="Q49" i="9" s="1"/>
  <c r="V48" i="9"/>
  <c r="Q40" i="9"/>
  <c r="AN37" i="9"/>
  <c r="R37" i="9"/>
  <c r="Q44" i="9" s="1"/>
  <c r="Q37" i="9"/>
  <c r="V35" i="9"/>
  <c r="AN29" i="9"/>
  <c r="R29" i="9"/>
  <c r="Q33" i="9" s="1"/>
  <c r="V28" i="9"/>
  <c r="AN23" i="9"/>
  <c r="R23" i="9"/>
  <c r="Q23" i="9" s="1"/>
  <c r="V22" i="9"/>
  <c r="AP20" i="9"/>
  <c r="R20" i="9"/>
  <c r="Q20" i="9" s="1"/>
  <c r="V19" i="9"/>
  <c r="Q18" i="9"/>
  <c r="AN12" i="9"/>
  <c r="R12" i="9"/>
  <c r="Q12" i="9"/>
  <c r="Q31" i="9" l="1"/>
  <c r="Q29" i="9"/>
  <c r="Q54" i="9"/>
  <c r="V18" i="8" l="1"/>
  <c r="Q16" i="8"/>
  <c r="Q14" i="8"/>
  <c r="AN12" i="8"/>
  <c r="R12" i="8"/>
  <c r="R18" i="8" s="1"/>
  <c r="Q12" i="8"/>
  <c r="V21" i="7" l="1"/>
  <c r="AN19" i="7"/>
  <c r="R19" i="7"/>
  <c r="Q19" i="7" s="1"/>
  <c r="V15" i="7"/>
  <c r="V13" i="7"/>
  <c r="V22" i="7" s="1"/>
  <c r="AN12" i="7"/>
  <c r="R12" i="7"/>
  <c r="R22" i="7" s="1"/>
  <c r="Q16" i="7" l="1"/>
  <c r="Q20" i="7"/>
  <c r="Q12" i="7"/>
  <c r="Q14" i="7"/>
  <c r="S134" i="6" l="1"/>
  <c r="S132" i="6"/>
  <c r="S127" i="6"/>
  <c r="S126" i="6"/>
  <c r="AK123" i="6"/>
  <c r="O123" i="6"/>
  <c r="N131" i="6" s="1"/>
  <c r="S117" i="6"/>
  <c r="S115" i="6"/>
  <c r="O114" i="6" s="1"/>
  <c r="N114" i="6" s="1"/>
  <c r="AK114" i="6"/>
  <c r="S114" i="6"/>
  <c r="AK109" i="6"/>
  <c r="O109" i="6"/>
  <c r="N109" i="6"/>
  <c r="AK105" i="6"/>
  <c r="AC105" i="6"/>
  <c r="O105" i="6"/>
  <c r="N105" i="6"/>
  <c r="AK102" i="6"/>
  <c r="AB102" i="6"/>
  <c r="O102" i="6"/>
  <c r="N102" i="6"/>
  <c r="AK99" i="6"/>
  <c r="AB99" i="6"/>
  <c r="O99" i="6"/>
  <c r="N99" i="6"/>
  <c r="AK96" i="6"/>
  <c r="AK94" i="6"/>
  <c r="O94" i="6"/>
  <c r="N94" i="6"/>
  <c r="AK77" i="6"/>
  <c r="O77" i="6"/>
  <c r="S74" i="6"/>
  <c r="S66" i="6"/>
  <c r="S65" i="6"/>
  <c r="S63" i="6"/>
  <c r="S62" i="6"/>
  <c r="S59" i="6"/>
  <c r="AK58" i="6"/>
  <c r="O58" i="6"/>
  <c r="N58" i="6" s="1"/>
  <c r="N54" i="6"/>
  <c r="N51" i="6"/>
  <c r="AK45" i="6"/>
  <c r="O45" i="6"/>
  <c r="N45" i="6"/>
  <c r="S42" i="6"/>
  <c r="S41" i="6"/>
  <c r="S135" i="6" s="1"/>
  <c r="O23" i="6"/>
  <c r="N23" i="6"/>
  <c r="O13" i="6"/>
  <c r="N17" i="6" l="1"/>
  <c r="N13" i="6"/>
  <c r="N123" i="6"/>
  <c r="N133" i="6"/>
  <c r="N130" i="6"/>
  <c r="O31" i="6"/>
  <c r="N31" i="6" l="1"/>
  <c r="N41" i="6"/>
  <c r="N38" i="6"/>
  <c r="O135" i="6"/>
  <c r="V125" i="5" l="1"/>
  <c r="V124" i="5"/>
  <c r="Q124" i="5" s="1"/>
  <c r="R124" i="5"/>
  <c r="AN119" i="5"/>
  <c r="R119" i="5"/>
  <c r="Q119" i="5" s="1"/>
  <c r="AN117" i="5"/>
  <c r="R117" i="5"/>
  <c r="Q117" i="5"/>
  <c r="R113" i="5"/>
  <c r="Q113" i="5" s="1"/>
  <c r="R109" i="5"/>
  <c r="Q109" i="5" s="1"/>
  <c r="R103" i="5"/>
  <c r="Q103" i="5"/>
  <c r="V102" i="5"/>
  <c r="V97" i="5"/>
  <c r="R95" i="5" s="1"/>
  <c r="R89" i="5"/>
  <c r="V83" i="5"/>
  <c r="V82" i="5"/>
  <c r="R82" i="5" s="1"/>
  <c r="V78" i="5"/>
  <c r="Q78" i="5" s="1"/>
  <c r="V75" i="5"/>
  <c r="R74" i="5" s="1"/>
  <c r="V69" i="5"/>
  <c r="V61" i="5"/>
  <c r="V60" i="5"/>
  <c r="V57" i="5"/>
  <c r="V55" i="5"/>
  <c r="R54" i="5" s="1"/>
  <c r="V46" i="5"/>
  <c r="R34" i="5"/>
  <c r="V26" i="5"/>
  <c r="R25" i="5" s="1"/>
  <c r="V23" i="5"/>
  <c r="V20" i="5"/>
  <c r="V15" i="5"/>
  <c r="V126" i="5" s="1"/>
  <c r="V13" i="5"/>
  <c r="AN11" i="5"/>
  <c r="Q69" i="5" l="1"/>
  <c r="Q72" i="5"/>
  <c r="Q56" i="5"/>
  <c r="Q62" i="5"/>
  <c r="Q66" i="5"/>
  <c r="Q57" i="5"/>
  <c r="Q65" i="5"/>
  <c r="Q60" i="5"/>
  <c r="Q58" i="5"/>
  <c r="Q82" i="5"/>
  <c r="Q98" i="5"/>
  <c r="Q95" i="5"/>
  <c r="Q96" i="5"/>
  <c r="Q101" i="5"/>
  <c r="Q31" i="5"/>
  <c r="Q27" i="5"/>
  <c r="Q30" i="5"/>
  <c r="Q28" i="5"/>
  <c r="Q25" i="5"/>
  <c r="Q33" i="5"/>
  <c r="Q76" i="5"/>
  <c r="Q80" i="5"/>
  <c r="R44" i="5"/>
  <c r="Q49" i="5" s="1"/>
  <c r="Q54" i="5"/>
  <c r="Q74" i="5"/>
  <c r="Q121" i="5"/>
  <c r="R11" i="5"/>
  <c r="Q111" i="5"/>
  <c r="R126" i="5" l="1"/>
  <c r="Q11" i="5"/>
  <c r="Q20" i="5"/>
  <c r="Q16" i="5"/>
  <c r="Q45" i="5"/>
  <c r="V54" i="4" l="1"/>
  <c r="V52" i="4"/>
  <c r="AN50" i="4"/>
  <c r="V50" i="4"/>
  <c r="R50" i="4"/>
  <c r="Q52" i="4" s="1"/>
  <c r="V47" i="4"/>
  <c r="V46" i="4"/>
  <c r="V44" i="4"/>
  <c r="AN42" i="4"/>
  <c r="R42" i="4"/>
  <c r="Q42" i="4" s="1"/>
  <c r="V39" i="4"/>
  <c r="V38" i="4"/>
  <c r="V37" i="4"/>
  <c r="V36" i="4"/>
  <c r="V35" i="4"/>
  <c r="V34" i="4"/>
  <c r="V33" i="4"/>
  <c r="AN32" i="4"/>
  <c r="V32" i="4"/>
  <c r="R32" i="4"/>
  <c r="Q32" i="4" s="1"/>
  <c r="AN28" i="4"/>
  <c r="R28" i="4"/>
  <c r="Q28" i="4"/>
  <c r="V26" i="4"/>
  <c r="V25" i="4"/>
  <c r="V24" i="4"/>
  <c r="V23" i="4"/>
  <c r="V22" i="4"/>
  <c r="V21" i="4"/>
  <c r="V20" i="4"/>
  <c r="V19" i="4"/>
  <c r="V18" i="4"/>
  <c r="V16" i="4"/>
  <c r="R15" i="4" s="1"/>
  <c r="AN15" i="4"/>
  <c r="V15" i="4"/>
  <c r="V14" i="4"/>
  <c r="V55" i="4" s="1"/>
  <c r="AN12" i="4"/>
  <c r="Q23" i="4" l="1"/>
  <c r="Q15" i="4"/>
  <c r="Q19" i="4"/>
  <c r="R12" i="4"/>
  <c r="Q50" i="4"/>
  <c r="R55" i="4" l="1"/>
  <c r="Q12" i="4"/>
  <c r="V59" i="3" l="1"/>
  <c r="R58" i="3"/>
  <c r="Q58" i="3" s="1"/>
  <c r="R38" i="3"/>
  <c r="Q52" i="3" s="1"/>
  <c r="R27" i="3"/>
  <c r="Q32" i="3" s="1"/>
  <c r="Q27" i="3"/>
  <c r="R22" i="3"/>
  <c r="Q22" i="3"/>
  <c r="R21" i="3"/>
  <c r="Q21" i="3"/>
  <c r="R19" i="3"/>
  <c r="Q19" i="3"/>
  <c r="R17" i="3"/>
  <c r="R59" i="3" s="1"/>
  <c r="Q17" i="3"/>
  <c r="V13" i="3"/>
  <c r="R13" i="3"/>
  <c r="Q13" i="3"/>
  <c r="Q54" i="3" l="1"/>
  <c r="Q44" i="3"/>
  <c r="Q56" i="3"/>
  <c r="Q46" i="3"/>
  <c r="Q57" i="3"/>
  <c r="Q38" i="3"/>
  <c r="S70" i="2" l="1"/>
  <c r="N69" i="2"/>
  <c r="N68" i="2"/>
  <c r="N67" i="2"/>
  <c r="N66" i="2"/>
  <c r="AK65" i="2"/>
  <c r="N65" i="2"/>
  <c r="N61" i="2"/>
  <c r="AK60" i="2"/>
  <c r="N60" i="2"/>
  <c r="N58" i="2"/>
  <c r="N57" i="2"/>
  <c r="N56" i="2"/>
  <c r="AK55" i="2"/>
  <c r="N55" i="2"/>
  <c r="AK52" i="2"/>
  <c r="N52" i="2"/>
  <c r="AK49" i="2"/>
  <c r="O49" i="2"/>
  <c r="N49" i="2"/>
  <c r="AK43" i="2"/>
  <c r="O43" i="2"/>
  <c r="N48" i="2" s="1"/>
  <c r="N41" i="2"/>
  <c r="N38" i="2"/>
  <c r="N36" i="2"/>
  <c r="AK34" i="2"/>
  <c r="N34" i="2"/>
  <c r="AK26" i="2"/>
  <c r="O26" i="2"/>
  <c r="N29" i="2" s="1"/>
  <c r="AK22" i="2"/>
  <c r="O22" i="2"/>
  <c r="O70" i="2" s="1"/>
  <c r="N20" i="2"/>
  <c r="AK19" i="2"/>
  <c r="N19" i="2"/>
  <c r="N17" i="2"/>
  <c r="N16" i="2"/>
  <c r="N15" i="2"/>
  <c r="N14" i="2"/>
  <c r="AK12" i="2"/>
  <c r="N12" i="2"/>
  <c r="N30" i="2" l="1"/>
  <c r="N24" i="2"/>
  <c r="N27" i="2"/>
  <c r="N46" i="2"/>
  <c r="N22" i="2"/>
  <c r="N26" i="2"/>
  <c r="N28" i="2"/>
  <c r="N43" i="2"/>
  <c r="N47" i="2"/>
  <c r="V23" i="1" l="1"/>
  <c r="V22" i="1"/>
  <c r="R21" i="1" s="1"/>
  <c r="V20" i="1"/>
  <c r="Q20" i="1" s="1"/>
  <c r="R20" i="1"/>
  <c r="V19" i="1"/>
  <c r="V18" i="1"/>
  <c r="V17" i="1"/>
  <c r="V16" i="1"/>
  <c r="V26" i="1" s="1"/>
  <c r="R16" i="1"/>
  <c r="Q21" i="1" l="1"/>
  <c r="Q25" i="1"/>
  <c r="Q24" i="1"/>
  <c r="Q22" i="1"/>
  <c r="Q16" i="1"/>
  <c r="R17" i="1"/>
  <c r="Q17" i="1" s="1"/>
  <c r="R26" i="1" l="1"/>
</calcChain>
</file>

<file path=xl/sharedStrings.xml><?xml version="1.0" encoding="utf-8"?>
<sst xmlns="http://schemas.openxmlformats.org/spreadsheetml/2006/main" count="5131" uniqueCount="2544">
  <si>
    <t>PROGRAMACION PLAN DE ACCIÓN
SECRETARIA ADMINISTRATIVA
II TRIMESTRE   2019</t>
  </si>
  <si>
    <t xml:space="preserve">CODIGO:  </t>
  </si>
  <si>
    <t>F-PLA-06</t>
  </si>
  <si>
    <t xml:space="preserve">VERSIÓN: </t>
  </si>
  <si>
    <t>06</t>
  </si>
  <si>
    <t xml:space="preserve">FECHA: </t>
  </si>
  <si>
    <t>Nov. 22 de 2017</t>
  </si>
  <si>
    <t>PÁGINA:</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</si>
  <si>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</si>
  <si>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</si>
  <si>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</si>
  <si>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</si>
  <si>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</si>
  <si>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</si>
  <si>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</si>
  <si>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</si>
  <si>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</si>
  <si>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</si>
  <si>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</si>
  <si>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</si>
  <si>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</si>
  <si>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</si>
  <si>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</si>
  <si>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</si>
  <si>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</si>
  <si>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</si>
  <si>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</si>
  <si>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</si>
  <si>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</si>
  <si>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</si>
  <si>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</si>
  <si>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</si>
  <si>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</si>
  <si>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</si>
  <si>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</si>
  <si>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</si>
  <si>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</si>
  <si>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</si>
  <si>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</si>
  <si>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</si>
  <si>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</si>
  <si>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</si>
  <si>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</si>
  <si>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</si>
  <si>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</si>
  <si>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</si>
  <si>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</si>
  <si>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</si>
  <si>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</si>
  <si>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</si>
  <si>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BUEN GOBIERNO</t>
  </si>
  <si>
    <t>GESTIÓN TERRITORIAL</t>
  </si>
  <si>
    <t>MODERNIZACIÓN TECNOLOGICA Y ADMINISTRATIVA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</si>
  <si>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</si>
  <si>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</si>
  <si>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</si>
  <si>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</si>
  <si>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</si>
  <si>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</si>
  <si>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</si>
  <si>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</si>
  <si>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 xml:space="preserve">20
</t>
  </si>
  <si>
    <t>Recurso Ordinario</t>
  </si>
  <si>
    <t>SECRETARIA ADMINISTRATIVA
DIRECCIÓN DE TIC´S</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</si>
  <si>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</si>
  <si>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</si>
  <si>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</si>
  <si>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</si>
  <si>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</si>
  <si>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</si>
  <si>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</si>
  <si>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</si>
  <si>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</si>
  <si>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</si>
  <si>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</si>
  <si>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Formular e implementar 1 plan institucional de capacitación para los funcionarios de la entidad en  la vigencia 2018</t>
  </si>
  <si>
    <t>Desarrollo y ejecución de capacitaciones de conformidad con el plan institucional de capacitaciones aprobado</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</si>
  <si>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</si>
  <si>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</si>
  <si>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</si>
  <si>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</si>
  <si>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</si>
  <si>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</si>
  <si>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</si>
  <si>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</si>
  <si>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Secretaría Administrativa
Dirección  TIC´S</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</si>
  <si>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</si>
  <si>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</si>
  <si>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</si>
  <si>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</si>
  <si>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</si>
  <si>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</si>
  <si>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</si>
  <si>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Secretaría Administrativa
Dirección  FTP</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</si>
  <si>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</si>
  <si>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</si>
  <si>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</si>
  <si>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</si>
  <si>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Implementar procedimientos correspondiente  a las bodegas a cargo de la dirección de almacén</t>
  </si>
  <si>
    <t xml:space="preserve">Recurso Ordinario </t>
  </si>
  <si>
    <t>Secretaría Administrativa
Dirección Recursos Físicos
Dirección Almacén</t>
  </si>
  <si>
    <t>Realizar avalúos a los bienes inmuebles a cargo de la entidad</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</si>
  <si>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</si>
  <si>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</si>
  <si>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</si>
  <si>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</si>
  <si>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</si>
  <si>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</si>
  <si>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</si>
  <si>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</si>
  <si>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</si>
  <si>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Secretaría Administrativa
Dirección Recursos Físicos</t>
  </si>
  <si>
    <t>TOTAL :</t>
  </si>
  <si>
    <t>CATALINA GÓMEZ RESTREPO</t>
  </si>
  <si>
    <t>Secretaria Administrativa</t>
  </si>
  <si>
    <t>PROGRAMACIÓN PLAN DE ACCIÓN 
SECRETARIA DE AGRICULTURA,  DESARROLLO RURAL Y MEDIO AMBIENTE
II TRIMESTRE 2019</t>
  </si>
  <si>
    <t xml:space="preserve">F-PLA-06   </t>
  </si>
  <si>
    <t>O6</t>
  </si>
  <si>
    <t>Adolescencia
 (15 - 19 años)</t>
  </si>
  <si>
    <t>Edad Económicamente Activa      (20-59 años)</t>
  </si>
  <si>
    <t>Adultos Mayores (Mayores a 60 años)</t>
  </si>
  <si>
    <t>DESARROLLO SOSTENIBLE</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</si>
  <si>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</si>
  <si>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</si>
  <si>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</si>
  <si>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</si>
  <si>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</si>
  <si>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</si>
  <si>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</si>
  <si>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</si>
  <si>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</si>
  <si>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</si>
  <si>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SECRETARIO DE DESPACHO Y JULIANA ACOSTA JARAMILLO</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</si>
  <si>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</si>
  <si>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</si>
  <si>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</si>
  <si>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</si>
  <si>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</si>
  <si>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</si>
  <si>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</si>
  <si>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</si>
  <si>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poiica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</si>
  <si>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</si>
  <si>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</si>
  <si>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</si>
  <si>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</si>
  <si>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</si>
  <si>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</si>
  <si>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</si>
  <si>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</si>
  <si>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</si>
  <si>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</si>
  <si>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</si>
  <si>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</si>
  <si>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</si>
  <si>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</si>
  <si>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</si>
  <si>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</si>
  <si>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</si>
  <si>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</si>
  <si>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</si>
  <si>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</si>
  <si>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</si>
  <si>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</si>
  <si>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</si>
  <si>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</si>
  <si>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</si>
  <si>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</si>
  <si>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</si>
  <si>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</si>
  <si>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0312 - 5 - 3 1 1 1 3 10 68 - 88</t>
  </si>
  <si>
    <t>Adquirir doscientos setenta (270) ha para áreas de conservación en predios de importancia estratégica para el recurso hídrico del departamento del Quindío</t>
  </si>
  <si>
    <t>Superavit Recurso Ordinario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</si>
  <si>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</si>
  <si>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</si>
  <si>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</si>
  <si>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</si>
  <si>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</si>
  <si>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</si>
  <si>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</si>
  <si>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</si>
  <si>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</si>
  <si>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</si>
  <si>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</si>
  <si>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</si>
  <si>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</si>
  <si>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</si>
  <si>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</si>
  <si>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</si>
  <si>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</si>
  <si>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</si>
  <si>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</si>
  <si>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</si>
  <si>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PROSPERIDAD CON EQUIDAD</t>
  </si>
  <si>
    <t>Quindío rural, inteligente, competitivo y empresarial</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</si>
  <si>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</si>
  <si>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</si>
  <si>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</si>
  <si>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</si>
  <si>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</si>
  <si>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</si>
  <si>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</si>
  <si>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</si>
  <si>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</si>
  <si>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SECRETARIO DE DESPACHO Y 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</si>
  <si>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</si>
  <si>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</si>
  <si>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</si>
  <si>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</si>
  <si>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</si>
  <si>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</si>
  <si>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</si>
  <si>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</si>
  <si>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</si>
  <si>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</si>
  <si>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</si>
  <si>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</si>
  <si>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</si>
  <si>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</si>
  <si>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</si>
  <si>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</si>
  <si>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</si>
  <si>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
0312 - 5 - 3 1 2 2 5 8 176 - 46
0312 - 5 - 3 1 2 5 8 176 - 88</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</si>
  <si>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</si>
  <si>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</si>
  <si>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</si>
  <si>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</si>
  <si>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</si>
  <si>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Crear Un Núcleo De Asistencia Pecuaria</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</si>
  <si>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</si>
  <si>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</si>
  <si>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</si>
  <si>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</si>
  <si>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</si>
  <si>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</si>
  <si>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</si>
  <si>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Recurso del Crédito</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</si>
  <si>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</si>
  <si>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</si>
  <si>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</si>
  <si>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</si>
  <si>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</si>
  <si>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</si>
  <si>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</si>
  <si>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</si>
  <si>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</si>
  <si>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</si>
  <si>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</si>
  <si>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</si>
  <si>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SECRETARIO DE DESPACHO Y ANA MARIA CARDONA VALDEZ</t>
  </si>
  <si>
    <t>0312 - 5 - 3 1 2 2 5 8 177 - 88</t>
  </si>
  <si>
    <t>Financiamiento Al Pequeño Productor Rural</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</si>
  <si>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</si>
  <si>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</si>
  <si>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</si>
  <si>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</si>
  <si>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</si>
  <si>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</si>
  <si>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</si>
  <si>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</si>
  <si>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</si>
  <si>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</si>
  <si>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</si>
  <si>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</si>
  <si>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</si>
  <si>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</si>
  <si>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</si>
  <si>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</si>
  <si>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</si>
  <si>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</si>
  <si>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</si>
  <si>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</si>
  <si>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</si>
  <si>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</si>
  <si>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</si>
  <si>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</si>
  <si>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</si>
  <si>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</si>
  <si>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</si>
  <si>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</si>
  <si>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</si>
  <si>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</si>
  <si>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</si>
  <si>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</si>
  <si>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</si>
  <si>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</si>
  <si>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</si>
  <si>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</si>
  <si>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</si>
  <si>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</si>
  <si>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</si>
  <si>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</si>
  <si>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</si>
  <si>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</si>
  <si>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Soberanía, seguridad alimentaria y nutricional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</si>
  <si>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</si>
  <si>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</si>
  <si>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</si>
  <si>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</si>
  <si>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</si>
  <si>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</si>
  <si>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</si>
  <si>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</si>
  <si>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</si>
  <si>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</si>
  <si>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</si>
  <si>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</si>
  <si>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</si>
  <si>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</si>
  <si>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</si>
  <si>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</si>
  <si>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</si>
  <si>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</si>
  <si>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</si>
  <si>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</si>
  <si>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</si>
  <si>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</si>
  <si>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</si>
  <si>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</si>
  <si>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TOTALES</t>
  </si>
  <si>
    <t>ALVARO ARIAS YOUNG</t>
  </si>
  <si>
    <t>Secretario de Agricultura, medio Ambiente y Desarrollo Rural</t>
  </si>
  <si>
    <t>PROGRAMACION PLAN DE ACCIÓN
SECRETARIA DE AGUAS E INFRAESTRUCTURA
II TRIMESTRE 2019</t>
  </si>
  <si>
    <t>01 de 1</t>
  </si>
  <si>
    <t>No.</t>
  </si>
  <si>
    <t>Edad Económicamente Activa (20-59 años)</t>
  </si>
  <si>
    <t>P</t>
  </si>
  <si>
    <t>PRESUPUESTADO</t>
  </si>
  <si>
    <t>E</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</si>
  <si>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</si>
  <si>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</si>
  <si>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</si>
  <si>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</si>
  <si>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</si>
  <si>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</si>
  <si>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</si>
  <si>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</si>
  <si>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</si>
  <si>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</si>
  <si>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</si>
  <si>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</si>
  <si>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Juan Antonio Osorio Alvarez -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</si>
  <si>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</si>
  <si>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</si>
  <si>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</si>
  <si>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</si>
  <si>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</si>
  <si>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</si>
  <si>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</si>
  <si>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</si>
  <si>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</si>
  <si>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</si>
  <si>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</si>
  <si>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SGP Agua Potable y Saneamiento Básico</t>
  </si>
  <si>
    <t>Formular,priorizar, viabilizar y ejecutar proyectos de infraestructura de Agua Potable y Saneamiento Basico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</si>
  <si>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</si>
  <si>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</si>
  <si>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</si>
  <si>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</si>
  <si>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</si>
  <si>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</si>
  <si>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</si>
  <si>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</si>
  <si>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</si>
  <si>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</si>
  <si>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</si>
  <si>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</si>
  <si>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</si>
  <si>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</si>
  <si>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</si>
  <si>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</si>
  <si>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</si>
  <si>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</si>
  <si>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</si>
  <si>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</si>
  <si>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</si>
  <si>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</si>
  <si>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</si>
  <si>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</si>
  <si>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</si>
  <si>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</si>
  <si>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</si>
  <si>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 xml:space="preserve">2. </t>
  </si>
  <si>
    <t xml:space="preserve">PROSPERIDAD CON EQUIDAD </t>
  </si>
  <si>
    <t xml:space="preserve">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</si>
  <si>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</si>
  <si>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</si>
  <si>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</si>
  <si>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</si>
  <si>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</si>
  <si>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</si>
  <si>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</si>
  <si>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</si>
  <si>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</si>
  <si>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</si>
  <si>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</si>
  <si>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 xml:space="preserve">SOBRETASA AL ACPM (23)
</t>
  </si>
  <si>
    <t>12/31/19</t>
  </si>
  <si>
    <t>Asistencia profesional y tecnica para el mejoramiento vial del Departamento del Quindio.</t>
  </si>
  <si>
    <t>0308 - 5 - 3 1 2 4 14 9 19 - 23</t>
  </si>
  <si>
    <t>Mantener, mejorar y/o rehabilitar la Infraestructura Vial del Departamento del Quindio</t>
  </si>
  <si>
    <t>RECURSO DEL CREDITO (46)</t>
  </si>
  <si>
    <t>0308 - 5 - 3 1 2 4 14 9 19 - 157</t>
  </si>
  <si>
    <t>Superávit Recursos del Crédito (157)</t>
  </si>
  <si>
    <t>0308 - 5 - 3 1 2 4 14 9 19 - 46</t>
  </si>
  <si>
    <t>Asistencia externa para el control y seguimiento de la correcta ejecucion de los contratos de Infraestructura Vial.</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</si>
  <si>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</si>
  <si>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</si>
  <si>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</si>
  <si>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</si>
  <si>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 xml:space="preserve">SOBRETASA AL ACPM (23)-
</t>
  </si>
  <si>
    <t>RECURSOS DEL CREDITO (46)</t>
  </si>
  <si>
    <t xml:space="preserve">0308 - 5 - 3 1 2 4 14 9 19 - 89    </t>
  </si>
  <si>
    <t>Recurso humano necesarios para la atencion de emergencias viales</t>
  </si>
  <si>
    <t>0308 - 5 - 3 1 2 4 14 9 19 - 89</t>
  </si>
  <si>
    <t xml:space="preserve">SUPERÁVIT SOBRETASA AL ACPM (89)
</t>
  </si>
  <si>
    <t>Obra Fisica requerida para la atencion de emergencias viales</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</si>
  <si>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</si>
  <si>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</si>
  <si>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</si>
  <si>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</si>
  <si>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 21 - 04
0308 - 5 - 3 1 2 4 15 1 21 - 82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</si>
  <si>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</si>
  <si>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</si>
  <si>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</si>
  <si>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</si>
  <si>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</si>
  <si>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 - DESARROLLO (04)</t>
  </si>
  <si>
    <t>Juan Antonio Osorio Alvarez Secretario de Aguas e Infraestructura</t>
  </si>
  <si>
    <t>1.2 Asistencia profesional- tecnica y mano de obra Infraestructura educativa</t>
  </si>
  <si>
    <t>1.3 Mantener, mejorar y/o rehabilitar la Infraestructura educativa del Departamento del Quindio.</t>
  </si>
  <si>
    <t>SUPERÁVIT ESTAMPILLA PRO - DESARROLLO (82)</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</si>
  <si>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</si>
  <si>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</si>
  <si>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</si>
  <si>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</si>
  <si>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</si>
  <si>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Apoyar la construcción, mejoramiento y/o  rehabilitación de la infraestructura de doce (12) escenarios deportivos y/o recreativos en el departamento del Quindío</t>
  </si>
  <si>
    <t>Número de escenarios deportivo o recreativo  apoyado</t>
  </si>
  <si>
    <t>3.1 Transporte, elementos, materiales, equipos e insumos Infraestructura deportiva</t>
  </si>
  <si>
    <t xml:space="preserve">ESTAMPILLA PRO - DESARROLLO (04)
</t>
  </si>
  <si>
    <t>3.2 Asistencia profesional - tecnica y mano de obra de Infraestructura deportiva</t>
  </si>
  <si>
    <t>3.3 Mantener, mejorar y/o rehabilitar la Infraestructura deportiva del Departamento del Quindio.</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</si>
  <si>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</si>
  <si>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</si>
  <si>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</si>
  <si>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</si>
  <si>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 xml:space="preserve">RECURSO ORDINARIO (20)
</t>
  </si>
  <si>
    <t>4.2 Construir, mantener, mejorar y/o rehabilitar la infraestructura Social del Departamento del Quindio</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</si>
  <si>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</si>
  <si>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</si>
  <si>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</si>
  <si>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</si>
  <si>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Apoyar la construcción y  el mejoramiento de mil (1000) viviendas urbana y rural priorizada en el departamento del Quindío.</t>
  </si>
  <si>
    <t>Número de viviendas apoyadas</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</si>
  <si>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</si>
  <si>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</si>
  <si>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</si>
  <si>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</si>
  <si>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RECURSO ORDINARIO (20)</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</si>
  <si>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</si>
  <si>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</si>
  <si>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</si>
  <si>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</si>
  <si>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</si>
  <si>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</si>
  <si>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</si>
  <si>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TOTAL:</t>
  </si>
  <si>
    <t>Juan Antonio Osorio Alvarez</t>
  </si>
  <si>
    <t xml:space="preserve">Secretario de Aguas e Infraestructura </t>
  </si>
  <si>
    <t>Departamento del Quindio</t>
  </si>
  <si>
    <t>PROGRAMACION PLAN DE ACCIÓN
SECRETARIA DE CULTURA
II TRIMESTRE 2019  DE 2019</t>
  </si>
  <si>
    <t xml:space="preserve">HOMBRE </t>
  </si>
  <si>
    <t>Edad Económicamente Activa
(20-59 años)</t>
  </si>
  <si>
    <t>Mestiza</t>
  </si>
  <si>
    <t>Victimas</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</si>
  <si>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</si>
  <si>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</si>
  <si>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</si>
  <si>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</si>
  <si>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</si>
  <si>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
0310 - 5 - 3 1 3 9 29 5 45 - 33                                                          
0310 - 5 - 3 1 3 9 29 5 45 - 83</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</si>
  <si>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</si>
  <si>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</si>
  <si>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</si>
  <si>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</si>
  <si>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</si>
  <si>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Secretaria de Cultura, James  Gonzalez Mata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</si>
  <si>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</si>
  <si>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</si>
  <si>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</si>
  <si>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</si>
  <si>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</si>
  <si>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</si>
  <si>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</si>
  <si>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ciudadania al arte y la cultura </t>
  </si>
  <si>
    <t>Escuelas de formación</t>
  </si>
  <si>
    <t>Secretaria de Cultura, James Gonzalez Mata</t>
  </si>
  <si>
    <t xml:space="preserve"> Difusión y Circulación Artística</t>
  </si>
  <si>
    <t xml:space="preserve">Recurso Ordinario
</t>
  </si>
  <si>
    <t>Superavit Ordinario</t>
  </si>
  <si>
    <t>Apoyo técnico y logístico</t>
  </si>
  <si>
    <t xml:space="preserve">Recurso Ordinario
</t>
  </si>
  <si>
    <t>Apoyar  ciento veinte (120) proyectos del programa de concertación cultural del departamento</t>
  </si>
  <si>
    <t>0310 - 5 - 3 1 3 9 29 5 46 - 39                    0310 - 5 - 3 1 3 9 29 5 46 - 83</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</si>
  <si>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</si>
  <si>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</si>
  <si>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</si>
  <si>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</si>
  <si>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</si>
  <si>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</si>
  <si>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</si>
  <si>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0310 - 5 - 3 1 3 9 29 5 46 - 41
0310 - 5 - 3 1 3 9 29 5 46 - 83</t>
  </si>
  <si>
    <t>Mayor apoyo a la creación investigación y producción artistica</t>
  </si>
  <si>
    <t>Estampilla Procultura 10% Estímulos</t>
  </si>
  <si>
    <t xml:space="preserve"> Evaluación y Seguimiento </t>
  </si>
  <si>
    <t xml:space="preserve">Estampilla Procultura 10% EStímulos
</t>
  </si>
  <si>
    <t xml:space="preserve">Emprendimiento Cultural </t>
  </si>
  <si>
    <t>Fortalecer cinco (5) procesos de emprendimiento cultural y de desarrollo de industrias creativas</t>
  </si>
  <si>
    <t>0310 - 5 - 3 1 3 9 30 5 47 - 20</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</si>
  <si>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</si>
  <si>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</si>
  <si>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</si>
  <si>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</si>
  <si>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</si>
  <si>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</si>
  <si>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</si>
  <si>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0310 - 5 - 3 1 3 9 31 5 48 - 34               
0310 - 5 - 3 1 3 9 31 5 48 - 83
0310 - 5 - 3 1 3 9 31 5 48 - 159</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</si>
  <si>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</si>
  <si>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</si>
  <si>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</si>
  <si>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 xml:space="preserve"> Realización de procesos formativos para promotores de lectura y escritura</t>
  </si>
  <si>
    <t>Estampilla Procultura 10% Bibliotecas</t>
  </si>
  <si>
    <t>Encuentros para el intercambio, formación y retroalimentación de la Red de Bibliotecas</t>
  </si>
  <si>
    <t>Dotación y adecuación bibliotecaria</t>
  </si>
  <si>
    <t xml:space="preserve">Coordinación de actividades para el fortalecimiento de la Red </t>
  </si>
  <si>
    <t>Coordinación de actividades para el fortalecimiento de la red segun aceptación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</si>
  <si>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</si>
  <si>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</si>
  <si>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</si>
  <si>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 xml:space="preserve">Estampilla Procultura 10% Bibliotecas
</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</si>
  <si>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</si>
  <si>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</si>
  <si>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</si>
  <si>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</si>
  <si>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N </t>
  </si>
  <si>
    <t xml:space="preserve">Apoyar treinta y dos (32) proyectos y/o actividades en gestión, investigación,  protección, divulgación y salvaguardia del patrimonio y diversidad cultural </t>
  </si>
  <si>
    <t>0310 - 5 - 3 1 3 10 32 5 49 - 20
0310 - 5 - 3 1 3 10 32 5 49 - 93
0310 - 5 - 3 1 3 10 32 5 49 - 47</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</si>
  <si>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</si>
  <si>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</si>
  <si>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</si>
  <si>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</si>
  <si>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</si>
  <si>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</si>
  <si>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</si>
  <si>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</si>
  <si>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</si>
  <si>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</si>
  <si>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</si>
  <si>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</si>
  <si>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</si>
  <si>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 xml:space="preserve">0310 - 5 - 3 1 3 10 33 5 50 - 20
</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</si>
  <si>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</si>
  <si>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</si>
  <si>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</si>
  <si>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</si>
  <si>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Implementación de una emisora de interés público del departamento del Quindío</t>
  </si>
  <si>
    <t>Apoyar  dieciséis (16) actividades y/o proyectos  para el afianzamiento del Sistema Departamental de Cultura</t>
  </si>
  <si>
    <t>Participación y  apoyo por parte de la Gobernación del Quindío a medios ciudadanos, comunitarios y de interés público</t>
  </si>
  <si>
    <t xml:space="preserve"> Formación para la gestión cultural</t>
  </si>
  <si>
    <t>Fortalecimiento del Sistema de Información Cultural</t>
  </si>
  <si>
    <t>Apoyo a Consejos de las artes y la cultura</t>
  </si>
  <si>
    <t>JAMES GONZALEZ MATA</t>
  </si>
  <si>
    <t>Secretario de Cultura</t>
  </si>
  <si>
    <t>PROGRAMACION  PLAN DE ACCIÓN
SECRETARIA DE EDUCACION
II TRIMESTRE  2019</t>
  </si>
  <si>
    <t>Edad Económicamente 
Activa (20-59 años)</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</si>
  <si>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</si>
  <si>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</si>
  <si>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</si>
  <si>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</si>
  <si>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</si>
  <si>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</si>
  <si>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</si>
  <si>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</si>
  <si>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</si>
  <si>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</si>
  <si>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</si>
  <si>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Secretario de Educación Departamental</t>
  </si>
  <si>
    <t>Superávit Monopolio</t>
  </si>
  <si>
    <t xml:space="preserve">Superavit Ordinario </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</si>
  <si>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</si>
  <si>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</si>
  <si>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</si>
  <si>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</si>
  <si>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</si>
  <si>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Rendimientos PAE</t>
  </si>
  <si>
    <t>Superavit Programa de Alimentación EScolar PAE</t>
  </si>
  <si>
    <t>Personal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</si>
  <si>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</si>
  <si>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</si>
  <si>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</si>
  <si>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</si>
  <si>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</si>
  <si>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</si>
  <si>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</si>
  <si>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</si>
  <si>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</si>
  <si>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</si>
  <si>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</si>
  <si>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</si>
  <si>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</si>
  <si>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01/02/2019
01/06/2019</t>
  </si>
  <si>
    <t>30/06/2019
30/12/2019</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</si>
  <si>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</si>
  <si>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</si>
  <si>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</si>
  <si>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</si>
  <si>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</si>
  <si>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</si>
  <si>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</si>
  <si>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</si>
  <si>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</si>
  <si>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</si>
  <si>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</si>
  <si>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</si>
  <si>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</si>
  <si>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</si>
  <si>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SGP Educación CSF</t>
  </si>
  <si>
    <t>Diseñar e implementar un plan para la caracterización y atención de la población en condiciones especiales y excepcionales del departamento.</t>
  </si>
  <si>
    <t>Plan diseñado e implementado</t>
  </si>
  <si>
    <t>Personal de apoyo idoneos para la atencion de la poblacion con NNE y talentos Excepcionales.</t>
  </si>
  <si>
    <t>Secretaria de Educacion Departamental</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</si>
  <si>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</si>
  <si>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</si>
  <si>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 xml:space="preserve">1401 - 5 -  1402 - 5 -  1403 - 5 -
1402 - 5 - 3 1 3 5 18 1 1 1 1 6 - 26
1402 - 5 - 3 1 3 5 18 1 2 4 1 1 - 26
1402 - 5 - 3 1 3 5 18 1 2 4 1 2 - 146
1403 - 5 - 3 1 3 5 18 1 1 1 1 6 - 26
1403 - 5 - 3 1 3 5 18 1 2 4 1 1 - 26
1402 - 5 - 3 1 3 5 18 1 2 3 1 - 09
1404 - 5 - 3 1 3 5 16 1 84 - 137
1404 - 5 - 3 1 3 6 20 1 90 - 21
0314 - 5 - 3 1 3 5 18 1 87 - 88
</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</si>
  <si>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</si>
  <si>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</si>
  <si>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</si>
  <si>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</si>
  <si>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</si>
  <si>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SGP Educación SSF</t>
  </si>
  <si>
    <t>Superavit SGP</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</si>
  <si>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</si>
  <si>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</si>
  <si>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</si>
  <si>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</si>
  <si>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</si>
  <si>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</si>
  <si>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</si>
  <si>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</si>
  <si>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</si>
  <si>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</si>
  <si>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Número de docentes capacitados</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</si>
  <si>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</si>
  <si>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</si>
  <si>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</si>
  <si>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</si>
  <si>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</si>
  <si>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</si>
  <si>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</si>
  <si>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</si>
  <si>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</si>
  <si>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</si>
  <si>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</si>
  <si>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</si>
  <si>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</si>
  <si>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</si>
  <si>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</si>
  <si>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</si>
  <si>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</si>
  <si>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</si>
  <si>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</si>
  <si>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</si>
  <si>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</si>
  <si>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</si>
  <si>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</si>
  <si>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</si>
  <si>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</si>
  <si>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</si>
  <si>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</si>
  <si>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</si>
  <si>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</si>
  <si>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</si>
  <si>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</si>
  <si>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</si>
  <si>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</si>
  <si>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</si>
  <si>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</si>
  <si>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</si>
  <si>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</si>
  <si>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</si>
  <si>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</si>
  <si>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</si>
  <si>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</si>
  <si>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</si>
  <si>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</si>
  <si>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</si>
  <si>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</si>
  <si>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</si>
  <si>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</si>
  <si>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</si>
  <si>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</si>
  <si>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</si>
  <si>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0314 - 5 - 3 1 3 6 20 1 90 - 20</t>
  </si>
  <si>
    <t>Dotación de implementos de mitigación, prevencion y atención del riesgo para el fortalecimiento del Plan Escolar de Gestión del Riesgo (PEGER)</t>
  </si>
  <si>
    <t>Realizar ocho (8) eventos académicos, investigativos y culturales</t>
  </si>
  <si>
    <t>Número de eventos realizados</t>
  </si>
  <si>
    <t>Encuentro Cultural de Étnoeducación</t>
  </si>
  <si>
    <t>1404 - 5 - 3 1 3 6 20 1 90 - 21</t>
  </si>
  <si>
    <t>Feria Concetar TIC</t>
  </si>
  <si>
    <t xml:space="preserve">Festival de Literatura y Escritura
</t>
  </si>
  <si>
    <t xml:space="preserve">Implementar el  programa de  jornada única con el acceso y permanencia de veinte mil (20.000) estudiantes </t>
  </si>
  <si>
    <t>Numero de estudiantes en el programa jornada única</t>
  </si>
  <si>
    <t>0314 - 5 - 3 1 3 6 20 1 90 - 88</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</si>
  <si>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</si>
  <si>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</si>
  <si>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</si>
  <si>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</si>
  <si>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1404 - 5 - 3 1 3 6 20 1 90 - 25</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</si>
  <si>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</si>
  <si>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</si>
  <si>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</si>
  <si>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Apoyo para formulacion de proyectos  de infrraestructura educativa</t>
  </si>
  <si>
    <t>recurso Ordinario</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</si>
  <si>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</si>
  <si>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</si>
  <si>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</si>
  <si>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</si>
  <si>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SGP Educacion</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</si>
  <si>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</si>
  <si>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</si>
  <si>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</si>
  <si>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</si>
  <si>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</si>
  <si>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</si>
  <si>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</si>
  <si>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</si>
  <si>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</si>
  <si>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</si>
  <si>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</si>
  <si>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</si>
  <si>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 xml:space="preserve">Dotar ciento cuarenta (140) sedes educativas con la colección semilla </t>
  </si>
  <si>
    <t>Número de sedes educativas dotadas</t>
  </si>
  <si>
    <t xml:space="preserve"> Dotar sedes educativas del Departamento del Quindío con la colección semilla</t>
  </si>
  <si>
    <t>Adquisiciíon Colección Semilla</t>
  </si>
  <si>
    <t>0314 - 5 - 3 1 3 6 21 1 91 - 20</t>
  </si>
  <si>
    <t>Apoyar los  procesos de capacitación  de quinientos (500) docentes del departamento</t>
  </si>
  <si>
    <t>Número de docentes apoyados</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</si>
  <si>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</si>
  <si>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</si>
  <si>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</si>
  <si>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</si>
  <si>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</si>
  <si>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0314 - 5 - 3 1 3 6 21 1 91 - 88</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</si>
  <si>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</si>
  <si>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</si>
  <si>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</si>
  <si>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</si>
  <si>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</si>
  <si>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</si>
  <si>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</si>
  <si>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</si>
  <si>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</si>
  <si>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</si>
  <si>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</si>
  <si>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0314 - 5 - 3 1 3 6 22 1 93 - 20</t>
  </si>
  <si>
    <t>0314-5-313724193-88</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</si>
  <si>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</si>
  <si>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</si>
  <si>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</si>
  <si>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</si>
  <si>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</si>
  <si>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</si>
  <si>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</si>
  <si>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</si>
  <si>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</si>
  <si>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</si>
  <si>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</si>
  <si>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</si>
  <si>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</si>
  <si>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</si>
  <si>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</si>
  <si>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</si>
  <si>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</si>
  <si>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</si>
  <si>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</si>
  <si>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</si>
  <si>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</si>
  <si>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</si>
  <si>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</si>
  <si>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</si>
  <si>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</si>
  <si>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</si>
  <si>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</si>
  <si>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</si>
  <si>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</si>
  <si>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</si>
  <si>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</si>
  <si>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</si>
  <si>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Fortalecer cincuenta (50)   instituciones educativas en competencias básicas</t>
  </si>
  <si>
    <t>Número de instituciones educativas fortalecidas</t>
  </si>
  <si>
    <t>Capacitación y Logistica, Talleres de Referentes, Planeación Curricular, Evaluación de los Aprendizajes</t>
  </si>
  <si>
    <t>superavit ordinario</t>
  </si>
  <si>
    <t>Fortalecer cuarenta y siete (47) instituciones educativas con el programa de articulación con la educación superior y Educacion para el Trabajo y Desarrollo  Humano ETDH</t>
  </si>
  <si>
    <t xml:space="preserve">0314 - 5 - 3 1 3 7 24 1 95 - 20
</t>
  </si>
  <si>
    <t>Atención estudiantes de educación media de las Instituciones Educativas Oficiales del Departamento, en programas de nivel técnico  profesional</t>
  </si>
  <si>
    <t>0314 - 5 - 3 1 3 7 24 1 95 - 88</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</si>
  <si>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</si>
  <si>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</si>
  <si>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</si>
  <si>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</si>
  <si>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</si>
  <si>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</si>
  <si>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</si>
  <si>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</si>
  <si>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</si>
  <si>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 xml:space="preserve">0314 - 5 - 3 1 3 7 24 1 122 - 20
</t>
  </si>
  <si>
    <t xml:space="preserve">Recurso Ordinadio
</t>
  </si>
  <si>
    <t>0314 - 5 - 3 1 3 7 24 1 122 - 35</t>
  </si>
  <si>
    <t>Aportes ente territorial para la infraestructura en educación superior</t>
  </si>
  <si>
    <t>0314 - 5 - 3 1 3 7 24 1 122 - 88</t>
  </si>
  <si>
    <t>Pago cuota compraventa bien inmueble Institucion Educativa San Jose de Circasia ordenanzas 035 de 2010,047 de 2010 y 020 de 2011</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</si>
  <si>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</si>
  <si>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</si>
  <si>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</si>
  <si>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</si>
  <si>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</si>
  <si>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</si>
  <si>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</si>
  <si>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</si>
  <si>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</si>
  <si>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</si>
  <si>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</si>
  <si>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</si>
  <si>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</si>
  <si>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</si>
  <si>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</si>
  <si>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</si>
  <si>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Número de sedes educativas implementadas y/o mejoradas</t>
  </si>
  <si>
    <t>1404 - 5 - 3 1 3 8 26 1 97 - 25
0314 - 5 - 3 1 3 8 26 1 97 - 20
0314 - 5 - 3 1 3 8 28 1 97 -88</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</si>
  <si>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</si>
  <si>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</si>
  <si>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</si>
  <si>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</si>
  <si>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</si>
  <si>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</si>
  <si>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</si>
  <si>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</si>
  <si>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</si>
  <si>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</si>
  <si>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</si>
  <si>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</si>
  <si>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</si>
  <si>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</si>
  <si>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</si>
  <si>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</si>
  <si>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</si>
  <si>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</si>
  <si>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</si>
  <si>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</si>
  <si>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</si>
  <si>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</si>
  <si>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</si>
  <si>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</si>
  <si>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</si>
  <si>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</si>
  <si>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</si>
  <si>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</si>
  <si>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</si>
  <si>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</si>
  <si>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</si>
  <si>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</si>
  <si>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</si>
  <si>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</si>
  <si>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</si>
  <si>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</si>
  <si>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</si>
  <si>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30/02/2019</t>
  </si>
  <si>
    <t>Apoyo para el programa de educación inicial en las instiuciones educativas oficiales del Departamento</t>
  </si>
  <si>
    <t>FRANCISICO JAVIER LOPEZ SEPULVEDA</t>
  </si>
  <si>
    <t>SECRETARIO DE EDUCACION DEPARTAMENTAL</t>
  </si>
  <si>
    <t xml:space="preserve">PROGRAMACION PLAN DE ACCIÓN
SECRETARIA DE FAMILIA
II TRIMESTRE 2019
</t>
  </si>
  <si>
    <t xml:space="preserve">PLAN DE DESARROLLO DEPARTAMENTAL  SECRETARIA DE FAMILIA </t>
  </si>
  <si>
    <t>Discapacitados</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</si>
  <si>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</si>
  <si>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</si>
  <si>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</si>
  <si>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</si>
  <si>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</si>
  <si>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atención integral a niños y niñas en entornos protectores en el Departamento del Quindío</t>
  </si>
  <si>
    <t>Atención integral a los niños, niñas de primera infancia desde la gestación hasta los 4 años y 11 meses con un modelo integral y diferencial, que permita mejorar sus condiciones de vida.</t>
  </si>
  <si>
    <t xml:space="preserve">Incrementar los índices de apoyo y acompañamiento en el desarrollo infantil en  ambientes familiares y grupales,  alimentación adecuada y seguimiento al desarrollo.
</t>
  </si>
  <si>
    <t>Implementar un programa de atención integral a menores de 5 años y madres gestantes en entornos familiares</t>
  </si>
  <si>
    <t xml:space="preserve">20
</t>
  </si>
  <si>
    <t xml:space="preserve">
 SECRETARIA DE FAMILIA</t>
  </si>
  <si>
    <t>Realizar talleres de sensibilización en entorno Institucional a la primera infancia</t>
  </si>
  <si>
    <t>Apoyo en la realización de actividades y seguimiento del modelo intersectorial de atención integral a los municipios del departamento</t>
  </si>
  <si>
    <t>Realizar seguimiento a las acciones que garanticen la atención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</si>
  <si>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</si>
  <si>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</si>
  <si>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</si>
  <si>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</si>
  <si>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Córdoba, Salento, Montenegro, Génova, Calarcá y Filandia.</t>
  </si>
  <si>
    <t xml:space="preserve">Apoyar la socialización de las rutas integrales de atención, en marco de los comités y consejos que así lo requieran, del orden Departamental y municipal. </t>
  </si>
  <si>
    <t>Apoyo en el seguimiento de la Implementación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</si>
  <si>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</si>
  <si>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</si>
  <si>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</si>
  <si>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</si>
  <si>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</si>
  <si>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</si>
  <si>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política pública  de la familia en el departamento del Quindío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</si>
  <si>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</si>
  <si>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</si>
  <si>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</si>
  <si>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</si>
  <si>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</si>
  <si>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</si>
  <si>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</si>
  <si>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</si>
  <si>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promoción </t>
  </si>
  <si>
    <t>Refrigerios, logística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</si>
  <si>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</si>
  <si>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</si>
  <si>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</si>
  <si>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</si>
  <si>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</si>
  <si>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</si>
  <si>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Quindío</t>
  </si>
  <si>
    <t xml:space="preserve">Implementar la política pública que garantice los derechos de los niños, niñas y adolescentes del depto. del Quindío. </t>
  </si>
  <si>
    <t>Eficiencia en la articulación Interinstitucional que garantice un seguimiento efectivo del cumplimiento del plan de acción de la política publica de infancia y adolescencia</t>
  </si>
  <si>
    <t>Apoyar con el seguimiento al Plan de Acción de la Política Publica  de primera infancia, infancia y adolescencia del departamento</t>
  </si>
  <si>
    <t>Apoyo al Comité de  Primera Infancia, Infancia y Adolescencia y al Consejo de Política Social</t>
  </si>
  <si>
    <t>Apoyo a programas que conlleven a la  implementación de la Política publica de primera infancia, infancia y adolescencia en el Departamento del Quindío</t>
  </si>
  <si>
    <t>Apoyo en la revisión jurídica en los temas relacionados con la implementación de la política publica de primera infancia, infancia y adolescencia del departamento</t>
  </si>
  <si>
    <t>Brindar asistencia técnica a los municipios del departamento, que así lo requieran en temas relacionados con el seguimiento e implementación de la política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</si>
  <si>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</si>
  <si>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Logística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</si>
  <si>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</si>
  <si>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</si>
  <si>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vulneración de los derechos de niños, niñas y adolescentes (maltrato, abuso, abandono, explotación sexual) </t>
  </si>
  <si>
    <t xml:space="preserve">Apoyar la Implementación de una estrategia de prevención de embarazos y segundos embarazos a temprana edad
</t>
  </si>
  <si>
    <t>Realizar jornadas pedagógicas de prevención en las Instituciones educativas del depto.</t>
  </si>
  <si>
    <t>Apoyar la articulación intersectorial, a través de mesas de trabajo en pro de la prevención de los embarazos en adolescentes y segundos embarazos a temprana edad.</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</si>
  <si>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</si>
  <si>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</si>
  <si>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prevención de y atención en la erradicación del abuso, explotación sexual, comercial, actividades delictivas</t>
  </si>
  <si>
    <t xml:space="preserve">Apoyar la implementación de una  estrategia  de prevención y atención de la erradicación del abuso, explotación sexual comercial, trabajo infantil y peores formas de trabajo, y actividades delictivas
</t>
  </si>
  <si>
    <t>Apoyar la implementación del Plan integral de prevención y erradicación del trabajo infantil "PIPETI", las peores formas de trabajo y apoyar al CIETI</t>
  </si>
  <si>
    <t>Brindar asistencia técnica y Apoyo a las la diferentes iniciativas  en los doce municipios orientados a la prevención de la vulneración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</si>
  <si>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</si>
  <si>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</si>
  <si>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</si>
  <si>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</si>
  <si>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</si>
  <si>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Quindío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</si>
  <si>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</si>
  <si>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</si>
  <si>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acción de la política publica de juventud </t>
  </si>
  <si>
    <t>fortalecer los proyectos productivos de organizaciones juveniles legalmente constituidas</t>
  </si>
  <si>
    <t xml:space="preserve">Capacitaciones, socialización y conformación de espacios de participación juvenil </t>
  </si>
  <si>
    <t>Desarrollo de acciones dispuestas a la implementación de la política de juventud, en los componentes de responsabilidad de la oficina de juventud</t>
  </si>
  <si>
    <t>ADQUISICION DE BIENES Y SERVICIOS: Logística operativa,  refrigerios, sonido, ferretería,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</si>
  <si>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</si>
  <si>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</si>
  <si>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</si>
  <si>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</si>
  <si>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</si>
  <si>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 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</si>
  <si>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</si>
  <si>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</si>
  <si>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</si>
  <si>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prevención del consumo de SPA en el departamento del Quindío</t>
  </si>
  <si>
    <t>Apoyar  en temas de prevención del consumo de sustancias psicoactivas, a través de talleres de sensibilización.</t>
  </si>
  <si>
    <t xml:space="preserve">Seguimiento a la implementación de la estrategia de prevención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</si>
  <si>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</si>
  <si>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</si>
  <si>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</si>
  <si>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</si>
  <si>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</si>
  <si>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Quindío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</si>
  <si>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</si>
  <si>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</si>
  <si>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</si>
  <si>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 xml:space="preserve">Apoyar la Implementación de programas para la creación de empresas </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</si>
  <si>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</si>
  <si>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</si>
  <si>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</si>
  <si>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plásticas, etc., con el fin de realizar inclusión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</si>
  <si>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</si>
  <si>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</si>
  <si>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</si>
  <si>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</si>
  <si>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evaluación de los planes de acción de los municipios y depto. de la Política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</si>
  <si>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</si>
  <si>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</si>
  <si>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</si>
  <si>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intérpretes de lengua de señas en servicios de urgencia y de información pública.</t>
  </si>
  <si>
    <t>Conformación y fortalecimiento a las redes de apoyo de la estrategia RBC</t>
  </si>
  <si>
    <t>Eventos de participación e integración de la población con discapacidad</t>
  </si>
  <si>
    <t xml:space="preserve">LOGISTICA OPERATIVA: Refrigerios, sonido, logística en general, elementos y/o materia prima </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</si>
  <si>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</si>
  <si>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</si>
  <si>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</si>
  <si>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</si>
  <si>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</si>
  <si>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</si>
  <si>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vulnerabilidad extrema  en el Departamento del Quindío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</si>
  <si>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</si>
  <si>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</si>
  <si>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</si>
  <si>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SECRETARIA DE FAMILIA
 SECRETARIA DE FAMILIA</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</si>
  <si>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</si>
  <si>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</si>
  <si>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</si>
  <si>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</si>
  <si>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</si>
  <si>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Implementación de la estrategia de atención de la población en situación de vulnerabilidad del departamento</t>
  </si>
  <si>
    <t>Brindar apoyo a la Secretaría de Familia en las diferentes jornadas, actividades o acciones  realizadas  con  población vulnerable del departamento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</si>
  <si>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</si>
  <si>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</si>
  <si>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población vulnerable</t>
  </si>
  <si>
    <t>Apoyar  con  programas específicos, dirigido  a grupos  que viven en entornos de alto riesgo: Extrema pobreza, desarraigo social,  drogadicción, delincuencia, prostitución, o pertenecen a familias    multiproblemáticas  y de alto riesgo social</t>
  </si>
  <si>
    <t>Generar alianzas técnicas, financieros y/o humanas para la realización de estrategias orientadas a  permitir la  garantía de  derechos de las comunidades en situación de riesgo social focalizadas en los municipios  del departamento”.</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</si>
  <si>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</si>
  <si>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implementación de estrategias, programas o proyectos que conlleven al bienestar de las familias, los niños y niñas, jóvenes y mujeres del departamento del Quindío en situación de vulnerabilidad </t>
  </si>
  <si>
    <t xml:space="preserve">Implementar con la comunidad  de los sectores de mayor vulnerabilidad programas, proyectos y / o estrategias de prevención al consumo de drogas </t>
  </si>
  <si>
    <t>Logística operativa, refrigerios, sonido, ferretería</t>
  </si>
  <si>
    <t xml:space="preserve">Campañas  de difusión, socialización  y participación  ciudadana para la prevención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</si>
  <si>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</si>
  <si>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</si>
  <si>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</si>
  <si>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</si>
  <si>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reparación en el Departamento del Quindío.</t>
  </si>
  <si>
    <t>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</si>
  <si>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</si>
  <si>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garantía de derechos de la población migrante del Departamento</t>
  </si>
  <si>
    <t xml:space="preserve">Asistencias técnicas  personales y grupales para la creación de rutas de atención al ciudadano migrante </t>
  </si>
  <si>
    <t>Capacitación secretarias sectoriales en cuanto la atención al ciudadano migrante</t>
  </si>
  <si>
    <t xml:space="preserve">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</si>
  <si>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</si>
  <si>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</si>
  <si>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</si>
  <si>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</si>
  <si>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</si>
  <si>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</si>
  <si>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</si>
  <si>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índices de seguridad alimentaria,
emprendimiento, cultura, educación, género, familia, identidad, gobernabilidad, salud y justicia propia 
</t>
  </si>
  <si>
    <t>Asistencia Social: Procesos de apoyo, gestión, asesoría y acompañamiento al Resguardo Dachi Agore Drua del Departamento para garantizar los derechos fundamentales y Especiales.</t>
  </si>
  <si>
    <t>31/12/0219</t>
  </si>
  <si>
    <t xml:space="preserve">Apoyo, acompañamiento y fortalecimiento en cuanto procesos de seguridad alimentaria, saneamiento básico, educación, salud, justicia, gobernabilidad y territorio </t>
  </si>
  <si>
    <t>Apoyar con unidades productivas al plan de vida del Resguardo Indígena</t>
  </si>
  <si>
    <t>Compra de herramientas, materiales, insumos, etc. Para beneficiar a la población indígena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</si>
  <si>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</si>
  <si>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</si>
  <si>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</si>
  <si>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</si>
  <si>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indígenas en el departamento del Quindío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</si>
  <si>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</si>
  <si>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</si>
  <si>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indígenas asentadas en el Departamento del Quindío</t>
  </si>
  <si>
    <t>Articulación institucional para la atención diferencial de los indígenas del depto.</t>
  </si>
  <si>
    <t>Adquisición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</si>
  <si>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</si>
  <si>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</si>
  <si>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</si>
  <si>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</si>
  <si>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</si>
  <si>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Quindío </t>
  </si>
  <si>
    <t>Garantizar la protección de derechos y la atención integral con enfoque diferencial de las comunidades afrodescendientes asentadas en el
Departamento del Quindío.</t>
  </si>
  <si>
    <t>Implementar un programa articulado interinstitucional para la atención integral con enfoque diferencial a la población afro del departamento</t>
  </si>
  <si>
    <t>Capacitaciones dirigidas a comunidades Afros del Departamento</t>
  </si>
  <si>
    <t>Asistencia Social</t>
  </si>
  <si>
    <t xml:space="preserve">Alto interés en apoyar y fortalecer la formulación de planes de etnodesarrollo en los municipios con presencia de comunidades afrodescendientes 
</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</si>
  <si>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</si>
  <si>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</si>
  <si>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</si>
  <si>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</si>
  <si>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</si>
  <si>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Formulación e implementación de la política pública  de diversidad sexual en el Departamento del Quindío</t>
  </si>
  <si>
    <t>Implementación de la política pública que garantice los derechos de las personas con diversidad sexual e identidad de género en el dpto. del Quindío.</t>
  </si>
  <si>
    <t>Establecer políticas claras para la inclusión social de la población LGTBI</t>
  </si>
  <si>
    <t>Implementación del plan de acción  de la política publica de diversidad sexual e identidad de genero</t>
  </si>
  <si>
    <t xml:space="preserve">Recurso Ordinario
</t>
  </si>
  <si>
    <t>Desarrollo de campañas talleres y proyectos relacionados con la promoción de derechos de población LGTBI</t>
  </si>
  <si>
    <t>Altos espacios de atención, formación y reflexión, orientados al fortalecimiento de los entornos  sociales y educativos respecto a las personas con diversidad sexual</t>
  </si>
  <si>
    <t>Pendón, plegables. Folletos, manillas, etc.</t>
  </si>
  <si>
    <t>Logística operativa, refrigerios, sonido para celebración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</si>
  <si>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</si>
  <si>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</si>
  <si>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</si>
  <si>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</si>
  <si>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Implementación de la política pública de equidad de género para la mujer en el Departamento del Quindío</t>
  </si>
  <si>
    <t xml:space="preserve">Implementación de programas y proyectos institucionales para el acceso a las oportunidades Económicas sociales y culturales de mujeres en el departamento del Quindío 
</t>
  </si>
  <si>
    <t>Apropiación jurídica  por parte de la población e institucionalidad sobre las rutas de atención existentes</t>
  </si>
  <si>
    <t xml:space="preserve">Seguimiento al cumplimiento de los planes de acción de la Política Publica de  Equidad de Género para la mujer
</t>
  </si>
  <si>
    <t>Apoyo en la consolidación de espacios de participación a través de la socialización de la normatividad existente</t>
  </si>
  <si>
    <t xml:space="preserve">Capacitación  y concientización  para lograr la igualdad de género y empoderar a las mujeres 
</t>
  </si>
  <si>
    <t>0316 - 5 - 3 1 3 19 67 14 128 - 20</t>
  </si>
  <si>
    <t>Mejorar la articulación frente a la implementación de las políticas públicas de equidad y género</t>
  </si>
  <si>
    <t>Fortalecimiento y/o apoyo a unidades productivas y/o proyectos de emprendimiento de mujeres</t>
  </si>
  <si>
    <t xml:space="preserve">Desarrollo de actividades de impacto para la promoción de derechos y movilización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</si>
  <si>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</si>
  <si>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</si>
  <si>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</si>
  <si>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</si>
  <si>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</si>
  <si>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</si>
  <si>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Quindío </t>
  </si>
  <si>
    <t>Altos índices de atención a los adultos mayores en el departamento del Quindío.</t>
  </si>
  <si>
    <t xml:space="preserve">                                                                                    Apoyar la elaboración ,seguimiento y evaluación de los planes de acción de los municipios y depto. de la Política Publica de envejecimiento y vejez
                                                                                                                                                                                                                                  </t>
  </si>
  <si>
    <t>Apoyo  al  seguimiento de  la  ejecución presupuestal  de los recursos destinados   a la  política pública de Envejecimiento y vejez</t>
  </si>
  <si>
    <t xml:space="preserve">Apoyar el seguimiento y evaluación de los planes de acción de los municipios y depto. de la Política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</si>
  <si>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</si>
  <si>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</si>
  <si>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</si>
  <si>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logística, refrigerios</t>
  </si>
  <si>
    <t>Apoyo a  eventos programados por la Secretaría día de la celebración de las personas de la tercera edad y el pensionado</t>
  </si>
  <si>
    <t>Crear el cabildo de adulto mayor del Departamento y apoyar la creación en once municipios del Quindío</t>
  </si>
  <si>
    <t>Número de Cabildos de Adulto Mayor creados.</t>
  </si>
  <si>
    <t>0316 - 5 - 3 1 3 19 67 14 129 - 20</t>
  </si>
  <si>
    <t xml:space="preserve">
Apoyar con actividades para la  creación del cabildo de adulto mayor en en 6 municipios del Quindío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</si>
  <si>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</si>
  <si>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</si>
  <si>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</si>
  <si>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</si>
  <si>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Bienestar del Adulto Mayor (CBA)</t>
  </si>
  <si>
    <t>Estampilla adulto mayor</t>
  </si>
  <si>
    <t>Superávit Adulto mayor</t>
  </si>
  <si>
    <t xml:space="preserve">Apoyar 14 Centros Vida del Departamento </t>
  </si>
  <si>
    <t>Centros vida apoyados</t>
  </si>
  <si>
    <t>CENTROS VIDA (DV)</t>
  </si>
  <si>
    <t xml:space="preserve">PROYECTO Y ELABORO: CARLOS EDIVER TUFINO PALECHOR- CONTRATISTA PRESUPUESTO                                               </t>
  </si>
  <si>
    <t>VALENTINA GALLEGO GARCÍA- P.U</t>
  </si>
  <si>
    <t>REVISÓ: IVETTE FRANCIOSA JAIMES PARADA- DIRECTORA DE DESARROLLO HUMANO Y FAMILIA</t>
  </si>
  <si>
    <t>PROGRAMACIÓN PLAN DE ACCIÓN
SECRETARIA DE HACIENDA Y FINANZAS PUBLICAS
II TRIMESTRE 2019</t>
  </si>
  <si>
    <t xml:space="preserve">                                                               </t>
  </si>
  <si>
    <t>GESTIÓN TERRIITORIAL</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</si>
  <si>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</si>
  <si>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</si>
  <si>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</si>
  <si>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</si>
  <si>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</si>
  <si>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</si>
  <si>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</si>
  <si>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</si>
  <si>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</si>
  <si>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</si>
  <si>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</si>
  <si>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</si>
  <si>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</si>
  <si>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</si>
  <si>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</si>
  <si>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</si>
  <si>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</si>
  <si>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</si>
  <si>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</si>
  <si>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</si>
  <si>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</si>
  <si>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</si>
  <si>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</si>
  <si>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</si>
  <si>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</si>
  <si>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</si>
  <si>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</si>
  <si>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</si>
  <si>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</si>
  <si>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</si>
  <si>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</si>
  <si>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</si>
  <si>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</si>
  <si>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</si>
  <si>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</si>
  <si>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PROGRAMACION PLAN DE ACCIÓN 
 INSTITUTO DEPARTAMENTAL DE TRANSITO DEL QUINDIODIO  I.D.T.Q.
II TRIMESTRE 2019</t>
  </si>
  <si>
    <t xml:space="preserve">SEGURIDAD HUMANA </t>
  </si>
  <si>
    <t>Seguridad humana como dinamizador de la vida, dignidad y libertad en el Qundío</t>
  </si>
  <si>
    <t>Fortalecimiento de 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</si>
  <si>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</si>
  <si>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</si>
  <si>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</si>
  <si>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</si>
  <si>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</si>
  <si>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</si>
  <si>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orientado a disminución de la accidentalidad en las vias</t>
  </si>
  <si>
    <t>Recurso Ordinario Departamento</t>
  </si>
  <si>
    <t>Gloria Mercedes Buitrago Salazar, Directora</t>
  </si>
  <si>
    <t>Recurso Propio IDTQ</t>
  </si>
  <si>
    <t xml:space="preserve">Formular e implementar el Plan de Seguridad Vial del Departamento </t>
  </si>
  <si>
    <t>Plan departamental de seguridad vial elaborado e implementado</t>
  </si>
  <si>
    <t>Formulación del Plan de Seguridad Vial</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</si>
  <si>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</si>
  <si>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</si>
  <si>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</si>
  <si>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</si>
  <si>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GLORIA MERCEDES BUITRAGO SALAZAR</t>
  </si>
  <si>
    <t>Directora</t>
  </si>
  <si>
    <t>PROGRAMACIÓN PLAN DE ACCIÓN
INDEPORTES
II TRIMESTRE 2019</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</si>
  <si>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</si>
  <si>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</si>
  <si>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</si>
  <si>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</si>
  <si>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</si>
  <si>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</si>
  <si>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</si>
  <si>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</si>
  <si>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</si>
  <si>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</si>
  <si>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</si>
  <si>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GERENTE GENERAL INDEPORTES</t>
  </si>
  <si>
    <t>2234468202-9</t>
  </si>
  <si>
    <t>RENDIMIENTOS FINANCIEROS</t>
  </si>
  <si>
    <t>2234468202-3</t>
  </si>
  <si>
    <t>IPOCONSUMO</t>
  </si>
  <si>
    <t>2334468202-12</t>
  </si>
  <si>
    <t>2334468202-6</t>
  </si>
  <si>
    <t>CIGARRILLO 70%</t>
  </si>
  <si>
    <t>2234468202_4</t>
  </si>
  <si>
    <t>Realizar acompañamiento y asesorìa a las ligas y clubes del departamento  (Componente tecnico)</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</si>
  <si>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</si>
  <si>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</si>
  <si>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</si>
  <si>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</si>
  <si>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</si>
  <si>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</si>
  <si>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Apoyar 13 ligas de los eventos deportivos de carácter federado nacional y departamental</t>
  </si>
  <si>
    <t>Ligas apoyadas en eventos departamental y nacionales.</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</si>
  <si>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</si>
  <si>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</si>
  <si>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</si>
  <si>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</si>
  <si>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</si>
  <si>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</si>
  <si>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</si>
  <si>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</si>
  <si>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</si>
  <si>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</si>
  <si>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</si>
  <si>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</si>
  <si>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2234470205-4</t>
  </si>
  <si>
    <t>2234470205-7</t>
  </si>
  <si>
    <t>COLDEPORTES</t>
  </si>
  <si>
    <t>2334470205-13</t>
  </si>
  <si>
    <t xml:space="preserve">SUPERAVIT  </t>
  </si>
  <si>
    <t>2334470205-15</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</si>
  <si>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</si>
  <si>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</si>
  <si>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</si>
  <si>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</si>
  <si>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</si>
  <si>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</si>
  <si>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</si>
  <si>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</si>
  <si>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</si>
  <si>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2334471206-13</t>
  </si>
  <si>
    <t>SUPERAVIT</t>
  </si>
  <si>
    <t>Desarrollar  1 eventos de deporte social y comunitario.</t>
  </si>
  <si>
    <t>Eventos deportivos social y comunitarios desarrollar.</t>
  </si>
  <si>
    <t>2334471207-13</t>
  </si>
  <si>
    <t>Realizacion de eventos deportivos en el departamento (Adquisición de Bienes y Servicios)</t>
  </si>
  <si>
    <t>2234471207_12</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</si>
  <si>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</si>
  <si>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</si>
  <si>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</si>
  <si>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</si>
  <si>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</si>
  <si>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</si>
  <si>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</si>
  <si>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</si>
  <si>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</si>
  <si>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</si>
  <si>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</si>
  <si>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</si>
  <si>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</si>
  <si>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</si>
  <si>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</si>
  <si>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2234572209_7</t>
  </si>
  <si>
    <t>2334572209-3</t>
  </si>
  <si>
    <t>SUPERAVIT IPOCONSUMO</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</si>
  <si>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</si>
  <si>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</si>
  <si>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</si>
  <si>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</si>
  <si>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</si>
  <si>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</si>
  <si>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2334572210-3</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</si>
  <si>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</si>
  <si>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</si>
  <si>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</si>
  <si>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</si>
  <si>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2234572211_7</t>
  </si>
  <si>
    <t>2334572211-6</t>
  </si>
  <si>
    <t>2334572211-13</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</si>
  <si>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</si>
  <si>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</si>
  <si>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</si>
  <si>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</si>
  <si>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</si>
  <si>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</si>
  <si>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</si>
  <si>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</si>
  <si>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</si>
  <si>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2234573212_7</t>
  </si>
  <si>
    <t>2334573212-4</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</si>
  <si>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</si>
  <si>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</si>
  <si>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</si>
  <si>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</si>
  <si>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</si>
  <si>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</si>
  <si>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</si>
  <si>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</si>
  <si>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</si>
  <si>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TELEFONIA MOVIL</t>
  </si>
  <si>
    <t xml:space="preserve">GERENTE GENERAL INDEPORTES
</t>
  </si>
  <si>
    <t>23346741-3</t>
  </si>
  <si>
    <t>23346741-13</t>
  </si>
  <si>
    <t xml:space="preserve">OLGA LUCIA FERNANDEZ CARDENAS
GERENTE GENERAL INDEPORTES
</t>
  </si>
  <si>
    <t xml:space="preserve">Elaboro: Juan David Gomez Gomez 
</t>
  </si>
  <si>
    <t>PROGRAMACION PLAN DE ACCIÓN
SECRETARIA DEL INTERIOR
VIGENCIA 2019</t>
  </si>
  <si>
    <t xml:space="preserve">META FISICA </t>
  </si>
  <si>
    <t>VALOR EN PESOS</t>
  </si>
  <si>
    <t>CÓDIGO</t>
  </si>
  <si>
    <t>FUENTE DE RECURSO</t>
  </si>
  <si>
    <t>Edad Económicamente
Activa (20-59 años)</t>
  </si>
  <si>
    <t>FECHA DE TERMINACIÓN</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</si>
  <si>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</si>
  <si>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</si>
  <si>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</si>
  <si>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</si>
  <si>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</si>
  <si>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</si>
  <si>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</si>
  <si>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</si>
  <si>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</si>
  <si>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</si>
  <si>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
Recurso Ordinario
</t>
  </si>
  <si>
    <t>SECRETARIO DEL INTERIOR</t>
  </si>
  <si>
    <t>Superavit
Fondos de seguridad 5%</t>
  </si>
  <si>
    <t>Fortalecer 10 programas de prevención y superación del Sistema de responsabilidad penal para adolescentes</t>
  </si>
  <si>
    <t>Número de programas de prevención y superación fortalecidos</t>
  </si>
  <si>
    <t>Apoyo para iniciativas,actividades y/o proyectos productivos dirigidoa a población de infancia y adolescencia</t>
  </si>
  <si>
    <t xml:space="preserve">
Recurso Ordinario
</t>
  </si>
  <si>
    <t>Apoyar la construcción, refacción o adecuación de  seis (6) estaciones de policía y/o guarniciones militares y/o instituciones carcelarias</t>
  </si>
  <si>
    <t>Número de estaciones de policía y/o guarniciones militares y/o instituciones carcelarias apoyadas</t>
  </si>
  <si>
    <t xml:space="preserve">Adquisición de materiales para la construcción </t>
  </si>
  <si>
    <t>Adquisición de terrenos para construcción  de UBICAR (Unidad Básica de carabineros)</t>
  </si>
  <si>
    <t>Adecuación y modernización sistema Circuito Cerrado de TV  (CCTV) Centro de Atención Especializa Especializada (CAE)</t>
  </si>
  <si>
    <t xml:space="preserve">Intervención en obras menores </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</si>
  <si>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</si>
  <si>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</si>
  <si>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</si>
  <si>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</si>
  <si>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 xml:space="preserve">Financiación y/o coofinaciación de proyectos de móvilidad </t>
  </si>
  <si>
    <t>Suministro de combustible</t>
  </si>
  <si>
    <t>Arrendamientos de oficinas para organismos de seguridad</t>
  </si>
  <si>
    <t>0309 - 5 - 3 1 4 23 75 18 28 - 20</t>
  </si>
  <si>
    <t xml:space="preserve">Adecuación de tecnología en salas de organismos de seguridad </t>
  </si>
  <si>
    <t>Suministro de alimentación</t>
  </si>
  <si>
    <t>0309 - 5 - 3 1 4 23 75 18 28 - 42</t>
  </si>
  <si>
    <t>Pago a fuentes humanas</t>
  </si>
  <si>
    <t>Adquisición de bienes muebles necesarios para el funcionamiento de la diferentes iniciativas o programas de los oraganismos de seguridad del departamento</t>
  </si>
  <si>
    <t>0309 - 5 - 3 1 4 23 75 18 28 - 92</t>
  </si>
  <si>
    <t>Adquisición de bienes inmuebles para los organismos de seguridad</t>
  </si>
  <si>
    <t>Adquisición de bienes y suministro, para material de intendencia y logística</t>
  </si>
  <si>
    <t>Impresos y publicidad.</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</si>
  <si>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</si>
  <si>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</si>
  <si>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</si>
  <si>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</si>
  <si>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Apoyar 3 observatorios locales del delito</t>
  </si>
  <si>
    <t>Número de observatorios del delito apoyados</t>
  </si>
  <si>
    <t>Levantamiento de información, investigación y análisis de hechos y conductas delicitas en el departamento del Quindío</t>
  </si>
  <si>
    <t>Dotación tecnologíca, de comunicaciones   y/o logistica para los programas, proyectos  o estrategías de pevención y seguridad en el departamento del Quindío</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</si>
  <si>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</si>
  <si>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</si>
  <si>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</si>
  <si>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</si>
  <si>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</si>
  <si>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</si>
  <si>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</si>
  <si>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psicosocilales, y/o de formación productiva integrales en los 11 barrios focalizados </t>
  </si>
  <si>
    <t xml:space="preserve">
20
</t>
  </si>
  <si>
    <t xml:space="preserve">
Recurso 
ordinario
</t>
  </si>
  <si>
    <t xml:space="preserve">SECRETARIO DEL INTERIOR
</t>
  </si>
  <si>
    <t xml:space="preserve">
92</t>
  </si>
  <si>
    <t>Implementación de programas ludicos,culturales y/o deportivos  para población vulnerable en areas focalizadas</t>
  </si>
  <si>
    <t xml:space="preserve">
Recurso 
ordinario
</t>
  </si>
  <si>
    <t xml:space="preserve">Generación y/o apoyo a programas de intervención social y/o de seguridad </t>
  </si>
  <si>
    <t>0309 - 5 - 3 1 4 23 76 18 29 - 20</t>
  </si>
  <si>
    <t>Logística, refrigerios,transporte y/o combustible</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</si>
  <si>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</si>
  <si>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</si>
  <si>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</si>
  <si>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0309 - 5 - 3 1 4 23 76 18 29 - 92</t>
  </si>
  <si>
    <t>Elaboración y/o difusión de campañas de intervención social y prevención del delito en los municipios del departamento</t>
  </si>
  <si>
    <t xml:space="preserve">
Superavit
Fondos de seguridad 5%</t>
  </si>
  <si>
    <t xml:space="preserve">Recurso 
ordinario
</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</si>
  <si>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</si>
  <si>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</si>
  <si>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</si>
  <si>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</si>
  <si>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</si>
  <si>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</si>
  <si>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</si>
  <si>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</si>
  <si>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</si>
  <si>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</si>
  <si>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</si>
  <si>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Socialización de rutas de protección a las organizaciones de victimas de los 12 municipios del Departamento</t>
  </si>
  <si>
    <t>Recurso ordinario</t>
  </si>
  <si>
    <t>Apoyo a municipios priorizados para reparacion colectiva</t>
  </si>
  <si>
    <t>Brindar informacion y orientación a las victimas del conflicto de los 12 municipios del departamento</t>
  </si>
  <si>
    <t>Brindar asistencia y capacitacion a las organizaciones con enfoque diferencial y mesas de participación efectiva de victimas en los 12 municipios del Departamento en la ley de victimas y restitución de tierras y sus enfoques reglamentarios</t>
  </si>
  <si>
    <t xml:space="preserve">Apoyo a iniciativas que aportan a la Memoria Historica en el Departamento </t>
  </si>
  <si>
    <t>Realizar jornadas de prevencion a vulneraciones de DDHH y DIH a las mesas de participación efectiva de victimas en los 12 municipios del Departamento</t>
  </si>
  <si>
    <t>Apoyo a proyectos productivos población víctima</t>
  </si>
  <si>
    <t>Superavit ordinario</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</si>
  <si>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</si>
  <si>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</si>
  <si>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</si>
  <si>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</si>
  <si>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</si>
  <si>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</si>
  <si>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</si>
  <si>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0309 - 5 - 3 1 4 24 78 14 30 - 20</t>
  </si>
  <si>
    <t xml:space="preserve">Garantias para Sesiones comité ejecutivo y ética mesa de victimas </t>
  </si>
  <si>
    <t>Garantias para Sesiones plenario mesa departamental de  victimas</t>
  </si>
  <si>
    <t>0309 - 5 - 3 1 4 24 78 14 30 - 88</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</si>
  <si>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</si>
  <si>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</si>
  <si>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</si>
  <si>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</si>
  <si>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</si>
  <si>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</si>
  <si>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</si>
  <si>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</si>
  <si>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</si>
  <si>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</si>
  <si>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Implementación del Plan Operativo de Sistemas de Información POSI</t>
  </si>
  <si>
    <t>Apoyo a procesos de caracterización de los municipios, cuando sea requerido por estos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</si>
  <si>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</si>
  <si>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</si>
  <si>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</si>
  <si>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</si>
  <si>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</si>
  <si>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</si>
  <si>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</si>
  <si>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</si>
  <si>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</si>
  <si>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</si>
  <si>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</si>
  <si>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0309 - 5 - 3 1 4 24 79 14 32 - 20</t>
  </si>
  <si>
    <t>Foro de Derechos Humanos</t>
  </si>
  <si>
    <t>Superavít ordinario</t>
  </si>
  <si>
    <t>Realizar jornadas de capacitación para la  prevencion y sensibilizacion de los Derechos Humanos en los 12 municipios del Departamento</t>
  </si>
  <si>
    <t xml:space="preserve">Actualizar e Implementar el plan lucha contra la trata de personas
</t>
  </si>
  <si>
    <t>Programa de atención integral a victimas de trata de personas actualizado e  implementado</t>
  </si>
  <si>
    <t>0309 - 5 - 3 1 4 24 79 14 32 - 88</t>
  </si>
  <si>
    <t xml:space="preserve">Jornadas de prevención del delito de trata de personas  en los 12 municipios del Departamento </t>
  </si>
  <si>
    <t>Ayuda Humanitaria para victimas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</si>
  <si>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</si>
  <si>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</si>
  <si>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</si>
  <si>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</si>
  <si>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</si>
  <si>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</si>
  <si>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</si>
  <si>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Apoyar el seguimiento de los planes de DDHH de los 12 municipios del Departamento.</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</si>
  <si>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</si>
  <si>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</si>
  <si>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</si>
  <si>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0309 - 5 - 3 1 4 24 80 14 34 - 20</t>
  </si>
  <si>
    <t>Fortalecer Consejo Departamental de Paz, Reconciliación, Convivencia, DDHH y DIH.</t>
  </si>
  <si>
    <t>Foro DDHH.</t>
  </si>
  <si>
    <t>0309 - 5 - 3 1 4 24 80 14 34 - 88</t>
  </si>
  <si>
    <t>Socialización de implementación de los acuerdos en el Departamento.</t>
  </si>
  <si>
    <t>Logistica y Refrigerios</t>
  </si>
  <si>
    <t>Papeleria</t>
  </si>
  <si>
    <t>Apoyo para la Politica de Reintegrados</t>
  </si>
  <si>
    <t>Superavít Ordinario</t>
  </si>
  <si>
    <t>Acciones en pro de la construcción de paz</t>
  </si>
  <si>
    <t>EL QUINDIO DEPARTAMENTO RESILIENTE</t>
  </si>
  <si>
    <t>}</t>
  </si>
  <si>
    <t>QUINDIO PROTEGIENDO EL FUTURO</t>
  </si>
  <si>
    <t xml:space="preserve">Realizar catorce (14) estudios de riesgo y análisis de vulnerabilidad en  los municipios del departamento </t>
  </si>
  <si>
    <t>Número de estudios de riesgo analizados</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</si>
  <si>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</si>
  <si>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</si>
  <si>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</si>
  <si>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</si>
  <si>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</si>
  <si>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</si>
  <si>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</si>
  <si>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</si>
  <si>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 xml:space="preserve">Formulación de los planes escolares de gestión del riesgo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</si>
  <si>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</si>
  <si>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</si>
  <si>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</si>
  <si>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</si>
  <si>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 xml:space="preserve">Adquisición tecnología (cámara térmica, Dron)
</t>
  </si>
  <si>
    <t>Material didáctico</t>
  </si>
  <si>
    <t>0309 - 5 - 3 1 4 25 81 12 36 - 20</t>
  </si>
  <si>
    <t>Organización de foros, talleres, eventos, y/o actividades</t>
  </si>
  <si>
    <t xml:space="preserve">Realizar 10 intervenciones en  áreas vulnerables del departamento </t>
  </si>
  <si>
    <t>Número de intervenciones en áreas vulnerables realizadas</t>
  </si>
  <si>
    <t xml:space="preserve">Intervenciones, obras de ingenieria y/o análisis vulnerabilidad </t>
  </si>
  <si>
    <t>Orden Nacional (UNGRD)</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</si>
  <si>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</si>
  <si>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</si>
  <si>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</si>
  <si>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</si>
  <si>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 xml:space="preserve">Actualización y desarrollo de  tecnologías en gestión del riesgo </t>
  </si>
  <si>
    <t>Formacion y capacitacion en el manejo del riesgo</t>
  </si>
  <si>
    <t>Servicios y atención  de manejo de riesgos</t>
  </si>
  <si>
    <t xml:space="preserve">Fortalecimiento  a las instituciones del comité de manejo
</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</si>
  <si>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</si>
  <si>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</si>
  <si>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</si>
  <si>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</si>
  <si>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</si>
  <si>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</si>
  <si>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</si>
  <si>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</si>
  <si>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</si>
  <si>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 xml:space="preserve">Articulación y coordinación para el manejo de  desastres en la sala de crisis del departamento </t>
  </si>
  <si>
    <t>Fortalecer  la dotación de la bodega estratégica de la Unidad Departamental de la Gestión del Riesgo de Desastres UDEGER</t>
  </si>
  <si>
    <t>Unidad Departamental de la Gestión del Riesgo de Desastre UDEGER dotada</t>
  </si>
  <si>
    <t xml:space="preserve">Apoyo para la entrega de ayuda humanitaria </t>
  </si>
  <si>
    <t>Suministro de ayudas  Humanitaria</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</si>
  <si>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</si>
  <si>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</si>
  <si>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</si>
  <si>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</si>
  <si>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</si>
  <si>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</si>
  <si>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</si>
  <si>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</si>
  <si>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</si>
  <si>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</si>
  <si>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</si>
  <si>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</si>
  <si>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</si>
  <si>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</si>
  <si>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</si>
  <si>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</si>
  <si>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</si>
  <si>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</si>
  <si>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</si>
  <si>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</si>
  <si>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</si>
  <si>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 xml:space="preserve">Servicios de Apoyo para eventos de formación, capacitación y/o formulación de políticas publicas 
</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</si>
  <si>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</si>
  <si>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</si>
  <si>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</si>
  <si>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</si>
  <si>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insumos logísticos, transporte,suminsitro de combustible y/o alimentación para la celebración de los comicios electorales </t>
  </si>
  <si>
    <t>Diseñar e implementar la Escuela de Liderazgo democrático</t>
  </si>
  <si>
    <t>Escuela de liderazgo diseñada e implementada</t>
  </si>
  <si>
    <t xml:space="preserve">Estructuración e implementación   de la escuela de liderazgo </t>
  </si>
  <si>
    <t xml:space="preserve">Logística, transporte, impresos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</si>
  <si>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</si>
  <si>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</si>
  <si>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</si>
  <si>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</si>
  <si>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</si>
  <si>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</si>
  <si>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</si>
  <si>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</si>
  <si>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</si>
  <si>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</si>
  <si>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</si>
  <si>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</si>
  <si>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</si>
  <si>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</si>
  <si>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</si>
  <si>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20</t>
  </si>
  <si>
    <t>Recurso Ordianrio</t>
  </si>
  <si>
    <t>Apoyo a eventos de carácter municipal, departamental y/o  nacional</t>
  </si>
  <si>
    <t>Apoyo para fortalecimiento de programas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</si>
  <si>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</si>
  <si>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</si>
  <si>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</si>
  <si>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</si>
  <si>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</si>
  <si>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</si>
  <si>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</si>
  <si>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</si>
  <si>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</si>
  <si>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</si>
  <si>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</si>
  <si>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</si>
  <si>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</si>
  <si>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</si>
  <si>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</si>
  <si>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PROGRAMACION PLAN DE ACCIÓN
SECRETARIA DE PLANEACION
II TRIMESTRE 2019</t>
  </si>
  <si>
    <t>Palenqueras</t>
  </si>
  <si>
    <t>Quindío Transparente y Legal</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</si>
  <si>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</si>
  <si>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</si>
  <si>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</si>
  <si>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</si>
  <si>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</si>
  <si>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</si>
  <si>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</si>
  <si>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</si>
  <si>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</si>
  <si>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</si>
  <si>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</si>
  <si>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</si>
  <si>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</si>
  <si>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</si>
  <si>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</si>
  <si>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</si>
  <si>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</si>
  <si>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</si>
  <si>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b) Todo registro publicado.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</si>
  <si>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</si>
  <si>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</si>
  <si>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</si>
  <si>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</si>
  <si>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</si>
  <si>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</si>
  <si>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</si>
  <si>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</si>
  <si>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</si>
  <si>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</si>
  <si>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</si>
  <si>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</si>
  <si>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 xml:space="preserve">SOCIALIZACION   ENTES TERRITORIALES </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</si>
  <si>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</si>
  <si>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</si>
  <si>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</si>
  <si>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</si>
  <si>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</si>
  <si>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</si>
  <si>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</si>
  <si>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</si>
  <si>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</si>
  <si>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</si>
  <si>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Estrategia de Desarrollo Sostenible 2019</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</si>
  <si>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</si>
  <si>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</si>
  <si>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</si>
  <si>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</si>
  <si>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</si>
  <si>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</si>
  <si>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</si>
  <si>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</si>
  <si>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</si>
  <si>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</si>
  <si>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</si>
  <si>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</si>
  <si>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</si>
  <si>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</si>
  <si>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</si>
  <si>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</si>
  <si>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</si>
  <si>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</si>
  <si>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</si>
  <si>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</si>
  <si>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</si>
  <si>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</si>
  <si>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</si>
  <si>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</si>
  <si>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</si>
  <si>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</si>
  <si>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</si>
  <si>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</si>
  <si>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</si>
  <si>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</si>
  <si>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</si>
  <si>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</si>
  <si>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</si>
  <si>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5.1 Camara fotografica incluido el tripode</t>
  </si>
  <si>
    <t>5.2 Grabadora de mano</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</si>
  <si>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</si>
  <si>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</si>
  <si>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</si>
  <si>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Gestión Territorial</t>
  </si>
  <si>
    <t xml:space="preserve">Los instrumentos  de planificación como  ruta para el cumplimiento de la gestión pública  </t>
  </si>
  <si>
    <t>Diseñar e implementar el Plan de Ordenamiento del Departamento del Quindio.</t>
  </si>
  <si>
    <t>0305 - 5 - 3 1 5 28 87 17 9 - 20
0305 - 5 - 3 1 5 28 87 17 9 - 88</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</si>
  <si>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</si>
  <si>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</si>
  <si>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</si>
  <si>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</si>
  <si>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</si>
  <si>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Recursos Ordinarios</t>
  </si>
  <si>
    <t>Actualizacion de las directrices del MOD para aplicar en el diseño del POD</t>
  </si>
  <si>
    <t>Formulación y consolidación de las directrices y  lineamientos de ordenamiento territorial para el departamento del Quindio, en la implementación del POD.</t>
  </si>
  <si>
    <t xml:space="preserve">Superavit Recursos Ordinarios
</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</si>
  <si>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</si>
  <si>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</si>
  <si>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</si>
  <si>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</si>
  <si>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</si>
  <si>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</si>
  <si>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</si>
  <si>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Mantenimiento y Actualizacion permanente de las bases de Datos</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</si>
  <si>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</si>
  <si>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</si>
  <si>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</si>
  <si>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</si>
  <si>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</si>
  <si>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</si>
  <si>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</si>
  <si>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</si>
  <si>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</si>
  <si>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</si>
  <si>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</si>
  <si>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</si>
  <si>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</si>
  <si>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</si>
  <si>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</si>
  <si>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</si>
  <si>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</si>
  <si>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</si>
  <si>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</si>
  <si>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</si>
  <si>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</si>
  <si>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 xml:space="preserve">Recursos Ordinarios
</t>
  </si>
  <si>
    <t>José Iganacio Rojas Sepúlveda
Secretario Departamental de Planeación</t>
  </si>
  <si>
    <t xml:space="preserve">Superavit Recursos Ordinarios
</t>
  </si>
  <si>
    <t>2.1 Análisis de la información recolectada para la actualización y generación de los  boletines trimestrales (4), el informe anual del departamento (1) y los demás análisis requeridos correspondientes a la vigencia 2017 (1 Informe de Empleo)</t>
  </si>
  <si>
    <t>Superavit Recursos Ordinarios</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</si>
  <si>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</si>
  <si>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</si>
  <si>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</si>
  <si>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</si>
  <si>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</si>
  <si>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</si>
  <si>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</si>
  <si>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 xml:space="preserve">0305 - 5 - 3 1 5 28 87 17 11 - 20
0305 - 5 - 3 1 5 28 87 17 11 - 88
</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</si>
  <si>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</si>
  <si>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</si>
  <si>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</si>
  <si>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</si>
  <si>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</si>
  <si>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</si>
  <si>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</si>
  <si>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</si>
  <si>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</si>
  <si>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</si>
  <si>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</si>
  <si>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</si>
  <si>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</si>
  <si>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</si>
  <si>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</si>
  <si>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</si>
  <si>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</si>
  <si>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</si>
  <si>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</si>
  <si>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</si>
  <si>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</si>
  <si>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</si>
  <si>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</si>
  <si>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</si>
  <si>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</si>
  <si>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a)Apoyo técnico en la socialización a las unidades ejecutoras de la herramienta dispuesta por el Departamento Nacional de Planeación -DNP-, para el seguimiento a los proyectos de inversión del Banco de Proyectos nivel Departamental en el SISTEMA DE SEGUIMIENTO A PROYECTOS DE INVERSIÓN-SPI-, teniendo en cuanta la Ejecución fisica, el seguimiento a actividades, el Seguimiento de gestión y los anexos b) apoyo técnbico en el seguimiento a los proyectos de inversión de la secretaria de planeación departamental, en la herramienta -SPI-</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</si>
  <si>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</si>
  <si>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</si>
  <si>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</si>
  <si>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</si>
  <si>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</si>
  <si>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</si>
  <si>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</si>
  <si>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</si>
  <si>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</si>
  <si>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</si>
  <si>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</si>
  <si>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</si>
  <si>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</si>
  <si>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</si>
  <si>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</si>
  <si>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</si>
  <si>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</si>
  <si>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</si>
  <si>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</si>
  <si>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</si>
  <si>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</si>
  <si>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</si>
  <si>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</si>
  <si>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</si>
  <si>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</si>
  <si>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</si>
  <si>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</si>
  <si>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</si>
  <si>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</si>
  <si>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</si>
  <si>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</si>
  <si>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</si>
  <si>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</si>
  <si>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</si>
  <si>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</si>
  <si>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</si>
  <si>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</si>
  <si>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</si>
  <si>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</si>
  <si>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</si>
  <si>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</si>
  <si>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</si>
  <si>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</si>
  <si>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</si>
  <si>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</si>
  <si>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</si>
  <si>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</si>
  <si>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</si>
  <si>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</si>
  <si>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</si>
  <si>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</si>
  <si>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Entes territoriales municipales asistidos</t>
  </si>
  <si>
    <t>Capacitación , Asistencia técnica, seguimiento y/o evaluación incorporación Modelo de Ocupación del territorio en los doce municipios</t>
  </si>
  <si>
    <t>JOSE IGNACIO ROJAS SEPULVEDA</t>
  </si>
  <si>
    <t xml:space="preserve">SECRETARIO DE PLANEACION DEPARTAMENTAL </t>
  </si>
  <si>
    <t>PROGRAMACIÓN  PLAN DE ACCIÓN
OFICINA PRIVADA
II TRIMESTRE 2019</t>
  </si>
  <si>
    <t>Edad Económicamente 
Activa(20-59 años)</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</si>
  <si>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</si>
  <si>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</si>
  <si>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</si>
  <si>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</si>
  <si>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</si>
  <si>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</si>
  <si>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</si>
  <si>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</si>
  <si>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</si>
  <si>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José Joaquin Rincon Pastrana
Director Oficina Privada</t>
  </si>
  <si>
    <t>Mejorar la cultura del civismo y participación de los ciudadanos  en los  procesos institucionales del gobierno.</t>
  </si>
  <si>
    <t>Desarrollo del sistema departamental del servicio al ciudaddano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</si>
  <si>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</si>
  <si>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</si>
  <si>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</si>
  <si>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</si>
  <si>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</si>
  <si>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</si>
  <si>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</si>
  <si>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</si>
  <si>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</si>
  <si>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</si>
  <si>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</si>
  <si>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</si>
  <si>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</si>
  <si>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</si>
  <si>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</si>
  <si>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</si>
  <si>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</si>
  <si>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 xml:space="preserve">20
</t>
  </si>
  <si>
    <t>Desarrollo de la estrategia de comunicaciones.</t>
  </si>
  <si>
    <t>Planificación institucional en la divulgación de los programas y proyectos</t>
  </si>
  <si>
    <t xml:space="preserve">Operatividad de la estrategica de comunicaciones </t>
  </si>
  <si>
    <t xml:space="preserve">Recurso Ordinario 
</t>
  </si>
  <si>
    <t>JOSE JOAQUIN RINCON PASTRANA</t>
  </si>
  <si>
    <t>SECRETARIO DE DESPACHO</t>
  </si>
  <si>
    <t xml:space="preserve">PROGRAMACION PLAN DE ACCIÓN 
PROMOTORA DE VIVIENDA DEL QUINDIO "PROVIQUINDIO"
II TRIMESTRE 2019
</t>
  </si>
  <si>
    <t>POBLACION</t>
  </si>
  <si>
    <t>ESTRATEGIA</t>
  </si>
  <si>
    <t>PROGRAMA</t>
  </si>
  <si>
    <t>SUBPROGRAMA</t>
  </si>
  <si>
    <t>META PRODUCTO PLAN DE DESARROLLO</t>
  </si>
  <si>
    <t>NO</t>
  </si>
  <si>
    <t>Infraestructura Sostenible para la Paz</t>
  </si>
  <si>
    <t>Mejora de la Infraestructura Vial del Departamento del Quindío</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</si>
  <si>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</si>
  <si>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</si>
  <si>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</si>
  <si>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</si>
  <si>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</si>
  <si>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</si>
  <si>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</si>
  <si>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Gerente General</t>
  </si>
  <si>
    <t>SUPERAVIT IMPUESTO AL REGISTRO</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</si>
  <si>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</si>
  <si>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</si>
  <si>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</si>
  <si>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</si>
  <si>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</si>
  <si>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</si>
  <si>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</si>
  <si>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</si>
  <si>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53</t>
  </si>
  <si>
    <t>0211101_4
0211102_3
0211103_7</t>
  </si>
  <si>
    <t>Mejoramiento y/o construcción de vivienda urbana y rural.</t>
  </si>
  <si>
    <t>LEONARDO RODRIGUEZ OSPINA</t>
  </si>
  <si>
    <t>Gerente General - ProviQuindío.</t>
  </si>
  <si>
    <t>Proyectó: Diego Fernando Ramirez Restrepo</t>
  </si>
  <si>
    <t>Profesional Universitario - Contratista.</t>
  </si>
  <si>
    <t>PROGRAMACION PLAN DE ACCIÓN
SECRETARIA DE REPRESENTACION JUDICIAL
II TRIMESTRE 2019</t>
  </si>
  <si>
    <t>Buen Gobierno</t>
  </si>
  <si>
    <t>Establecer y socializar veinte (20)  políticas desde la cultura de la legalidad y  la prevención de daño antijurídico en  el Departamento.</t>
  </si>
  <si>
    <t>Número de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</si>
  <si>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</si>
  <si>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</si>
  <si>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</si>
  <si>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</si>
  <si>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</si>
  <si>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</si>
  <si>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ORDINARIO</t>
  </si>
  <si>
    <t>Jamer Chaquip Giraldo Molina Secretario de Representación Judicial y Defensa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</si>
  <si>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</si>
  <si>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</si>
  <si>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</si>
  <si>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</si>
  <si>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 xml:space="preserve">PROGRAMACION PLAN DE ACCIÓN 
 SECRETARIA DE SALUD
II TRIMESTRE  2019
</t>
  </si>
  <si>
    <t xml:space="preserve"> INCLUSION SOCIAL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</si>
  <si>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</si>
  <si>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</si>
  <si>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</si>
  <si>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1803 - 5 - 3 1 3 11 35 2 132 - 61
1803 - 5 - 3 1 3 11 35 2 132 - 98</t>
  </si>
  <si>
    <t>201663000-0132</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</si>
  <si>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</si>
  <si>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</si>
  <si>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</si>
  <si>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</si>
  <si>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 (61)
Superávit SGP Salud Pública (98)</t>
  </si>
  <si>
    <t>N/A</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</si>
  <si>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</si>
  <si>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</si>
  <si>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Actualización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</si>
  <si>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</si>
  <si>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</si>
  <si>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</si>
  <si>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</si>
  <si>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</si>
  <si>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</si>
  <si>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</si>
  <si>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</si>
  <si>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</si>
  <si>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</si>
  <si>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</si>
  <si>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</si>
  <si>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</si>
  <si>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</si>
  <si>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</si>
  <si>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</si>
  <si>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</si>
  <si>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</si>
  <si>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</si>
  <si>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</si>
  <si>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</si>
  <si>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</si>
  <si>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</si>
  <si>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2 133 - 98</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</si>
  <si>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</si>
  <si>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</si>
  <si>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</si>
  <si>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</si>
  <si>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</si>
  <si>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Fondo Local de Salud - SGP  (61)
Superavit SGP Salud Pública (98)</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</si>
  <si>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</si>
  <si>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</si>
  <si>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</si>
  <si>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</si>
  <si>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</si>
  <si>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</si>
  <si>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</si>
  <si>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1803 - 5 - 3 1 3 12 37 2 134 - 61
1803 - 5 - 3 1 3 12 37 2 134 - 98</t>
  </si>
  <si>
    <t>201663000-0134</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</si>
  <si>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</si>
  <si>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</si>
  <si>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</si>
  <si>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</si>
  <si>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Fondo Local de Salud - SGP (61)
Superávit  Fondo Local de Salud - SGP (98)</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</si>
  <si>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</si>
  <si>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</si>
  <si>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</si>
  <si>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</si>
  <si>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</si>
  <si>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</si>
  <si>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</si>
  <si>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</si>
  <si>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</si>
  <si>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</si>
  <si>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</si>
  <si>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</si>
  <si>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</si>
  <si>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</si>
  <si>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</si>
  <si>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</si>
  <si>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</si>
  <si>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</si>
  <si>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</si>
  <si>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</si>
  <si>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</si>
  <si>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</si>
  <si>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</si>
  <si>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</si>
  <si>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</si>
  <si>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</si>
  <si>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</si>
  <si>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</si>
  <si>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</si>
  <si>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</si>
  <si>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</si>
  <si>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</si>
  <si>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</si>
  <si>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</si>
  <si>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</si>
  <si>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</si>
  <si>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</si>
  <si>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</si>
  <si>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</si>
  <si>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</si>
  <si>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</si>
  <si>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</si>
  <si>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</si>
  <si>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</si>
  <si>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</si>
  <si>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</si>
  <si>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</si>
  <si>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</si>
  <si>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</si>
  <si>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</si>
  <si>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</si>
  <si>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</si>
  <si>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</si>
  <si>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</si>
  <si>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</si>
  <si>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</si>
  <si>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</si>
  <si>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</si>
  <si>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</si>
  <si>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</si>
  <si>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</si>
  <si>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</si>
  <si>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</si>
  <si>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</si>
  <si>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Fondo Local de Salud - SGP</t>
  </si>
  <si>
    <t>Asistir en la implementación de actividades para la promoción de modos, condiciones y estilos de vida saludable, relacionadas con las enfermedades no transmisibles en el entorno escolar y realizar el respectivo seguimiento.</t>
  </si>
  <si>
    <t>Superavit SGP Salud Publica</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</si>
  <si>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</si>
  <si>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</si>
  <si>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</si>
  <si>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</si>
  <si>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</si>
  <si>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</si>
  <si>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</si>
  <si>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</si>
  <si>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</si>
  <si>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</si>
  <si>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</si>
  <si>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</si>
  <si>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</si>
  <si>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</si>
  <si>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</si>
  <si>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0318 - 5 - 3 1 3 12 40 2 139 - 20
1803 - 5 - 3 1 3 12 40 2 139 - 161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</si>
  <si>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</si>
  <si>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</si>
  <si>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</si>
  <si>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</si>
  <si>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</si>
  <si>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Fondo Local de Salud - SGP (61)
Superávit Resoluciones Vigencias Anteriores (161)
</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</si>
  <si>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</si>
  <si>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</si>
  <si>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</si>
  <si>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</si>
  <si>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</si>
  <si>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</si>
  <si>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 xml:space="preserve">Recurso Ordinario (20)_x000D_
</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</si>
  <si>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</si>
  <si>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</si>
  <si>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</si>
  <si>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</si>
  <si>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1803 - 5 - 3 1 3 12 40 2 141 - 111
1803 - 5 - 3 1 3 12 40 2 141 - 61
1803 - 5 - 3 1 3 12 40 2 141 - 20
1803 - 5 - 3 1 3 12 40 2 141 - 107
1803 - 5 - 3 1 3 12 40 2 141 - 147</t>
  </si>
  <si>
    <t>201663000-0141</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</si>
  <si>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</si>
  <si>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</si>
  <si>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</si>
  <si>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</si>
  <si>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t>
  </si>
  <si>
    <t>Superavit Res. 781/15 Prev. y control enfermedades por Vect</t>
  </si>
  <si>
    <t>Superavit Res. 2311/2017 MSPS -Vectores </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</si>
  <si>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</si>
  <si>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</si>
  <si>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</si>
  <si>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</si>
  <si>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</si>
  <si>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</si>
  <si>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</si>
  <si>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</si>
  <si>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</si>
  <si>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</si>
  <si>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</si>
  <si>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</si>
  <si>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</si>
  <si>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</si>
  <si>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</si>
  <si>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</si>
  <si>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</si>
  <si>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</si>
  <si>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</si>
  <si>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 " CERCET" Comite Evaluador  Regional de Casos Especiales de Tuberculosis.</t>
  </si>
  <si>
    <t>Fondo Local de Salud - SGP SALUD PÚBLICA (61)</t>
  </si>
  <si>
    <t>1803 - 5 - 3 1 3 12 40 2 142 - 114</t>
  </si>
  <si>
    <t>Acompañar la vigilancia de cumplimiento a guías, lineamientos y protocolos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</si>
  <si>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</si>
  <si>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</si>
  <si>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</si>
  <si>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Aportes Nacion lepra (114)</t>
  </si>
  <si>
    <t>1803 - 5 - 3 1 3 12 40 2 142 - 98</t>
  </si>
  <si>
    <t>hacer seguimiento a la implementacion y ejecucion de  los nuevos planes estratégicos de tuberculosis y lepra en los 12 municipios.</t>
  </si>
  <si>
    <t>Realizar campañas de prevención y atención integral en afectados por tuberculosis</t>
  </si>
  <si>
    <t>realizar capacitaciónes dirigida a personas líderes,   para ser formadas como agentes comunitarios TB/VIH,</t>
  </si>
  <si>
    <t>APORTES NACION TUBERCULOSIS (113)</t>
  </si>
  <si>
    <t>Gestión de la prestación de los servicios en prevención y atención integral centrada en los afectados por tuberculosis y lepra. (rondas medicas, visita a pacientes).</t>
  </si>
  <si>
    <t>Superavit SGP SAlud Pública (98)</t>
  </si>
  <si>
    <t>Realizar actividades de promoción y prevención implementadas para la comunidad y grupos focalizados en tuberculosis y lepra en los 12 municipios del departamento. ( rondas medicas, busqueda de sintomaticos respiratorios y de piel, movilizaciones, talleres, sensibilizaciones , etc)</t>
  </si>
  <si>
    <t>Salud publica en emergencias y desastres</t>
  </si>
  <si>
    <t>Realizar catorce (14) simulacros de atención a emergencias en la Red Pública Hospitalaria</t>
  </si>
  <si>
    <t>1803 - 5 - 3 1 3 12 41 2 143 - 61
1803 - 5 - 3 1 3 12 41 2 143 - 98</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</si>
  <si>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</si>
  <si>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</si>
  <si>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</si>
  <si>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</si>
  <si>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</si>
  <si>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SGP Salud Pública</t>
  </si>
  <si>
    <t>Superavit SGP Salud Pública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</si>
  <si>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</si>
  <si>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</si>
  <si>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</si>
  <si>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</si>
  <si>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</si>
  <si>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</si>
  <si>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</si>
  <si>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</si>
  <si>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</si>
  <si>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</si>
  <si>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</si>
  <si>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201663000-0145</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</si>
  <si>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</si>
  <si>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</si>
  <si>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</si>
  <si>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</si>
  <si>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</si>
  <si>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</si>
  <si>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</si>
  <si>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</si>
  <si>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</si>
  <si>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</si>
  <si>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</si>
  <si>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</si>
  <si>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</si>
  <si>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</si>
  <si>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</si>
  <si>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</si>
  <si>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</si>
  <si>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</si>
  <si>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</si>
  <si>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</si>
  <si>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</si>
  <si>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</si>
  <si>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</si>
  <si>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</si>
  <si>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Superávit  - SGP Salud Pública</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</si>
  <si>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</si>
  <si>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</si>
  <si>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</si>
  <si>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</si>
  <si>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</si>
  <si>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</si>
  <si>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</si>
  <si>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</si>
  <si>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Fondo de EStupefacientes</t>
  </si>
  <si>
    <t xml:space="preserve">Suministrar medicamentos de control especial- monopolio del estado a los establecimientos farmacéuticos autorizados. </t>
  </si>
  <si>
    <t>0318 - 5 - 3 1 3 12 43 2 146 - 98</t>
  </si>
  <si>
    <t>Superávit Fondo de EStupefacientes</t>
  </si>
  <si>
    <t>Suministrar medicamentos de programas especiales a las IPS’s que lo requieran.</t>
  </si>
  <si>
    <t>0318 - 5 - 3 1 3 12 43 2 146 - 99</t>
  </si>
  <si>
    <t>Adquisición de mobiliario, equipos tecnológicos, de telecomunicación y computo del Fondo Rotatorio de Estupefacientes</t>
  </si>
  <si>
    <t>1803 - 5 - 3 1 3 12 43 2 146 - 63</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</si>
  <si>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</si>
  <si>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</si>
  <si>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</si>
  <si>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</si>
  <si>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</si>
  <si>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</si>
  <si>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 xml:space="preserve">
1803 - 5 - 3 1 3 12 44 2 148 - 61
1803 - 5 - 3 1 3 12 44 2 148 - 98
</t>
  </si>
  <si>
    <t>201663000-0148</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</si>
  <si>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</si>
  <si>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</si>
  <si>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</si>
  <si>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</si>
  <si>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</si>
  <si>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</si>
  <si>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</si>
  <si>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</si>
  <si>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</si>
  <si>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Superávit SGP Salud Pública</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</si>
  <si>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</si>
  <si>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</si>
  <si>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</si>
  <si>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</si>
  <si>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</si>
  <si>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</si>
  <si>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</si>
  <si>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</si>
  <si>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</si>
  <si>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</si>
  <si>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</si>
  <si>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</si>
  <si>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</si>
  <si>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</si>
  <si>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</si>
  <si>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</si>
  <si>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</si>
  <si>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</si>
  <si>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</si>
  <si>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</si>
  <si>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</si>
  <si>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</si>
  <si>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</si>
  <si>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</si>
  <si>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</si>
  <si>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</si>
  <si>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</si>
  <si>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</si>
  <si>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</si>
  <si>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</si>
  <si>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 xml:space="preserve">1803 - 5 - 3 1 3 12 45 2 150 - 61
1803 - 5 - 3 1 3 12 45 2 150 - 98_x000D_
</t>
  </si>
  <si>
    <t>201663000-0150</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</si>
  <si>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</si>
  <si>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</si>
  <si>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</si>
  <si>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</si>
  <si>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</si>
  <si>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</si>
  <si>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</si>
  <si>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</si>
  <si>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</si>
  <si>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</si>
  <si>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</si>
  <si>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</si>
  <si>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
0318 - 5 - 3 1 3 12 46 2 151 - 20
1803 - 5 - 3 1 3 12 46 2 151 - 96
0318 - 5 - 3 1 3 12 46 2 151 - 88
0318 - 5 - 3 1 3 12 46 2 151 - 98</t>
  </si>
  <si>
    <t>201663000-0151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</si>
  <si>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</si>
  <si>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</si>
  <si>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</si>
  <si>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</si>
  <si>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Superávit Recurso Ordinario</t>
  </si>
  <si>
    <t>Recurso ordinario (20)_x000D_
_x000D_ </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</si>
  <si>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</si>
  <si>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</si>
  <si>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</si>
  <si>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</si>
  <si>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</si>
  <si>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</si>
  <si>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</si>
  <si>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</si>
  <si>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Superávit Rentas Cedidas (96)</t>
  </si>
  <si>
    <t>crear diez (10) y fortalecer noventa (90) Comités de Vigilancia 
Epidemiológica  Comunitaria 
(COVECOM) municipales.</t>
  </si>
  <si>
    <t>1803 - 5 - 3 1 3 12 46 2 152 - 61
1803 - 5 - 3 1 3 12 46 2 152 - 98</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</si>
  <si>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</si>
  <si>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</si>
  <si>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</si>
  <si>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</si>
  <si>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</si>
  <si>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</si>
  <si>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</si>
  <si>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</si>
  <si>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</si>
  <si>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</si>
  <si>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</si>
  <si>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</si>
  <si>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</si>
  <si>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</si>
  <si>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</si>
  <si>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</si>
  <si>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</si>
  <si>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</si>
  <si>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0318 - 5 - 3 1 3 13 47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</si>
  <si>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</si>
  <si>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</si>
  <si>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</si>
  <si>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</si>
  <si>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</si>
  <si>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</si>
  <si>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</si>
  <si>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</si>
  <si>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</si>
  <si>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2 153 - 154</t>
  </si>
  <si>
    <t xml:space="preserve"> Gestionar  recursos para cofinanciación de la afialicon  mpo y lugares de afiliación
</t>
  </si>
  <si>
    <t>Gestión de recursos para cofinanciación de la afiliación a los municipios y lugares de afiliación</t>
  </si>
  <si>
    <t>ADRES S.S.F.
REC. TRANSFERIDOS COLJUEGOS -SSF</t>
  </si>
  <si>
    <t>RENDIMIENTOS FINANCIEROS - ADRES S.S.F.</t>
  </si>
  <si>
    <t>Superávit Decreto 1684/2017 Ingreso Adicional Cigarrillo</t>
  </si>
  <si>
    <t>Asistencia técnica  a los actores del sistema en el proceso de aseguramiento de la población</t>
  </si>
  <si>
    <t>Brindar asistencia técnica a 12 Municipios del departamento,  en los procesos del régimen subsidiado</t>
  </si>
  <si>
    <t>0318 - 5 - 3 1 3 13 49 2 153 - 20
1804 - 5 - 3 1 3 13 49 2 153 - 96</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</si>
  <si>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</si>
  <si>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</si>
  <si>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Superávit Rentas Cedidas</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</si>
  <si>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</si>
  <si>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</si>
  <si>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</si>
  <si>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</si>
  <si>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 xml:space="preserve">1802 - 5 - 3 1 3 14 50 2 154 - 60
1802 - 5 - 3 1 3 14 50 2 154 - 110
1802 - 5 - 3 1 3 14 50 2 154 - 58
1802 - 5 - 3 1 3 14 50 2 154 - 59 
1804 - 5 - 3 1 3 14 50 2 154 - 162
1802 - 5 - 3 1 3 14 50 2 154 - 96
1802 - 5 - 3 1 3 14 50 2 154 - 97
1802 - 5 - 3 1 3 14 50 2 154 - 65
1802 - 5 - 3 1 3 14 50 2 154 - 156
1802 - 5 - 3 1 3 14 50 2 154 - 102
1802 - 5 - 3 1 3 14 50 2 154 - 148
1802 - 5 - 3 1 3 14 50 2 154 - 152_x000D_
_x000D_
 _x000D_
_x000D_
_x000D_
_x000D_
_x000D_
</t>
  </si>
  <si>
    <t>201663000-0154</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</si>
  <si>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</si>
  <si>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</si>
  <si>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</si>
  <si>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a los procesos de inspección, vigilancia y control en el acceso de los afiliados  a la red de servicios de salud.</t>
  </si>
  <si>
    <t>Mantener la contratación con la red pública y privada (15)  para la atención de la población no afiliada.</t>
  </si>
  <si>
    <t xml:space="preserve">Fortalecer la contratación para la atención de la población no afiliada </t>
  </si>
  <si>
    <t xml:space="preserve">Fortalecer la contratacion para la atencion de la poblacion pobre no asegurada y los servicios no incluidos en el Plan de beneficios de la poblacion afiliada a la regimen subsidiado. </t>
  </si>
  <si>
    <t>Resoluciones  971/2016, 5864/2018, 493/2019, MINISTERIOVCPROGRAMA INIMPUTABLES</t>
  </si>
  <si>
    <t>RENTAS CEDIDAS - SALUD</t>
  </si>
  <si>
    <t>RENDIMIENTOS FINANCIEROS - RENTAS CEDIDAS - SALUD</t>
  </si>
  <si>
    <t>SGP SALUD PRESTACIÓN SERVICIOS C S F</t>
  </si>
  <si>
    <t>SGP SALUD APORTES PATRONALES SS  F</t>
  </si>
  <si>
    <t>SUPERÁVIT RENTAS CEDIDAS</t>
  </si>
  <si>
    <t>SUPERAVIT SALUD PRESTACIÓN DE SERVICIOS SGP</t>
  </si>
  <si>
    <t>SUPERÁVIT REND. FROS COFINANCIACION NAL</t>
  </si>
  <si>
    <t>SUPERAVIT RESOL. 997/2018 PROG. INIMPUTABLES</t>
  </si>
  <si>
    <t>SUPERAVIT COFINANCIACIÓN NAL RES. 3876/12 DESPLAZADOS</t>
  </si>
  <si>
    <t>SUPERAVIT DEC. 1684/2017 INGRESO ADICIONAL CIGARRILLO</t>
  </si>
  <si>
    <t>SUPERAVIT EXCEDENTES APROTES PATRONALES  ESE DEPTO</t>
  </si>
  <si>
    <t>SUPERAVIT RESOL. VIGENCIAS ANTERIORES</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</si>
  <si>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</si>
  <si>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</si>
  <si>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</si>
  <si>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</si>
  <si>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</si>
  <si>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</si>
  <si>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</si>
  <si>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</si>
  <si>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</si>
  <si>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</si>
  <si>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</si>
  <si>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</si>
  <si>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</si>
  <si>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</si>
  <si>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</si>
  <si>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Garantizar red de servicios en eventos de emergencias</t>
  </si>
  <si>
    <t xml:space="preserve">Ajustar los 14 planes de emergencia de las instituciones prestadoras de salud de todo el Departamento.  </t>
  </si>
  <si>
    <t>0318 - 5 - 3 1 3 14 52 2 156 - 20</t>
  </si>
  <si>
    <t>201663000-0156</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</si>
  <si>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</si>
  <si>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</si>
  <si>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</si>
  <si>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</si>
  <si>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</si>
  <si>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</si>
  <si>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 xml:space="preserve">Articular  la red hospitalaria del Departamento
</t>
  </si>
  <si>
    <t>Desarrollar el plan de emergencias de salud departamental</t>
  </si>
  <si>
    <t>Ajustar un (1) Plan de Emergencias en Salud Departamental.</t>
  </si>
  <si>
    <t xml:space="preserve">Realizar mantenimiento de los equipos de telecomunicación </t>
  </si>
  <si>
    <t>Atender en los 12 municipios  del departamento, los eventos de emergencia y urgencias, y el sistema de referencia y contra referencia  de la población  no afiliada.</t>
  </si>
  <si>
    <t>1802 - 5 - 3 1 3 14 52 2 157 - 20
1804 - 5 - 3 1 3 14 52 2 157 - 96
0318 - 5 - 3 1 3 14 52 2 157 - 88</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</si>
  <si>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</si>
  <si>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</si>
  <si>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</si>
  <si>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</si>
  <si>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</si>
  <si>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SUPERAVIT RENTAS CEDIDAS</t>
  </si>
  <si>
    <t>Realizar asistencia técnica a los prestadores de servicios de salud.</t>
  </si>
  <si>
    <t>Mantenimiento y adquisición de equipos de tecnología, equipos de computo  y telecomunicaciones y mobiliario para el funcionamiento del CRUE.</t>
  </si>
  <si>
    <t xml:space="preserve">Superavit ordinario </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</si>
  <si>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</si>
  <si>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</si>
  <si>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</si>
  <si>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</si>
  <si>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</si>
  <si>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</si>
  <si>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
1804 - 5 - 3 1 3 14 53 2 158 - 96</t>
  </si>
  <si>
    <t>201663000-0158</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</si>
  <si>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</si>
  <si>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</si>
  <si>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</si>
  <si>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</si>
  <si>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</si>
  <si>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</si>
  <si>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</si>
  <si>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</si>
  <si>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 xml:space="preserve">Garantizar eficiencia en el establecimiento de los indicadores de seguimiento a riesgo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</si>
  <si>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</si>
  <si>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</si>
  <si>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</si>
  <si>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</si>
  <si>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Cumplimiento de los prestadores de salud en los requisitos de habilitación</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</si>
  <si>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</si>
  <si>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</si>
  <si>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</si>
  <si>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</si>
  <si>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201663000-0159</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</si>
  <si>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</si>
  <si>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</si>
  <si>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</si>
  <si>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</si>
  <si>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</si>
  <si>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</si>
  <si>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</si>
  <si>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</si>
  <si>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</si>
  <si>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</si>
  <si>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</si>
  <si>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</si>
  <si>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</si>
  <si>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</si>
  <si>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</si>
  <si>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</si>
  <si>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</si>
  <si>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</si>
  <si>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</si>
  <si>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</si>
  <si>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</si>
  <si>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</si>
  <si>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</si>
  <si>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</si>
  <si>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</si>
  <si>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</si>
  <si>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</si>
  <si>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</si>
  <si>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</si>
  <si>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</si>
  <si>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</si>
  <si>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</si>
  <si>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PROGRAMACION PLAN DE ACCIÓN
Secretaría de Tecnologías de la Información y las Comunicaciones 
II TRIMESTRE   2019</t>
  </si>
  <si>
    <t>0324 - 5 - 3 1 5 28 89 17 1 - 20</t>
  </si>
  <si>
    <t>DIRECCIÓN DE TIC´S</t>
  </si>
  <si>
    <t>Compra o adquisición de Sofware</t>
  </si>
  <si>
    <t>Fortalecer el programa de  infraestructura tecnológica de la  Administración Departamental (hadware, aplicativos, redes, y capacitación)</t>
  </si>
  <si>
    <t>Programa de infraestructura tecnologica de la administracion fortalecido</t>
  </si>
  <si>
    <t>0324 - 5 - 3 1 5 28 89 17 3 - 20 
0324 - 5 - 3 1 5 28 89 17 3 - 88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</si>
  <si>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</si>
  <si>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</si>
  <si>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</si>
  <si>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</si>
  <si>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Dirección  TIC´S</t>
  </si>
  <si>
    <t>Incrementar la  renovación de las herramientas tecnológicas a través de outsourcing para ampliar el numero de equipos de ultima tecnología logrando una mejor atención a los usuarios</t>
  </si>
  <si>
    <t>Soporte aplicativos</t>
  </si>
  <si>
    <t>0324 - 5 - 3 1 5 28 89 17 4 - 20
0324 - 5 - 3 1 2 28 89 17 4 - 88</t>
  </si>
  <si>
    <t>JAIME ALBERTO LLANO CHAPARRO</t>
  </si>
  <si>
    <t xml:space="preserve">Secretario de Tecnologías de la Información y las Comunicaciones </t>
  </si>
  <si>
    <t>PROGRAMACION PLAN DE ACCIÓN
SECRETARIA DE TURISMO, INDUSTRIA Y COMERCIO
II TRIMESTRE 2019</t>
  </si>
  <si>
    <t>META FISICA</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</si>
  <si>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</si>
  <si>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</si>
  <si>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</si>
  <si>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</si>
  <si>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</si>
  <si>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</si>
  <si>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</si>
  <si>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</si>
  <si>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</si>
  <si>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Ordinario</t>
  </si>
  <si>
    <t>Secretario de Turismo Industria y Comercio</t>
  </si>
  <si>
    <t xml:space="preserve">Superavit Recurso Ordinario </t>
  </si>
  <si>
    <t>Fortalecimiento de las rutas Kaldia, Tumbaga y Artemis.</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</si>
  <si>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</si>
  <si>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</si>
  <si>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</si>
  <si>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</si>
  <si>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</si>
  <si>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</si>
  <si>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</si>
  <si>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</si>
  <si>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</si>
  <si>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</si>
  <si>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</si>
  <si>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</si>
  <si>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</si>
  <si>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</si>
  <si>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</si>
  <si>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0311 - 5 - 3 1 2 2 8 13 52 - 88</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</si>
  <si>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</si>
  <si>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</si>
  <si>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</si>
  <si>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</si>
  <si>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</si>
  <si>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</si>
  <si>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</si>
  <si>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</si>
  <si>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</si>
  <si>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</si>
  <si>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</si>
  <si>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</si>
  <si>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</si>
  <si>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</si>
  <si>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</si>
  <si>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</si>
  <si>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</si>
  <si>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 xml:space="preserve">Apoyar estrategias de promoción de productos de emprendedores y empresarios quindianos en la temporada de fin de año </t>
  </si>
  <si>
    <t>Apoyar   doce (12) Unidades de emprendimiento de grupos poblacionales con enfoque diferencial.</t>
  </si>
  <si>
    <t xml:space="preserve">0311 - 5 - 3 1 2 2 9 13 53 - 88
</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</si>
  <si>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</si>
  <si>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</si>
  <si>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</si>
  <si>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</si>
  <si>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</si>
  <si>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</si>
  <si>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</si>
  <si>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</si>
  <si>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</si>
  <si>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</si>
  <si>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</si>
  <si>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</si>
  <si>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</si>
  <si>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</si>
  <si>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</si>
  <si>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</si>
  <si>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</si>
  <si>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</si>
  <si>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</si>
  <si>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</si>
  <si>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</si>
  <si>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</si>
  <si>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</si>
  <si>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</si>
  <si>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</si>
  <si>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</si>
  <si>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</si>
  <si>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</si>
  <si>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</si>
  <si>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</si>
  <si>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</si>
  <si>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</si>
  <si>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</si>
  <si>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</si>
  <si>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</si>
  <si>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</si>
  <si>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</si>
  <si>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0311 - 5 - 3 1 2 3 12 13 60 - 20</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</si>
  <si>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</si>
  <si>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</si>
  <si>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</si>
  <si>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</si>
  <si>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</si>
  <si>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</si>
  <si>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</si>
  <si>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</si>
  <si>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</si>
  <si>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</si>
  <si>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</si>
  <si>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</si>
  <si>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</si>
  <si>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</si>
  <si>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</si>
  <si>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</si>
  <si>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</si>
  <si>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</si>
  <si>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</si>
  <si>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Impuesto al Registro</t>
  </si>
  <si>
    <t>IR/TURISMO</t>
  </si>
  <si>
    <t>Ejecución del Plan de Mercadeo para la  Promoción del departamento como destino turística nivel internacional.</t>
  </si>
  <si>
    <t xml:space="preserve">NATALIA ANDREA RODRIGUEZ LONDOÑO </t>
  </si>
  <si>
    <t>SECRETARIA DE TURISMO,INDUSTRIA Y COMERCIO</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</si>
</sst>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quot;$&quot;\ #,##0"/>
    <numFmt numFmtId="166" formatCode="dd/mm/yyyy;@"/>
    <numFmt numFmtId="167" formatCode="_(* #,##0_);_(* \(#,##0\);_(* &quot;-&quot;??_);_(@_)"/>
    <numFmt numFmtId="168" formatCode="00"/>
    <numFmt numFmtId="169" formatCode="&quot;$&quot;#,##0.00"/>
    <numFmt numFmtId="170" formatCode="0.0"/>
    <numFmt numFmtId="171" formatCode="0_ ;\-0\ "/>
    <numFmt numFmtId="172" formatCode="_-* #,##0_-;\-* #,##0_-;_-* &quot;-&quot;_-;_-@_-"/>
    <numFmt numFmtId="173" formatCode="_-&quot;$&quot;* #,##0.00_-;\-&quot;$&quot;* #,##0.00_-;_-&quot;$&quot;* &quot;-&quot;??_-;_-@_-"/>
    <numFmt numFmtId="174" formatCode="_(&quot;$&quot;\ * #,##0_);_(&quot;$&quot;\ * \(#,##0\);_(&quot;$&quot;\ * &quot;-&quot;??_);_(@_)"/>
    <numFmt numFmtId="175" formatCode="0.0%"/>
    <numFmt numFmtId="176" formatCode="#,##0.00;[Red]#,##0.00"/>
    <numFmt numFmtId="177" formatCode="#,##0;[Red]#,##0"/>
    <numFmt numFmtId="178" formatCode="0;[Red]0"/>
    <numFmt numFmtId="179" formatCode="_-* #,##0_-;\-* #,##0_-;_-* &quot;-&quot;??_-;_-@_-"/>
    <numFmt numFmtId="180" formatCode="&quot;$&quot;#,##0"/>
    <numFmt numFmtId="181" formatCode="_-&quot;$&quot;* #,##0_-;\-&quot;$&quot;* #,##0_-;_-&quot;$&quot;* &quot;-&quot;??_-;_-@_-"/>
    <numFmt numFmtId="182" formatCode="_-&quot;$&quot;* #,##0_-;\-&quot;$&quot;* #,##0_-;_-&quot;$&quot;* &quot;-&quot;_-;_-@_-"/>
    <numFmt numFmtId="183" formatCode="&quot;$&quot;\ #,##0.00"/>
    <numFmt numFmtId="184" formatCode="_ [$€-2]\ * #,##0.00_ ;_ [$€-2]\ * \-#,##0.00_ ;_ [$€-2]\ * &quot;-&quot;??_ "/>
    <numFmt numFmtId="185" formatCode="#,##0.000"/>
    <numFmt numFmtId="186" formatCode="#,##0.0"/>
    <numFmt numFmtId="187" formatCode="d/mm/yyyy;@"/>
    <numFmt numFmtId="188" formatCode="_(* #,##0.00_);_(* \(#,##0.00\);_(* &quot;-&quot;_);_(@_)"/>
    <numFmt numFmtId="189" formatCode="_-[$$-240A]* #,##0.00_-;\-[$$-240A]* #,##0.00_-;_-[$$-240A]* &quot;-&quot;??_-;_-@_-"/>
    <numFmt numFmtId="190" formatCode="_-[$$-240A]* #,##0.00_-;\-[$$-240A]* #,##0.00_-;_-[$$-240A]* &quot;-&quot;_-;_-@_-"/>
    <numFmt numFmtId="191" formatCode="_-&quot;$&quot;\ * #,##0_-;\-&quot;$&quot;\ * #,##0_-;_-&quot;$&quot;\ * &quot;-&quot;_-;_-@_-"/>
    <numFmt numFmtId="192" formatCode="_-* #,##0.00_-;\-* #,##0.00_-;_-* &quot;-&quot;??_-;_-@_-"/>
    <numFmt numFmtId="193" formatCode="_-* #,##0.00\ _€_-;\-* #,##0.00\ _€_-;_-* &quot;-&quot;??\ _€_-;_-@_-"/>
  </numFmts>
  <fonts count="45" x14ac:knownFonts="1">
    <font>
      <sz val="11"/>
      <color theme="1"/>
      <name val="Calibri"/>
      <family val="2"/>
      <scheme val="minor"/>
    </font>
    <font>
      <sz val="11"/>
      <color theme="1"/>
      <name val="Calibri"/>
      <family val="2"/>
      <scheme val="minor"/>
    </font>
    <font>
      <b/>
      <sz val="14"/>
      <color indexed="8"/>
      <name val="Arial"/>
      <family val="2"/>
    </font>
    <font>
      <b/>
      <sz val="10"/>
      <color indexed="8"/>
      <name val="Arial"/>
      <family val="2"/>
    </font>
    <font>
      <sz val="12"/>
      <color indexed="8"/>
      <name val="Arial"/>
      <family val="2"/>
    </font>
    <font>
      <b/>
      <sz val="12"/>
      <color indexed="8"/>
      <name val="Arial"/>
      <family val="2"/>
    </font>
    <font>
      <sz val="11"/>
      <color indexed="8"/>
      <name val="Calibri"/>
      <family val="2"/>
    </font>
    <font>
      <b/>
      <sz val="12"/>
      <name val="Arial"/>
      <family val="2"/>
    </font>
    <font>
      <sz val="12"/>
      <name val="Arial"/>
      <family val="2"/>
    </font>
    <font>
      <sz val="10"/>
      <color theme="1"/>
      <name val="Arial"/>
      <family val="2"/>
    </font>
    <font>
      <sz val="12"/>
      <color rgb="FFFF0000"/>
      <name val="Arial"/>
      <family val="2"/>
    </font>
    <font>
      <b/>
      <sz val="14"/>
      <color theme="1"/>
      <name val="Arial"/>
      <family val="2"/>
    </font>
    <font>
      <b/>
      <sz val="11"/>
      <color theme="1"/>
      <name val="Arial"/>
      <family val="2"/>
    </font>
    <font>
      <sz val="11"/>
      <color theme="1"/>
      <name val="Arial"/>
      <family val="2"/>
    </font>
    <font>
      <b/>
      <sz val="11"/>
      <color indexed="8"/>
      <name val="Arial"/>
      <family val="2"/>
    </font>
    <font>
      <b/>
      <sz val="9"/>
      <name val="Calibri"/>
      <family val="2"/>
      <scheme val="minor"/>
    </font>
    <font>
      <sz val="11"/>
      <name val="Arial"/>
      <family val="2"/>
    </font>
    <font>
      <sz val="11"/>
      <color rgb="FF000000"/>
      <name val="Calibri"/>
      <family val="2"/>
      <scheme val="minor"/>
    </font>
    <font>
      <sz val="11"/>
      <color rgb="FF000000"/>
      <name val="Arial"/>
      <family val="2"/>
    </font>
    <font>
      <sz val="12"/>
      <color rgb="FF000000"/>
      <name val="Calibri"/>
      <family val="2"/>
      <scheme val="minor"/>
    </font>
    <font>
      <sz val="12"/>
      <color theme="1"/>
      <name val="Arial"/>
      <family val="2"/>
    </font>
    <font>
      <sz val="8"/>
      <color theme="1"/>
      <name val="Calibri"/>
      <family val="2"/>
      <scheme val="minor"/>
    </font>
    <font>
      <b/>
      <sz val="11"/>
      <name val="Arial"/>
      <family val="2"/>
    </font>
    <font>
      <b/>
      <sz val="10"/>
      <name val="Arial"/>
      <family val="2"/>
    </font>
    <font>
      <sz val="9"/>
      <name val="Calibri"/>
      <family val="2"/>
      <scheme val="minor"/>
    </font>
    <font>
      <sz val="10"/>
      <name val="Arial"/>
      <family val="2"/>
    </font>
    <font>
      <sz val="11"/>
      <name val="Calibri"/>
      <family val="2"/>
      <scheme val="minor"/>
    </font>
    <font>
      <b/>
      <sz val="10"/>
      <color theme="1"/>
      <name val="Arial"/>
      <family val="2"/>
    </font>
    <font>
      <b/>
      <sz val="12"/>
      <color theme="1"/>
      <name val="Arial"/>
      <family val="2"/>
    </font>
    <font>
      <b/>
      <sz val="14"/>
      <name val="Arial"/>
      <family val="2"/>
    </font>
    <font>
      <b/>
      <sz val="12"/>
      <name val="Calibri"/>
      <family val="2"/>
      <scheme val="minor"/>
    </font>
    <font>
      <sz val="12"/>
      <name val="Calibri"/>
      <family val="2"/>
      <scheme val="minor"/>
    </font>
    <font>
      <sz val="14"/>
      <name val="Arial"/>
      <family val="2"/>
    </font>
    <font>
      <b/>
      <sz val="11"/>
      <name val="Calibri"/>
      <family val="2"/>
      <scheme val="minor"/>
    </font>
    <font>
      <sz val="11"/>
      <color indexed="8"/>
      <name val="Arial"/>
      <family val="2"/>
    </font>
    <font>
      <sz val="12"/>
      <color rgb="FF000000"/>
      <name val="Arial"/>
      <family val="2"/>
    </font>
    <font>
      <b/>
      <sz val="12"/>
      <color theme="1"/>
      <name val="Calibri"/>
      <family val="2"/>
      <scheme val="minor"/>
    </font>
    <font>
      <sz val="9"/>
      <name val="Arial"/>
      <family val="2"/>
    </font>
    <font>
      <sz val="16"/>
      <color theme="1"/>
      <name val="Arial"/>
      <family val="2"/>
    </font>
    <font>
      <sz val="14"/>
      <color theme="1"/>
      <name val="Arial"/>
      <family val="2"/>
    </font>
    <font>
      <b/>
      <sz val="9"/>
      <name val="Arial"/>
      <family val="2"/>
    </font>
    <font>
      <i/>
      <sz val="11"/>
      <name val="Arial"/>
      <family val="2"/>
    </font>
    <font>
      <b/>
      <sz val="9"/>
      <color theme="1"/>
      <name val="Calibri"/>
      <family val="2"/>
      <scheme val="minor"/>
    </font>
    <font>
      <sz val="9"/>
      <color theme="1"/>
      <name val="Calibri"/>
      <family val="2"/>
      <scheme val="minor"/>
    </font>
    <font>
      <b/>
      <sz val="12"/>
      <color rgb="FFFF0000"/>
      <name val="Arial"/>
      <family val="2"/>
    </font>
  </fonts>
  <fills count="2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FD966"/>
        <bgColor indexed="64"/>
      </patternFill>
    </fill>
    <fill>
      <patternFill patternType="solid">
        <fgColor rgb="FFACB9CA"/>
        <bgColor indexed="64"/>
      </patternFill>
    </fill>
    <fill>
      <patternFill patternType="solid">
        <fgColor rgb="FFC6E0B4"/>
        <bgColor indexed="64"/>
      </patternFill>
    </fill>
    <fill>
      <patternFill patternType="solid">
        <fgColor rgb="FFE0C316"/>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FF"/>
        <bgColor indexed="64"/>
      </patternFill>
    </fill>
    <fill>
      <patternFill patternType="solid">
        <fgColor theme="2" tint="-9.9978637043366805E-2"/>
        <bgColor indexed="64"/>
      </patternFill>
    </fill>
    <fill>
      <patternFill patternType="solid">
        <fgColor rgb="FFFF0000"/>
        <bgColor indexed="64"/>
      </patternFill>
    </fill>
  </fills>
  <borders count="9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auto="1"/>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style="medium">
        <color indexed="64"/>
      </left>
      <right style="thin">
        <color indexed="64"/>
      </right>
      <top style="medium">
        <color indexed="64"/>
      </top>
      <bottom/>
      <diagonal/>
    </border>
    <border>
      <left style="medium">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auto="1"/>
      </right>
      <top style="medium">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indexed="64"/>
      </right>
      <top style="thin">
        <color rgb="FF000000"/>
      </top>
      <bottom/>
      <diagonal/>
    </border>
    <border>
      <left/>
      <right style="medium">
        <color indexed="64"/>
      </right>
      <top style="thin">
        <color indexed="64"/>
      </top>
      <bottom/>
      <diagonal/>
    </border>
    <border>
      <left/>
      <right style="medium">
        <color indexed="64"/>
      </right>
      <top/>
      <bottom/>
      <diagonal/>
    </border>
    <border>
      <left style="thin">
        <color rgb="FF000000"/>
      </left>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rgb="FF000000"/>
      </left>
      <right/>
      <top/>
      <bottom/>
      <diagonal/>
    </border>
    <border>
      <left style="thin">
        <color rgb="FF000000"/>
      </left>
      <right style="thin">
        <color indexed="64"/>
      </right>
      <top style="thin">
        <color rgb="FF000000"/>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auto="1"/>
      </left>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auto="1"/>
      </left>
      <right/>
      <top/>
      <bottom style="medium">
        <color indexed="64"/>
      </bottom>
      <diagonal/>
    </border>
    <border>
      <left/>
      <right style="thin">
        <color indexed="64"/>
      </right>
      <top/>
      <bottom style="medium">
        <color indexed="64"/>
      </bottom>
      <diagonal/>
    </border>
    <border>
      <left style="thin">
        <color rgb="FF000000"/>
      </left>
      <right/>
      <top style="thin">
        <color rgb="FF000000"/>
      </top>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medium">
        <color indexed="64"/>
      </right>
      <top/>
      <bottom style="medium">
        <color indexed="64"/>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4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0" fontId="25" fillId="0" borderId="0"/>
    <xf numFmtId="9" fontId="6"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4" fontId="1" fillId="0" borderId="0"/>
    <xf numFmtId="0" fontId="25" fillId="0" borderId="0"/>
    <xf numFmtId="0" fontId="25" fillId="0" borderId="0"/>
    <xf numFmtId="0" fontId="1" fillId="0" borderId="0"/>
    <xf numFmtId="0" fontId="25" fillId="0" borderId="0"/>
    <xf numFmtId="193" fontId="1" fillId="0" borderId="0" applyFont="0" applyFill="0" applyBorder="0" applyAlignment="0" applyProtection="0"/>
  </cellStyleXfs>
  <cellXfs count="4512">
    <xf numFmtId="0" fontId="0" fillId="0" borderId="0" xfId="0"/>
    <xf numFmtId="0" fontId="3" fillId="0" borderId="3" xfId="0" applyFont="1" applyBorder="1" applyAlignment="1">
      <alignment vertical="center"/>
    </xf>
    <xf numFmtId="0" fontId="3" fillId="0" borderId="4" xfId="0" applyFont="1" applyBorder="1" applyAlignment="1">
      <alignment vertical="center"/>
    </xf>
    <xf numFmtId="0" fontId="4" fillId="0" borderId="0" xfId="0" applyFont="1"/>
    <xf numFmtId="0" fontId="3" fillId="0" borderId="6" xfId="0" applyFont="1" applyBorder="1" applyAlignment="1">
      <alignment horizontal="left" vertical="center"/>
    </xf>
    <xf numFmtId="49" fontId="3" fillId="0" borderId="7" xfId="0" applyNumberFormat="1" applyFont="1" applyBorder="1" applyAlignment="1">
      <alignment vertical="center"/>
    </xf>
    <xf numFmtId="0" fontId="3" fillId="0" borderId="6" xfId="0" applyFont="1" applyBorder="1" applyAlignment="1">
      <alignment vertical="center"/>
    </xf>
    <xf numFmtId="17" fontId="3" fillId="0" borderId="7" xfId="0" applyNumberFormat="1" applyFont="1" applyBorder="1" applyAlignment="1">
      <alignment horizontal="left" vertical="center"/>
    </xf>
    <xf numFmtId="3" fontId="3" fillId="0" borderId="7" xfId="0" applyNumberFormat="1" applyFont="1" applyBorder="1" applyAlignment="1">
      <alignment horizontal="left" vertical="center" wrapText="1"/>
    </xf>
    <xf numFmtId="0" fontId="5" fillId="0" borderId="12" xfId="0" applyFont="1" applyBorder="1" applyAlignment="1">
      <alignment horizontal="justify" vertical="center"/>
    </xf>
    <xf numFmtId="0" fontId="5" fillId="0" borderId="9" xfId="0" applyFont="1" applyBorder="1" applyAlignment="1">
      <alignment horizontal="justify" vertical="center"/>
    </xf>
    <xf numFmtId="10" fontId="7" fillId="0" borderId="9" xfId="4" applyNumberFormat="1"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14" xfId="0" applyFont="1" applyBorder="1" applyAlignment="1">
      <alignment vertical="center"/>
    </xf>
    <xf numFmtId="1" fontId="5" fillId="2" borderId="18" xfId="0" applyNumberFormat="1" applyFont="1" applyFill="1" applyBorder="1" applyAlignment="1">
      <alignment horizontal="center" vertical="center" wrapText="1"/>
    </xf>
    <xf numFmtId="1" fontId="5" fillId="4" borderId="28" xfId="0" applyNumberFormat="1" applyFont="1" applyFill="1" applyBorder="1" applyAlignment="1">
      <alignment horizontal="left" vertical="center" wrapText="1"/>
    </xf>
    <xf numFmtId="0" fontId="5" fillId="4" borderId="20" xfId="0" applyFont="1" applyFill="1" applyBorder="1" applyAlignment="1">
      <alignment vertical="center"/>
    </xf>
    <xf numFmtId="0" fontId="5" fillId="4" borderId="20" xfId="0" applyFont="1" applyFill="1" applyBorder="1" applyAlignment="1">
      <alignment horizontal="justify" vertical="center"/>
    </xf>
    <xf numFmtId="0" fontId="5" fillId="4" borderId="20" xfId="0" applyFont="1" applyFill="1" applyBorder="1" applyAlignment="1">
      <alignment horizontal="center" vertical="center"/>
    </xf>
    <xf numFmtId="10" fontId="7" fillId="4" borderId="20" xfId="4" applyNumberFormat="1" applyFont="1" applyFill="1" applyBorder="1" applyAlignment="1">
      <alignment horizontal="center" vertical="center"/>
    </xf>
    <xf numFmtId="43" fontId="5" fillId="4" borderId="20" xfId="5" applyFont="1" applyFill="1" applyBorder="1" applyAlignment="1">
      <alignment horizontal="justify" vertical="center"/>
    </xf>
    <xf numFmtId="165" fontId="5" fillId="4" borderId="20" xfId="0" applyNumberFormat="1" applyFont="1" applyFill="1" applyBorder="1" applyAlignment="1">
      <alignment horizontal="center" vertical="center"/>
    </xf>
    <xf numFmtId="1" fontId="5" fillId="4" borderId="20" xfId="0" applyNumberFormat="1" applyFont="1" applyFill="1" applyBorder="1" applyAlignment="1">
      <alignment horizontal="center" vertical="center"/>
    </xf>
    <xf numFmtId="166" fontId="5" fillId="4" borderId="20" xfId="0" applyNumberFormat="1" applyFont="1" applyFill="1" applyBorder="1" applyAlignment="1">
      <alignment vertical="center"/>
    </xf>
    <xf numFmtId="0" fontId="5" fillId="4" borderId="29" xfId="0" applyFont="1" applyFill="1" applyBorder="1" applyAlignment="1">
      <alignment horizontal="justify" vertical="center"/>
    </xf>
    <xf numFmtId="1" fontId="5" fillId="5" borderId="10" xfId="0" applyNumberFormat="1" applyFont="1" applyFill="1" applyBorder="1" applyAlignment="1">
      <alignment vertical="center" wrapText="1"/>
    </xf>
    <xf numFmtId="1" fontId="5" fillId="5" borderId="11" xfId="0" applyNumberFormat="1" applyFont="1" applyFill="1" applyBorder="1" applyAlignment="1">
      <alignment vertical="center" wrapText="1"/>
    </xf>
    <xf numFmtId="1" fontId="5" fillId="5" borderId="17" xfId="0" applyNumberFormat="1" applyFont="1" applyFill="1" applyBorder="1" applyAlignment="1">
      <alignment vertical="center" wrapText="1"/>
    </xf>
    <xf numFmtId="1" fontId="5" fillId="2" borderId="12" xfId="0" applyNumberFormat="1" applyFont="1" applyFill="1" applyBorder="1" applyAlignment="1">
      <alignment horizontal="center" vertical="center"/>
    </xf>
    <xf numFmtId="0" fontId="5" fillId="2" borderId="9" xfId="0" applyFont="1" applyFill="1" applyBorder="1" applyAlignment="1">
      <alignment vertical="center"/>
    </xf>
    <xf numFmtId="0" fontId="5" fillId="2" borderId="9" xfId="0" applyFont="1" applyFill="1" applyBorder="1" applyAlignment="1">
      <alignment horizontal="justify" vertical="center"/>
    </xf>
    <xf numFmtId="10" fontId="7" fillId="2" borderId="9" xfId="4" applyNumberFormat="1" applyFont="1" applyFill="1" applyBorder="1" applyAlignment="1">
      <alignment horizontal="center" vertical="center"/>
    </xf>
    <xf numFmtId="43" fontId="5" fillId="2" borderId="9" xfId="5" applyFont="1" applyFill="1" applyBorder="1" applyAlignment="1">
      <alignment horizontal="justify" vertical="center"/>
    </xf>
    <xf numFmtId="165" fontId="5" fillId="2" borderId="9" xfId="0" applyNumberFormat="1" applyFont="1" applyFill="1" applyBorder="1" applyAlignment="1">
      <alignment horizontal="center" vertical="center"/>
    </xf>
    <xf numFmtId="1" fontId="5" fillId="2" borderId="9" xfId="0" applyNumberFormat="1" applyFont="1" applyFill="1" applyBorder="1" applyAlignment="1">
      <alignment horizontal="center" vertical="center"/>
    </xf>
    <xf numFmtId="0" fontId="5" fillId="2" borderId="9" xfId="0" applyFont="1" applyFill="1" applyBorder="1" applyAlignment="1">
      <alignment horizontal="center" vertical="center"/>
    </xf>
    <xf numFmtId="166" fontId="5" fillId="2" borderId="9" xfId="0" applyNumberFormat="1" applyFont="1" applyFill="1" applyBorder="1" applyAlignment="1">
      <alignment vertical="center"/>
    </xf>
    <xf numFmtId="0" fontId="5" fillId="2" borderId="14" xfId="0" applyFont="1" applyFill="1" applyBorder="1" applyAlignment="1">
      <alignment horizontal="justify" vertical="center"/>
    </xf>
    <xf numFmtId="1" fontId="5" fillId="5" borderId="5" xfId="0" applyNumberFormat="1" applyFont="1" applyFill="1" applyBorder="1" applyAlignment="1">
      <alignment vertical="center" wrapText="1"/>
    </xf>
    <xf numFmtId="1" fontId="5" fillId="5" borderId="0" xfId="0" applyNumberFormat="1" applyFont="1" applyFill="1" applyBorder="1" applyAlignment="1">
      <alignment vertical="center" wrapText="1"/>
    </xf>
    <xf numFmtId="1" fontId="5" fillId="5" borderId="24" xfId="0" applyNumberFormat="1" applyFont="1" applyFill="1" applyBorder="1" applyAlignment="1">
      <alignment vertical="center" wrapText="1"/>
    </xf>
    <xf numFmtId="0" fontId="5" fillId="5" borderId="16" xfId="0" applyFont="1" applyFill="1" applyBorder="1" applyAlignment="1">
      <alignment vertical="center" wrapText="1"/>
    </xf>
    <xf numFmtId="0" fontId="5" fillId="5" borderId="11" xfId="0" applyFont="1" applyFill="1" applyBorder="1" applyAlignment="1">
      <alignment vertical="center" wrapText="1"/>
    </xf>
    <xf numFmtId="0" fontId="5" fillId="5" borderId="17" xfId="0" applyFont="1" applyFill="1" applyBorder="1" applyAlignment="1">
      <alignment vertical="center" wrapText="1"/>
    </xf>
    <xf numFmtId="1" fontId="5" fillId="6" borderId="19" xfId="0" applyNumberFormat="1" applyFont="1" applyFill="1" applyBorder="1" applyAlignment="1">
      <alignment horizontal="left" vertical="center" wrapText="1" indent="1"/>
    </xf>
    <xf numFmtId="0" fontId="5" fillId="6" borderId="20" xfId="0" applyFont="1" applyFill="1" applyBorder="1" applyAlignment="1">
      <alignment vertical="center"/>
    </xf>
    <xf numFmtId="0" fontId="5" fillId="6" borderId="20" xfId="0" applyFont="1" applyFill="1" applyBorder="1" applyAlignment="1">
      <alignment horizontal="justify" vertical="center"/>
    </xf>
    <xf numFmtId="10" fontId="7" fillId="6" borderId="20" xfId="4" applyNumberFormat="1" applyFont="1" applyFill="1" applyBorder="1" applyAlignment="1">
      <alignment horizontal="center" vertical="center"/>
    </xf>
    <xf numFmtId="43" fontId="5" fillId="6" borderId="20" xfId="5" applyFont="1" applyFill="1" applyBorder="1" applyAlignment="1">
      <alignment horizontal="justify" vertical="center"/>
    </xf>
    <xf numFmtId="165" fontId="5" fillId="6" borderId="20" xfId="0" applyNumberFormat="1" applyFont="1" applyFill="1" applyBorder="1" applyAlignment="1">
      <alignment horizontal="center" vertical="center"/>
    </xf>
    <xf numFmtId="1" fontId="5" fillId="6"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166" fontId="5" fillId="6" borderId="20" xfId="0" applyNumberFormat="1" applyFont="1" applyFill="1" applyBorder="1" applyAlignment="1">
      <alignment vertical="center"/>
    </xf>
    <xf numFmtId="0" fontId="5" fillId="6" borderId="29" xfId="0" applyFont="1" applyFill="1" applyBorder="1" applyAlignment="1">
      <alignment horizontal="justify" vertical="center"/>
    </xf>
    <xf numFmtId="1" fontId="5" fillId="0" borderId="5" xfId="0" applyNumberFormat="1" applyFont="1" applyBorder="1" applyAlignment="1">
      <alignment vertical="center" wrapText="1"/>
    </xf>
    <xf numFmtId="1" fontId="5" fillId="0" borderId="0" xfId="0" applyNumberFormat="1" applyFont="1" applyBorder="1" applyAlignment="1">
      <alignment vertical="center" wrapText="1"/>
    </xf>
    <xf numFmtId="1" fontId="5" fillId="0" borderId="24" xfId="0" applyNumberFormat="1"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0" fontId="5" fillId="0" borderId="24" xfId="0" applyFont="1" applyBorder="1" applyAlignment="1">
      <alignment vertical="center" wrapText="1"/>
    </xf>
    <xf numFmtId="0" fontId="4" fillId="0" borderId="16" xfId="0" applyFont="1" applyBorder="1" applyAlignment="1">
      <alignment vertical="center" wrapText="1"/>
    </xf>
    <xf numFmtId="0" fontId="4" fillId="0" borderId="11"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8" xfId="0" applyFont="1" applyBorder="1" applyAlignment="1">
      <alignment horizontal="justify" vertical="center" wrapText="1"/>
    </xf>
    <xf numFmtId="0" fontId="4" fillId="7" borderId="18" xfId="0" applyFont="1" applyFill="1" applyBorder="1" applyAlignment="1">
      <alignment horizontal="center" vertical="center" wrapText="1"/>
    </xf>
    <xf numFmtId="0" fontId="8" fillId="0" borderId="18" xfId="0" applyFont="1" applyBorder="1" applyAlignment="1">
      <alignment horizontal="justify" vertical="center" wrapText="1"/>
    </xf>
    <xf numFmtId="9" fontId="8" fillId="0" borderId="18" xfId="4" applyFont="1" applyBorder="1" applyAlignment="1">
      <alignment horizontal="center" vertical="center" wrapText="1"/>
    </xf>
    <xf numFmtId="43" fontId="4" fillId="0" borderId="18" xfId="5" applyFont="1" applyBorder="1" applyAlignment="1">
      <alignment horizontal="center" vertical="center" wrapText="1"/>
    </xf>
    <xf numFmtId="3" fontId="4" fillId="0" borderId="18" xfId="0" applyNumberFormat="1" applyFont="1" applyBorder="1" applyAlignment="1">
      <alignment horizontal="justify" vertical="center" wrapText="1"/>
    </xf>
    <xf numFmtId="0" fontId="4" fillId="0" borderId="6" xfId="0" applyFont="1" applyBorder="1" applyAlignment="1">
      <alignment horizontal="justify" vertical="center" wrapText="1"/>
    </xf>
    <xf numFmtId="43" fontId="4" fillId="0" borderId="6" xfId="5" applyFont="1" applyFill="1" applyBorder="1" applyAlignment="1">
      <alignment horizontal="center" vertical="center" wrapText="1"/>
    </xf>
    <xf numFmtId="1" fontId="4"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3" fontId="4" fillId="0" borderId="18" xfId="0" applyNumberFormat="1" applyFont="1" applyBorder="1" applyAlignment="1">
      <alignment horizontal="center" vertical="center"/>
    </xf>
    <xf numFmtId="164" fontId="4" fillId="0" borderId="18" xfId="0"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0" fontId="10" fillId="0" borderId="0" xfId="0" applyFont="1" applyAlignment="1">
      <alignment horizontal="justify" vertical="center" wrapText="1"/>
    </xf>
    <xf numFmtId="0" fontId="4" fillId="0" borderId="23" xfId="0" applyFont="1" applyBorder="1" applyAlignment="1">
      <alignment vertical="center" wrapText="1"/>
    </xf>
    <xf numFmtId="0" fontId="4" fillId="0" borderId="0" xfId="0" applyFont="1" applyBorder="1" applyAlignment="1">
      <alignment vertical="center" wrapText="1"/>
    </xf>
    <xf numFmtId="0" fontId="4" fillId="0" borderId="24" xfId="0" applyFont="1" applyBorder="1" applyAlignment="1">
      <alignment vertical="center" wrapText="1"/>
    </xf>
    <xf numFmtId="3" fontId="4" fillId="0" borderId="6" xfId="0" applyNumberFormat="1" applyFont="1" applyBorder="1" applyAlignment="1">
      <alignment horizontal="justify" vertical="center" wrapText="1"/>
    </xf>
    <xf numFmtId="1" fontId="4" fillId="0" borderId="27"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Alignment="1">
      <alignment horizontal="justify" vertical="center" wrapText="1"/>
    </xf>
    <xf numFmtId="0" fontId="5" fillId="5" borderId="23" xfId="0" applyFont="1" applyFill="1" applyBorder="1" applyAlignment="1">
      <alignment vertical="center" wrapText="1"/>
    </xf>
    <xf numFmtId="0" fontId="5" fillId="5" borderId="0" xfId="0" applyFont="1" applyFill="1" applyBorder="1" applyAlignment="1">
      <alignment vertical="center" wrapText="1"/>
    </xf>
    <xf numFmtId="0" fontId="5" fillId="5" borderId="24" xfId="0" applyFont="1" applyFill="1" applyBorder="1" applyAlignment="1">
      <alignment vertical="center" wrapText="1"/>
    </xf>
    <xf numFmtId="0" fontId="4" fillId="5" borderId="23" xfId="0" applyFont="1" applyFill="1" applyBorder="1" applyAlignment="1">
      <alignment vertical="center" wrapText="1"/>
    </xf>
    <xf numFmtId="0" fontId="4" fillId="5" borderId="0" xfId="0" applyFont="1" applyFill="1" applyBorder="1" applyAlignment="1">
      <alignment vertical="center" wrapText="1"/>
    </xf>
    <xf numFmtId="0" fontId="4" fillId="5" borderId="24" xfId="0" applyFont="1" applyFill="1" applyBorder="1" applyAlignment="1">
      <alignment vertical="center" wrapText="1"/>
    </xf>
    <xf numFmtId="0" fontId="8" fillId="0" borderId="6" xfId="0" applyFont="1" applyBorder="1" applyAlignment="1">
      <alignment horizontal="center" vertical="center" wrapText="1"/>
    </xf>
    <xf numFmtId="0" fontId="8" fillId="0" borderId="6" xfId="0" applyFont="1" applyBorder="1" applyAlignment="1">
      <alignment horizontal="justify" vertical="center" wrapText="1"/>
    </xf>
    <xf numFmtId="10" fontId="8" fillId="0" borderId="6" xfId="4" applyNumberFormat="1" applyFont="1" applyBorder="1" applyAlignment="1">
      <alignment horizontal="center" vertical="center" wrapText="1"/>
    </xf>
    <xf numFmtId="43" fontId="4" fillId="0" borderId="6" xfId="5" applyFont="1" applyBorder="1" applyAlignment="1">
      <alignment horizontal="center" vertical="center" wrapText="1"/>
    </xf>
    <xf numFmtId="3" fontId="4" fillId="0" borderId="6" xfId="0" applyNumberFormat="1" applyFont="1" applyBorder="1" applyAlignment="1">
      <alignment horizontal="center" vertical="center"/>
    </xf>
    <xf numFmtId="164" fontId="4" fillId="0" borderId="6"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5" borderId="18" xfId="0" applyFont="1" applyFill="1" applyBorder="1" applyAlignment="1">
      <alignment vertical="center" wrapText="1"/>
    </xf>
    <xf numFmtId="10" fontId="8" fillId="5" borderId="6" xfId="4" applyNumberFormat="1" applyFont="1" applyFill="1" applyBorder="1" applyAlignment="1">
      <alignment horizontal="center" vertical="center" wrapText="1"/>
    </xf>
    <xf numFmtId="43" fontId="4" fillId="0" borderId="19" xfId="5" applyFont="1" applyFill="1" applyBorder="1" applyAlignment="1">
      <alignment horizontal="center" vertical="center" wrapText="1"/>
    </xf>
    <xf numFmtId="1" fontId="4" fillId="5" borderId="19"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43" fontId="8" fillId="0" borderId="6" xfId="5" applyFont="1" applyFill="1" applyBorder="1" applyAlignment="1">
      <alignment horizontal="right" vertical="center"/>
    </xf>
    <xf numFmtId="0" fontId="10" fillId="0" borderId="0" xfId="0" applyFont="1"/>
    <xf numFmtId="0" fontId="4" fillId="5" borderId="25" xfId="0" applyFont="1" applyFill="1" applyBorder="1" applyAlignment="1">
      <alignment vertical="center" wrapText="1"/>
    </xf>
    <xf numFmtId="0" fontId="4" fillId="0" borderId="27" xfId="0" applyFont="1" applyBorder="1" applyAlignment="1">
      <alignment horizontal="justify" vertical="center" wrapText="1"/>
    </xf>
    <xf numFmtId="1" fontId="5" fillId="5" borderId="5" xfId="0" applyNumberFormat="1" applyFont="1" applyFill="1" applyBorder="1" applyAlignment="1">
      <alignment horizontal="center" vertical="center" wrapText="1"/>
    </xf>
    <xf numFmtId="1" fontId="5" fillId="5" borderId="0" xfId="0" applyNumberFormat="1" applyFont="1" applyFill="1" applyBorder="1" applyAlignment="1">
      <alignment horizontal="center" vertical="center" wrapText="1"/>
    </xf>
    <xf numFmtId="1" fontId="5" fillId="5" borderId="24" xfId="0" applyNumberFormat="1"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16" xfId="0" applyFont="1" applyBorder="1" applyAlignment="1">
      <alignment horizontal="center" vertical="center" wrapText="1"/>
    </xf>
    <xf numFmtId="10" fontId="8" fillId="5" borderId="18" xfId="4" applyNumberFormat="1" applyFont="1" applyFill="1" applyBorder="1" applyAlignment="1">
      <alignment horizontal="center" vertical="center" wrapText="1"/>
    </xf>
    <xf numFmtId="43" fontId="4" fillId="7" borderId="6" xfId="5" applyFont="1" applyFill="1" applyBorder="1" applyAlignment="1">
      <alignment horizontal="center" vertical="center" wrapText="1"/>
    </xf>
    <xf numFmtId="1" fontId="4" fillId="5" borderId="16"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1" xfId="0" applyFont="1" applyFill="1" applyBorder="1"/>
    <xf numFmtId="0" fontId="4" fillId="5" borderId="32" xfId="0" applyFont="1" applyFill="1" applyBorder="1"/>
    <xf numFmtId="0" fontId="4" fillId="5" borderId="32" xfId="0" applyFont="1" applyFill="1" applyBorder="1" applyAlignment="1">
      <alignment horizontal="justify"/>
    </xf>
    <xf numFmtId="0" fontId="4" fillId="5" borderId="32" xfId="0" applyFont="1" applyFill="1" applyBorder="1" applyAlignment="1">
      <alignment horizontal="justify" vertical="center" wrapText="1"/>
    </xf>
    <xf numFmtId="0" fontId="4" fillId="5" borderId="32" xfId="0" applyFont="1" applyFill="1" applyBorder="1" applyAlignment="1">
      <alignment horizontal="justify" vertical="center"/>
    </xf>
    <xf numFmtId="1" fontId="4" fillId="5" borderId="32" xfId="0" applyNumberFormat="1" applyFont="1" applyFill="1" applyBorder="1" applyAlignment="1">
      <alignment horizontal="justify" vertical="center"/>
    </xf>
    <xf numFmtId="10" fontId="8" fillId="5" borderId="33" xfId="4" applyNumberFormat="1" applyFont="1" applyFill="1" applyBorder="1" applyAlignment="1">
      <alignment horizontal="center" vertical="center"/>
    </xf>
    <xf numFmtId="43" fontId="5" fillId="5" borderId="34" xfId="5" applyFont="1" applyFill="1" applyBorder="1" applyAlignment="1">
      <alignment horizontal="justify" vertical="center"/>
    </xf>
    <xf numFmtId="0" fontId="4" fillId="5" borderId="31" xfId="0" applyFont="1" applyFill="1" applyBorder="1" applyAlignment="1">
      <alignment horizontal="justify" vertical="center" wrapText="1"/>
    </xf>
    <xf numFmtId="0" fontId="4" fillId="5" borderId="33" xfId="0" applyFont="1" applyFill="1" applyBorder="1" applyAlignment="1">
      <alignment horizontal="justify" vertical="center" wrapText="1"/>
    </xf>
    <xf numFmtId="43" fontId="5" fillId="0" borderId="34" xfId="5" applyFont="1" applyBorder="1" applyAlignment="1">
      <alignment horizontal="center" vertical="center"/>
    </xf>
    <xf numFmtId="1" fontId="4" fillId="5" borderId="31" xfId="0" applyNumberFormat="1" applyFont="1" applyFill="1" applyBorder="1" applyAlignment="1">
      <alignment horizontal="center" vertical="center"/>
    </xf>
    <xf numFmtId="1" fontId="4" fillId="5" borderId="32" xfId="0" applyNumberFormat="1" applyFont="1" applyFill="1" applyBorder="1" applyAlignment="1">
      <alignment horizontal="center" vertical="center"/>
    </xf>
    <xf numFmtId="1" fontId="4" fillId="5" borderId="32" xfId="0" applyNumberFormat="1" applyFont="1" applyFill="1" applyBorder="1" applyAlignment="1">
      <alignment horizontal="center" vertical="center" textRotation="180" wrapText="1"/>
    </xf>
    <xf numFmtId="166" fontId="4" fillId="5" borderId="32" xfId="0" applyNumberFormat="1" applyFont="1" applyFill="1" applyBorder="1" applyAlignment="1">
      <alignment horizontal="center" vertical="center"/>
    </xf>
    <xf numFmtId="0" fontId="4" fillId="5" borderId="33" xfId="0" applyFont="1" applyFill="1" applyBorder="1" applyAlignment="1">
      <alignment horizontal="justify" vertical="center"/>
    </xf>
    <xf numFmtId="0" fontId="5" fillId="5" borderId="0" xfId="0" applyFont="1" applyFill="1" applyBorder="1"/>
    <xf numFmtId="0" fontId="4" fillId="5" borderId="0" xfId="0" applyFont="1" applyFill="1" applyBorder="1"/>
    <xf numFmtId="0" fontId="4" fillId="5" borderId="0" xfId="0" applyFont="1" applyFill="1" applyBorder="1" applyAlignment="1">
      <alignment horizontal="justify"/>
    </xf>
    <xf numFmtId="0" fontId="4" fillId="5" borderId="0" xfId="0" applyFont="1" applyFill="1" applyBorder="1" applyAlignment="1">
      <alignment horizontal="justify" vertical="center" wrapText="1"/>
    </xf>
    <xf numFmtId="0" fontId="4" fillId="5" borderId="0" xfId="0" applyFont="1" applyFill="1" applyBorder="1" applyAlignment="1">
      <alignment horizontal="justify" vertical="center"/>
    </xf>
    <xf numFmtId="1" fontId="4" fillId="5" borderId="0" xfId="0" applyNumberFormat="1" applyFont="1" applyFill="1" applyBorder="1" applyAlignment="1">
      <alignment horizontal="justify" vertical="center"/>
    </xf>
    <xf numFmtId="10" fontId="8" fillId="5" borderId="0" xfId="4" applyNumberFormat="1" applyFont="1" applyFill="1" applyBorder="1" applyAlignment="1">
      <alignment horizontal="center" vertical="center"/>
    </xf>
    <xf numFmtId="43" fontId="5" fillId="5" borderId="0" xfId="5" applyFont="1" applyFill="1" applyBorder="1" applyAlignment="1">
      <alignment horizontal="justify" vertical="center"/>
    </xf>
    <xf numFmtId="43" fontId="5" fillId="0" borderId="0" xfId="5" applyFont="1" applyBorder="1" applyAlignment="1">
      <alignment horizontal="center" vertical="center"/>
    </xf>
    <xf numFmtId="1" fontId="4" fillId="5" borderId="0" xfId="0" applyNumberFormat="1" applyFont="1" applyFill="1" applyBorder="1" applyAlignment="1">
      <alignment horizontal="center" vertical="center"/>
    </xf>
    <xf numFmtId="1" fontId="4" fillId="5" borderId="0" xfId="0" applyNumberFormat="1" applyFont="1" applyFill="1" applyBorder="1" applyAlignment="1">
      <alignment horizontal="center" vertical="center" textRotation="180" wrapText="1"/>
    </xf>
    <xf numFmtId="166" fontId="4" fillId="5" borderId="0" xfId="0" applyNumberFormat="1" applyFont="1" applyFill="1" applyBorder="1" applyAlignment="1">
      <alignment horizontal="center" vertical="center"/>
    </xf>
    <xf numFmtId="0" fontId="4" fillId="5" borderId="0" xfId="0" applyFont="1" applyFill="1"/>
    <xf numFmtId="0" fontId="4" fillId="5" borderId="0" xfId="0" applyFont="1" applyFill="1" applyAlignment="1">
      <alignment horizontal="justify"/>
    </xf>
    <xf numFmtId="0" fontId="4" fillId="5" borderId="0" xfId="0" applyFont="1" applyFill="1" applyAlignment="1">
      <alignment horizontal="justify" vertical="center"/>
    </xf>
    <xf numFmtId="10" fontId="8" fillId="5" borderId="0" xfId="4" applyNumberFormat="1" applyFont="1" applyFill="1" applyAlignment="1">
      <alignment horizontal="center" vertical="center"/>
    </xf>
    <xf numFmtId="165" fontId="4" fillId="0" borderId="0" xfId="0" applyNumberFormat="1" applyFont="1" applyAlignment="1">
      <alignment horizontal="justify" vertical="center"/>
    </xf>
    <xf numFmtId="165" fontId="4" fillId="0" borderId="0" xfId="0" applyNumberFormat="1" applyFont="1" applyAlignment="1">
      <alignment horizontal="center" vertical="center"/>
    </xf>
    <xf numFmtId="1" fontId="4" fillId="5" borderId="0" xfId="0" applyNumberFormat="1" applyFont="1" applyFill="1" applyAlignment="1">
      <alignment horizontal="center" vertical="center"/>
    </xf>
    <xf numFmtId="0" fontId="4" fillId="5" borderId="0" xfId="0" applyFont="1" applyFill="1" applyAlignment="1">
      <alignment horizontal="center" vertical="center"/>
    </xf>
    <xf numFmtId="165" fontId="4" fillId="5" borderId="0" xfId="0" applyNumberFormat="1" applyFont="1" applyFill="1" applyAlignment="1">
      <alignment horizontal="center" vertical="center"/>
    </xf>
    <xf numFmtId="165" fontId="4" fillId="5" borderId="0" xfId="0" applyNumberFormat="1" applyFont="1" applyFill="1" applyAlignment="1">
      <alignment horizontal="justify" vertical="center"/>
    </xf>
    <xf numFmtId="43" fontId="8" fillId="0" borderId="0" xfId="1" applyNumberFormat="1" applyFont="1" applyFill="1" applyBorder="1" applyAlignment="1">
      <alignment horizontal="right" vertical="center" wrapText="1"/>
    </xf>
    <xf numFmtId="0" fontId="5" fillId="5" borderId="0" xfId="0" applyFont="1" applyFill="1"/>
    <xf numFmtId="0" fontId="4" fillId="0" borderId="0" xfId="0" applyFont="1" applyAlignment="1">
      <alignment horizontal="justify"/>
    </xf>
    <xf numFmtId="10" fontId="8" fillId="0" borderId="0" xfId="4" applyNumberFormat="1" applyFont="1" applyAlignment="1">
      <alignment horizontal="center"/>
    </xf>
    <xf numFmtId="43" fontId="4" fillId="0" borderId="0" xfId="0" applyNumberFormat="1" applyFont="1"/>
    <xf numFmtId="0" fontId="12" fillId="0" borderId="6" xfId="0" applyFont="1" applyBorder="1" applyAlignment="1">
      <alignment vertical="center"/>
    </xf>
    <xf numFmtId="0" fontId="13" fillId="7" borderId="0" xfId="0" applyFont="1" applyFill="1" applyAlignment="1">
      <alignment vertical="center"/>
    </xf>
    <xf numFmtId="0" fontId="13" fillId="0" borderId="0" xfId="0" applyFont="1" applyAlignment="1">
      <alignment vertical="center"/>
    </xf>
    <xf numFmtId="0" fontId="12" fillId="0" borderId="6" xfId="0" applyFont="1" applyBorder="1" applyAlignment="1">
      <alignment horizontal="left" vertical="center"/>
    </xf>
    <xf numFmtId="0" fontId="12" fillId="0" borderId="6" xfId="0" applyFont="1" applyBorder="1" applyAlignment="1">
      <alignment vertical="center" wrapText="1"/>
    </xf>
    <xf numFmtId="3" fontId="14" fillId="0" borderId="6" xfId="0" applyNumberFormat="1" applyFont="1" applyBorder="1" applyAlignment="1">
      <alignment horizontal="left" vertical="center" wrapText="1"/>
    </xf>
    <xf numFmtId="0" fontId="12" fillId="0" borderId="12" xfId="0" applyFont="1" applyBorder="1" applyAlignment="1">
      <alignment vertical="center"/>
    </xf>
    <xf numFmtId="0" fontId="12" fillId="0" borderId="9" xfId="0" applyFont="1" applyBorder="1" applyAlignment="1">
      <alignment vertical="center"/>
    </xf>
    <xf numFmtId="10" fontId="12" fillId="0" borderId="9" xfId="0" applyNumberFormat="1" applyFont="1" applyBorder="1" applyAlignment="1">
      <alignment vertical="center"/>
    </xf>
    <xf numFmtId="0" fontId="12" fillId="0" borderId="9" xfId="0" applyFont="1" applyBorder="1" applyAlignment="1">
      <alignment horizontal="center" vertical="center"/>
    </xf>
    <xf numFmtId="0" fontId="12" fillId="0" borderId="13" xfId="0" applyFont="1" applyBorder="1" applyAlignment="1">
      <alignment vertical="center"/>
    </xf>
    <xf numFmtId="1" fontId="12" fillId="8" borderId="18" xfId="0" applyNumberFormat="1" applyFont="1" applyFill="1" applyBorder="1" applyAlignment="1">
      <alignment horizontal="center" vertical="center" wrapText="1"/>
    </xf>
    <xf numFmtId="0" fontId="15" fillId="9" borderId="6" xfId="0" applyFont="1" applyFill="1" applyBorder="1" applyAlignment="1">
      <alignment horizontal="center" vertical="center" wrapText="1"/>
    </xf>
    <xf numFmtId="1" fontId="13" fillId="8" borderId="25" xfId="0" applyNumberFormat="1" applyFont="1" applyFill="1" applyBorder="1" applyAlignment="1">
      <alignment horizontal="center" vertical="center" wrapText="1"/>
    </xf>
    <xf numFmtId="0" fontId="13" fillId="8" borderId="18" xfId="0" applyFont="1" applyFill="1" applyBorder="1" applyAlignment="1">
      <alignment horizontal="center" vertical="center" textRotation="90" wrapText="1"/>
    </xf>
    <xf numFmtId="49" fontId="13" fillId="8" borderId="18" xfId="0" applyNumberFormat="1" applyFont="1" applyFill="1" applyBorder="1" applyAlignment="1">
      <alignment horizontal="center" vertical="center" textRotation="90" wrapText="1"/>
    </xf>
    <xf numFmtId="0" fontId="13" fillId="8" borderId="16" xfId="0" applyFont="1" applyFill="1" applyBorder="1" applyAlignment="1">
      <alignment horizontal="center" vertical="center" textRotation="90" wrapText="1"/>
    </xf>
    <xf numFmtId="0" fontId="13" fillId="7" borderId="0" xfId="0" applyFont="1" applyFill="1" applyAlignment="1">
      <alignment horizontal="center" vertical="center"/>
    </xf>
    <xf numFmtId="0" fontId="13" fillId="0" borderId="0" xfId="0" applyFont="1" applyAlignment="1">
      <alignment horizontal="center" vertical="center"/>
    </xf>
    <xf numFmtId="1" fontId="12" fillId="10" borderId="19" xfId="0" applyNumberFormat="1" applyFont="1" applyFill="1" applyBorder="1" applyAlignment="1">
      <alignment horizontal="center" vertical="center" wrapText="1"/>
    </xf>
    <xf numFmtId="1" fontId="12" fillId="10" borderId="20" xfId="0" applyNumberFormat="1" applyFont="1" applyFill="1" applyBorder="1" applyAlignment="1">
      <alignment vertical="center" wrapText="1"/>
    </xf>
    <xf numFmtId="1" fontId="12" fillId="10" borderId="20" xfId="0" applyNumberFormat="1" applyFont="1" applyFill="1" applyBorder="1" applyAlignment="1">
      <alignment horizontal="center" vertical="center" wrapText="1"/>
    </xf>
    <xf numFmtId="10" fontId="12" fillId="10" borderId="20" xfId="0" applyNumberFormat="1" applyFont="1" applyFill="1" applyBorder="1" applyAlignment="1">
      <alignment vertical="center" wrapText="1"/>
    </xf>
    <xf numFmtId="1" fontId="12" fillId="10" borderId="35" xfId="0" applyNumberFormat="1" applyFont="1" applyFill="1" applyBorder="1" applyAlignment="1">
      <alignment vertical="center" wrapText="1"/>
    </xf>
    <xf numFmtId="1" fontId="12" fillId="11" borderId="19" xfId="0" applyNumberFormat="1" applyFont="1" applyFill="1" applyBorder="1" applyAlignment="1">
      <alignment horizontal="center" vertical="center"/>
    </xf>
    <xf numFmtId="0" fontId="12" fillId="11" borderId="9" xfId="0" applyFont="1" applyFill="1" applyBorder="1" applyAlignment="1">
      <alignment vertical="center"/>
    </xf>
    <xf numFmtId="0" fontId="12" fillId="11" borderId="9" xfId="0" applyFont="1" applyFill="1" applyBorder="1" applyAlignment="1">
      <alignment horizontal="center" vertical="center"/>
    </xf>
    <xf numFmtId="0" fontId="12" fillId="11" borderId="9" xfId="0" applyFont="1" applyFill="1" applyBorder="1" applyAlignment="1">
      <alignment horizontal="justify" vertical="center"/>
    </xf>
    <xf numFmtId="10" fontId="12" fillId="11" borderId="9" xfId="0" applyNumberFormat="1" applyFont="1" applyFill="1" applyBorder="1" applyAlignment="1">
      <alignment horizontal="center" vertical="center"/>
    </xf>
    <xf numFmtId="165" fontId="12" fillId="11" borderId="9" xfId="0" applyNumberFormat="1" applyFont="1" applyFill="1" applyBorder="1" applyAlignment="1">
      <alignment vertical="center"/>
    </xf>
    <xf numFmtId="165" fontId="12" fillId="11" borderId="9" xfId="0" applyNumberFormat="1" applyFont="1" applyFill="1" applyBorder="1" applyAlignment="1">
      <alignment horizontal="center" vertical="center"/>
    </xf>
    <xf numFmtId="1" fontId="12" fillId="11" borderId="9" xfId="0" applyNumberFormat="1" applyFont="1" applyFill="1" applyBorder="1" applyAlignment="1">
      <alignment horizontal="center" vertical="center"/>
    </xf>
    <xf numFmtId="166" fontId="12" fillId="11" borderId="9" xfId="0" applyNumberFormat="1" applyFont="1" applyFill="1" applyBorder="1" applyAlignment="1">
      <alignment vertical="center"/>
    </xf>
    <xf numFmtId="0" fontId="12" fillId="11" borderId="13" xfId="0" applyFont="1" applyFill="1" applyBorder="1" applyAlignment="1">
      <alignment horizontal="justify" vertical="center"/>
    </xf>
    <xf numFmtId="1" fontId="12" fillId="12" borderId="6" xfId="0" applyNumberFormat="1" applyFont="1" applyFill="1" applyBorder="1" applyAlignment="1">
      <alignment horizontal="center" vertical="center" wrapText="1"/>
    </xf>
    <xf numFmtId="0" fontId="12" fillId="12" borderId="20" xfId="0" applyFont="1" applyFill="1" applyBorder="1" applyAlignment="1">
      <alignment vertical="center"/>
    </xf>
    <xf numFmtId="0" fontId="12" fillId="12" borderId="20" xfId="0" applyFont="1" applyFill="1" applyBorder="1" applyAlignment="1">
      <alignment horizontal="center" vertical="center"/>
    </xf>
    <xf numFmtId="0" fontId="12" fillId="12" borderId="20" xfId="0" applyFont="1" applyFill="1" applyBorder="1" applyAlignment="1">
      <alignment horizontal="justify" vertical="center"/>
    </xf>
    <xf numFmtId="10" fontId="12" fillId="12" borderId="20" xfId="0" applyNumberFormat="1" applyFont="1" applyFill="1" applyBorder="1" applyAlignment="1">
      <alignment horizontal="center" vertical="center"/>
    </xf>
    <xf numFmtId="165" fontId="12" fillId="12" borderId="20" xfId="0" applyNumberFormat="1" applyFont="1" applyFill="1" applyBorder="1" applyAlignment="1">
      <alignment vertical="center"/>
    </xf>
    <xf numFmtId="165" fontId="12" fillId="12" borderId="20" xfId="0" applyNumberFormat="1" applyFont="1" applyFill="1" applyBorder="1" applyAlignment="1">
      <alignment horizontal="center" vertical="center"/>
    </xf>
    <xf numFmtId="1" fontId="12" fillId="12" borderId="20" xfId="0" applyNumberFormat="1" applyFont="1" applyFill="1" applyBorder="1" applyAlignment="1">
      <alignment horizontal="center" vertical="center"/>
    </xf>
    <xf numFmtId="166" fontId="12" fillId="12" borderId="20" xfId="0" applyNumberFormat="1" applyFont="1" applyFill="1" applyBorder="1" applyAlignment="1">
      <alignment vertical="center"/>
    </xf>
    <xf numFmtId="0" fontId="12" fillId="12" borderId="35" xfId="0" applyFont="1" applyFill="1" applyBorder="1" applyAlignment="1">
      <alignment horizontal="justify" vertical="center"/>
    </xf>
    <xf numFmtId="0" fontId="13" fillId="0" borderId="18" xfId="0" applyFont="1" applyBorder="1" applyAlignment="1">
      <alignment horizontal="justify" vertical="center" wrapText="1"/>
    </xf>
    <xf numFmtId="43" fontId="13" fillId="7" borderId="6" xfId="1" applyFont="1" applyFill="1" applyBorder="1" applyAlignment="1">
      <alignment horizontal="right" vertical="center" wrapText="1"/>
    </xf>
    <xf numFmtId="1" fontId="13" fillId="7" borderId="18" xfId="0" applyNumberFormat="1"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3" fillId="0" borderId="6" xfId="0" applyFont="1" applyBorder="1" applyAlignment="1">
      <alignment horizontal="justify" vertical="center" wrapText="1"/>
    </xf>
    <xf numFmtId="43" fontId="13" fillId="7" borderId="27" xfId="1" applyFont="1" applyFill="1" applyBorder="1" applyAlignment="1">
      <alignment horizontal="right" vertical="center" wrapText="1"/>
    </xf>
    <xf numFmtId="1" fontId="13" fillId="7" borderId="6" xfId="0" applyNumberFormat="1"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6" xfId="0" applyFont="1" applyFill="1" applyBorder="1" applyAlignment="1">
      <alignment horizontal="justify" vertical="center" wrapText="1"/>
    </xf>
    <xf numFmtId="3" fontId="16" fillId="0" borderId="6" xfId="0" applyNumberFormat="1" applyFont="1" applyBorder="1" applyAlignment="1">
      <alignment horizontal="center" vertical="center" wrapText="1"/>
    </xf>
    <xf numFmtId="10" fontId="13" fillId="7" borderId="6" xfId="0" applyNumberFormat="1" applyFont="1" applyFill="1" applyBorder="1" applyAlignment="1">
      <alignment horizontal="center" vertical="center" wrapText="1"/>
    </xf>
    <xf numFmtId="0" fontId="13" fillId="7" borderId="12" xfId="0" applyFont="1" applyFill="1" applyBorder="1" applyAlignment="1">
      <alignment horizontal="justify" vertical="center" wrapText="1"/>
    </xf>
    <xf numFmtId="1" fontId="13" fillId="7" borderId="27" xfId="0" applyNumberFormat="1" applyFont="1" applyFill="1" applyBorder="1" applyAlignment="1">
      <alignment horizontal="center" vertical="center" wrapText="1"/>
    </xf>
    <xf numFmtId="0" fontId="13" fillId="7" borderId="18" xfId="0" applyFont="1" applyFill="1" applyBorder="1" applyAlignment="1">
      <alignment horizontal="justify" vertical="center" wrapText="1"/>
    </xf>
    <xf numFmtId="0" fontId="13" fillId="7" borderId="23" xfId="0" applyFont="1" applyFill="1" applyBorder="1" applyAlignment="1">
      <alignment horizontal="justify" vertical="center" wrapText="1"/>
    </xf>
    <xf numFmtId="43" fontId="13" fillId="7" borderId="25" xfId="1" applyFont="1" applyFill="1" applyBorder="1" applyAlignment="1">
      <alignment horizontal="right" vertical="center" wrapText="1"/>
    </xf>
    <xf numFmtId="1" fontId="13" fillId="7" borderId="25" xfId="0" applyNumberFormat="1" applyFont="1" applyFill="1" applyBorder="1" applyAlignment="1">
      <alignment horizontal="center" vertical="center" wrapText="1"/>
    </xf>
    <xf numFmtId="0" fontId="12" fillId="12" borderId="6" xfId="0" applyFont="1" applyFill="1" applyBorder="1" applyAlignment="1">
      <alignment horizontal="center" vertical="center" wrapText="1"/>
    </xf>
    <xf numFmtId="0" fontId="13" fillId="12" borderId="6" xfId="0" applyFont="1" applyFill="1" applyBorder="1" applyAlignment="1">
      <alignment vertical="center" wrapText="1"/>
    </xf>
    <xf numFmtId="0" fontId="13" fillId="12" borderId="6" xfId="0" applyFont="1" applyFill="1" applyBorder="1" applyAlignment="1">
      <alignment horizontal="justify" vertical="center" wrapText="1"/>
    </xf>
    <xf numFmtId="10" fontId="13" fillId="12" borderId="6" xfId="0" applyNumberFormat="1" applyFont="1" applyFill="1" applyBorder="1" applyAlignment="1">
      <alignment vertical="center" wrapText="1"/>
    </xf>
    <xf numFmtId="165" fontId="13" fillId="12" borderId="6" xfId="0" applyNumberFormat="1" applyFont="1" applyFill="1" applyBorder="1" applyAlignment="1">
      <alignment vertical="center" wrapText="1"/>
    </xf>
    <xf numFmtId="43" fontId="13" fillId="12" borderId="6" xfId="1" applyFont="1" applyFill="1" applyBorder="1" applyAlignment="1">
      <alignment horizontal="center" vertical="center" wrapText="1"/>
    </xf>
    <xf numFmtId="1" fontId="13" fillId="12" borderId="6" xfId="0" applyNumberFormat="1" applyFont="1" applyFill="1" applyBorder="1" applyAlignment="1">
      <alignment horizontal="center" vertical="center" wrapText="1"/>
    </xf>
    <xf numFmtId="0" fontId="13" fillId="12" borderId="6" xfId="0" applyFont="1" applyFill="1" applyBorder="1" applyAlignment="1">
      <alignment horizontal="center" vertical="center" wrapText="1"/>
    </xf>
    <xf numFmtId="1" fontId="12" fillId="12" borderId="6" xfId="0" applyNumberFormat="1" applyFont="1" applyFill="1" applyBorder="1" applyAlignment="1">
      <alignment vertical="center" textRotation="180" wrapText="1" readingOrder="2"/>
    </xf>
    <xf numFmtId="1" fontId="12" fillId="12" borderId="6" xfId="0" applyNumberFormat="1" applyFont="1" applyFill="1" applyBorder="1" applyAlignment="1">
      <alignment vertical="center" textRotation="180" wrapText="1"/>
    </xf>
    <xf numFmtId="1" fontId="13" fillId="12" borderId="6" xfId="0" applyNumberFormat="1" applyFont="1" applyFill="1" applyBorder="1" applyAlignment="1">
      <alignment vertical="center" textRotation="180" wrapText="1"/>
    </xf>
    <xf numFmtId="1" fontId="13" fillId="12" borderId="6" xfId="0" applyNumberFormat="1" applyFont="1" applyFill="1" applyBorder="1" applyAlignment="1">
      <alignment horizontal="center" vertical="center" textRotation="180" wrapText="1"/>
    </xf>
    <xf numFmtId="1" fontId="12" fillId="12" borderId="6" xfId="0" applyNumberFormat="1" applyFont="1" applyFill="1" applyBorder="1" applyAlignment="1">
      <alignment horizontal="center" vertical="center" textRotation="180" wrapText="1"/>
    </xf>
    <xf numFmtId="166" fontId="13" fillId="12" borderId="6" xfId="0" applyNumberFormat="1" applyFont="1" applyFill="1" applyBorder="1" applyAlignment="1">
      <alignment vertical="center" wrapText="1"/>
    </xf>
    <xf numFmtId="3" fontId="13" fillId="12" borderId="6" xfId="0" applyNumberFormat="1" applyFont="1" applyFill="1" applyBorder="1" applyAlignment="1">
      <alignment vertical="center" wrapText="1"/>
    </xf>
    <xf numFmtId="0" fontId="13" fillId="7" borderId="25" xfId="0" applyFont="1" applyFill="1" applyBorder="1" applyAlignment="1">
      <alignment horizontal="center" vertical="center" wrapText="1"/>
    </xf>
    <xf numFmtId="0" fontId="13" fillId="7" borderId="25" xfId="0" applyFont="1" applyFill="1" applyBorder="1" applyAlignment="1">
      <alignment horizontal="justify" vertical="center" wrapText="1"/>
    </xf>
    <xf numFmtId="10" fontId="13" fillId="7" borderId="18" xfId="0" applyNumberFormat="1" applyFont="1" applyFill="1" applyBorder="1" applyAlignment="1">
      <alignment horizontal="center" vertical="center" wrapText="1"/>
    </xf>
    <xf numFmtId="0" fontId="13" fillId="0" borderId="6" xfId="0" applyFont="1" applyBorder="1" applyAlignment="1">
      <alignment horizontal="center" vertical="center"/>
    </xf>
    <xf numFmtId="43" fontId="13" fillId="7" borderId="6" xfId="1" applyFont="1" applyFill="1" applyBorder="1" applyAlignment="1">
      <alignment horizontal="right" vertical="center"/>
    </xf>
    <xf numFmtId="1" fontId="13" fillId="7" borderId="6" xfId="0" applyNumberFormat="1" applyFont="1" applyFill="1" applyBorder="1" applyAlignment="1">
      <alignment horizontal="center" vertical="center"/>
    </xf>
    <xf numFmtId="0" fontId="12" fillId="12" borderId="6" xfId="0" applyFont="1" applyFill="1" applyBorder="1" applyAlignment="1">
      <alignment horizontal="center" vertical="center"/>
    </xf>
    <xf numFmtId="0" fontId="12" fillId="12" borderId="6" xfId="0" applyFont="1" applyFill="1" applyBorder="1" applyAlignment="1">
      <alignment vertical="center"/>
    </xf>
    <xf numFmtId="0" fontId="13" fillId="12" borderId="0" xfId="0" applyFont="1" applyFill="1" applyAlignment="1">
      <alignment horizontal="center" vertical="center"/>
    </xf>
    <xf numFmtId="0" fontId="13" fillId="12" borderId="0" xfId="0" applyFont="1" applyFill="1" applyAlignment="1">
      <alignment horizontal="justify" vertical="center"/>
    </xf>
    <xf numFmtId="0" fontId="13" fillId="12" borderId="0" xfId="0" applyFont="1" applyFill="1" applyAlignment="1">
      <alignment vertical="center"/>
    </xf>
    <xf numFmtId="0" fontId="13" fillId="12" borderId="0" xfId="0" applyFont="1" applyFill="1" applyAlignment="1">
      <alignment vertical="center" wrapText="1"/>
    </xf>
    <xf numFmtId="10" fontId="13" fillId="12" borderId="0" xfId="0" applyNumberFormat="1" applyFont="1" applyFill="1" applyAlignment="1">
      <alignment horizontal="center" vertical="center"/>
    </xf>
    <xf numFmtId="165" fontId="13" fillId="12" borderId="0" xfId="0" applyNumberFormat="1" applyFont="1" applyFill="1" applyAlignment="1">
      <alignment vertical="center"/>
    </xf>
    <xf numFmtId="0" fontId="13" fillId="12" borderId="0" xfId="0" applyFont="1" applyFill="1" applyAlignment="1">
      <alignment horizontal="justify" vertical="center" wrapText="1"/>
    </xf>
    <xf numFmtId="43" fontId="13" fillId="12" borderId="0" xfId="1" applyFont="1" applyFill="1" applyAlignment="1">
      <alignment horizontal="center" vertical="center"/>
    </xf>
    <xf numFmtId="1" fontId="13" fillId="12" borderId="0" xfId="0" applyNumberFormat="1" applyFont="1" applyFill="1" applyAlignment="1">
      <alignment horizontal="center" vertical="center"/>
    </xf>
    <xf numFmtId="166" fontId="13" fillId="12" borderId="0" xfId="0" applyNumberFormat="1" applyFont="1" applyFill="1" applyAlignment="1">
      <alignment vertical="center" wrapText="1"/>
    </xf>
    <xf numFmtId="3" fontId="13" fillId="12" borderId="0" xfId="0" applyNumberFormat="1" applyFont="1" applyFill="1" applyAlignment="1">
      <alignment vertical="center" wrapText="1"/>
    </xf>
    <xf numFmtId="43" fontId="13" fillId="0" borderId="6" xfId="1" applyFont="1" applyBorder="1" applyAlignment="1">
      <alignment horizontal="right" vertical="center"/>
    </xf>
    <xf numFmtId="1" fontId="13" fillId="0" borderId="6" xfId="0" applyNumberFormat="1" applyFont="1" applyBorder="1" applyAlignment="1">
      <alignment horizontal="center" vertical="center"/>
    </xf>
    <xf numFmtId="0" fontId="13" fillId="0" borderId="25" xfId="0" applyFont="1" applyBorder="1" applyAlignment="1">
      <alignment vertical="center" wrapText="1"/>
    </xf>
    <xf numFmtId="0" fontId="13" fillId="0" borderId="27" xfId="0" applyFont="1" applyBorder="1" applyAlignment="1">
      <alignment vertical="center" wrapText="1"/>
    </xf>
    <xf numFmtId="43" fontId="13" fillId="0" borderId="6" xfId="1" applyFont="1" applyFill="1" applyBorder="1" applyAlignment="1">
      <alignment horizontal="right" vertical="center"/>
    </xf>
    <xf numFmtId="1" fontId="13" fillId="0" borderId="6" xfId="0" applyNumberFormat="1" applyFont="1" applyFill="1" applyBorder="1" applyAlignment="1">
      <alignment horizontal="center" vertical="center"/>
    </xf>
    <xf numFmtId="0" fontId="13" fillId="0" borderId="6" xfId="0" applyFont="1" applyFill="1" applyBorder="1" applyAlignment="1">
      <alignment horizontal="center" vertical="center" wrapText="1"/>
    </xf>
    <xf numFmtId="3" fontId="16" fillId="0" borderId="27" xfId="0" applyNumberFormat="1" applyFont="1" applyBorder="1" applyAlignment="1">
      <alignment horizontal="center" vertical="center" wrapText="1"/>
    </xf>
    <xf numFmtId="10" fontId="13" fillId="7" borderId="6" xfId="0" applyNumberFormat="1" applyFont="1" applyFill="1" applyBorder="1" applyAlignment="1">
      <alignment horizontal="center" vertical="center"/>
    </xf>
    <xf numFmtId="0" fontId="18" fillId="0" borderId="6" xfId="0" applyFont="1" applyBorder="1" applyAlignment="1">
      <alignment horizontal="justify" vertical="center" wrapText="1" readingOrder="2"/>
    </xf>
    <xf numFmtId="43" fontId="13" fillId="7" borderId="6" xfId="1" applyFont="1" applyFill="1" applyBorder="1" applyAlignment="1">
      <alignment vertical="center"/>
    </xf>
    <xf numFmtId="3" fontId="16" fillId="7" borderId="6" xfId="0" applyNumberFormat="1" applyFont="1" applyFill="1" applyBorder="1" applyAlignment="1">
      <alignment horizontal="center" vertical="center" wrapText="1"/>
    </xf>
    <xf numFmtId="0" fontId="18" fillId="7" borderId="6" xfId="0" applyFont="1" applyFill="1" applyBorder="1" applyAlignment="1">
      <alignment horizontal="justify" vertical="center" wrapText="1"/>
    </xf>
    <xf numFmtId="0" fontId="18" fillId="7" borderId="27" xfId="0" applyFont="1" applyFill="1" applyBorder="1" applyAlignment="1">
      <alignment horizontal="justify" vertical="center" wrapText="1"/>
    </xf>
    <xf numFmtId="0" fontId="13" fillId="0" borderId="18" xfId="0" applyFont="1" applyBorder="1" applyAlignment="1">
      <alignment horizontal="center" vertical="center"/>
    </xf>
    <xf numFmtId="0" fontId="0" fillId="0" borderId="0" xfId="0" applyAlignment="1">
      <alignment horizontal="justify" vertical="center" wrapText="1"/>
    </xf>
    <xf numFmtId="10" fontId="13" fillId="7" borderId="18" xfId="0" applyNumberFormat="1" applyFont="1" applyFill="1" applyBorder="1" applyAlignment="1">
      <alignment horizontal="center" vertical="center"/>
    </xf>
    <xf numFmtId="43" fontId="13" fillId="7" borderId="18" xfId="1" applyFont="1" applyFill="1" applyBorder="1" applyAlignment="1">
      <alignment vertical="center"/>
    </xf>
    <xf numFmtId="1" fontId="13" fillId="7" borderId="18" xfId="0" applyNumberFormat="1" applyFont="1" applyFill="1" applyBorder="1" applyAlignment="1">
      <alignment horizontal="center" vertical="center"/>
    </xf>
    <xf numFmtId="1" fontId="12" fillId="10" borderId="6" xfId="0" applyNumberFormat="1" applyFont="1" applyFill="1" applyBorder="1" applyAlignment="1">
      <alignment horizontal="center" vertical="center"/>
    </xf>
    <xf numFmtId="0" fontId="12" fillId="10" borderId="20" xfId="0" applyFont="1" applyFill="1" applyBorder="1" applyAlignment="1">
      <alignment vertical="center"/>
    </xf>
    <xf numFmtId="0" fontId="13" fillId="10" borderId="20" xfId="0" applyFont="1" applyFill="1" applyBorder="1" applyAlignment="1">
      <alignment vertical="center"/>
    </xf>
    <xf numFmtId="0" fontId="13" fillId="10" borderId="20" xfId="0" applyFont="1" applyFill="1" applyBorder="1" applyAlignment="1">
      <alignment horizontal="center" vertical="center"/>
    </xf>
    <xf numFmtId="0" fontId="13" fillId="10" borderId="11" xfId="0" applyFont="1" applyFill="1" applyBorder="1" applyAlignment="1">
      <alignment horizontal="justify" vertical="center"/>
    </xf>
    <xf numFmtId="0" fontId="13" fillId="10" borderId="11" xfId="0" applyFont="1" applyFill="1" applyBorder="1" applyAlignment="1">
      <alignment vertical="center"/>
    </xf>
    <xf numFmtId="0" fontId="13" fillId="10" borderId="11" xfId="0" applyFont="1" applyFill="1" applyBorder="1" applyAlignment="1">
      <alignment horizontal="center" vertical="center"/>
    </xf>
    <xf numFmtId="10" fontId="13" fillId="10" borderId="11" xfId="0" applyNumberFormat="1" applyFont="1" applyFill="1" applyBorder="1" applyAlignment="1">
      <alignment horizontal="center" vertical="center"/>
    </xf>
    <xf numFmtId="165" fontId="13" fillId="10" borderId="11" xfId="0" applyNumberFormat="1" applyFont="1" applyFill="1" applyBorder="1" applyAlignment="1">
      <alignment vertical="center"/>
    </xf>
    <xf numFmtId="43" fontId="13" fillId="10" borderId="11" xfId="1" applyFont="1" applyFill="1" applyBorder="1" applyAlignment="1">
      <alignment horizontal="center" vertical="center"/>
    </xf>
    <xf numFmtId="1" fontId="13" fillId="10" borderId="11" xfId="0" applyNumberFormat="1" applyFont="1" applyFill="1" applyBorder="1" applyAlignment="1">
      <alignment horizontal="center" vertical="center"/>
    </xf>
    <xf numFmtId="166" fontId="13" fillId="10" borderId="11" xfId="0" applyNumberFormat="1" applyFont="1" applyFill="1" applyBorder="1" applyAlignment="1">
      <alignment horizontal="right" vertical="center"/>
    </xf>
    <xf numFmtId="166" fontId="13" fillId="10" borderId="11" xfId="0" applyNumberFormat="1" applyFont="1" applyFill="1" applyBorder="1" applyAlignment="1">
      <alignment horizontal="center" vertical="center"/>
    </xf>
    <xf numFmtId="0" fontId="13" fillId="10" borderId="17" xfId="0" applyFont="1" applyFill="1" applyBorder="1" applyAlignment="1">
      <alignment horizontal="justify" vertical="center"/>
    </xf>
    <xf numFmtId="0" fontId="12" fillId="11" borderId="27"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20" xfId="0" applyFont="1" applyFill="1" applyBorder="1" applyAlignment="1">
      <alignment horizontal="justify" vertical="center"/>
    </xf>
    <xf numFmtId="0" fontId="13" fillId="11" borderId="20" xfId="0" applyFont="1" applyFill="1" applyBorder="1" applyAlignment="1">
      <alignment vertical="center"/>
    </xf>
    <xf numFmtId="0" fontId="13" fillId="11" borderId="20" xfId="0" applyFont="1" applyFill="1" applyBorder="1" applyAlignment="1">
      <alignment horizontal="center" vertical="center"/>
    </xf>
    <xf numFmtId="10" fontId="13" fillId="11" borderId="20" xfId="0" applyNumberFormat="1" applyFont="1" applyFill="1" applyBorder="1" applyAlignment="1">
      <alignment horizontal="center" vertical="center"/>
    </xf>
    <xf numFmtId="165" fontId="13" fillId="11" borderId="20" xfId="0" applyNumberFormat="1" applyFont="1" applyFill="1" applyBorder="1" applyAlignment="1">
      <alignment vertical="center"/>
    </xf>
    <xf numFmtId="43" fontId="13" fillId="11" borderId="20" xfId="1" applyFont="1" applyFill="1" applyBorder="1" applyAlignment="1">
      <alignment horizontal="center" vertical="center"/>
    </xf>
    <xf numFmtId="1" fontId="13" fillId="11" borderId="20" xfId="0" applyNumberFormat="1" applyFont="1" applyFill="1" applyBorder="1" applyAlignment="1">
      <alignment horizontal="center" vertical="center"/>
    </xf>
    <xf numFmtId="166" fontId="13" fillId="11" borderId="20" xfId="0" applyNumberFormat="1" applyFont="1" applyFill="1" applyBorder="1" applyAlignment="1">
      <alignment horizontal="right" vertical="center"/>
    </xf>
    <xf numFmtId="166" fontId="13" fillId="11" borderId="20" xfId="0" applyNumberFormat="1" applyFont="1" applyFill="1" applyBorder="1" applyAlignment="1">
      <alignment horizontal="center" vertical="center"/>
    </xf>
    <xf numFmtId="0" fontId="13" fillId="11" borderId="35" xfId="0" applyFont="1" applyFill="1" applyBorder="1" applyAlignment="1">
      <alignment horizontal="justify" vertical="center"/>
    </xf>
    <xf numFmtId="0" fontId="12" fillId="12" borderId="11" xfId="0" applyFont="1" applyFill="1" applyBorder="1" applyAlignment="1">
      <alignment horizontal="justify" vertical="center"/>
    </xf>
    <xf numFmtId="0" fontId="13" fillId="12" borderId="20" xfId="0" applyFont="1" applyFill="1" applyBorder="1" applyAlignment="1">
      <alignment horizontal="justify" vertical="center"/>
    </xf>
    <xf numFmtId="10" fontId="13" fillId="12" borderId="20" xfId="0" applyNumberFormat="1" applyFont="1" applyFill="1" applyBorder="1" applyAlignment="1">
      <alignment horizontal="center" vertical="center"/>
    </xf>
    <xf numFmtId="165" fontId="13" fillId="12" borderId="20" xfId="0" applyNumberFormat="1" applyFont="1" applyFill="1" applyBorder="1" applyAlignment="1">
      <alignment vertical="center"/>
    </xf>
    <xf numFmtId="43" fontId="13" fillId="12" borderId="20" xfId="1" applyFont="1" applyFill="1" applyBorder="1" applyAlignment="1">
      <alignment horizontal="center" vertical="center"/>
    </xf>
    <xf numFmtId="1" fontId="13" fillId="12" borderId="20" xfId="0" applyNumberFormat="1" applyFont="1" applyFill="1" applyBorder="1" applyAlignment="1">
      <alignment horizontal="center" vertical="center"/>
    </xf>
    <xf numFmtId="0" fontId="13" fillId="12" borderId="20" xfId="0" applyFont="1" applyFill="1" applyBorder="1" applyAlignment="1">
      <alignment horizontal="center" vertical="center"/>
    </xf>
    <xf numFmtId="0" fontId="13" fillId="12" borderId="20" xfId="0" applyFont="1" applyFill="1" applyBorder="1" applyAlignment="1">
      <alignment vertical="center"/>
    </xf>
    <xf numFmtId="166" fontId="13" fillId="12" borderId="20" xfId="0" applyNumberFormat="1" applyFont="1" applyFill="1" applyBorder="1" applyAlignment="1">
      <alignment horizontal="right" vertical="center"/>
    </xf>
    <xf numFmtId="166" fontId="13" fillId="12" borderId="20" xfId="0" applyNumberFormat="1" applyFont="1" applyFill="1" applyBorder="1" applyAlignment="1">
      <alignment horizontal="center" vertical="center"/>
    </xf>
    <xf numFmtId="0" fontId="13" fillId="12" borderId="35" xfId="0" applyFont="1" applyFill="1" applyBorder="1" applyAlignment="1">
      <alignment horizontal="justify" vertical="center"/>
    </xf>
    <xf numFmtId="0" fontId="16" fillId="0" borderId="6" xfId="0" applyFont="1" applyBorder="1" applyAlignment="1">
      <alignment horizontal="justify" vertical="center" wrapText="1"/>
    </xf>
    <xf numFmtId="0" fontId="16" fillId="7" borderId="6" xfId="0" applyFont="1" applyFill="1" applyBorder="1" applyAlignment="1">
      <alignment horizontal="justify" vertical="center" wrapText="1"/>
    </xf>
    <xf numFmtId="0" fontId="12" fillId="12" borderId="0" xfId="0" applyFont="1" applyFill="1" applyAlignment="1">
      <alignment horizontal="justify" vertical="center"/>
    </xf>
    <xf numFmtId="0" fontId="12" fillId="12" borderId="0" xfId="0" applyFont="1" applyFill="1" applyAlignment="1">
      <alignment vertical="center"/>
    </xf>
    <xf numFmtId="0" fontId="13" fillId="7" borderId="18" xfId="0" applyFont="1" applyFill="1" applyBorder="1" applyAlignment="1">
      <alignment vertical="center"/>
    </xf>
    <xf numFmtId="0" fontId="13" fillId="7" borderId="25" xfId="0" applyFont="1" applyFill="1" applyBorder="1" applyAlignment="1">
      <alignment vertical="center"/>
    </xf>
    <xf numFmtId="0" fontId="13" fillId="7" borderId="27" xfId="0" applyFont="1" applyFill="1" applyBorder="1" applyAlignment="1">
      <alignment vertical="center"/>
    </xf>
    <xf numFmtId="43" fontId="13" fillId="0" borderId="18" xfId="1" applyFont="1" applyFill="1" applyBorder="1" applyAlignment="1">
      <alignment horizontal="right" vertical="center"/>
    </xf>
    <xf numFmtId="1" fontId="13" fillId="0" borderId="18" xfId="0" applyNumberFormat="1"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27" xfId="0" applyFont="1" applyBorder="1" applyAlignment="1">
      <alignment horizontal="center" vertical="center" textRotation="3"/>
    </xf>
    <xf numFmtId="165" fontId="13" fillId="7" borderId="25" xfId="0" applyNumberFormat="1" applyFont="1" applyFill="1" applyBorder="1" applyAlignment="1">
      <alignment vertical="center"/>
    </xf>
    <xf numFmtId="0" fontId="8" fillId="7" borderId="6" xfId="0" applyFont="1" applyFill="1" applyBorder="1" applyAlignment="1">
      <alignment horizontal="justify" vertical="center" wrapText="1"/>
    </xf>
    <xf numFmtId="3" fontId="16" fillId="7" borderId="3" xfId="0" applyNumberFormat="1" applyFont="1" applyFill="1" applyBorder="1" applyAlignment="1">
      <alignment horizontal="center" vertical="center" wrapText="1"/>
    </xf>
    <xf numFmtId="0" fontId="8" fillId="7" borderId="18" xfId="0" applyFont="1" applyFill="1" applyBorder="1" applyAlignment="1">
      <alignment horizontal="justify" vertical="center" wrapText="1"/>
    </xf>
    <xf numFmtId="3" fontId="16" fillId="7" borderId="36" xfId="0" applyNumberFormat="1" applyFont="1" applyFill="1" applyBorder="1" applyAlignment="1">
      <alignment horizontal="center" vertical="center" wrapText="1"/>
    </xf>
    <xf numFmtId="43" fontId="13" fillId="7" borderId="18" xfId="1" applyFont="1" applyFill="1" applyBorder="1" applyAlignment="1">
      <alignment horizontal="right" vertical="center"/>
    </xf>
    <xf numFmtId="0" fontId="12" fillId="12" borderId="19" xfId="0" applyFont="1" applyFill="1" applyBorder="1" applyAlignment="1">
      <alignment horizontal="justify" vertical="center"/>
    </xf>
    <xf numFmtId="0" fontId="13" fillId="12" borderId="20" xfId="0" applyFont="1" applyFill="1" applyBorder="1" applyAlignment="1">
      <alignment horizontal="justify" vertical="center" wrapText="1"/>
    </xf>
    <xf numFmtId="1" fontId="16" fillId="0" borderId="27" xfId="0" applyNumberFormat="1" applyFont="1" applyBorder="1" applyAlignment="1">
      <alignment horizontal="center" vertical="center" wrapText="1"/>
    </xf>
    <xf numFmtId="0" fontId="13" fillId="7" borderId="6" xfId="0" applyFont="1" applyFill="1" applyBorder="1" applyAlignment="1">
      <alignment horizontal="justify" vertical="center"/>
    </xf>
    <xf numFmtId="1" fontId="16" fillId="0" borderId="6" xfId="0" applyNumberFormat="1" applyFont="1" applyBorder="1" applyAlignment="1">
      <alignment horizontal="center" vertical="center" wrapText="1"/>
    </xf>
    <xf numFmtId="1" fontId="12" fillId="10" borderId="19" xfId="0" applyNumberFormat="1" applyFont="1" applyFill="1" applyBorder="1" applyAlignment="1">
      <alignment horizontal="center" vertical="center"/>
    </xf>
    <xf numFmtId="0" fontId="12" fillId="10" borderId="11" xfId="0" applyFont="1" applyFill="1" applyBorder="1" applyAlignment="1">
      <alignment vertical="center"/>
    </xf>
    <xf numFmtId="0" fontId="13" fillId="10" borderId="0" xfId="0" applyFont="1" applyFill="1" applyAlignment="1">
      <alignment vertical="center"/>
    </xf>
    <xf numFmtId="0" fontId="13" fillId="10" borderId="9" xfId="0" applyFont="1" applyFill="1" applyBorder="1" applyAlignment="1">
      <alignment vertical="center"/>
    </xf>
    <xf numFmtId="0" fontId="13" fillId="10" borderId="9" xfId="0" applyFont="1" applyFill="1" applyBorder="1" applyAlignment="1">
      <alignment horizontal="center" vertical="center"/>
    </xf>
    <xf numFmtId="0" fontId="13" fillId="10" borderId="9" xfId="0" applyFont="1" applyFill="1" applyBorder="1" applyAlignment="1">
      <alignment horizontal="justify" vertical="center"/>
    </xf>
    <xf numFmtId="10" fontId="13" fillId="10" borderId="9" xfId="0" applyNumberFormat="1" applyFont="1" applyFill="1" applyBorder="1" applyAlignment="1">
      <alignment horizontal="center" vertical="center"/>
    </xf>
    <xf numFmtId="165" fontId="13" fillId="10" borderId="9" xfId="0" applyNumberFormat="1" applyFont="1" applyFill="1" applyBorder="1" applyAlignment="1">
      <alignment vertical="center"/>
    </xf>
    <xf numFmtId="43" fontId="13" fillId="10" borderId="9" xfId="1" applyFont="1" applyFill="1" applyBorder="1" applyAlignment="1">
      <alignment horizontal="center" vertical="center"/>
    </xf>
    <xf numFmtId="1" fontId="13" fillId="10" borderId="9" xfId="0" applyNumberFormat="1" applyFont="1" applyFill="1" applyBorder="1" applyAlignment="1">
      <alignment horizontal="center" vertical="center"/>
    </xf>
    <xf numFmtId="166" fontId="13" fillId="10" borderId="9" xfId="0" applyNumberFormat="1" applyFont="1" applyFill="1" applyBorder="1" applyAlignment="1">
      <alignment horizontal="right" vertical="center"/>
    </xf>
    <xf numFmtId="166" fontId="13" fillId="10" borderId="9" xfId="0" applyNumberFormat="1" applyFont="1" applyFill="1" applyBorder="1" applyAlignment="1">
      <alignment horizontal="center" vertical="center"/>
    </xf>
    <xf numFmtId="0" fontId="13" fillId="10" borderId="13" xfId="0" applyFont="1" applyFill="1" applyBorder="1" applyAlignment="1">
      <alignment horizontal="justify" vertical="center"/>
    </xf>
    <xf numFmtId="0" fontId="12" fillId="13" borderId="6" xfId="0" applyFont="1" applyFill="1" applyBorder="1" applyAlignment="1">
      <alignment horizontal="center" vertical="center"/>
    </xf>
    <xf numFmtId="0" fontId="12" fillId="13" borderId="20" xfId="0" applyFont="1" applyFill="1" applyBorder="1" applyAlignment="1">
      <alignment vertical="center"/>
    </xf>
    <xf numFmtId="0" fontId="12" fillId="13" borderId="20" xfId="0" applyFont="1" applyFill="1" applyBorder="1" applyAlignment="1">
      <alignment horizontal="center" vertical="center"/>
    </xf>
    <xf numFmtId="0" fontId="13" fillId="13" borderId="20" xfId="0" applyFont="1" applyFill="1" applyBorder="1" applyAlignment="1">
      <alignment horizontal="center" vertical="center"/>
    </xf>
    <xf numFmtId="0" fontId="13" fillId="13" borderId="20" xfId="0" applyFont="1" applyFill="1" applyBorder="1" applyAlignment="1">
      <alignment horizontal="justify" vertical="center"/>
    </xf>
    <xf numFmtId="0" fontId="13" fillId="13" borderId="20" xfId="0" applyFont="1" applyFill="1" applyBorder="1" applyAlignment="1">
      <alignment vertical="center"/>
    </xf>
    <xf numFmtId="10" fontId="13" fillId="13" borderId="20" xfId="0" applyNumberFormat="1" applyFont="1" applyFill="1" applyBorder="1" applyAlignment="1">
      <alignment horizontal="center" vertical="center"/>
    </xf>
    <xf numFmtId="165" fontId="13" fillId="13" borderId="20" xfId="0" applyNumberFormat="1" applyFont="1" applyFill="1" applyBorder="1" applyAlignment="1">
      <alignment vertical="center"/>
    </xf>
    <xf numFmtId="43" fontId="13" fillId="13" borderId="20" xfId="1" applyFont="1" applyFill="1" applyBorder="1" applyAlignment="1">
      <alignment horizontal="center" vertical="center"/>
    </xf>
    <xf numFmtId="1" fontId="13" fillId="13" borderId="20" xfId="0" applyNumberFormat="1" applyFont="1" applyFill="1" applyBorder="1" applyAlignment="1">
      <alignment horizontal="center" vertical="center"/>
    </xf>
    <xf numFmtId="166" fontId="13" fillId="13" borderId="20" xfId="0" applyNumberFormat="1" applyFont="1" applyFill="1" applyBorder="1" applyAlignment="1">
      <alignment horizontal="right" vertical="center"/>
    </xf>
    <xf numFmtId="166" fontId="13" fillId="13" borderId="20" xfId="0" applyNumberFormat="1" applyFont="1" applyFill="1" applyBorder="1" applyAlignment="1">
      <alignment horizontal="center" vertical="center"/>
    </xf>
    <xf numFmtId="0" fontId="13" fillId="13" borderId="35" xfId="0" applyFont="1" applyFill="1" applyBorder="1" applyAlignment="1">
      <alignment horizontal="justify" vertical="center"/>
    </xf>
    <xf numFmtId="0" fontId="12" fillId="12" borderId="19" xfId="0" applyFont="1" applyFill="1" applyBorder="1" applyAlignment="1">
      <alignment vertical="center"/>
    </xf>
    <xf numFmtId="0" fontId="20" fillId="7" borderId="18" xfId="0" applyFont="1" applyFill="1" applyBorder="1" applyAlignment="1">
      <alignment horizontal="justify" vertical="center" wrapText="1"/>
    </xf>
    <xf numFmtId="1" fontId="16" fillId="7" borderId="6" xfId="0" applyNumberFormat="1" applyFont="1" applyFill="1" applyBorder="1" applyAlignment="1">
      <alignment horizontal="center" vertical="center" wrapText="1"/>
    </xf>
    <xf numFmtId="0" fontId="20" fillId="7" borderId="6" xfId="0" applyFont="1" applyFill="1" applyBorder="1" applyAlignment="1">
      <alignment horizontal="justify" vertical="center" wrapText="1"/>
    </xf>
    <xf numFmtId="1" fontId="16" fillId="7" borderId="6" xfId="0" applyNumberFormat="1" applyFont="1" applyFill="1" applyBorder="1" applyAlignment="1">
      <alignment horizontal="center" vertical="center"/>
    </xf>
    <xf numFmtId="1" fontId="12" fillId="0" borderId="6" xfId="0" applyNumberFormat="1" applyFont="1" applyBorder="1" applyAlignment="1">
      <alignment vertical="center"/>
    </xf>
    <xf numFmtId="0" fontId="12" fillId="0" borderId="6" xfId="0" applyFont="1" applyBorder="1" applyAlignment="1">
      <alignment horizontal="center" vertical="center"/>
    </xf>
    <xf numFmtId="0" fontId="12" fillId="7" borderId="6" xfId="0" applyFont="1" applyFill="1" applyBorder="1" applyAlignment="1">
      <alignment horizontal="justify" vertical="center"/>
    </xf>
    <xf numFmtId="0" fontId="7" fillId="7" borderId="6" xfId="0" applyFont="1" applyFill="1" applyBorder="1" applyAlignment="1">
      <alignment vertical="center" wrapText="1"/>
    </xf>
    <xf numFmtId="0" fontId="12" fillId="7" borderId="6" xfId="0" applyFont="1" applyFill="1" applyBorder="1" applyAlignment="1">
      <alignment vertical="center"/>
    </xf>
    <xf numFmtId="0" fontId="12" fillId="7" borderId="6" xfId="0" applyFont="1" applyFill="1" applyBorder="1" applyAlignment="1">
      <alignment horizontal="center" vertical="center"/>
    </xf>
    <xf numFmtId="10" fontId="12" fillId="7" borderId="6" xfId="0" applyNumberFormat="1" applyFont="1" applyFill="1" applyBorder="1" applyAlignment="1">
      <alignment horizontal="center" vertical="center"/>
    </xf>
    <xf numFmtId="43" fontId="12" fillId="7" borderId="6" xfId="1" applyFont="1" applyFill="1" applyBorder="1" applyAlignment="1">
      <alignment horizontal="center" vertical="center"/>
    </xf>
    <xf numFmtId="0" fontId="7" fillId="7" borderId="6" xfId="0" applyFont="1" applyFill="1" applyBorder="1" applyAlignment="1">
      <alignment horizontal="justify" vertical="center" wrapText="1"/>
    </xf>
    <xf numFmtId="1" fontId="12" fillId="7" borderId="6" xfId="0" applyNumberFormat="1" applyFont="1" applyFill="1" applyBorder="1" applyAlignment="1">
      <alignment horizontal="center" vertical="center"/>
    </xf>
    <xf numFmtId="166" fontId="12" fillId="0" borderId="6" xfId="0" applyNumberFormat="1" applyFont="1" applyBorder="1" applyAlignment="1">
      <alignment horizontal="right" vertical="center"/>
    </xf>
    <xf numFmtId="166" fontId="12" fillId="0" borderId="6" xfId="0" applyNumberFormat="1" applyFont="1" applyBorder="1" applyAlignment="1">
      <alignment horizontal="center" vertical="center"/>
    </xf>
    <xf numFmtId="0" fontId="12" fillId="0" borderId="6" xfId="0" applyFont="1" applyBorder="1" applyAlignment="1">
      <alignment horizontal="justify" vertical="center"/>
    </xf>
    <xf numFmtId="1" fontId="13" fillId="0" borderId="0" xfId="0" applyNumberFormat="1" applyFont="1" applyAlignment="1">
      <alignment vertical="center"/>
    </xf>
    <xf numFmtId="0" fontId="13" fillId="7" borderId="0" xfId="0" applyFont="1" applyFill="1" applyAlignment="1">
      <alignment horizontal="justify" vertical="center"/>
    </xf>
    <xf numFmtId="0" fontId="20" fillId="7" borderId="0" xfId="0" applyFont="1" applyFill="1" applyAlignment="1">
      <alignment vertical="center" wrapText="1"/>
    </xf>
    <xf numFmtId="10" fontId="13" fillId="7" borderId="0" xfId="0" applyNumberFormat="1" applyFont="1" applyFill="1" applyAlignment="1">
      <alignment horizontal="center" vertical="center"/>
    </xf>
    <xf numFmtId="165" fontId="13" fillId="7" borderId="0" xfId="0" applyNumberFormat="1" applyFont="1" applyFill="1" applyAlignment="1">
      <alignment vertical="center"/>
    </xf>
    <xf numFmtId="1" fontId="13" fillId="7" borderId="0" xfId="0" applyNumberFormat="1" applyFont="1" applyFill="1" applyAlignment="1">
      <alignment horizontal="center" vertical="center"/>
    </xf>
    <xf numFmtId="166" fontId="13" fillId="0" borderId="0" xfId="0" applyNumberFormat="1" applyFont="1" applyAlignment="1">
      <alignment horizontal="right" vertical="center"/>
    </xf>
    <xf numFmtId="166" fontId="13" fillId="0" borderId="0" xfId="0" applyNumberFormat="1" applyFont="1" applyAlignment="1">
      <alignment horizontal="center" vertical="center"/>
    </xf>
    <xf numFmtId="0" fontId="13" fillId="0" borderId="0" xfId="0" applyFont="1" applyAlignment="1">
      <alignment horizontal="justify" vertical="center"/>
    </xf>
    <xf numFmtId="165" fontId="13" fillId="7" borderId="0" xfId="0" applyNumberFormat="1" applyFont="1" applyFill="1" applyAlignment="1">
      <alignment horizontal="center" vertical="center"/>
    </xf>
    <xf numFmtId="0" fontId="8" fillId="7" borderId="0" xfId="0" applyFont="1" applyFill="1" applyAlignment="1">
      <alignment vertical="center" wrapText="1"/>
    </xf>
    <xf numFmtId="3" fontId="21" fillId="0" borderId="0" xfId="6" applyNumberFormat="1" applyFont="1" applyAlignment="1">
      <alignment horizontal="center" vertical="center"/>
    </xf>
    <xf numFmtId="3" fontId="21" fillId="0" borderId="0" xfId="0" applyNumberFormat="1" applyFont="1" applyAlignment="1">
      <alignment horizontal="center" vertical="center"/>
    </xf>
    <xf numFmtId="167" fontId="21" fillId="0" borderId="0" xfId="6" applyNumberFormat="1" applyFont="1" applyAlignment="1">
      <alignment horizontal="center" vertical="center"/>
    </xf>
    <xf numFmtId="0" fontId="22" fillId="0" borderId="6" xfId="0" applyFont="1" applyBorder="1"/>
    <xf numFmtId="0" fontId="16" fillId="0" borderId="0" xfId="0" applyFont="1"/>
    <xf numFmtId="0" fontId="22" fillId="0" borderId="6" xfId="0" applyFont="1" applyBorder="1" applyAlignment="1">
      <alignment horizontal="left"/>
    </xf>
    <xf numFmtId="168" fontId="22" fillId="0" borderId="6" xfId="0" applyNumberFormat="1" applyFont="1" applyBorder="1" applyAlignment="1">
      <alignment horizontal="left"/>
    </xf>
    <xf numFmtId="17" fontId="22" fillId="0" borderId="6" xfId="0" applyNumberFormat="1" applyFont="1" applyBorder="1" applyAlignment="1">
      <alignment horizontal="left"/>
    </xf>
    <xf numFmtId="0" fontId="22" fillId="0" borderId="6" xfId="0" applyFont="1" applyBorder="1" applyAlignment="1">
      <alignment vertical="center"/>
    </xf>
    <xf numFmtId="3" fontId="22" fillId="5" borderId="6" xfId="0" applyNumberFormat="1" applyFont="1" applyFill="1" applyBorder="1" applyAlignment="1">
      <alignment horizontal="left" vertical="center" wrapText="1"/>
    </xf>
    <xf numFmtId="0" fontId="16" fillId="0" borderId="0" xfId="0" applyFont="1" applyAlignment="1">
      <alignment wrapText="1"/>
    </xf>
    <xf numFmtId="0" fontId="22" fillId="0" borderId="18" xfId="0" applyFont="1" applyBorder="1" applyAlignment="1">
      <alignment vertical="center"/>
    </xf>
    <xf numFmtId="0" fontId="24" fillId="0" borderId="0" xfId="0" applyFont="1"/>
    <xf numFmtId="0" fontId="15" fillId="8" borderId="19" xfId="0" applyFont="1" applyFill="1" applyBorder="1" applyAlignment="1">
      <alignment horizontal="center" vertical="center" textRotation="90" wrapText="1"/>
    </xf>
    <xf numFmtId="49" fontId="15" fillId="8" borderId="19" xfId="0" applyNumberFormat="1" applyFont="1" applyFill="1" applyBorder="1" applyAlignment="1">
      <alignment horizontal="center" vertical="center" textRotation="90" wrapText="1"/>
    </xf>
    <xf numFmtId="0" fontId="23" fillId="8" borderId="6" xfId="0" applyFont="1" applyFill="1" applyBorder="1" applyAlignment="1">
      <alignment horizontal="center" vertical="center" wrapText="1"/>
    </xf>
    <xf numFmtId="0" fontId="23" fillId="8" borderId="18" xfId="0" applyFont="1" applyFill="1" applyBorder="1" applyAlignment="1">
      <alignment horizontal="center" vertical="center" wrapText="1"/>
    </xf>
    <xf numFmtId="164" fontId="23" fillId="8" borderId="18" xfId="0" applyNumberFormat="1" applyFont="1" applyFill="1" applyBorder="1" applyAlignment="1">
      <alignment horizontal="center" vertical="center" wrapText="1"/>
    </xf>
    <xf numFmtId="0" fontId="25" fillId="0" borderId="0" xfId="0" applyFont="1"/>
    <xf numFmtId="0" fontId="22" fillId="10" borderId="20" xfId="0" applyFont="1" applyFill="1" applyBorder="1" applyAlignment="1">
      <alignment horizontal="center" vertical="center"/>
    </xf>
    <xf numFmtId="0" fontId="22" fillId="10" borderId="20" xfId="0" applyFont="1" applyFill="1" applyBorder="1" applyAlignment="1">
      <alignment vertical="center"/>
    </xf>
    <xf numFmtId="0" fontId="22" fillId="10" borderId="20" xfId="0" applyFont="1" applyFill="1" applyBorder="1" applyAlignment="1">
      <alignment horizontal="left" vertical="center"/>
    </xf>
    <xf numFmtId="0" fontId="22" fillId="10" borderId="20" xfId="0" applyFont="1" applyFill="1" applyBorder="1" applyAlignment="1">
      <alignment vertical="center" wrapText="1"/>
    </xf>
    <xf numFmtId="0" fontId="22" fillId="10" borderId="20" xfId="0" applyFont="1" applyFill="1" applyBorder="1" applyAlignment="1">
      <alignment horizontal="center" vertical="center" wrapText="1"/>
    </xf>
    <xf numFmtId="0" fontId="22" fillId="10" borderId="35" xfId="0" applyFont="1" applyFill="1" applyBorder="1" applyAlignment="1">
      <alignment vertical="center" wrapText="1"/>
    </xf>
    <xf numFmtId="0" fontId="16" fillId="7" borderId="16"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6" xfId="0" applyFont="1" applyFill="1" applyBorder="1" applyAlignment="1">
      <alignment vertical="center"/>
    </xf>
    <xf numFmtId="0" fontId="22" fillId="11" borderId="6" xfId="0" applyFont="1" applyFill="1" applyBorder="1" applyAlignment="1">
      <alignment vertical="center" wrapText="1"/>
    </xf>
    <xf numFmtId="0" fontId="22" fillId="11" borderId="19" xfId="0" applyFont="1" applyFill="1" applyBorder="1" applyAlignment="1">
      <alignment vertical="center" wrapText="1"/>
    </xf>
    <xf numFmtId="0" fontId="22" fillId="11" borderId="35" xfId="0" applyFont="1" applyFill="1" applyBorder="1" applyAlignment="1">
      <alignment vertical="center" wrapText="1"/>
    </xf>
    <xf numFmtId="0" fontId="16" fillId="7" borderId="23"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22" fillId="12" borderId="6" xfId="0" applyFont="1" applyFill="1" applyBorder="1" applyAlignment="1">
      <alignment vertical="center"/>
    </xf>
    <xf numFmtId="0" fontId="22" fillId="14" borderId="6" xfId="0" applyFont="1" applyFill="1" applyBorder="1" applyAlignment="1">
      <alignment vertical="center" wrapText="1"/>
    </xf>
    <xf numFmtId="43" fontId="8" fillId="7" borderId="6" xfId="1" applyFont="1" applyFill="1" applyBorder="1" applyAlignment="1">
      <alignment vertical="center" wrapText="1"/>
    </xf>
    <xf numFmtId="49" fontId="8" fillId="7" borderId="6" xfId="0" applyNumberFormat="1" applyFont="1" applyFill="1" applyBorder="1" applyAlignment="1">
      <alignment horizontal="center" vertical="center" wrapText="1"/>
    </xf>
    <xf numFmtId="0" fontId="8" fillId="7" borderId="6" xfId="0" applyFont="1" applyFill="1" applyBorder="1" applyAlignment="1">
      <alignment horizontal="center" vertical="center" wrapText="1"/>
    </xf>
    <xf numFmtId="1" fontId="8" fillId="7" borderId="6" xfId="0" applyNumberFormat="1" applyFont="1" applyFill="1" applyBorder="1" applyAlignment="1">
      <alignment horizontal="center" vertical="center" wrapText="1"/>
    </xf>
    <xf numFmtId="3" fontId="8" fillId="7" borderId="6" xfId="0" applyNumberFormat="1" applyFont="1" applyFill="1" applyBorder="1" applyAlignment="1">
      <alignment horizontal="justify" vertical="center" wrapText="1"/>
    </xf>
    <xf numFmtId="9" fontId="8" fillId="7" borderId="6" xfId="3" applyFont="1" applyFill="1" applyBorder="1" applyAlignment="1">
      <alignment horizontal="center" vertical="center" wrapText="1"/>
    </xf>
    <xf numFmtId="43" fontId="8" fillId="7" borderId="6" xfId="1" applyFont="1" applyFill="1" applyBorder="1" applyAlignment="1">
      <alignment horizontal="center" vertical="center" wrapText="1"/>
    </xf>
    <xf numFmtId="3" fontId="25" fillId="0" borderId="18" xfId="0" applyNumberFormat="1" applyFont="1" applyBorder="1" applyAlignment="1">
      <alignment vertical="center"/>
    </xf>
    <xf numFmtId="14" fontId="16" fillId="0" borderId="6" xfId="0" applyNumberFormat="1" applyFont="1" applyBorder="1" applyAlignment="1">
      <alignment horizontal="center" vertical="center" wrapText="1"/>
    </xf>
    <xf numFmtId="0" fontId="8" fillId="7" borderId="6" xfId="0" applyFont="1" applyFill="1" applyBorder="1" applyAlignment="1">
      <alignment vertical="center" wrapText="1"/>
    </xf>
    <xf numFmtId="0" fontId="16" fillId="7" borderId="12"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13" xfId="0" applyFont="1" applyFill="1" applyBorder="1" applyAlignment="1">
      <alignment horizontal="center" vertical="center" wrapText="1"/>
    </xf>
    <xf numFmtId="43" fontId="8" fillId="7" borderId="6" xfId="1" applyFont="1" applyFill="1" applyBorder="1" applyAlignment="1">
      <alignment horizontal="center" vertical="center"/>
    </xf>
    <xf numFmtId="0" fontId="7" fillId="10" borderId="5" xfId="0" applyFont="1" applyFill="1" applyBorder="1" applyAlignment="1">
      <alignment vertical="center"/>
    </xf>
    <xf numFmtId="0" fontId="7" fillId="10" borderId="11" xfId="0" applyFont="1" applyFill="1" applyBorder="1" applyAlignment="1">
      <alignment vertical="center"/>
    </xf>
    <xf numFmtId="0" fontId="7" fillId="10" borderId="0" xfId="0" applyFont="1" applyFill="1" applyAlignment="1">
      <alignment vertical="center"/>
    </xf>
    <xf numFmtId="0" fontId="7" fillId="10" borderId="9" xfId="0" applyFont="1" applyFill="1" applyBorder="1" applyAlignment="1">
      <alignment vertical="center"/>
    </xf>
    <xf numFmtId="0" fontId="7" fillId="10" borderId="9" xfId="0" applyFont="1" applyFill="1" applyBorder="1" applyAlignment="1">
      <alignment horizontal="justify" vertical="center"/>
    </xf>
    <xf numFmtId="0" fontId="7" fillId="10" borderId="20" xfId="0" applyFont="1" applyFill="1" applyBorder="1" applyAlignment="1">
      <alignment horizontal="justify" vertical="center"/>
    </xf>
    <xf numFmtId="0" fontId="7" fillId="10" borderId="20" xfId="0" applyFont="1" applyFill="1" applyBorder="1" applyAlignment="1">
      <alignment horizontal="center" vertical="center"/>
    </xf>
    <xf numFmtId="165" fontId="7" fillId="10" borderId="20" xfId="0" applyNumberFormat="1" applyFont="1" applyFill="1" applyBorder="1" applyAlignment="1">
      <alignment horizontal="center" vertical="center"/>
    </xf>
    <xf numFmtId="43" fontId="7" fillId="10" borderId="20" xfId="1" applyFont="1" applyFill="1" applyBorder="1" applyAlignment="1">
      <alignment horizontal="justify" vertical="center"/>
    </xf>
    <xf numFmtId="44" fontId="7" fillId="10" borderId="9" xfId="2" applyFont="1" applyFill="1" applyBorder="1" applyAlignment="1">
      <alignment horizontal="center" vertical="center"/>
    </xf>
    <xf numFmtId="43" fontId="7" fillId="10" borderId="9" xfId="1" applyFont="1" applyFill="1" applyBorder="1" applyAlignment="1">
      <alignment horizontal="center" vertical="center"/>
    </xf>
    <xf numFmtId="0" fontId="7" fillId="10" borderId="20" xfId="0" applyFont="1" applyFill="1" applyBorder="1" applyAlignment="1">
      <alignment vertical="center"/>
    </xf>
    <xf numFmtId="166" fontId="7" fillId="10" borderId="9" xfId="0" applyNumberFormat="1" applyFont="1" applyFill="1" applyBorder="1" applyAlignment="1">
      <alignment vertical="center"/>
    </xf>
    <xf numFmtId="0" fontId="8" fillId="10" borderId="11" xfId="0" applyFont="1" applyFill="1" applyBorder="1" applyAlignment="1">
      <alignment vertical="center"/>
    </xf>
    <xf numFmtId="0" fontId="8" fillId="10" borderId="20" xfId="0" applyFont="1" applyFill="1" applyBorder="1" applyAlignment="1">
      <alignment vertical="center"/>
    </xf>
    <xf numFmtId="165" fontId="16" fillId="10" borderId="19" xfId="0" applyNumberFormat="1" applyFont="1" applyFill="1" applyBorder="1" applyAlignment="1">
      <alignment vertical="center"/>
    </xf>
    <xf numFmtId="165" fontId="16" fillId="10" borderId="20" xfId="0" applyNumberFormat="1" applyFont="1" applyFill="1" applyBorder="1" applyAlignment="1">
      <alignment vertical="center"/>
    </xf>
    <xf numFmtId="165" fontId="16" fillId="10" borderId="35" xfId="0" applyNumberFormat="1" applyFont="1" applyFill="1" applyBorder="1" applyAlignment="1">
      <alignment vertical="center"/>
    </xf>
    <xf numFmtId="0" fontId="7" fillId="11" borderId="20" xfId="0" applyFont="1" applyFill="1" applyBorder="1" applyAlignment="1">
      <alignment vertical="center"/>
    </xf>
    <xf numFmtId="0" fontId="7" fillId="11" borderId="20" xfId="0" applyFont="1" applyFill="1" applyBorder="1" applyAlignment="1">
      <alignment horizontal="left" vertical="center"/>
    </xf>
    <xf numFmtId="0" fontId="7" fillId="11" borderId="20" xfId="0" applyFont="1" applyFill="1" applyBorder="1" applyAlignment="1">
      <alignment horizontal="justify" vertical="center"/>
    </xf>
    <xf numFmtId="0" fontId="7" fillId="11" borderId="9" xfId="0" applyFont="1" applyFill="1" applyBorder="1" applyAlignment="1">
      <alignment horizontal="center" vertical="center"/>
    </xf>
    <xf numFmtId="0" fontId="7" fillId="11" borderId="9" xfId="0" applyFont="1" applyFill="1" applyBorder="1" applyAlignment="1">
      <alignment horizontal="justify" vertical="center"/>
    </xf>
    <xf numFmtId="165" fontId="7" fillId="11" borderId="9" xfId="0" applyNumberFormat="1" applyFont="1" applyFill="1" applyBorder="1" applyAlignment="1">
      <alignment horizontal="center" vertical="center"/>
    </xf>
    <xf numFmtId="43" fontId="7" fillId="11" borderId="9" xfId="1" applyFont="1" applyFill="1" applyBorder="1" applyAlignment="1">
      <alignment horizontal="justify" vertical="center"/>
    </xf>
    <xf numFmtId="44" fontId="7" fillId="11" borderId="9" xfId="2" applyFont="1" applyFill="1" applyBorder="1" applyAlignment="1">
      <alignment horizontal="center" vertical="center"/>
    </xf>
    <xf numFmtId="43" fontId="7" fillId="11" borderId="9" xfId="1" applyFont="1" applyFill="1" applyBorder="1" applyAlignment="1">
      <alignment horizontal="center" vertical="center"/>
    </xf>
    <xf numFmtId="0" fontId="7" fillId="11" borderId="9" xfId="0" applyFont="1" applyFill="1" applyBorder="1" applyAlignment="1">
      <alignment vertical="center"/>
    </xf>
    <xf numFmtId="166" fontId="7" fillId="11" borderId="9" xfId="0" applyNumberFormat="1" applyFont="1" applyFill="1" applyBorder="1" applyAlignment="1">
      <alignment vertical="center"/>
    </xf>
    <xf numFmtId="0" fontId="8" fillId="11" borderId="11" xfId="0" applyFont="1" applyFill="1" applyBorder="1" applyAlignment="1">
      <alignment vertical="center"/>
    </xf>
    <xf numFmtId="0" fontId="8" fillId="11" borderId="20" xfId="0" applyFont="1" applyFill="1" applyBorder="1" applyAlignment="1">
      <alignment vertical="center"/>
    </xf>
    <xf numFmtId="165" fontId="16" fillId="11" borderId="19" xfId="0" applyNumberFormat="1" applyFont="1" applyFill="1" applyBorder="1" applyAlignment="1">
      <alignment vertical="center"/>
    </xf>
    <xf numFmtId="165" fontId="16" fillId="11" borderId="20" xfId="0" applyNumberFormat="1" applyFont="1" applyFill="1" applyBorder="1" applyAlignment="1">
      <alignment vertical="center"/>
    </xf>
    <xf numFmtId="165" fontId="16" fillId="11" borderId="35" xfId="0" applyNumberFormat="1" applyFont="1" applyFill="1" applyBorder="1" applyAlignment="1">
      <alignment vertical="center"/>
    </xf>
    <xf numFmtId="0" fontId="7" fillId="12" borderId="19" xfId="0" applyFont="1" applyFill="1" applyBorder="1" applyAlignment="1">
      <alignment horizontal="left" vertical="center"/>
    </xf>
    <xf numFmtId="0" fontId="7" fillId="12" borderId="20" xfId="0" applyFont="1" applyFill="1" applyBorder="1" applyAlignment="1">
      <alignment vertical="center"/>
    </xf>
    <xf numFmtId="0" fontId="7" fillId="12" borderId="20" xfId="0" applyFont="1" applyFill="1" applyBorder="1" applyAlignment="1">
      <alignment horizontal="justify" vertical="center"/>
    </xf>
    <xf numFmtId="0" fontId="7" fillId="12" borderId="20" xfId="0" applyFont="1" applyFill="1" applyBorder="1" applyAlignment="1">
      <alignment horizontal="center" vertical="center"/>
    </xf>
    <xf numFmtId="0" fontId="7" fillId="12" borderId="11" xfId="0" applyFont="1" applyFill="1" applyBorder="1" applyAlignment="1">
      <alignment horizontal="center" vertical="center"/>
    </xf>
    <xf numFmtId="165" fontId="7" fillId="12" borderId="20" xfId="0" applyNumberFormat="1" applyFont="1" applyFill="1" applyBorder="1" applyAlignment="1">
      <alignment horizontal="center" vertical="center"/>
    </xf>
    <xf numFmtId="43" fontId="7" fillId="12" borderId="20" xfId="1" applyFont="1" applyFill="1" applyBorder="1" applyAlignment="1">
      <alignment horizontal="justify" vertical="center"/>
    </xf>
    <xf numFmtId="0" fontId="7" fillId="12" borderId="11" xfId="0" applyFont="1" applyFill="1" applyBorder="1" applyAlignment="1">
      <alignment horizontal="justify" vertical="center"/>
    </xf>
    <xf numFmtId="44" fontId="7" fillId="12" borderId="11" xfId="2" applyFont="1" applyFill="1" applyBorder="1" applyAlignment="1">
      <alignment horizontal="center" vertical="center"/>
    </xf>
    <xf numFmtId="43" fontId="7" fillId="12" borderId="11" xfId="1" applyFont="1" applyFill="1" applyBorder="1" applyAlignment="1">
      <alignment horizontal="center" vertical="center"/>
    </xf>
    <xf numFmtId="166" fontId="7" fillId="12" borderId="20" xfId="0" applyNumberFormat="1" applyFont="1" applyFill="1" applyBorder="1" applyAlignment="1">
      <alignment vertical="center"/>
    </xf>
    <xf numFmtId="0" fontId="8" fillId="12" borderId="11" xfId="0" applyFont="1" applyFill="1" applyBorder="1" applyAlignment="1">
      <alignment vertical="center"/>
    </xf>
    <xf numFmtId="0" fontId="8" fillId="12" borderId="20" xfId="0" applyFont="1" applyFill="1" applyBorder="1" applyAlignment="1">
      <alignment vertical="center"/>
    </xf>
    <xf numFmtId="165" fontId="16" fillId="12" borderId="19" xfId="0" applyNumberFormat="1" applyFont="1" applyFill="1" applyBorder="1" applyAlignment="1">
      <alignment vertical="center"/>
    </xf>
    <xf numFmtId="165" fontId="16" fillId="12" borderId="20" xfId="0" applyNumberFormat="1" applyFont="1" applyFill="1" applyBorder="1" applyAlignment="1">
      <alignment vertical="center"/>
    </xf>
    <xf numFmtId="165" fontId="16" fillId="12" borderId="35" xfId="0" applyNumberFormat="1" applyFont="1" applyFill="1" applyBorder="1" applyAlignment="1">
      <alignment vertical="center"/>
    </xf>
    <xf numFmtId="0" fontId="8" fillId="7" borderId="16"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37" xfId="0" applyFont="1" applyBorder="1" applyAlignment="1">
      <alignment horizontal="left" vertical="center" wrapText="1"/>
    </xf>
    <xf numFmtId="43" fontId="8" fillId="7" borderId="3" xfId="1" applyFont="1" applyFill="1" applyBorder="1" applyAlignment="1">
      <alignment horizontal="center" vertical="center" wrapText="1"/>
    </xf>
    <xf numFmtId="0" fontId="8" fillId="7" borderId="3" xfId="2" applyNumberFormat="1" applyFont="1" applyFill="1" applyBorder="1" applyAlignment="1">
      <alignment horizontal="center" vertical="center" wrapText="1"/>
    </xf>
    <xf numFmtId="169" fontId="16" fillId="7" borderId="38" xfId="0" applyNumberFormat="1"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24"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39" xfId="0" applyFont="1" applyBorder="1" applyAlignment="1">
      <alignment horizontal="left" vertical="center" wrapText="1"/>
    </xf>
    <xf numFmtId="0" fontId="8" fillId="7" borderId="6" xfId="2" applyNumberFormat="1" applyFont="1" applyFill="1" applyBorder="1" applyAlignment="1">
      <alignment horizontal="center" vertical="center" wrapText="1"/>
    </xf>
    <xf numFmtId="169" fontId="16" fillId="7" borderId="19" xfId="0"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left" vertical="center" wrapText="1"/>
    </xf>
    <xf numFmtId="43" fontId="8" fillId="7" borderId="18" xfId="1" applyFont="1" applyFill="1" applyBorder="1" applyAlignment="1">
      <alignment horizontal="center" vertical="center" wrapText="1"/>
    </xf>
    <xf numFmtId="0" fontId="8" fillId="7" borderId="18" xfId="2" applyNumberFormat="1" applyFont="1" applyFill="1" applyBorder="1" applyAlignment="1">
      <alignment horizontal="center" vertical="center" wrapText="1"/>
    </xf>
    <xf numFmtId="169" fontId="16" fillId="7" borderId="16" xfId="0" applyNumberFormat="1" applyFont="1" applyFill="1" applyBorder="1" applyAlignment="1">
      <alignment horizontal="center" vertical="center" wrapText="1"/>
    </xf>
    <xf numFmtId="0" fontId="16" fillId="7" borderId="25" xfId="0" applyFont="1" applyFill="1" applyBorder="1" applyAlignment="1">
      <alignment horizontal="center"/>
    </xf>
    <xf numFmtId="0" fontId="8" fillId="7" borderId="25" xfId="0" applyFont="1" applyFill="1" applyBorder="1" applyAlignment="1">
      <alignment horizontal="center" vertical="center"/>
    </xf>
    <xf numFmtId="0" fontId="8" fillId="7" borderId="25" xfId="0" applyFont="1" applyFill="1" applyBorder="1" applyAlignment="1">
      <alignment horizontal="center"/>
    </xf>
    <xf numFmtId="0" fontId="8" fillId="0" borderId="43" xfId="0" applyFont="1" applyBorder="1" applyAlignment="1">
      <alignment horizontal="left" vertical="center" wrapText="1"/>
    </xf>
    <xf numFmtId="43" fontId="8" fillId="7" borderId="36" xfId="1" applyFont="1" applyFill="1" applyBorder="1" applyAlignment="1">
      <alignment horizontal="center" vertical="center" wrapText="1"/>
    </xf>
    <xf numFmtId="0" fontId="8" fillId="7" borderId="36" xfId="2" applyNumberFormat="1" applyFont="1" applyFill="1" applyBorder="1" applyAlignment="1">
      <alignment horizontal="center" vertical="center" wrapText="1"/>
    </xf>
    <xf numFmtId="169" fontId="16" fillId="7" borderId="44" xfId="0" applyNumberFormat="1" applyFont="1" applyFill="1" applyBorder="1" applyAlignment="1">
      <alignment horizontal="center" vertical="center" wrapText="1"/>
    </xf>
    <xf numFmtId="0" fontId="8" fillId="7" borderId="24" xfId="0" applyFont="1" applyFill="1" applyBorder="1" applyAlignment="1">
      <alignment vertical="center" wrapText="1"/>
    </xf>
    <xf numFmtId="0" fontId="7" fillId="12" borderId="6" xfId="0" applyFont="1" applyFill="1" applyBorder="1" applyAlignment="1">
      <alignment horizontal="left" vertical="center"/>
    </xf>
    <xf numFmtId="0" fontId="7" fillId="12" borderId="19" xfId="0" applyFont="1" applyFill="1" applyBorder="1" applyAlignment="1">
      <alignment vertical="center"/>
    </xf>
    <xf numFmtId="43" fontId="7" fillId="12" borderId="20" xfId="1" applyFont="1" applyFill="1" applyBorder="1" applyAlignment="1">
      <alignment vertical="center"/>
    </xf>
    <xf numFmtId="0" fontId="7" fillId="12" borderId="0" xfId="0" applyFont="1" applyFill="1" applyBorder="1" applyAlignment="1">
      <alignment vertical="center"/>
    </xf>
    <xf numFmtId="43" fontId="7" fillId="12" borderId="0" xfId="1" applyFont="1" applyFill="1" applyBorder="1" applyAlignment="1">
      <alignment vertical="center"/>
    </xf>
    <xf numFmtId="0" fontId="7" fillId="12" borderId="0" xfId="0" applyFont="1" applyFill="1" applyAlignment="1">
      <alignment vertical="center"/>
    </xf>
    <xf numFmtId="0" fontId="8" fillId="7" borderId="37" xfId="0" applyFont="1" applyFill="1" applyBorder="1" applyAlignment="1">
      <alignment horizontal="justify" vertical="center" wrapText="1"/>
    </xf>
    <xf numFmtId="43" fontId="8" fillId="7" borderId="3" xfId="1" applyFont="1" applyFill="1" applyBorder="1" applyAlignment="1">
      <alignment vertical="center" wrapText="1"/>
    </xf>
    <xf numFmtId="49" fontId="8" fillId="7" borderId="3" xfId="0" applyNumberFormat="1" applyFont="1" applyFill="1" applyBorder="1" applyAlignment="1">
      <alignment horizontal="center" vertical="center" wrapText="1"/>
    </xf>
    <xf numFmtId="3" fontId="8" fillId="7" borderId="4" xfId="0" applyNumberFormat="1" applyFont="1" applyFill="1" applyBorder="1" applyAlignment="1">
      <alignment horizontal="center" vertical="center" wrapText="1"/>
    </xf>
    <xf numFmtId="0" fontId="8" fillId="7" borderId="15" xfId="0" applyFont="1" applyFill="1" applyBorder="1" applyAlignment="1">
      <alignment horizontal="center" vertical="center" wrapText="1"/>
    </xf>
    <xf numFmtId="43" fontId="8" fillId="0" borderId="6" xfId="1" applyFont="1" applyFill="1" applyBorder="1" applyAlignment="1">
      <alignment vertical="center" wrapText="1"/>
    </xf>
    <xf numFmtId="3" fontId="8" fillId="7" borderId="7" xfId="0" applyNumberFormat="1" applyFont="1" applyFill="1" applyBorder="1" applyAlignment="1">
      <alignment horizontal="center" vertical="center" wrapText="1"/>
    </xf>
    <xf numFmtId="0" fontId="8" fillId="7" borderId="43" xfId="0" applyFont="1" applyFill="1" applyBorder="1" applyAlignment="1">
      <alignment horizontal="justify" vertical="center" wrapText="1"/>
    </xf>
    <xf numFmtId="49" fontId="8" fillId="7" borderId="18" xfId="0" applyNumberFormat="1" applyFont="1" applyFill="1" applyBorder="1" applyAlignment="1">
      <alignment horizontal="center" vertical="center" wrapText="1"/>
    </xf>
    <xf numFmtId="0" fontId="8" fillId="0" borderId="37" xfId="0" applyFont="1" applyBorder="1" applyAlignment="1">
      <alignment horizontal="justify" vertical="center" wrapText="1"/>
    </xf>
    <xf numFmtId="43" fontId="8" fillId="7" borderId="18" xfId="1" applyFont="1" applyFill="1" applyBorder="1" applyAlignment="1">
      <alignment vertical="center" wrapText="1"/>
    </xf>
    <xf numFmtId="0" fontId="8" fillId="0" borderId="3" xfId="2"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8" fillId="0" borderId="43" xfId="0" applyFont="1" applyBorder="1" applyAlignment="1">
      <alignment horizontal="justify" vertical="center" wrapText="1"/>
    </xf>
    <xf numFmtId="43" fontId="8" fillId="7" borderId="36" xfId="1" applyFont="1" applyFill="1" applyBorder="1" applyAlignment="1">
      <alignment vertical="center" wrapText="1"/>
    </xf>
    <xf numFmtId="0" fontId="8" fillId="0" borderId="36" xfId="2" applyNumberFormat="1" applyFont="1" applyBorder="1" applyAlignment="1">
      <alignment horizontal="center" vertical="center" wrapText="1"/>
    </xf>
    <xf numFmtId="3" fontId="8" fillId="0" borderId="47"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3" fontId="16" fillId="0" borderId="4"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0" fontId="8" fillId="0" borderId="6" xfId="2"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0" fontId="7" fillId="7" borderId="6" xfId="0" applyFont="1" applyFill="1" applyBorder="1" applyAlignment="1">
      <alignment horizontal="center" vertical="center"/>
    </xf>
    <xf numFmtId="10" fontId="8" fillId="7" borderId="18" xfId="3" applyNumberFormat="1" applyFont="1" applyFill="1" applyBorder="1" applyAlignment="1">
      <alignment horizontal="center" vertical="center" wrapText="1"/>
    </xf>
    <xf numFmtId="0" fontId="8" fillId="0" borderId="48" xfId="0" applyFont="1" applyBorder="1" applyAlignment="1">
      <alignment horizontal="justify" vertical="center" wrapText="1"/>
    </xf>
    <xf numFmtId="0" fontId="8" fillId="0" borderId="49" xfId="2" applyNumberFormat="1" applyFont="1" applyBorder="1" applyAlignment="1">
      <alignment horizontal="center" vertical="center" wrapText="1"/>
    </xf>
    <xf numFmtId="3" fontId="8" fillId="0" borderId="50" xfId="0" applyNumberFormat="1" applyFont="1" applyBorder="1" applyAlignment="1">
      <alignment horizontal="center" vertical="center" wrapText="1"/>
    </xf>
    <xf numFmtId="0" fontId="7" fillId="7" borderId="25" xfId="0" applyFont="1" applyFill="1" applyBorder="1" applyAlignment="1">
      <alignment horizontal="center" vertical="center"/>
    </xf>
    <xf numFmtId="0" fontId="8" fillId="7" borderId="18" xfId="0" applyFont="1" applyFill="1" applyBorder="1" applyAlignment="1">
      <alignment horizontal="center" vertical="center" wrapText="1"/>
    </xf>
    <xf numFmtId="0" fontId="8" fillId="7" borderId="48" xfId="0" applyFont="1" applyFill="1" applyBorder="1" applyAlignment="1">
      <alignment horizontal="justify" vertical="center" wrapText="1"/>
    </xf>
    <xf numFmtId="0" fontId="8" fillId="7" borderId="49" xfId="2" applyNumberFormat="1" applyFont="1" applyFill="1" applyBorder="1" applyAlignment="1">
      <alignment horizontal="center" vertical="center" wrapText="1"/>
    </xf>
    <xf numFmtId="3" fontId="8" fillId="7" borderId="50" xfId="0" applyNumberFormat="1" applyFont="1" applyFill="1" applyBorder="1" applyAlignment="1">
      <alignment horizontal="center" vertical="center" wrapText="1"/>
    </xf>
    <xf numFmtId="0" fontId="8" fillId="7" borderId="9" xfId="0" applyFont="1" applyFill="1" applyBorder="1" applyAlignment="1">
      <alignment vertical="center" wrapText="1"/>
    </xf>
    <xf numFmtId="0" fontId="8" fillId="7" borderId="13" xfId="0" applyFont="1" applyFill="1" applyBorder="1" applyAlignment="1">
      <alignment vertical="center" wrapText="1"/>
    </xf>
    <xf numFmtId="1" fontId="7" fillId="7" borderId="18" xfId="0" applyNumberFormat="1" applyFont="1" applyFill="1" applyBorder="1" applyAlignment="1">
      <alignment horizontal="center" vertical="center" wrapText="1"/>
    </xf>
    <xf numFmtId="0" fontId="8" fillId="0" borderId="6" xfId="0" applyFont="1" applyBorder="1" applyAlignment="1">
      <alignment vertical="center" wrapText="1"/>
    </xf>
    <xf numFmtId="10" fontId="8" fillId="7" borderId="11" xfId="3" applyNumberFormat="1" applyFont="1" applyFill="1" applyBorder="1" applyAlignment="1">
      <alignment horizontal="center" vertical="center" wrapText="1"/>
    </xf>
    <xf numFmtId="0" fontId="8" fillId="0" borderId="19" xfId="0" applyFont="1" applyBorder="1" applyAlignment="1">
      <alignment horizontal="justify" vertical="center" wrapText="1"/>
    </xf>
    <xf numFmtId="43" fontId="8" fillId="7" borderId="46" xfId="1"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0" xfId="0" applyFont="1"/>
    <xf numFmtId="44" fontId="7" fillId="0" borderId="6" xfId="2" applyFont="1" applyBorder="1" applyAlignment="1">
      <alignment horizontal="center" vertical="center"/>
    </xf>
    <xf numFmtId="43" fontId="7" fillId="0" borderId="27" xfId="1" applyFont="1" applyBorder="1" applyAlignment="1">
      <alignment horizontal="center" vertical="center"/>
    </xf>
    <xf numFmtId="0" fontId="26" fillId="0" borderId="19" xfId="0" applyFont="1" applyBorder="1" applyAlignment="1">
      <alignment vertical="center" wrapText="1"/>
    </xf>
    <xf numFmtId="0" fontId="26" fillId="0" borderId="20" xfId="0" applyFont="1" applyBorder="1" applyAlignment="1">
      <alignment vertical="center" wrapText="1"/>
    </xf>
    <xf numFmtId="0" fontId="26" fillId="0" borderId="12" xfId="0" applyFont="1" applyBorder="1" applyAlignment="1">
      <alignment vertical="center" wrapText="1"/>
    </xf>
    <xf numFmtId="169" fontId="7" fillId="0" borderId="27" xfId="0" applyNumberFormat="1" applyFont="1" applyBorder="1" applyAlignment="1">
      <alignment horizontal="center" vertical="center"/>
    </xf>
    <xf numFmtId="0" fontId="7" fillId="0" borderId="12" xfId="0" applyFont="1" applyBorder="1" applyAlignment="1">
      <alignment horizontal="center" vertical="center"/>
    </xf>
    <xf numFmtId="169" fontId="7" fillId="0" borderId="48" xfId="0" applyNumberFormat="1" applyFont="1" applyBorder="1" applyAlignment="1">
      <alignment vertical="center"/>
    </xf>
    <xf numFmtId="169" fontId="7" fillId="0" borderId="49" xfId="0" applyNumberFormat="1" applyFont="1" applyBorder="1" applyAlignment="1">
      <alignment vertical="center"/>
    </xf>
    <xf numFmtId="169" fontId="7" fillId="0" borderId="50" xfId="0" applyNumberFormat="1" applyFont="1" applyBorder="1" applyAlignment="1">
      <alignment vertical="center"/>
    </xf>
    <xf numFmtId="0" fontId="7" fillId="0" borderId="0" xfId="0" applyFont="1" applyBorder="1" applyAlignment="1">
      <alignment horizontal="center" vertical="center" wrapText="1"/>
    </xf>
    <xf numFmtId="44" fontId="7" fillId="0" borderId="0" xfId="2" applyFont="1" applyBorder="1" applyAlignment="1">
      <alignment horizontal="center" vertical="center"/>
    </xf>
    <xf numFmtId="0" fontId="26" fillId="0" borderId="0" xfId="0" applyFont="1" applyBorder="1" applyAlignment="1">
      <alignment vertical="center" wrapText="1"/>
    </xf>
    <xf numFmtId="44" fontId="8" fillId="7" borderId="0" xfId="2" applyFont="1" applyFill="1" applyBorder="1" applyAlignment="1">
      <alignment horizontal="center" vertical="center" wrapText="1"/>
    </xf>
    <xf numFmtId="16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16" fillId="0" borderId="0" xfId="0" applyFont="1" applyAlignment="1">
      <alignment horizontal="center"/>
    </xf>
    <xf numFmtId="165" fontId="16" fillId="0" borderId="0" xfId="0" applyNumberFormat="1" applyFont="1"/>
    <xf numFmtId="0" fontId="26" fillId="0" borderId="0" xfId="0" applyFont="1"/>
    <xf numFmtId="0" fontId="22" fillId="0" borderId="0" xfId="0" applyFont="1"/>
    <xf numFmtId="0" fontId="22" fillId="0" borderId="0" xfId="0" applyFont="1" applyAlignment="1">
      <alignment horizontal="center"/>
    </xf>
    <xf numFmtId="0" fontId="27" fillId="0" borderId="3" xfId="0" applyFont="1" applyBorder="1"/>
    <xf numFmtId="0" fontId="27" fillId="0" borderId="4" xfId="0" applyFont="1" applyBorder="1"/>
    <xf numFmtId="0" fontId="20" fillId="0" borderId="0" xfId="0" applyFont="1"/>
    <xf numFmtId="0" fontId="27" fillId="0" borderId="6" xfId="0" applyFont="1" applyBorder="1" applyAlignment="1">
      <alignment horizontal="left"/>
    </xf>
    <xf numFmtId="168" fontId="27" fillId="0" borderId="7" xfId="0" applyNumberFormat="1" applyFont="1" applyBorder="1" applyAlignment="1">
      <alignment horizontal="left"/>
    </xf>
    <xf numFmtId="0" fontId="27" fillId="0" borderId="6" xfId="0" applyFont="1" applyBorder="1"/>
    <xf numFmtId="17" fontId="27" fillId="0" borderId="7" xfId="0" applyNumberFormat="1" applyFont="1" applyBorder="1" applyAlignment="1">
      <alignment horizontal="left"/>
    </xf>
    <xf numFmtId="0" fontId="27" fillId="0" borderId="6" xfId="0" applyFont="1" applyBorder="1" applyAlignment="1">
      <alignment vertical="center"/>
    </xf>
    <xf numFmtId="3" fontId="3" fillId="5" borderId="7" xfId="0" applyNumberFormat="1" applyFont="1" applyFill="1" applyBorder="1" applyAlignment="1">
      <alignment horizontal="left" vertical="center" wrapText="1"/>
    </xf>
    <xf numFmtId="0" fontId="20" fillId="0" borderId="0" xfId="0" applyFont="1" applyAlignment="1">
      <alignment wrapText="1"/>
    </xf>
    <xf numFmtId="0" fontId="28" fillId="0" borderId="6"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7" fillId="0" borderId="0" xfId="0" applyFont="1" applyAlignment="1">
      <alignment horizontal="center" vertical="center"/>
    </xf>
    <xf numFmtId="3" fontId="23" fillId="15" borderId="6" xfId="0" applyNumberFormat="1" applyFont="1" applyFill="1" applyBorder="1" applyAlignment="1">
      <alignment horizontal="center" vertical="center" textRotation="90" wrapText="1"/>
    </xf>
    <xf numFmtId="3" fontId="23" fillId="15" borderId="20" xfId="0" applyNumberFormat="1" applyFont="1" applyFill="1" applyBorder="1" applyAlignment="1">
      <alignment horizontal="center" vertical="center" textRotation="90" wrapText="1"/>
    </xf>
    <xf numFmtId="0" fontId="23" fillId="15" borderId="19" xfId="0" applyFont="1" applyFill="1" applyBorder="1" applyAlignment="1">
      <alignment horizontal="center" vertical="center" textRotation="90" wrapText="1"/>
    </xf>
    <xf numFmtId="0" fontId="23" fillId="15" borderId="19" xfId="0" applyFont="1" applyFill="1" applyBorder="1" applyAlignment="1">
      <alignment horizontal="center" vertical="center" textRotation="90"/>
    </xf>
    <xf numFmtId="0" fontId="23" fillId="15" borderId="6" xfId="0" applyFont="1" applyFill="1" applyBorder="1" applyAlignment="1">
      <alignment horizontal="center" vertical="center" textRotation="90"/>
    </xf>
    <xf numFmtId="0" fontId="28" fillId="10" borderId="15" xfId="0" applyFont="1" applyFill="1" applyBorder="1" applyAlignment="1">
      <alignment horizontal="center" vertical="center" wrapText="1"/>
    </xf>
    <xf numFmtId="0" fontId="28" fillId="10" borderId="20" xfId="0" applyFont="1" applyFill="1" applyBorder="1" applyAlignment="1">
      <alignment vertical="center" wrapText="1"/>
    </xf>
    <xf numFmtId="0" fontId="28" fillId="10" borderId="20" xfId="0" applyFont="1" applyFill="1" applyBorder="1" applyAlignment="1">
      <alignment horizontal="justify" vertical="center" wrapText="1"/>
    </xf>
    <xf numFmtId="2" fontId="28" fillId="10" borderId="20" xfId="0" applyNumberFormat="1" applyFont="1" applyFill="1" applyBorder="1" applyAlignment="1">
      <alignment horizontal="right" vertical="center" wrapText="1"/>
    </xf>
    <xf numFmtId="41" fontId="28" fillId="10" borderId="20" xfId="8" applyFont="1" applyFill="1" applyBorder="1" applyAlignment="1">
      <alignment horizontal="right" vertical="center" wrapText="1"/>
    </xf>
    <xf numFmtId="1" fontId="28" fillId="10" borderId="20" xfId="0" applyNumberFormat="1" applyFont="1" applyFill="1" applyBorder="1" applyAlignment="1">
      <alignment horizontal="center" vertical="center" wrapText="1"/>
    </xf>
    <xf numFmtId="0" fontId="28" fillId="10" borderId="20" xfId="0" applyFont="1" applyFill="1" applyBorder="1" applyAlignment="1">
      <alignment horizontal="center" vertical="center" wrapText="1"/>
    </xf>
    <xf numFmtId="0" fontId="28" fillId="0" borderId="0" xfId="0" applyFont="1"/>
    <xf numFmtId="0" fontId="28" fillId="7" borderId="15"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8" fillId="7" borderId="17" xfId="0" applyFont="1" applyFill="1" applyBorder="1"/>
    <xf numFmtId="0" fontId="28" fillId="16" borderId="17" xfId="0" applyFont="1" applyFill="1" applyBorder="1" applyAlignment="1">
      <alignment horizontal="center" vertical="center" wrapText="1"/>
    </xf>
    <xf numFmtId="0" fontId="28" fillId="16" borderId="20" xfId="0" applyFont="1" applyFill="1" applyBorder="1" applyAlignment="1">
      <alignment horizontal="justify" vertical="center" wrapText="1"/>
    </xf>
    <xf numFmtId="0" fontId="28" fillId="16" borderId="20" xfId="0" applyFont="1" applyFill="1" applyBorder="1" applyAlignment="1">
      <alignment vertical="center" wrapText="1"/>
    </xf>
    <xf numFmtId="2" fontId="28" fillId="16" borderId="20" xfId="0" applyNumberFormat="1" applyFont="1" applyFill="1" applyBorder="1" applyAlignment="1">
      <alignment horizontal="right" vertical="center" wrapText="1"/>
    </xf>
    <xf numFmtId="41" fontId="28" fillId="16" borderId="20" xfId="8" applyFont="1" applyFill="1" applyBorder="1" applyAlignment="1">
      <alignment horizontal="right" vertical="center" wrapText="1"/>
    </xf>
    <xf numFmtId="1" fontId="28" fillId="16" borderId="20" xfId="0" applyNumberFormat="1" applyFont="1" applyFill="1" applyBorder="1" applyAlignment="1">
      <alignment horizontal="center" vertical="center" wrapText="1"/>
    </xf>
    <xf numFmtId="0" fontId="28" fillId="16" borderId="20"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0" fillId="7" borderId="0" xfId="0" applyFont="1" applyFill="1" applyAlignment="1">
      <alignment horizontal="center" vertical="center" wrapText="1"/>
    </xf>
    <xf numFmtId="0" fontId="20" fillId="7" borderId="24" xfId="0" applyFont="1" applyFill="1" applyBorder="1" applyAlignment="1">
      <alignment horizontal="center" vertical="center" wrapText="1"/>
    </xf>
    <xf numFmtId="0" fontId="20" fillId="7" borderId="18" xfId="0" applyFont="1" applyFill="1" applyBorder="1" applyAlignment="1">
      <alignment horizontal="center" vertical="center" wrapText="1"/>
    </xf>
    <xf numFmtId="0" fontId="20" fillId="7" borderId="11" xfId="0" applyFont="1" applyFill="1" applyBorder="1"/>
    <xf numFmtId="0" fontId="20" fillId="7" borderId="17" xfId="0" applyFont="1" applyFill="1" applyBorder="1"/>
    <xf numFmtId="0" fontId="28" fillId="12" borderId="6" xfId="0" applyFont="1" applyFill="1" applyBorder="1" applyAlignment="1">
      <alignment horizontal="center" vertical="center" wrapText="1"/>
    </xf>
    <xf numFmtId="0" fontId="20" fillId="12" borderId="20" xfId="0" applyFont="1" applyFill="1" applyBorder="1" applyAlignment="1">
      <alignment horizontal="justify" vertical="center" wrapText="1"/>
    </xf>
    <xf numFmtId="0" fontId="20" fillId="12" borderId="20" xfId="0" applyFont="1" applyFill="1" applyBorder="1" applyAlignment="1">
      <alignment vertical="center" wrapText="1"/>
    </xf>
    <xf numFmtId="2" fontId="20" fillId="12" borderId="20" xfId="0" applyNumberFormat="1" applyFont="1" applyFill="1" applyBorder="1" applyAlignment="1">
      <alignment horizontal="right" vertical="center" wrapText="1"/>
    </xf>
    <xf numFmtId="41" fontId="20" fillId="12" borderId="20" xfId="8" applyFont="1" applyFill="1" applyBorder="1" applyAlignment="1">
      <alignment horizontal="right" vertical="center" wrapText="1"/>
    </xf>
    <xf numFmtId="1" fontId="20" fillId="12" borderId="20" xfId="0" applyNumberFormat="1" applyFont="1" applyFill="1" applyBorder="1" applyAlignment="1">
      <alignment horizontal="center" vertical="center" wrapText="1"/>
    </xf>
    <xf numFmtId="0" fontId="20" fillId="12" borderId="20" xfId="0" applyFont="1" applyFill="1" applyBorder="1" applyAlignment="1">
      <alignment horizontal="center" vertical="center" wrapText="1"/>
    </xf>
    <xf numFmtId="0" fontId="13" fillId="7" borderId="25" xfId="0" applyFont="1" applyFill="1" applyBorder="1" applyAlignment="1">
      <alignment vertical="center" wrapText="1"/>
    </xf>
    <xf numFmtId="0" fontId="13" fillId="7" borderId="0" xfId="0" applyFont="1" applyFill="1" applyAlignment="1">
      <alignment vertical="center" textRotation="90" wrapText="1"/>
    </xf>
    <xf numFmtId="0" fontId="13" fillId="7" borderId="24" xfId="0" applyFont="1" applyFill="1" applyBorder="1" applyAlignment="1">
      <alignment vertical="center" textRotation="90" wrapText="1"/>
    </xf>
    <xf numFmtId="4" fontId="13" fillId="7" borderId="6" xfId="0" applyNumberFormat="1" applyFont="1" applyFill="1" applyBorder="1" applyAlignment="1">
      <alignment vertical="center" wrapText="1"/>
    </xf>
    <xf numFmtId="1" fontId="13" fillId="7" borderId="18" xfId="9" applyNumberFormat="1" applyFont="1" applyFill="1" applyBorder="1" applyAlignment="1">
      <alignment horizontal="center" vertical="center" wrapText="1"/>
    </xf>
    <xf numFmtId="0" fontId="13" fillId="7" borderId="18" xfId="0" applyFont="1" applyFill="1" applyBorder="1" applyAlignment="1">
      <alignment vertical="center" wrapText="1"/>
    </xf>
    <xf numFmtId="0" fontId="13" fillId="7" borderId="0" xfId="0" applyFont="1" applyFill="1"/>
    <xf numFmtId="0" fontId="13" fillId="7" borderId="53" xfId="0" applyFont="1" applyFill="1" applyBorder="1" applyAlignment="1">
      <alignment vertical="center" wrapText="1"/>
    </xf>
    <xf numFmtId="4" fontId="13" fillId="7" borderId="35" xfId="0" applyNumberFormat="1" applyFont="1" applyFill="1" applyBorder="1" applyAlignment="1">
      <alignment vertical="center" wrapText="1"/>
    </xf>
    <xf numFmtId="0" fontId="13" fillId="7" borderId="53" xfId="0" applyFont="1" applyFill="1" applyBorder="1" applyAlignment="1">
      <alignment horizontal="justify" vertical="center" wrapText="1"/>
    </xf>
    <xf numFmtId="4" fontId="13" fillId="0" borderId="13" xfId="0" applyNumberFormat="1" applyFont="1" applyBorder="1" applyAlignment="1">
      <alignment horizontal="right" vertical="center" wrapText="1"/>
    </xf>
    <xf numFmtId="3" fontId="13" fillId="7" borderId="18" xfId="0" applyNumberFormat="1" applyFont="1" applyFill="1" applyBorder="1" applyAlignment="1">
      <alignment horizontal="center" vertical="center" wrapText="1"/>
    </xf>
    <xf numFmtId="4" fontId="13" fillId="0" borderId="12" xfId="0" applyNumberFormat="1" applyFont="1" applyBorder="1" applyAlignment="1">
      <alignment horizontal="right" vertical="center" wrapText="1"/>
    </xf>
    <xf numFmtId="1" fontId="13" fillId="7" borderId="53" xfId="0" applyNumberFormat="1" applyFont="1" applyFill="1" applyBorder="1" applyAlignment="1">
      <alignment horizontal="center" vertical="center" wrapText="1"/>
    </xf>
    <xf numFmtId="3" fontId="13" fillId="7" borderId="25" xfId="0" applyNumberFormat="1" applyFont="1" applyFill="1" applyBorder="1" applyAlignment="1">
      <alignment horizontal="center" vertical="center" wrapText="1"/>
    </xf>
    <xf numFmtId="0" fontId="13" fillId="7" borderId="53" xfId="0" applyFont="1" applyFill="1" applyBorder="1" applyAlignment="1">
      <alignment horizontal="center" vertical="center"/>
    </xf>
    <xf numFmtId="0" fontId="13" fillId="0" borderId="27" xfId="0" applyFont="1" applyBorder="1" applyAlignment="1">
      <alignment horizontal="justify" vertical="center" wrapText="1"/>
    </xf>
    <xf numFmtId="4" fontId="13" fillId="0" borderId="27" xfId="0" applyNumberFormat="1" applyFont="1" applyBorder="1" applyAlignment="1">
      <alignment horizontal="right" vertical="center" wrapText="1"/>
    </xf>
    <xf numFmtId="174" fontId="13" fillId="0" borderId="27" xfId="10" applyNumberFormat="1" applyFont="1" applyBorder="1" applyAlignment="1">
      <alignment horizontal="left" vertical="center"/>
    </xf>
    <xf numFmtId="1" fontId="13" fillId="7" borderId="17" xfId="0" applyNumberFormat="1" applyFont="1" applyFill="1" applyBorder="1" applyAlignment="1">
      <alignment horizontal="center" vertical="center" wrapText="1"/>
    </xf>
    <xf numFmtId="4" fontId="13" fillId="0" borderId="53" xfId="0" applyNumberFormat="1" applyFont="1" applyBorder="1" applyAlignment="1">
      <alignment horizontal="right" vertical="center" wrapText="1"/>
    </xf>
    <xf numFmtId="0" fontId="13" fillId="7" borderId="54" xfId="0" applyFont="1" applyFill="1" applyBorder="1" applyAlignment="1">
      <alignment horizontal="center" vertical="center"/>
    </xf>
    <xf numFmtId="0" fontId="13" fillId="7" borderId="27" xfId="0" applyFont="1" applyFill="1" applyBorder="1" applyAlignment="1">
      <alignment horizontal="justify" vertical="center" wrapText="1"/>
    </xf>
    <xf numFmtId="0" fontId="13" fillId="0" borderId="0" xfId="0" applyFont="1"/>
    <xf numFmtId="4" fontId="13" fillId="0" borderId="25" xfId="0" applyNumberFormat="1" applyFont="1" applyBorder="1" applyAlignment="1">
      <alignment horizontal="right" vertical="center" wrapText="1"/>
    </xf>
    <xf numFmtId="3" fontId="13" fillId="7" borderId="27" xfId="0" applyNumberFormat="1" applyFont="1" applyFill="1" applyBorder="1" applyAlignment="1">
      <alignment horizontal="center" vertical="center" wrapText="1"/>
    </xf>
    <xf numFmtId="0" fontId="16" fillId="12" borderId="20" xfId="0" applyFont="1" applyFill="1" applyBorder="1" applyAlignment="1">
      <alignment vertical="center" wrapText="1"/>
    </xf>
    <xf numFmtId="0" fontId="13" fillId="12" borderId="20" xfId="0" applyFont="1" applyFill="1" applyBorder="1" applyAlignment="1">
      <alignment vertical="center" wrapText="1"/>
    </xf>
    <xf numFmtId="4" fontId="13" fillId="12" borderId="20" xfId="0" applyNumberFormat="1" applyFont="1" applyFill="1" applyBorder="1" applyAlignment="1">
      <alignment horizontal="right" vertical="center" wrapText="1"/>
    </xf>
    <xf numFmtId="4" fontId="13" fillId="12" borderId="9" xfId="0" applyNumberFormat="1" applyFont="1" applyFill="1" applyBorder="1" applyAlignment="1">
      <alignment horizontal="right" vertical="center" wrapText="1"/>
    </xf>
    <xf numFmtId="1" fontId="13" fillId="12" borderId="9" xfId="0" applyNumberFormat="1" applyFont="1" applyFill="1" applyBorder="1" applyAlignment="1">
      <alignment horizontal="center" vertical="center" wrapText="1"/>
    </xf>
    <xf numFmtId="0" fontId="13" fillId="12" borderId="9" xfId="0" applyFont="1" applyFill="1" applyBorder="1" applyAlignment="1">
      <alignment vertical="center" wrapText="1"/>
    </xf>
    <xf numFmtId="0" fontId="13" fillId="7" borderId="24" xfId="0" applyFont="1" applyFill="1" applyBorder="1" applyAlignment="1">
      <alignment vertical="center" wrapText="1"/>
    </xf>
    <xf numFmtId="4" fontId="13" fillId="7" borderId="6" xfId="0" applyNumberFormat="1" applyFont="1" applyFill="1" applyBorder="1" applyAlignment="1">
      <alignment horizontal="right" vertical="center" wrapText="1"/>
    </xf>
    <xf numFmtId="1" fontId="13" fillId="12" borderId="20" xfId="0" applyNumberFormat="1" applyFont="1" applyFill="1" applyBorder="1" applyAlignment="1">
      <alignment horizontal="center" vertical="center" wrapText="1"/>
    </xf>
    <xf numFmtId="4" fontId="13" fillId="0" borderId="6" xfId="0" applyNumberFormat="1" applyFont="1" applyBorder="1" applyAlignment="1">
      <alignment horizontal="right" vertical="center" wrapText="1"/>
    </xf>
    <xf numFmtId="0" fontId="13" fillId="7" borderId="6" xfId="0" applyFont="1" applyFill="1" applyBorder="1" applyAlignment="1">
      <alignment vertical="center" wrapText="1"/>
    </xf>
    <xf numFmtId="0" fontId="13" fillId="0" borderId="25" xfId="0" applyFont="1" applyBorder="1" applyAlignment="1">
      <alignment horizontal="justify" vertical="center" wrapText="1"/>
    </xf>
    <xf numFmtId="0" fontId="12" fillId="7" borderId="18"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7" xfId="0" applyFont="1" applyFill="1" applyBorder="1"/>
    <xf numFmtId="0" fontId="12" fillId="16" borderId="17" xfId="0" applyFont="1" applyFill="1" applyBorder="1" applyAlignment="1">
      <alignment horizontal="center" vertical="center" wrapText="1"/>
    </xf>
    <xf numFmtId="0" fontId="12" fillId="16" borderId="20" xfId="0" applyFont="1" applyFill="1" applyBorder="1" applyAlignment="1">
      <alignment horizontal="justify" vertical="center" wrapText="1"/>
    </xf>
    <xf numFmtId="0" fontId="22" fillId="16" borderId="20" xfId="0" applyFont="1" applyFill="1" applyBorder="1" applyAlignment="1">
      <alignment vertical="center" wrapText="1"/>
    </xf>
    <xf numFmtId="0" fontId="12" fillId="16" borderId="20" xfId="0" applyFont="1" applyFill="1" applyBorder="1" applyAlignment="1">
      <alignment vertical="center" wrapText="1"/>
    </xf>
    <xf numFmtId="4" fontId="12" fillId="16" borderId="20" xfId="0" applyNumberFormat="1" applyFont="1" applyFill="1" applyBorder="1" applyAlignment="1">
      <alignment horizontal="right" vertical="center" wrapText="1"/>
    </xf>
    <xf numFmtId="1" fontId="12" fillId="16" borderId="20" xfId="0" applyNumberFormat="1" applyFont="1" applyFill="1" applyBorder="1" applyAlignment="1">
      <alignment horizontal="center" vertical="center" wrapText="1"/>
    </xf>
    <xf numFmtId="0" fontId="12" fillId="16" borderId="6" xfId="0" applyFont="1" applyFill="1" applyBorder="1" applyAlignment="1">
      <alignment vertical="center" wrapText="1"/>
    </xf>
    <xf numFmtId="0" fontId="12" fillId="7" borderId="25"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11" xfId="0" applyFont="1" applyFill="1" applyBorder="1"/>
    <xf numFmtId="0" fontId="22" fillId="12" borderId="20" xfId="0" applyFont="1" applyFill="1" applyBorder="1" applyAlignment="1">
      <alignment vertical="center" wrapText="1"/>
    </xf>
    <xf numFmtId="0" fontId="12" fillId="12" borderId="20" xfId="0" applyFont="1" applyFill="1" applyBorder="1" applyAlignment="1">
      <alignment horizontal="justify" vertical="center" wrapText="1"/>
    </xf>
    <xf numFmtId="0" fontId="12" fillId="12" borderId="20" xfId="0" applyFont="1" applyFill="1" applyBorder="1" applyAlignment="1">
      <alignment vertical="center" wrapText="1"/>
    </xf>
    <xf numFmtId="4" fontId="12" fillId="12" borderId="20" xfId="0" applyNumberFormat="1" applyFont="1" applyFill="1" applyBorder="1" applyAlignment="1">
      <alignment horizontal="right" vertical="center" wrapText="1"/>
    </xf>
    <xf numFmtId="1" fontId="12" fillId="12" borderId="20" xfId="0" applyNumberFormat="1" applyFont="1" applyFill="1" applyBorder="1" applyAlignment="1">
      <alignment horizontal="center" vertical="center" wrapText="1"/>
    </xf>
    <xf numFmtId="0" fontId="12" fillId="12" borderId="6" xfId="0" applyFont="1" applyFill="1" applyBorder="1" applyAlignment="1">
      <alignment vertical="center" wrapText="1"/>
    </xf>
    <xf numFmtId="4" fontId="13" fillId="7" borderId="18" xfId="0" applyNumberFormat="1" applyFont="1" applyFill="1" applyBorder="1" applyAlignment="1">
      <alignment horizontal="right" vertical="center" wrapText="1"/>
    </xf>
    <xf numFmtId="41" fontId="13" fillId="0" borderId="55" xfId="0" applyNumberFormat="1" applyFont="1" applyBorder="1" applyAlignment="1">
      <alignment horizontal="right"/>
    </xf>
    <xf numFmtId="0" fontId="13" fillId="0" borderId="53" xfId="0" applyFont="1" applyBorder="1" applyAlignment="1">
      <alignment horizontal="center" vertical="center"/>
    </xf>
    <xf numFmtId="0" fontId="13" fillId="7" borderId="27" xfId="0" applyFont="1" applyFill="1" applyBorder="1" applyAlignment="1">
      <alignment vertical="center" wrapText="1"/>
    </xf>
    <xf numFmtId="0" fontId="13" fillId="7" borderId="19" xfId="0" applyFont="1" applyFill="1" applyBorder="1" applyAlignment="1">
      <alignment horizontal="justify" vertical="center" wrapText="1"/>
    </xf>
    <xf numFmtId="1" fontId="13" fillId="7" borderId="13" xfId="0" applyNumberFormat="1" applyFont="1" applyFill="1" applyBorder="1" applyAlignment="1">
      <alignment horizontal="center" vertical="center" wrapText="1"/>
    </xf>
    <xf numFmtId="0" fontId="13" fillId="7" borderId="16" xfId="0" applyFont="1" applyFill="1" applyBorder="1" applyAlignment="1">
      <alignment vertical="center" wrapText="1"/>
    </xf>
    <xf numFmtId="4" fontId="13" fillId="0" borderId="18" xfId="0" applyNumberFormat="1" applyFont="1" applyBorder="1" applyAlignment="1">
      <alignment horizontal="right" vertical="center" wrapText="1"/>
    </xf>
    <xf numFmtId="0" fontId="13" fillId="7" borderId="0" xfId="0" applyFont="1" applyFill="1" applyAlignment="1">
      <alignment horizontal="center" vertical="center" wrapText="1"/>
    </xf>
    <xf numFmtId="4" fontId="13" fillId="12" borderId="20" xfId="0" applyNumberFormat="1" applyFont="1" applyFill="1" applyBorder="1" applyAlignment="1">
      <alignment horizontal="justify" vertical="center" wrapText="1"/>
    </xf>
    <xf numFmtId="4" fontId="13" fillId="7" borderId="27" xfId="0" applyNumberFormat="1" applyFont="1" applyFill="1" applyBorder="1" applyAlignment="1">
      <alignment horizontal="right" vertical="center" wrapText="1"/>
    </xf>
    <xf numFmtId="0" fontId="13" fillId="7" borderId="9" xfId="0" applyFont="1" applyFill="1" applyBorder="1" applyAlignment="1">
      <alignment vertical="center" textRotation="90" wrapText="1"/>
    </xf>
    <xf numFmtId="0" fontId="13" fillId="7" borderId="13" xfId="0" applyFont="1" applyFill="1" applyBorder="1" applyAlignment="1">
      <alignment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171" fontId="13" fillId="0" borderId="9" xfId="0" applyNumberFormat="1" applyFont="1" applyBorder="1" applyAlignment="1">
      <alignment horizontal="center" vertical="center" wrapText="1"/>
    </xf>
    <xf numFmtId="0" fontId="13" fillId="0" borderId="12" xfId="0" applyFont="1" applyBorder="1" applyAlignment="1">
      <alignment horizontal="justify" vertical="center" wrapText="1"/>
    </xf>
    <xf numFmtId="0" fontId="13" fillId="0" borderId="27" xfId="0" applyFont="1" applyBorder="1" applyAlignment="1">
      <alignment horizontal="center" vertical="center" wrapText="1"/>
    </xf>
    <xf numFmtId="0" fontId="13" fillId="0" borderId="12" xfId="0" applyFont="1" applyBorder="1" applyAlignment="1">
      <alignment vertical="center" wrapText="1"/>
    </xf>
    <xf numFmtId="0" fontId="13" fillId="0" borderId="6" xfId="0" applyFont="1" applyBorder="1" applyAlignment="1">
      <alignment horizontal="center" vertical="center" wrapText="1"/>
    </xf>
    <xf numFmtId="0" fontId="13" fillId="0" borderId="6" xfId="0" applyFont="1" applyBorder="1"/>
    <xf numFmtId="10" fontId="13" fillId="0" borderId="12" xfId="0" applyNumberFormat="1" applyFont="1" applyBorder="1" applyAlignment="1">
      <alignment horizontal="center" vertical="center" wrapText="1"/>
    </xf>
    <xf numFmtId="4" fontId="12" fillId="0" borderId="12" xfId="0" applyNumberFormat="1" applyFont="1" applyBorder="1" applyAlignment="1">
      <alignment horizontal="right" vertical="center" wrapText="1"/>
    </xf>
    <xf numFmtId="4" fontId="22" fillId="0" borderId="27" xfId="0" applyNumberFormat="1" applyFont="1" applyBorder="1" applyAlignment="1">
      <alignment horizontal="right" vertical="center" wrapText="1"/>
    </xf>
    <xf numFmtId="1" fontId="13" fillId="0" borderId="27" xfId="0" applyNumberFormat="1" applyFont="1" applyBorder="1" applyAlignment="1">
      <alignment horizontal="center" vertical="center" wrapText="1"/>
    </xf>
    <xf numFmtId="0" fontId="13" fillId="0" borderId="12" xfId="0" applyFont="1" applyBorder="1" applyAlignment="1">
      <alignment horizontal="center" vertical="center" textRotation="180" wrapText="1"/>
    </xf>
    <xf numFmtId="49" fontId="13" fillId="0" borderId="12" xfId="0" applyNumberFormat="1" applyFont="1" applyBorder="1" applyAlignment="1">
      <alignment horizontal="center" vertical="center" textRotation="180" wrapText="1"/>
    </xf>
    <xf numFmtId="164" fontId="13" fillId="0" borderId="12" xfId="0" applyNumberFormat="1" applyFont="1" applyBorder="1" applyAlignment="1">
      <alignment horizontal="center" vertical="center" wrapText="1"/>
    </xf>
    <xf numFmtId="3" fontId="13" fillId="0" borderId="6" xfId="0" applyNumberFormat="1" applyFont="1" applyBorder="1" applyAlignment="1">
      <alignment horizontal="left" vertical="center" wrapText="1"/>
    </xf>
    <xf numFmtId="1" fontId="13" fillId="0" borderId="0" xfId="0" applyNumberFormat="1" applyFont="1"/>
    <xf numFmtId="0" fontId="13" fillId="7" borderId="0" xfId="0" applyFont="1" applyFill="1" applyAlignment="1">
      <alignment horizontal="center"/>
    </xf>
    <xf numFmtId="170" fontId="13" fillId="7" borderId="0" xfId="0" applyNumberFormat="1" applyFont="1" applyFill="1" applyAlignment="1">
      <alignment horizontal="center" vertical="center"/>
    </xf>
    <xf numFmtId="166" fontId="13" fillId="0" borderId="0" xfId="0" applyNumberFormat="1" applyFont="1" applyAlignment="1">
      <alignment horizontal="center"/>
    </xf>
    <xf numFmtId="0" fontId="20" fillId="0" borderId="0" xfId="0" applyFont="1" applyAlignment="1">
      <alignment horizontal="justify" vertical="center" wrapText="1"/>
    </xf>
    <xf numFmtId="2" fontId="20" fillId="0" borderId="0" xfId="0" applyNumberFormat="1" applyFont="1" applyAlignment="1">
      <alignment horizontal="right"/>
    </xf>
    <xf numFmtId="172" fontId="20" fillId="0" borderId="0" xfId="0" applyNumberFormat="1" applyFont="1" applyAlignment="1">
      <alignment horizontal="right"/>
    </xf>
    <xf numFmtId="0" fontId="20" fillId="0" borderId="0" xfId="0" applyFont="1" applyAlignment="1">
      <alignment horizontal="center" vertical="center" wrapText="1"/>
    </xf>
    <xf numFmtId="0" fontId="20" fillId="0" borderId="0" xfId="0" applyFont="1" applyAlignment="1">
      <alignment vertical="center"/>
    </xf>
    <xf numFmtId="0" fontId="8" fillId="0" borderId="0" xfId="0" applyFont="1" applyProtection="1"/>
    <xf numFmtId="0" fontId="22" fillId="0" borderId="6" xfId="0" applyFont="1" applyBorder="1" applyProtection="1"/>
    <xf numFmtId="0" fontId="22" fillId="0" borderId="6" xfId="0" applyFont="1" applyBorder="1" applyAlignment="1" applyProtection="1">
      <alignment horizontal="left"/>
    </xf>
    <xf numFmtId="168" fontId="22" fillId="0" borderId="6" xfId="0" applyNumberFormat="1" applyFont="1" applyBorder="1" applyAlignment="1" applyProtection="1">
      <alignment horizontal="left"/>
    </xf>
    <xf numFmtId="17" fontId="22" fillId="0" borderId="6" xfId="0" applyNumberFormat="1" applyFont="1" applyBorder="1" applyAlignment="1" applyProtection="1">
      <alignment horizontal="left"/>
    </xf>
    <xf numFmtId="0" fontId="8" fillId="0" borderId="0" xfId="0" applyFont="1" applyAlignment="1" applyProtection="1">
      <alignment wrapText="1"/>
    </xf>
    <xf numFmtId="0" fontId="22" fillId="0" borderId="6" xfId="0" applyFont="1" applyBorder="1" applyAlignment="1" applyProtection="1">
      <alignment vertical="center"/>
    </xf>
    <xf numFmtId="3" fontId="22" fillId="5" borderId="6" xfId="0" applyNumberFormat="1" applyFont="1" applyFill="1" applyBorder="1" applyAlignment="1" applyProtection="1">
      <alignment horizontal="left" vertical="center" wrapText="1"/>
    </xf>
    <xf numFmtId="0" fontId="7" fillId="0" borderId="6" xfId="0" applyFont="1" applyBorder="1" applyAlignment="1" applyProtection="1">
      <alignment vertical="center"/>
    </xf>
    <xf numFmtId="0" fontId="7" fillId="0" borderId="6" xfId="0" applyFont="1" applyBorder="1" applyAlignment="1" applyProtection="1">
      <alignment horizontal="center" vertical="center"/>
    </xf>
    <xf numFmtId="165" fontId="7" fillId="8" borderId="19" xfId="0" applyNumberFormat="1" applyFont="1" applyFill="1" applyBorder="1" applyAlignment="1" applyProtection="1">
      <alignment horizontal="center" vertical="center" wrapText="1"/>
    </xf>
    <xf numFmtId="0" fontId="8" fillId="7" borderId="0" xfId="0" applyFont="1" applyFill="1" applyProtection="1"/>
    <xf numFmtId="170" fontId="7" fillId="8" borderId="6" xfId="0" applyNumberFormat="1" applyFont="1" applyFill="1" applyBorder="1" applyAlignment="1" applyProtection="1">
      <alignment horizontal="center" vertical="center" wrapText="1"/>
    </xf>
    <xf numFmtId="0" fontId="7" fillId="8" borderId="19" xfId="0" applyFont="1" applyFill="1" applyBorder="1" applyAlignment="1" applyProtection="1">
      <alignment horizontal="center" vertical="center" textRotation="90" wrapText="1"/>
    </xf>
    <xf numFmtId="0" fontId="7" fillId="8" borderId="19" xfId="0" applyNumberFormat="1" applyFont="1" applyFill="1" applyBorder="1" applyAlignment="1" applyProtection="1">
      <alignment horizontal="center" vertical="center" textRotation="90" wrapText="1"/>
    </xf>
    <xf numFmtId="1" fontId="7" fillId="10" borderId="16" xfId="0" applyNumberFormat="1" applyFont="1" applyFill="1" applyBorder="1" applyAlignment="1" applyProtection="1">
      <alignment horizontal="left" vertical="center"/>
    </xf>
    <xf numFmtId="0" fontId="7" fillId="10" borderId="11" xfId="0" applyFont="1" applyFill="1" applyBorder="1" applyAlignment="1" applyProtection="1">
      <alignment horizontal="left" vertical="center"/>
    </xf>
    <xf numFmtId="0" fontId="7" fillId="10" borderId="11" xfId="0" applyFont="1" applyFill="1" applyBorder="1" applyAlignment="1" applyProtection="1">
      <alignment horizontal="justify" vertical="center"/>
    </xf>
    <xf numFmtId="0" fontId="7" fillId="10" borderId="11" xfId="0" applyFont="1" applyFill="1" applyBorder="1" applyAlignment="1" applyProtection="1">
      <alignment horizontal="center" vertical="center"/>
    </xf>
    <xf numFmtId="170" fontId="7" fillId="10" borderId="11" xfId="0" applyNumberFormat="1" applyFont="1" applyFill="1" applyBorder="1" applyAlignment="1" applyProtection="1">
      <alignment horizontal="left" vertical="center"/>
    </xf>
    <xf numFmtId="165" fontId="7" fillId="10" borderId="11" xfId="0" applyNumberFormat="1" applyFont="1" applyFill="1" applyBorder="1" applyAlignment="1" applyProtection="1">
      <alignment horizontal="left" vertical="center"/>
    </xf>
    <xf numFmtId="166" fontId="7" fillId="10" borderId="11" xfId="0" applyNumberFormat="1" applyFont="1" applyFill="1" applyBorder="1" applyAlignment="1" applyProtection="1">
      <alignment horizontal="left" vertical="center"/>
    </xf>
    <xf numFmtId="0" fontId="31" fillId="10" borderId="11" xfId="0" applyFont="1" applyFill="1" applyBorder="1" applyProtection="1"/>
    <xf numFmtId="0" fontId="31" fillId="10" borderId="17" xfId="0" applyFont="1" applyFill="1" applyBorder="1" applyAlignment="1" applyProtection="1">
      <alignment horizontal="justify"/>
    </xf>
    <xf numFmtId="0" fontId="31" fillId="0" borderId="0" xfId="0" applyFont="1" applyProtection="1"/>
    <xf numFmtId="1" fontId="7" fillId="7" borderId="16" xfId="0" applyNumberFormat="1" applyFont="1" applyFill="1" applyBorder="1" applyAlignment="1" applyProtection="1">
      <alignment horizontal="center" vertical="center" wrapText="1"/>
    </xf>
    <xf numFmtId="1" fontId="7" fillId="7" borderId="11" xfId="0" applyNumberFormat="1" applyFont="1" applyFill="1" applyBorder="1" applyAlignment="1" applyProtection="1">
      <alignment horizontal="center" vertical="center" wrapText="1"/>
    </xf>
    <xf numFmtId="1" fontId="7" fillId="7" borderId="17" xfId="0" applyNumberFormat="1" applyFont="1" applyFill="1" applyBorder="1" applyAlignment="1" applyProtection="1">
      <alignment horizontal="center" vertical="center" wrapText="1"/>
    </xf>
    <xf numFmtId="1" fontId="7" fillId="11" borderId="11" xfId="0" applyNumberFormat="1" applyFont="1" applyFill="1" applyBorder="1" applyAlignment="1" applyProtection="1">
      <alignment horizontal="left" vertical="center"/>
    </xf>
    <xf numFmtId="0" fontId="7" fillId="11" borderId="11" xfId="0" applyFont="1" applyFill="1" applyBorder="1" applyAlignment="1" applyProtection="1">
      <alignment horizontal="left" vertical="center"/>
    </xf>
    <xf numFmtId="0" fontId="7" fillId="11" borderId="11" xfId="0" applyFont="1" applyFill="1" applyBorder="1" applyAlignment="1" applyProtection="1">
      <alignment horizontal="justify" vertical="center"/>
    </xf>
    <xf numFmtId="0" fontId="7" fillId="11" borderId="11" xfId="0" applyFont="1" applyFill="1" applyBorder="1" applyAlignment="1" applyProtection="1">
      <alignment horizontal="center" vertical="center"/>
    </xf>
    <xf numFmtId="170" fontId="7" fillId="11" borderId="11" xfId="0" applyNumberFormat="1" applyFont="1" applyFill="1" applyBorder="1" applyAlignment="1" applyProtection="1">
      <alignment horizontal="left" vertical="center"/>
    </xf>
    <xf numFmtId="165" fontId="7" fillId="11" borderId="11" xfId="0" applyNumberFormat="1" applyFont="1" applyFill="1" applyBorder="1" applyAlignment="1" applyProtection="1">
      <alignment horizontal="left" vertical="center"/>
    </xf>
    <xf numFmtId="166" fontId="7" fillId="11" borderId="11" xfId="0" applyNumberFormat="1" applyFont="1" applyFill="1" applyBorder="1" applyAlignment="1" applyProtection="1">
      <alignment horizontal="left" vertical="center"/>
    </xf>
    <xf numFmtId="0" fontId="31" fillId="11" borderId="11" xfId="0" applyFont="1" applyFill="1" applyBorder="1" applyProtection="1"/>
    <xf numFmtId="0" fontId="31" fillId="11" borderId="17" xfId="0" applyFont="1" applyFill="1" applyBorder="1" applyAlignment="1" applyProtection="1">
      <alignment horizontal="justify"/>
    </xf>
    <xf numFmtId="1" fontId="7" fillId="7" borderId="23" xfId="0" applyNumberFormat="1" applyFont="1" applyFill="1" applyBorder="1" applyAlignment="1" applyProtection="1">
      <alignment horizontal="center" vertical="center" wrapText="1"/>
    </xf>
    <xf numFmtId="1" fontId="7" fillId="7" borderId="0" xfId="0" applyNumberFormat="1" applyFont="1" applyFill="1" applyAlignment="1" applyProtection="1">
      <alignment horizontal="center" vertical="center" wrapText="1"/>
    </xf>
    <xf numFmtId="0" fontId="7" fillId="7" borderId="16" xfId="0" applyFont="1" applyFill="1" applyBorder="1" applyAlignment="1" applyProtection="1">
      <alignment horizontal="center" vertical="center"/>
    </xf>
    <xf numFmtId="0" fontId="7" fillId="7" borderId="11" xfId="0" applyFont="1" applyFill="1" applyBorder="1" applyAlignment="1" applyProtection="1">
      <alignment horizontal="center" vertical="center"/>
    </xf>
    <xf numFmtId="0" fontId="7" fillId="7" borderId="17" xfId="0" applyFont="1" applyFill="1" applyBorder="1" applyAlignment="1" applyProtection="1">
      <alignment horizontal="center" vertical="center"/>
    </xf>
    <xf numFmtId="1" fontId="7" fillId="12" borderId="20" xfId="0" applyNumberFormat="1" applyFont="1" applyFill="1" applyBorder="1" applyAlignment="1" applyProtection="1">
      <alignment horizontal="left" vertical="center"/>
    </xf>
    <xf numFmtId="0" fontId="7" fillId="12" borderId="20" xfId="0" applyFont="1" applyFill="1" applyBorder="1" applyAlignment="1" applyProtection="1">
      <alignment horizontal="left" vertical="center"/>
    </xf>
    <xf numFmtId="0" fontId="7" fillId="12" borderId="20" xfId="0" applyFont="1" applyFill="1" applyBorder="1" applyAlignment="1" applyProtection="1">
      <alignment horizontal="justify" vertical="center"/>
    </xf>
    <xf numFmtId="0" fontId="7" fillId="12" borderId="11" xfId="0" applyFont="1" applyFill="1" applyBorder="1" applyAlignment="1" applyProtection="1">
      <alignment horizontal="center" vertical="center"/>
    </xf>
    <xf numFmtId="170" fontId="7" fillId="12" borderId="20" xfId="0" applyNumberFormat="1" applyFont="1" applyFill="1" applyBorder="1" applyAlignment="1" applyProtection="1">
      <alignment horizontal="left" vertical="center"/>
    </xf>
    <xf numFmtId="165" fontId="7" fillId="12" borderId="20" xfId="0" applyNumberFormat="1" applyFont="1" applyFill="1" applyBorder="1" applyAlignment="1" applyProtection="1">
      <alignment horizontal="left" vertical="center"/>
    </xf>
    <xf numFmtId="0" fontId="7" fillId="12" borderId="53" xfId="0" applyFont="1" applyFill="1" applyBorder="1" applyAlignment="1" applyProtection="1">
      <alignment horizontal="justify" vertical="center"/>
    </xf>
    <xf numFmtId="0" fontId="7" fillId="12" borderId="53" xfId="0" applyFont="1" applyFill="1" applyBorder="1" applyAlignment="1" applyProtection="1">
      <alignment horizontal="center" vertical="center"/>
    </xf>
    <xf numFmtId="0" fontId="7" fillId="12" borderId="53" xfId="0" applyFont="1" applyFill="1" applyBorder="1" applyAlignment="1" applyProtection="1">
      <alignment horizontal="left" vertical="center"/>
    </xf>
    <xf numFmtId="1" fontId="8" fillId="12" borderId="20" xfId="0" applyNumberFormat="1" applyFont="1" applyFill="1" applyBorder="1" applyAlignment="1" applyProtection="1">
      <alignment vertical="center" wrapText="1"/>
    </xf>
    <xf numFmtId="166" fontId="7" fillId="12" borderId="20" xfId="0" applyNumberFormat="1" applyFont="1" applyFill="1" applyBorder="1" applyAlignment="1" applyProtection="1">
      <alignment horizontal="left" vertical="center"/>
    </xf>
    <xf numFmtId="0" fontId="31" fillId="12" borderId="20" xfId="0" applyFont="1" applyFill="1" applyBorder="1" applyProtection="1"/>
    <xf numFmtId="0" fontId="31" fillId="12" borderId="35" xfId="0" applyFont="1" applyFill="1" applyBorder="1" applyAlignment="1" applyProtection="1">
      <alignment horizontal="justify"/>
    </xf>
    <xf numFmtId="0" fontId="7" fillId="7" borderId="23" xfId="0" applyFont="1" applyFill="1" applyBorder="1" applyAlignment="1" applyProtection="1">
      <alignment horizontal="center" vertical="center"/>
    </xf>
    <xf numFmtId="0" fontId="7" fillId="7" borderId="0" xfId="0" applyFont="1" applyFill="1" applyAlignment="1" applyProtection="1">
      <alignment horizontal="center" vertical="center"/>
    </xf>
    <xf numFmtId="0" fontId="7" fillId="7" borderId="24" xfId="0" applyFont="1" applyFill="1" applyBorder="1" applyAlignment="1" applyProtection="1">
      <alignment horizontal="center" vertical="center"/>
    </xf>
    <xf numFmtId="0" fontId="8" fillId="7" borderId="0" xfId="0" applyFont="1" applyFill="1" applyAlignment="1" applyProtection="1">
      <alignment horizontal="center" vertical="center"/>
    </xf>
    <xf numFmtId="0" fontId="8" fillId="7" borderId="24" xfId="0" applyFont="1" applyFill="1" applyBorder="1" applyAlignment="1" applyProtection="1">
      <alignment horizontal="center" vertical="center"/>
    </xf>
    <xf numFmtId="4" fontId="8" fillId="0" borderId="53" xfId="1" applyNumberFormat="1" applyFont="1" applyFill="1" applyBorder="1" applyAlignment="1" applyProtection="1">
      <alignment horizontal="right" vertical="center"/>
    </xf>
    <xf numFmtId="1" fontId="8" fillId="0" borderId="53" xfId="0" applyNumberFormat="1" applyFont="1" applyBorder="1" applyAlignment="1" applyProtection="1">
      <alignment horizontal="center" vertical="center" wrapText="1"/>
    </xf>
    <xf numFmtId="41" fontId="8" fillId="0" borderId="53" xfId="0" applyNumberFormat="1" applyFont="1" applyBorder="1" applyAlignment="1" applyProtection="1">
      <alignment horizontal="left" vertical="center" wrapText="1"/>
    </xf>
    <xf numFmtId="4" fontId="31" fillId="0" borderId="53" xfId="0" applyNumberFormat="1" applyFont="1" applyFill="1" applyBorder="1" applyAlignment="1" applyProtection="1">
      <alignment horizontal="right" vertical="center"/>
    </xf>
    <xf numFmtId="41" fontId="31" fillId="0" borderId="53" xfId="0" applyNumberFormat="1" applyFont="1" applyBorder="1" applyAlignment="1" applyProtection="1">
      <alignment horizontal="left" vertical="center"/>
    </xf>
    <xf numFmtId="4" fontId="8" fillId="0" borderId="53" xfId="11" applyNumberFormat="1" applyFont="1" applyFill="1" applyBorder="1" applyAlignment="1" applyProtection="1">
      <alignment vertical="center"/>
    </xf>
    <xf numFmtId="0" fontId="8" fillId="0" borderId="53" xfId="0" applyFont="1" applyBorder="1" applyAlignment="1" applyProtection="1">
      <alignment horizontal="left" vertical="center" wrapText="1"/>
    </xf>
    <xf numFmtId="0" fontId="8" fillId="0" borderId="53" xfId="0" applyFont="1" applyBorder="1" applyAlignment="1" applyProtection="1">
      <alignment horizontal="justify" vertical="center"/>
    </xf>
    <xf numFmtId="4" fontId="8" fillId="0" borderId="53" xfId="11" applyNumberFormat="1" applyFont="1" applyFill="1" applyBorder="1" applyAlignment="1" applyProtection="1">
      <alignment horizontal="right" vertical="center"/>
    </xf>
    <xf numFmtId="4" fontId="8" fillId="0" borderId="53" xfId="11" applyNumberFormat="1" applyFont="1" applyFill="1" applyBorder="1" applyAlignment="1" applyProtection="1">
      <alignment horizontal="right" vertical="center" wrapText="1"/>
    </xf>
    <xf numFmtId="0" fontId="31" fillId="0" borderId="0" xfId="0" applyFont="1" applyAlignment="1" applyProtection="1">
      <alignment wrapText="1"/>
    </xf>
    <xf numFmtId="0" fontId="8" fillId="0" borderId="53" xfId="0" applyFont="1" applyBorder="1" applyAlignment="1" applyProtection="1">
      <alignment horizontal="left" vertical="center"/>
    </xf>
    <xf numFmtId="0" fontId="31" fillId="0" borderId="53" xfId="0" applyFont="1" applyBorder="1" applyAlignment="1" applyProtection="1">
      <alignment horizontal="center" vertical="center"/>
    </xf>
    <xf numFmtId="0" fontId="31" fillId="0" borderId="53" xfId="0" applyFont="1" applyBorder="1" applyAlignment="1" applyProtection="1">
      <alignment horizontal="left" vertical="center"/>
    </xf>
    <xf numFmtId="1" fontId="7" fillId="7" borderId="23" xfId="0" applyNumberFormat="1" applyFont="1" applyFill="1" applyBorder="1" applyAlignment="1" applyProtection="1">
      <alignment horizontal="justify" vertical="center"/>
    </xf>
    <xf numFmtId="1" fontId="7" fillId="7" borderId="0" xfId="0" applyNumberFormat="1" applyFont="1" applyFill="1" applyAlignment="1" applyProtection="1">
      <alignment horizontal="justify" vertical="center"/>
    </xf>
    <xf numFmtId="1" fontId="7" fillId="7" borderId="24" xfId="0" applyNumberFormat="1" applyFont="1" applyFill="1" applyBorder="1" applyAlignment="1" applyProtection="1">
      <alignment horizontal="justify" vertical="center"/>
    </xf>
    <xf numFmtId="1" fontId="7" fillId="12" borderId="11" xfId="0" applyNumberFormat="1" applyFont="1" applyFill="1" applyBorder="1" applyAlignment="1" applyProtection="1">
      <alignment horizontal="justify" vertical="center"/>
    </xf>
    <xf numFmtId="0" fontId="7" fillId="12" borderId="11" xfId="0" applyFont="1" applyFill="1" applyBorder="1" applyAlignment="1" applyProtection="1">
      <alignment vertical="center"/>
    </xf>
    <xf numFmtId="0" fontId="7" fillId="12" borderId="20" xfId="0" applyFont="1" applyFill="1" applyBorder="1" applyAlignment="1" applyProtection="1">
      <alignment vertical="center"/>
    </xf>
    <xf numFmtId="0" fontId="7" fillId="12" borderId="9" xfId="0" applyFont="1" applyFill="1" applyBorder="1" applyAlignment="1" applyProtection="1">
      <alignment horizontal="center" vertical="center"/>
    </xf>
    <xf numFmtId="43" fontId="7" fillId="12" borderId="20" xfId="11" applyFont="1" applyFill="1" applyBorder="1" applyAlignment="1" applyProtection="1">
      <alignment vertical="center"/>
    </xf>
    <xf numFmtId="1" fontId="8" fillId="7" borderId="23" xfId="0" applyNumberFormat="1" applyFont="1" applyFill="1" applyBorder="1" applyAlignment="1" applyProtection="1">
      <alignment horizontal="justify" vertical="center"/>
    </xf>
    <xf numFmtId="1" fontId="8" fillId="7" borderId="0" xfId="0" applyNumberFormat="1" applyFont="1" applyFill="1" applyAlignment="1" applyProtection="1">
      <alignment horizontal="justify" vertical="center"/>
    </xf>
    <xf numFmtId="0" fontId="8" fillId="7" borderId="23" xfId="0" applyFont="1" applyFill="1" applyBorder="1" applyAlignment="1" applyProtection="1">
      <alignment horizontal="justify" vertical="center"/>
    </xf>
    <xf numFmtId="0" fontId="8" fillId="7" borderId="0" xfId="0" applyFont="1" applyFill="1" applyAlignment="1" applyProtection="1">
      <alignment horizontal="justify" vertical="center"/>
    </xf>
    <xf numFmtId="0" fontId="8" fillId="7" borderId="16" xfId="0" applyFont="1" applyFill="1" applyBorder="1" applyAlignment="1" applyProtection="1">
      <alignment horizontal="justify" vertical="center"/>
    </xf>
    <xf numFmtId="0" fontId="8" fillId="7" borderId="11" xfId="0" applyFont="1" applyFill="1" applyBorder="1" applyAlignment="1" applyProtection="1">
      <alignment horizontal="justify" vertical="center"/>
    </xf>
    <xf numFmtId="0" fontId="8" fillId="7" borderId="17" xfId="0" applyFont="1" applyFill="1" applyBorder="1" applyAlignment="1" applyProtection="1">
      <alignment horizontal="justify" vertical="center"/>
    </xf>
    <xf numFmtId="43" fontId="8" fillId="0" borderId="56" xfId="11" applyFont="1" applyFill="1" applyBorder="1" applyAlignment="1" applyProtection="1">
      <alignment horizontal="center" vertical="center"/>
    </xf>
    <xf numFmtId="1" fontId="8" fillId="7" borderId="56" xfId="0" applyNumberFormat="1" applyFont="1" applyFill="1" applyBorder="1" applyAlignment="1" applyProtection="1">
      <alignment horizontal="center" vertical="center"/>
    </xf>
    <xf numFmtId="0" fontId="8" fillId="7" borderId="56" xfId="0" applyFont="1" applyFill="1" applyBorder="1" applyAlignment="1" applyProtection="1">
      <alignment horizontal="left" vertical="center"/>
    </xf>
    <xf numFmtId="0" fontId="8" fillId="7" borderId="24" xfId="0" applyFont="1" applyFill="1" applyBorder="1" applyAlignment="1" applyProtection="1">
      <alignment horizontal="justify" vertical="center"/>
    </xf>
    <xf numFmtId="43" fontId="8" fillId="0" borderId="53" xfId="11" applyFont="1" applyFill="1" applyBorder="1" applyAlignment="1" applyProtection="1">
      <alignment horizontal="center" vertical="center"/>
    </xf>
    <xf numFmtId="1" fontId="8" fillId="7" borderId="53" xfId="0" applyNumberFormat="1" applyFont="1" applyFill="1" applyBorder="1" applyAlignment="1" applyProtection="1">
      <alignment horizontal="center" vertical="center"/>
    </xf>
    <xf numFmtId="0" fontId="8" fillId="7" borderId="53" xfId="0" applyFont="1" applyFill="1" applyBorder="1" applyAlignment="1" applyProtection="1">
      <alignment horizontal="left" vertical="center"/>
    </xf>
    <xf numFmtId="0" fontId="8" fillId="0" borderId="35" xfId="0" applyFont="1" applyBorder="1" applyAlignment="1" applyProtection="1">
      <alignment horizontal="center" vertical="center"/>
    </xf>
    <xf numFmtId="0" fontId="8" fillId="7" borderId="6" xfId="0" applyFont="1" applyFill="1" applyBorder="1" applyAlignment="1" applyProtection="1">
      <alignment horizontal="justify" vertical="center"/>
    </xf>
    <xf numFmtId="0" fontId="8" fillId="7" borderId="27" xfId="0" applyFont="1" applyFill="1" applyBorder="1" applyAlignment="1" applyProtection="1">
      <alignment horizontal="justify" vertical="center"/>
    </xf>
    <xf numFmtId="3" fontId="8" fillId="0" borderId="6" xfId="0" applyNumberFormat="1" applyFont="1" applyBorder="1" applyAlignment="1" applyProtection="1">
      <alignment horizontal="center" vertical="center"/>
    </xf>
    <xf numFmtId="10" fontId="8" fillId="7" borderId="18" xfId="3" applyNumberFormat="1" applyFont="1" applyFill="1" applyBorder="1" applyAlignment="1" applyProtection="1">
      <alignment horizontal="center" vertical="center"/>
    </xf>
    <xf numFmtId="0" fontId="8" fillId="0" borderId="27" xfId="0" applyFont="1" applyBorder="1" applyAlignment="1" applyProtection="1">
      <alignment horizontal="justify" vertical="center"/>
    </xf>
    <xf numFmtId="43" fontId="8" fillId="0" borderId="27" xfId="11" applyFont="1" applyFill="1" applyBorder="1" applyAlignment="1" applyProtection="1">
      <alignment horizontal="center" vertical="center"/>
    </xf>
    <xf numFmtId="1" fontId="8" fillId="7" borderId="27" xfId="0" applyNumberFormat="1" applyFont="1" applyFill="1" applyBorder="1" applyAlignment="1" applyProtection="1">
      <alignment horizontal="center" vertical="center"/>
    </xf>
    <xf numFmtId="0" fontId="8" fillId="7" borderId="27" xfId="0" applyFont="1" applyFill="1" applyBorder="1" applyAlignment="1" applyProtection="1">
      <alignment horizontal="left" vertical="center"/>
    </xf>
    <xf numFmtId="0" fontId="8" fillId="0" borderId="6" xfId="0" applyFont="1" applyBorder="1" applyAlignment="1" applyProtection="1">
      <alignment horizontal="justify" vertical="center"/>
    </xf>
    <xf numFmtId="1" fontId="8" fillId="7" borderId="6" xfId="0" applyNumberFormat="1" applyFont="1" applyFill="1" applyBorder="1" applyAlignment="1" applyProtection="1">
      <alignment horizontal="center" vertical="center"/>
    </xf>
    <xf numFmtId="0" fontId="8" fillId="7" borderId="6" xfId="0" applyFont="1" applyFill="1" applyBorder="1" applyAlignment="1" applyProtection="1">
      <alignment horizontal="left" vertical="center"/>
    </xf>
    <xf numFmtId="0" fontId="8" fillId="0" borderId="6" xfId="0" applyFont="1" applyBorder="1" applyAlignment="1" applyProtection="1">
      <alignment horizontal="justify" vertical="center" wrapText="1"/>
    </xf>
    <xf numFmtId="43" fontId="8" fillId="0" borderId="27" xfId="11" applyFont="1" applyFill="1" applyBorder="1" applyAlignment="1" applyProtection="1">
      <alignment horizontal="center" vertical="center" wrapText="1"/>
    </xf>
    <xf numFmtId="0" fontId="31" fillId="0" borderId="6" xfId="0" applyFont="1" applyBorder="1" applyAlignment="1" applyProtection="1">
      <alignment horizontal="left"/>
    </xf>
    <xf numFmtId="0" fontId="8" fillId="7" borderId="6" xfId="0" applyFont="1" applyFill="1" applyBorder="1" applyAlignment="1" applyProtection="1">
      <alignment horizontal="center" vertical="center"/>
    </xf>
    <xf numFmtId="43" fontId="8" fillId="0" borderId="6" xfId="11" applyFont="1" applyFill="1" applyBorder="1" applyAlignment="1" applyProtection="1">
      <alignment horizontal="center" vertical="center"/>
    </xf>
    <xf numFmtId="0" fontId="8" fillId="7" borderId="25" xfId="0" applyFont="1" applyFill="1" applyBorder="1" applyAlignment="1" applyProtection="1">
      <alignment horizontal="justify" vertical="center" wrapText="1"/>
    </xf>
    <xf numFmtId="0" fontId="32" fillId="0" borderId="6" xfId="0" applyFont="1" applyFill="1" applyBorder="1" applyAlignment="1" applyProtection="1">
      <alignment horizontal="left" vertical="center" wrapText="1"/>
    </xf>
    <xf numFmtId="0" fontId="8" fillId="0" borderId="25" xfId="0" applyFont="1" applyBorder="1" applyAlignment="1" applyProtection="1">
      <alignment horizontal="center" vertical="center"/>
    </xf>
    <xf numFmtId="0" fontId="8" fillId="0" borderId="24" xfId="0" applyFont="1" applyBorder="1" applyAlignment="1" applyProtection="1">
      <alignment horizontal="center" vertical="center"/>
    </xf>
    <xf numFmtId="14" fontId="8" fillId="0" borderId="25" xfId="0" applyNumberFormat="1"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8" fillId="0" borderId="27" xfId="0" applyFont="1" applyBorder="1" applyAlignment="1" applyProtection="1">
      <alignment horizontal="center" vertical="center"/>
    </xf>
    <xf numFmtId="0" fontId="8" fillId="7" borderId="27" xfId="0" applyFont="1" applyFill="1" applyBorder="1" applyAlignment="1" applyProtection="1">
      <alignment horizontal="left" vertical="center" wrapText="1"/>
    </xf>
    <xf numFmtId="10" fontId="8" fillId="7" borderId="27" xfId="3" applyNumberFormat="1" applyFont="1" applyFill="1" applyBorder="1" applyAlignment="1" applyProtection="1">
      <alignment horizontal="center" vertical="center"/>
    </xf>
    <xf numFmtId="0" fontId="8" fillId="0" borderId="6" xfId="0" applyFont="1" applyBorder="1" applyAlignment="1" applyProtection="1">
      <alignment horizontal="left" vertical="center" wrapText="1"/>
    </xf>
    <xf numFmtId="14" fontId="8" fillId="0" borderId="6" xfId="0" applyNumberFormat="1"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4" fontId="8" fillId="0" borderId="56" xfId="11" applyNumberFormat="1" applyFont="1" applyFill="1" applyBorder="1" applyAlignment="1" applyProtection="1">
      <alignment horizontal="right" vertical="center" wrapText="1"/>
    </xf>
    <xf numFmtId="0" fontId="32" fillId="0" borderId="6" xfId="0"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wrapText="1"/>
    </xf>
    <xf numFmtId="0" fontId="32" fillId="0" borderId="27" xfId="0" applyFont="1" applyFill="1" applyBorder="1" applyAlignment="1" applyProtection="1">
      <alignment horizontal="left" vertical="center" wrapText="1"/>
    </xf>
    <xf numFmtId="4" fontId="31" fillId="0" borderId="55" xfId="0" applyNumberFormat="1" applyFont="1" applyFill="1" applyBorder="1" applyAlignment="1" applyProtection="1">
      <alignment horizontal="right" vertical="center"/>
    </xf>
    <xf numFmtId="4" fontId="31" fillId="0" borderId="6" xfId="0" applyNumberFormat="1" applyFont="1" applyFill="1" applyBorder="1" applyAlignment="1" applyProtection="1">
      <alignment horizontal="right" vertical="center"/>
    </xf>
    <xf numFmtId="0" fontId="32" fillId="0" borderId="18" xfId="0" applyFont="1" applyFill="1" applyBorder="1" applyAlignment="1" applyProtection="1">
      <alignment horizontal="left" vertical="center" wrapText="1"/>
    </xf>
    <xf numFmtId="0" fontId="32" fillId="0" borderId="25" xfId="0" applyFont="1" applyFill="1" applyBorder="1" applyAlignment="1" applyProtection="1">
      <alignment horizontal="center" vertical="center" wrapText="1"/>
    </xf>
    <xf numFmtId="1" fontId="7" fillId="11" borderId="0" xfId="0" applyNumberFormat="1" applyFont="1" applyFill="1" applyAlignment="1" applyProtection="1">
      <alignment horizontal="justify" vertical="center"/>
    </xf>
    <xf numFmtId="0" fontId="7" fillId="11" borderId="0" xfId="0" applyFont="1" applyFill="1" applyAlignment="1" applyProtection="1">
      <alignment horizontal="left" vertical="center"/>
    </xf>
    <xf numFmtId="0" fontId="7" fillId="11" borderId="0" xfId="0" applyFont="1" applyFill="1" applyAlignment="1" applyProtection="1">
      <alignment horizontal="justify" vertical="center"/>
    </xf>
    <xf numFmtId="0" fontId="7" fillId="11" borderId="11" xfId="0" applyFont="1" applyFill="1" applyBorder="1" applyAlignment="1" applyProtection="1">
      <alignment vertical="center"/>
    </xf>
    <xf numFmtId="170" fontId="7" fillId="11" borderId="11" xfId="0" applyNumberFormat="1" applyFont="1" applyFill="1" applyBorder="1" applyAlignment="1" applyProtection="1">
      <alignment horizontal="center" vertical="center"/>
    </xf>
    <xf numFmtId="43" fontId="7" fillId="11" borderId="11" xfId="11" applyFont="1" applyFill="1" applyBorder="1" applyAlignment="1" applyProtection="1">
      <alignment vertical="center"/>
    </xf>
    <xf numFmtId="167" fontId="7" fillId="11" borderId="0" xfId="0" applyNumberFormat="1" applyFont="1" applyFill="1" applyAlignment="1" applyProtection="1">
      <alignment horizontal="center" vertical="center"/>
    </xf>
    <xf numFmtId="166" fontId="7" fillId="11" borderId="11" xfId="0" applyNumberFormat="1" applyFont="1" applyFill="1" applyBorder="1" applyAlignment="1" applyProtection="1">
      <alignment horizontal="center" vertical="center"/>
    </xf>
    <xf numFmtId="0" fontId="8" fillId="0" borderId="23" xfId="0" applyFont="1" applyBorder="1" applyAlignment="1" applyProtection="1">
      <alignment vertical="center"/>
    </xf>
    <xf numFmtId="0" fontId="7" fillId="7" borderId="0" xfId="0" applyFont="1" applyFill="1" applyAlignment="1" applyProtection="1">
      <alignment horizontal="justify" vertical="center"/>
    </xf>
    <xf numFmtId="0" fontId="7" fillId="7" borderId="16" xfId="0" applyFont="1" applyFill="1" applyBorder="1" applyAlignment="1" applyProtection="1">
      <alignment horizontal="justify" vertical="center"/>
    </xf>
    <xf numFmtId="0" fontId="7" fillId="7" borderId="11" xfId="0" applyFont="1" applyFill="1" applyBorder="1" applyAlignment="1" applyProtection="1">
      <alignment horizontal="justify" vertical="center"/>
    </xf>
    <xf numFmtId="0" fontId="7" fillId="7" borderId="17" xfId="0" applyFont="1" applyFill="1" applyBorder="1" applyAlignment="1" applyProtection="1">
      <alignment horizontal="justify" vertical="center"/>
    </xf>
    <xf numFmtId="1" fontId="7" fillId="12" borderId="20" xfId="0" applyNumberFormat="1" applyFont="1" applyFill="1" applyBorder="1" applyAlignment="1" applyProtection="1">
      <alignment horizontal="justify" vertical="center"/>
    </xf>
    <xf numFmtId="0" fontId="7" fillId="12" borderId="20" xfId="0" applyFont="1" applyFill="1" applyBorder="1" applyAlignment="1" applyProtection="1">
      <alignment horizontal="center" vertical="center"/>
    </xf>
    <xf numFmtId="0" fontId="8" fillId="7" borderId="23" xfId="0" applyFont="1" applyFill="1" applyBorder="1" applyAlignment="1" applyProtection="1">
      <alignment horizontal="justify"/>
    </xf>
    <xf numFmtId="0" fontId="8" fillId="7" borderId="0" xfId="0" applyFont="1" applyFill="1" applyAlignment="1" applyProtection="1">
      <alignment horizontal="justify"/>
    </xf>
    <xf numFmtId="0" fontId="7" fillId="7" borderId="23" xfId="0" applyFont="1" applyFill="1" applyBorder="1" applyAlignment="1" applyProtection="1">
      <alignment horizontal="justify" vertical="center"/>
    </xf>
    <xf numFmtId="0" fontId="7" fillId="7" borderId="24" xfId="0" applyFont="1" applyFill="1" applyBorder="1" applyAlignment="1" applyProtection="1">
      <alignment horizontal="justify" vertical="center"/>
    </xf>
    <xf numFmtId="3" fontId="8" fillId="0" borderId="27" xfId="0" applyNumberFormat="1" applyFont="1" applyBorder="1" applyAlignment="1" applyProtection="1">
      <alignment horizontal="center" vertical="center"/>
    </xf>
    <xf numFmtId="0" fontId="8" fillId="7" borderId="25" xfId="0" applyFont="1" applyFill="1" applyBorder="1" applyAlignment="1" applyProtection="1">
      <alignment horizontal="center"/>
    </xf>
    <xf numFmtId="9" fontId="8" fillId="7" borderId="25" xfId="12" applyFont="1" applyFill="1" applyBorder="1" applyAlignment="1" applyProtection="1">
      <alignment horizontal="center" vertical="center"/>
    </xf>
    <xf numFmtId="0" fontId="8" fillId="0" borderId="25" xfId="0" applyFont="1" applyBorder="1" applyAlignment="1" applyProtection="1">
      <alignment horizontal="justify" vertical="center"/>
    </xf>
    <xf numFmtId="43" fontId="8" fillId="0" borderId="25" xfId="11" applyFont="1" applyFill="1" applyBorder="1" applyAlignment="1" applyProtection="1">
      <alignment horizontal="justify" vertical="center"/>
    </xf>
    <xf numFmtId="1" fontId="8" fillId="7" borderId="18" xfId="0" applyNumberFormat="1" applyFont="1" applyFill="1" applyBorder="1" applyAlignment="1" applyProtection="1">
      <alignment horizontal="center" vertical="center" wrapText="1"/>
    </xf>
    <xf numFmtId="0" fontId="31" fillId="0" borderId="18" xfId="0" applyFont="1" applyBorder="1" applyAlignment="1" applyProtection="1">
      <alignment horizontal="left"/>
    </xf>
    <xf numFmtId="41" fontId="8" fillId="0" borderId="53" xfId="11" applyNumberFormat="1" applyFont="1" applyFill="1" applyBorder="1" applyAlignment="1" applyProtection="1">
      <alignment horizontal="right" vertical="center" wrapText="1"/>
    </xf>
    <xf numFmtId="1" fontId="8" fillId="7" borderId="53" xfId="0" applyNumberFormat="1" applyFont="1" applyFill="1" applyBorder="1" applyAlignment="1" applyProtection="1">
      <alignment horizontal="center" vertical="center" wrapText="1"/>
    </xf>
    <xf numFmtId="0" fontId="8" fillId="7" borderId="53" xfId="0" applyFont="1" applyFill="1" applyBorder="1" applyAlignment="1" applyProtection="1">
      <alignment horizontal="left" vertical="center" wrapText="1"/>
    </xf>
    <xf numFmtId="41" fontId="31" fillId="0" borderId="53" xfId="0" applyNumberFormat="1" applyFont="1" applyFill="1" applyBorder="1" applyAlignment="1" applyProtection="1">
      <alignment horizontal="right" vertical="center"/>
    </xf>
    <xf numFmtId="0" fontId="8" fillId="0" borderId="6" xfId="0" applyFont="1" applyBorder="1" applyAlignment="1" applyProtection="1">
      <alignment horizontal="center" vertical="center"/>
    </xf>
    <xf numFmtId="9" fontId="8" fillId="7" borderId="27" xfId="12" applyFont="1" applyFill="1" applyBorder="1" applyAlignment="1" applyProtection="1">
      <alignment horizontal="center" vertical="center"/>
    </xf>
    <xf numFmtId="43" fontId="8" fillId="0" borderId="27" xfId="11" applyFont="1" applyFill="1" applyBorder="1" applyAlignment="1" applyProtection="1">
      <alignment horizontal="justify" vertical="center"/>
    </xf>
    <xf numFmtId="1" fontId="8" fillId="7" borderId="27" xfId="0" applyNumberFormat="1" applyFont="1" applyFill="1" applyBorder="1" applyAlignment="1" applyProtection="1">
      <alignment horizontal="center" vertical="center" wrapText="1"/>
    </xf>
    <xf numFmtId="9" fontId="8" fillId="7" borderId="6" xfId="12" applyFont="1" applyFill="1" applyBorder="1" applyAlignment="1" applyProtection="1">
      <alignment horizontal="center" vertical="center"/>
    </xf>
    <xf numFmtId="43" fontId="8" fillId="0" borderId="6" xfId="11" applyFont="1" applyFill="1" applyBorder="1" applyAlignment="1" applyProtection="1">
      <alignment horizontal="justify" vertical="center"/>
    </xf>
    <xf numFmtId="1" fontId="8" fillId="7" borderId="6" xfId="0" applyNumberFormat="1" applyFont="1" applyFill="1" applyBorder="1" applyAlignment="1" applyProtection="1">
      <alignment horizontal="center" vertical="center" wrapText="1"/>
    </xf>
    <xf numFmtId="0" fontId="8" fillId="7" borderId="6" xfId="0" applyFont="1" applyFill="1" applyBorder="1" applyAlignment="1" applyProtection="1">
      <alignment horizontal="left" vertical="center" wrapText="1"/>
    </xf>
    <xf numFmtId="0" fontId="31" fillId="0" borderId="23" xfId="0" applyFont="1" applyBorder="1" applyProtection="1"/>
    <xf numFmtId="0" fontId="8" fillId="0" borderId="18" xfId="0" applyFont="1" applyBorder="1" applyAlignment="1" applyProtection="1">
      <alignment horizontal="center" vertical="center"/>
    </xf>
    <xf numFmtId="0" fontId="8" fillId="7" borderId="18" xfId="0" applyFont="1" applyFill="1" applyBorder="1" applyAlignment="1" applyProtection="1">
      <alignment horizontal="justify" vertical="center"/>
    </xf>
    <xf numFmtId="3" fontId="8" fillId="0" borderId="18" xfId="0" applyNumberFormat="1" applyFont="1" applyBorder="1" applyAlignment="1" applyProtection="1">
      <alignment horizontal="center" vertical="center"/>
    </xf>
    <xf numFmtId="9" fontId="8" fillId="7" borderId="18" xfId="12" applyFont="1" applyFill="1" applyBorder="1" applyAlignment="1" applyProtection="1">
      <alignment horizontal="center" vertical="center"/>
    </xf>
    <xf numFmtId="0" fontId="8" fillId="0" borderId="18" xfId="0" applyFont="1" applyBorder="1" applyAlignment="1" applyProtection="1">
      <alignment horizontal="justify" vertical="center"/>
    </xf>
    <xf numFmtId="43" fontId="8" fillId="0" borderId="18" xfId="11" applyFont="1" applyFill="1" applyBorder="1" applyAlignment="1" applyProtection="1">
      <alignment horizontal="justify" vertical="center"/>
    </xf>
    <xf numFmtId="43" fontId="7" fillId="12" borderId="20" xfId="11" applyFont="1" applyFill="1" applyBorder="1" applyAlignment="1" applyProtection="1">
      <alignment horizontal="justify" vertical="center"/>
    </xf>
    <xf numFmtId="0" fontId="7" fillId="12" borderId="9" xfId="0" applyFont="1" applyFill="1" applyBorder="1" applyAlignment="1" applyProtection="1">
      <alignment horizontal="left" vertical="center"/>
    </xf>
    <xf numFmtId="0" fontId="8" fillId="7" borderId="23" xfId="0" applyFont="1" applyFill="1" applyBorder="1" applyProtection="1"/>
    <xf numFmtId="0" fontId="7" fillId="7" borderId="23" xfId="0" applyFont="1" applyFill="1" applyBorder="1" applyAlignment="1" applyProtection="1">
      <alignment vertical="center"/>
    </xf>
    <xf numFmtId="0" fontId="7" fillId="7" borderId="0" xfId="0" applyFont="1" applyFill="1" applyAlignment="1" applyProtection="1">
      <alignment vertical="center"/>
    </xf>
    <xf numFmtId="0" fontId="7" fillId="7" borderId="24" xfId="0" applyFont="1" applyFill="1" applyBorder="1" applyAlignment="1" applyProtection="1">
      <alignment vertical="center"/>
    </xf>
    <xf numFmtId="0" fontId="8" fillId="0" borderId="25" xfId="0" applyFont="1" applyBorder="1" applyAlignment="1" applyProtection="1">
      <alignment horizontal="center" vertical="center" wrapText="1"/>
    </xf>
    <xf numFmtId="1" fontId="8" fillId="0" borderId="6" xfId="0" applyNumberFormat="1" applyFont="1" applyBorder="1" applyAlignment="1" applyProtection="1">
      <alignment horizontal="center" vertical="center" wrapText="1"/>
    </xf>
    <xf numFmtId="10" fontId="8" fillId="0" borderId="19" xfId="12" applyNumberFormat="1" applyFont="1" applyBorder="1" applyAlignment="1" applyProtection="1">
      <alignment horizontal="center" vertical="center"/>
    </xf>
    <xf numFmtId="1" fontId="8" fillId="0" borderId="6" xfId="0" applyNumberFormat="1" applyFont="1" applyBorder="1" applyAlignment="1" applyProtection="1">
      <alignment horizontal="center" vertical="center"/>
    </xf>
    <xf numFmtId="0" fontId="8" fillId="0" borderId="18" xfId="0" applyFont="1" applyBorder="1" applyAlignment="1" applyProtection="1">
      <alignment horizontal="justify" vertical="center" wrapText="1"/>
    </xf>
    <xf numFmtId="167" fontId="8" fillId="0" borderId="6" xfId="11" applyNumberFormat="1" applyFont="1" applyFill="1" applyBorder="1" applyAlignment="1" applyProtection="1">
      <alignment vertical="center"/>
    </xf>
    <xf numFmtId="167" fontId="8" fillId="0" borderId="6" xfId="11" applyNumberFormat="1" applyFont="1" applyFill="1" applyBorder="1" applyAlignment="1" applyProtection="1">
      <alignment horizontal="center" vertical="center"/>
    </xf>
    <xf numFmtId="43" fontId="8" fillId="0" borderId="6" xfId="11" applyFont="1" applyFill="1" applyBorder="1" applyAlignment="1" applyProtection="1">
      <alignment horizontal="justify" vertical="center" wrapText="1"/>
    </xf>
    <xf numFmtId="43" fontId="8" fillId="0" borderId="18" xfId="11" applyFont="1" applyFill="1" applyBorder="1" applyAlignment="1" applyProtection="1">
      <alignment horizontal="center" vertical="center"/>
    </xf>
    <xf numFmtId="10" fontId="8" fillId="0" borderId="16" xfId="12" applyNumberFormat="1" applyFont="1" applyBorder="1" applyAlignment="1" applyProtection="1">
      <alignment horizontal="center" vertical="center"/>
    </xf>
    <xf numFmtId="0" fontId="7" fillId="12" borderId="11" xfId="0" applyFont="1" applyFill="1" applyBorder="1" applyAlignment="1" applyProtection="1">
      <alignment horizontal="justify" vertical="center"/>
    </xf>
    <xf numFmtId="43" fontId="7" fillId="12" borderId="11" xfId="11" applyFont="1" applyFill="1" applyBorder="1" applyAlignment="1" applyProtection="1">
      <alignment horizontal="justify" vertical="center"/>
    </xf>
    <xf numFmtId="0" fontId="7" fillId="12" borderId="11" xfId="0" applyFont="1" applyFill="1" applyBorder="1" applyAlignment="1" applyProtection="1">
      <alignment horizontal="left" vertical="center"/>
    </xf>
    <xf numFmtId="0" fontId="8" fillId="7" borderId="24" xfId="0" applyFont="1" applyFill="1" applyBorder="1" applyAlignment="1" applyProtection="1">
      <alignment horizontal="justify"/>
    </xf>
    <xf numFmtId="0" fontId="8" fillId="0" borderId="18" xfId="0" applyFont="1" applyBorder="1" applyAlignment="1" applyProtection="1">
      <alignment horizontal="center" vertical="center" wrapText="1"/>
    </xf>
    <xf numFmtId="167" fontId="8" fillId="0" borderId="53" xfId="11" applyNumberFormat="1" applyFont="1" applyFill="1" applyBorder="1" applyAlignment="1" applyProtection="1">
      <alignment horizontal="center" vertical="center"/>
    </xf>
    <xf numFmtId="167" fontId="8" fillId="0" borderId="25" xfId="11" applyNumberFormat="1" applyFont="1" applyFill="1" applyBorder="1" applyAlignment="1" applyProtection="1">
      <alignment horizontal="center" vertical="center"/>
    </xf>
    <xf numFmtId="1" fontId="8" fillId="0" borderId="27" xfId="0" applyNumberFormat="1" applyFont="1" applyBorder="1" applyAlignment="1" applyProtection="1">
      <alignment horizontal="center" vertical="center" wrapText="1"/>
    </xf>
    <xf numFmtId="0" fontId="8" fillId="0" borderId="27" xfId="0" applyFont="1" applyBorder="1" applyAlignment="1" applyProtection="1">
      <alignment horizontal="left" vertical="center" wrapText="1"/>
    </xf>
    <xf numFmtId="167" fontId="8" fillId="0" borderId="18" xfId="11" applyNumberFormat="1" applyFont="1" applyFill="1" applyBorder="1" applyAlignment="1" applyProtection="1">
      <alignment horizontal="center" vertical="center" wrapText="1"/>
    </xf>
    <xf numFmtId="3" fontId="8" fillId="0" borderId="16" xfId="0" applyNumberFormat="1" applyFont="1" applyBorder="1" applyAlignment="1" applyProtection="1">
      <alignment horizontal="center" vertical="center"/>
    </xf>
    <xf numFmtId="9" fontId="8" fillId="7" borderId="16" xfId="12" applyFont="1" applyFill="1" applyBorder="1" applyAlignment="1" applyProtection="1">
      <alignment horizontal="center" vertical="center"/>
    </xf>
    <xf numFmtId="0" fontId="8" fillId="7" borderId="18" xfId="0" applyFont="1" applyFill="1" applyBorder="1" applyAlignment="1" applyProtection="1">
      <alignment horizontal="justify" vertical="center" wrapText="1"/>
    </xf>
    <xf numFmtId="0" fontId="7" fillId="12" borderId="20" xfId="0" applyFont="1" applyFill="1" applyBorder="1" applyAlignment="1" applyProtection="1">
      <alignment horizontal="justify" vertical="center" wrapText="1"/>
    </xf>
    <xf numFmtId="0" fontId="8" fillId="7" borderId="23" xfId="0" applyFont="1" applyFill="1" applyBorder="1" applyAlignment="1" applyProtection="1">
      <alignment vertical="center"/>
    </xf>
    <xf numFmtId="0" fontId="8" fillId="7" borderId="0" xfId="0" applyFont="1" applyFill="1" applyAlignment="1" applyProtection="1">
      <alignment vertical="center"/>
    </xf>
    <xf numFmtId="0" fontId="8" fillId="7" borderId="24" xfId="0" applyFont="1" applyFill="1" applyBorder="1" applyAlignment="1" applyProtection="1">
      <alignment vertical="center"/>
    </xf>
    <xf numFmtId="0" fontId="8" fillId="7" borderId="25" xfId="0" applyFont="1" applyFill="1" applyBorder="1" applyAlignment="1" applyProtection="1">
      <alignment horizontal="center" vertical="center"/>
    </xf>
    <xf numFmtId="43" fontId="8" fillId="0" borderId="53" xfId="11" applyFont="1" applyFill="1" applyBorder="1" applyAlignment="1" applyProtection="1">
      <alignment vertical="center" wrapText="1"/>
    </xf>
    <xf numFmtId="0" fontId="8" fillId="7" borderId="53" xfId="0" applyFont="1" applyFill="1" applyBorder="1" applyAlignment="1" applyProtection="1">
      <alignment horizontal="center" vertical="center" wrapText="1"/>
    </xf>
    <xf numFmtId="0" fontId="8" fillId="7" borderId="12" xfId="0" applyFont="1" applyFill="1" applyBorder="1" applyAlignment="1" applyProtection="1">
      <alignment vertical="center"/>
    </xf>
    <xf numFmtId="0" fontId="8" fillId="7" borderId="9" xfId="0" applyFont="1" applyFill="1" applyBorder="1" applyAlignment="1" applyProtection="1">
      <alignment vertical="center"/>
    </xf>
    <xf numFmtId="0" fontId="8" fillId="7" borderId="13" xfId="0" applyFont="1" applyFill="1" applyBorder="1" applyAlignment="1" applyProtection="1">
      <alignment vertical="center"/>
    </xf>
    <xf numFmtId="1" fontId="7" fillId="7" borderId="23" xfId="0" applyNumberFormat="1" applyFont="1" applyFill="1" applyBorder="1" applyAlignment="1" applyProtection="1">
      <alignment vertical="center" wrapText="1"/>
    </xf>
    <xf numFmtId="1" fontId="7" fillId="7" borderId="0" xfId="0" applyNumberFormat="1" applyFont="1" applyFill="1" applyAlignment="1" applyProtection="1">
      <alignment vertical="center" wrapText="1"/>
    </xf>
    <xf numFmtId="1" fontId="7" fillId="7" borderId="24" xfId="0" applyNumberFormat="1" applyFont="1" applyFill="1" applyBorder="1" applyAlignment="1" applyProtection="1">
      <alignment vertical="center" wrapText="1"/>
    </xf>
    <xf numFmtId="0" fontId="7" fillId="11" borderId="20" xfId="0" applyFont="1" applyFill="1" applyBorder="1" applyAlignment="1" applyProtection="1">
      <alignment horizontal="left" vertical="center"/>
    </xf>
    <xf numFmtId="0" fontId="7" fillId="11" borderId="20" xfId="0" applyFont="1" applyFill="1" applyBorder="1" applyAlignment="1" applyProtection="1">
      <alignment horizontal="justify" vertical="center"/>
    </xf>
    <xf numFmtId="0" fontId="7" fillId="11" borderId="20" xfId="0" applyFont="1" applyFill="1" applyBorder="1" applyAlignment="1" applyProtection="1">
      <alignment horizontal="center" vertical="center"/>
    </xf>
    <xf numFmtId="0" fontId="7" fillId="11" borderId="20" xfId="0" applyFont="1" applyFill="1" applyBorder="1" applyAlignment="1" applyProtection="1">
      <alignment horizontal="justify" vertical="center" wrapText="1"/>
    </xf>
    <xf numFmtId="170" fontId="7" fillId="11" borderId="20" xfId="0" applyNumberFormat="1" applyFont="1" applyFill="1" applyBorder="1" applyAlignment="1" applyProtection="1">
      <alignment horizontal="center" vertical="center"/>
    </xf>
    <xf numFmtId="43" fontId="7" fillId="11" borderId="20" xfId="11" applyFont="1" applyFill="1" applyBorder="1" applyAlignment="1" applyProtection="1">
      <alignment vertical="center"/>
    </xf>
    <xf numFmtId="43" fontId="7" fillId="11" borderId="9" xfId="11" applyFont="1" applyFill="1" applyBorder="1" applyAlignment="1" applyProtection="1">
      <alignment horizontal="justify" vertical="center"/>
    </xf>
    <xf numFmtId="43" fontId="7" fillId="11" borderId="9" xfId="11" applyFont="1" applyFill="1" applyBorder="1" applyAlignment="1" applyProtection="1">
      <alignment horizontal="left" vertical="center"/>
    </xf>
    <xf numFmtId="0" fontId="7" fillId="11" borderId="20" xfId="0" applyFont="1" applyFill="1" applyBorder="1" applyAlignment="1" applyProtection="1">
      <alignment vertical="center"/>
    </xf>
    <xf numFmtId="166" fontId="7" fillId="11" borderId="20" xfId="0" applyNumberFormat="1" applyFont="1" applyFill="1" applyBorder="1" applyAlignment="1" applyProtection="1">
      <alignment horizontal="center" vertical="center"/>
    </xf>
    <xf numFmtId="0" fontId="31" fillId="11" borderId="20" xfId="0" applyFont="1" applyFill="1" applyBorder="1" applyProtection="1"/>
    <xf numFmtId="0" fontId="31" fillId="9" borderId="20" xfId="0" applyFont="1" applyFill="1" applyBorder="1" applyProtection="1"/>
    <xf numFmtId="1" fontId="7" fillId="12" borderId="19" xfId="0" applyNumberFormat="1" applyFont="1" applyFill="1" applyBorder="1" applyAlignment="1" applyProtection="1">
      <alignment horizontal="justify" vertical="center"/>
    </xf>
    <xf numFmtId="0" fontId="7" fillId="12" borderId="9" xfId="0" applyFont="1" applyFill="1" applyBorder="1" applyAlignment="1" applyProtection="1">
      <alignment horizontal="justify" vertical="center"/>
    </xf>
    <xf numFmtId="0" fontId="7" fillId="12" borderId="9" xfId="0" applyFont="1" applyFill="1" applyBorder="1" applyAlignment="1" applyProtection="1">
      <alignment vertical="center"/>
    </xf>
    <xf numFmtId="0" fontId="7" fillId="12" borderId="9" xfId="0" applyFont="1" applyFill="1" applyBorder="1" applyAlignment="1" applyProtection="1">
      <alignment horizontal="justify" vertical="center" wrapText="1"/>
    </xf>
    <xf numFmtId="43" fontId="7" fillId="12" borderId="9" xfId="11" applyFont="1" applyFill="1" applyBorder="1" applyAlignment="1" applyProtection="1">
      <alignment vertical="center"/>
    </xf>
    <xf numFmtId="0" fontId="31" fillId="12" borderId="9" xfId="0" applyFont="1" applyFill="1" applyBorder="1" applyProtection="1"/>
    <xf numFmtId="0" fontId="8" fillId="7" borderId="11" xfId="0" applyFont="1" applyFill="1" applyBorder="1" applyAlignment="1" applyProtection="1">
      <alignment horizontal="center"/>
    </xf>
    <xf numFmtId="0" fontId="8" fillId="7" borderId="0" xfId="0" applyFont="1" applyFill="1" applyAlignment="1" applyProtection="1">
      <alignment horizontal="center"/>
    </xf>
    <xf numFmtId="0" fontId="8" fillId="7" borderId="24" xfId="0" applyFont="1" applyFill="1" applyBorder="1" applyAlignment="1" applyProtection="1">
      <alignment horizontal="center"/>
    </xf>
    <xf numFmtId="0" fontId="7" fillId="7" borderId="0" xfId="0" applyFont="1" applyFill="1" applyBorder="1" applyAlignment="1" applyProtection="1">
      <alignment horizontal="center" vertical="center"/>
    </xf>
    <xf numFmtId="0" fontId="31" fillId="0" borderId="0" xfId="0" applyFont="1" applyAlignment="1" applyProtection="1">
      <alignment horizontal="center"/>
    </xf>
    <xf numFmtId="165" fontId="8" fillId="0" borderId="6" xfId="0" applyNumberFormat="1" applyFont="1" applyBorder="1" applyAlignment="1" applyProtection="1">
      <alignment horizontal="justify" vertical="center"/>
    </xf>
    <xf numFmtId="0" fontId="8" fillId="7" borderId="18" xfId="0" applyFont="1" applyFill="1" applyBorder="1" applyAlignment="1" applyProtection="1">
      <alignment horizontal="center" vertical="center"/>
    </xf>
    <xf numFmtId="43" fontId="8" fillId="0" borderId="18" xfId="11" applyFont="1" applyFill="1" applyBorder="1" applyAlignment="1" applyProtection="1">
      <alignment horizontal="center" vertical="center" wrapText="1"/>
    </xf>
    <xf numFmtId="43" fontId="7" fillId="12" borderId="20" xfId="11" applyFont="1" applyFill="1" applyBorder="1" applyAlignment="1" applyProtection="1">
      <alignment horizontal="left" vertical="center"/>
    </xf>
    <xf numFmtId="9" fontId="8" fillId="7" borderId="12" xfId="12" applyFont="1" applyFill="1" applyBorder="1" applyAlignment="1" applyProtection="1">
      <alignment horizontal="center" vertical="center"/>
    </xf>
    <xf numFmtId="0" fontId="8" fillId="7" borderId="27" xfId="0" applyFont="1" applyFill="1" applyBorder="1" applyAlignment="1" applyProtection="1">
      <alignment horizontal="justify" vertical="center" wrapText="1"/>
    </xf>
    <xf numFmtId="1" fontId="8" fillId="0" borderId="18" xfId="0" applyNumberFormat="1" applyFont="1" applyBorder="1" applyAlignment="1" applyProtection="1">
      <alignment horizontal="center" vertical="center" wrapText="1"/>
    </xf>
    <xf numFmtId="0" fontId="8" fillId="7" borderId="25" xfId="0" applyFont="1" applyFill="1" applyBorder="1" applyAlignment="1" applyProtection="1">
      <alignment vertical="center" wrapText="1"/>
    </xf>
    <xf numFmtId="0" fontId="8" fillId="0" borderId="18" xfId="0" applyFont="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7" borderId="27" xfId="0" applyFont="1" applyFill="1" applyBorder="1" applyAlignment="1" applyProtection="1">
      <alignment vertical="center" wrapText="1"/>
    </xf>
    <xf numFmtId="0" fontId="8" fillId="7" borderId="25" xfId="0" applyFont="1" applyFill="1" applyBorder="1" applyAlignment="1" applyProtection="1">
      <alignment horizontal="center" vertical="center" wrapText="1"/>
    </xf>
    <xf numFmtId="0" fontId="8" fillId="7" borderId="25" xfId="0" applyFont="1" applyFill="1" applyBorder="1" applyAlignment="1" applyProtection="1">
      <alignment horizontal="left" vertical="center" wrapText="1"/>
    </xf>
    <xf numFmtId="0" fontId="31" fillId="0" borderId="18" xfId="0" applyFont="1" applyBorder="1" applyProtection="1"/>
    <xf numFmtId="43" fontId="8" fillId="0" borderId="12" xfId="11" applyFont="1" applyFill="1" applyBorder="1" applyAlignment="1" applyProtection="1">
      <alignment horizontal="center" vertical="center"/>
    </xf>
    <xf numFmtId="0" fontId="8" fillId="0" borderId="25" xfId="0" applyFont="1" applyBorder="1" applyAlignment="1" applyProtection="1">
      <alignment horizontal="left" vertical="top" wrapText="1" indent="1"/>
    </xf>
    <xf numFmtId="43" fontId="8" fillId="0" borderId="19" xfId="11" applyFont="1" applyFill="1" applyBorder="1" applyAlignment="1" applyProtection="1">
      <alignment horizontal="center" vertical="center"/>
    </xf>
    <xf numFmtId="0" fontId="8" fillId="0" borderId="35" xfId="0" applyFont="1" applyBorder="1" applyAlignment="1" applyProtection="1">
      <alignment horizontal="justify" vertical="center" wrapText="1"/>
    </xf>
    <xf numFmtId="0" fontId="8" fillId="0" borderId="27" xfId="0" applyFont="1" applyBorder="1" applyAlignment="1" applyProtection="1">
      <alignment vertical="center" wrapText="1"/>
    </xf>
    <xf numFmtId="0" fontId="7" fillId="11" borderId="0" xfId="0" applyFont="1" applyFill="1" applyAlignment="1" applyProtection="1">
      <alignment vertical="center"/>
    </xf>
    <xf numFmtId="0" fontId="7" fillId="11" borderId="0" xfId="0" applyFont="1" applyFill="1" applyAlignment="1" applyProtection="1">
      <alignment horizontal="center" vertical="center"/>
    </xf>
    <xf numFmtId="0" fontId="7" fillId="11" borderId="0" xfId="0" applyFont="1" applyFill="1" applyAlignment="1" applyProtection="1">
      <alignment horizontal="justify" vertical="center" wrapText="1"/>
    </xf>
    <xf numFmtId="170" fontId="7" fillId="11" borderId="0" xfId="0" applyNumberFormat="1" applyFont="1" applyFill="1" applyAlignment="1" applyProtection="1">
      <alignment horizontal="center" vertical="center"/>
    </xf>
    <xf numFmtId="43" fontId="7" fillId="11" borderId="0" xfId="11" applyFont="1" applyFill="1" applyAlignment="1" applyProtection="1">
      <alignment vertical="center"/>
    </xf>
    <xf numFmtId="1" fontId="7" fillId="11" borderId="0" xfId="0" applyNumberFormat="1" applyFont="1" applyFill="1" applyAlignment="1" applyProtection="1">
      <alignment horizontal="center" vertical="center"/>
    </xf>
    <xf numFmtId="1" fontId="7" fillId="11" borderId="0" xfId="0" applyNumberFormat="1" applyFont="1" applyFill="1" applyAlignment="1" applyProtection="1">
      <alignment vertical="center"/>
    </xf>
    <xf numFmtId="1" fontId="31" fillId="11" borderId="0" xfId="0" applyNumberFormat="1" applyFont="1" applyFill="1" applyProtection="1"/>
    <xf numFmtId="0" fontId="31" fillId="9" borderId="0" xfId="0" applyFont="1" applyFill="1" applyProtection="1"/>
    <xf numFmtId="0" fontId="7" fillId="7" borderId="16" xfId="0" applyFont="1" applyFill="1" applyBorder="1" applyAlignment="1" applyProtection="1">
      <alignment vertical="center" wrapText="1"/>
    </xf>
    <xf numFmtId="0" fontId="7" fillId="7" borderId="11" xfId="0" applyFont="1" applyFill="1" applyBorder="1" applyAlignment="1" applyProtection="1">
      <alignment vertical="center" wrapText="1"/>
    </xf>
    <xf numFmtId="0" fontId="7" fillId="7" borderId="17" xfId="0" applyFont="1" applyFill="1" applyBorder="1" applyAlignment="1" applyProtection="1">
      <alignment vertical="center" wrapText="1"/>
    </xf>
    <xf numFmtId="0" fontId="7" fillId="7" borderId="23" xfId="0" applyFont="1" applyFill="1" applyBorder="1" applyAlignment="1" applyProtection="1">
      <alignment vertical="center" wrapText="1"/>
    </xf>
    <xf numFmtId="0" fontId="7" fillId="7" borderId="0" xfId="0" applyFont="1" applyFill="1" applyAlignment="1" applyProtection="1">
      <alignment vertical="center" wrapText="1"/>
    </xf>
    <xf numFmtId="0" fontId="7" fillId="7" borderId="24" xfId="0" applyFont="1" applyFill="1" applyBorder="1" applyAlignment="1" applyProtection="1">
      <alignment vertical="center" wrapText="1"/>
    </xf>
    <xf numFmtId="1" fontId="7" fillId="7" borderId="23" xfId="0" applyNumberFormat="1" applyFont="1" applyFill="1" applyBorder="1" applyAlignment="1" applyProtection="1">
      <alignment vertical="center"/>
    </xf>
    <xf numFmtId="1" fontId="7" fillId="7" borderId="0" xfId="0" applyNumberFormat="1" applyFont="1" applyFill="1" applyAlignment="1" applyProtection="1">
      <alignment vertical="center"/>
    </xf>
    <xf numFmtId="1" fontId="7" fillId="7" borderId="24" xfId="0" applyNumberFormat="1" applyFont="1" applyFill="1" applyBorder="1" applyAlignment="1" applyProtection="1">
      <alignment vertical="center"/>
    </xf>
    <xf numFmtId="1" fontId="8" fillId="7" borderId="35" xfId="0" applyNumberFormat="1" applyFont="1" applyFill="1" applyBorder="1" applyAlignment="1" applyProtection="1">
      <alignment horizontal="center" vertical="center" wrapText="1"/>
    </xf>
    <xf numFmtId="1" fontId="8" fillId="7" borderId="17" xfId="0" applyNumberFormat="1" applyFont="1" applyFill="1" applyBorder="1" applyAlignment="1" applyProtection="1">
      <alignment horizontal="center" vertical="center" wrapText="1"/>
    </xf>
    <xf numFmtId="0" fontId="8" fillId="7" borderId="18" xfId="0" applyFont="1" applyFill="1" applyBorder="1" applyAlignment="1" applyProtection="1">
      <alignment horizontal="left" vertical="center" wrapText="1"/>
    </xf>
    <xf numFmtId="0" fontId="31" fillId="0" borderId="54" xfId="0" applyFont="1" applyBorder="1" applyAlignment="1" applyProtection="1">
      <alignment horizontal="center" vertical="center"/>
    </xf>
    <xf numFmtId="43" fontId="7" fillId="12" borderId="9" xfId="11" applyFont="1" applyFill="1" applyBorder="1" applyAlignment="1" applyProtection="1">
      <alignment horizontal="justify" vertical="center"/>
    </xf>
    <xf numFmtId="0" fontId="8" fillId="7" borderId="25" xfId="0" applyFont="1" applyFill="1" applyBorder="1" applyAlignment="1" applyProtection="1">
      <alignment horizontal="justify" vertical="center"/>
    </xf>
    <xf numFmtId="9" fontId="8" fillId="0" borderId="25" xfId="13" applyFont="1" applyBorder="1" applyAlignment="1" applyProtection="1">
      <alignment horizontal="center" vertical="center"/>
    </xf>
    <xf numFmtId="43" fontId="8" fillId="7" borderId="25" xfId="11" applyFont="1" applyFill="1" applyBorder="1" applyAlignment="1" applyProtection="1">
      <alignment horizontal="center" vertical="center"/>
    </xf>
    <xf numFmtId="43" fontId="8" fillId="0" borderId="25" xfId="11" applyFont="1" applyFill="1" applyBorder="1" applyAlignment="1" applyProtection="1">
      <alignment horizontal="center" vertical="center"/>
    </xf>
    <xf numFmtId="1" fontId="8" fillId="7" borderId="25" xfId="0" applyNumberFormat="1" applyFont="1" applyFill="1" applyBorder="1" applyAlignment="1" applyProtection="1">
      <alignment horizontal="center" vertical="center" wrapText="1"/>
    </xf>
    <xf numFmtId="1" fontId="8" fillId="7" borderId="25" xfId="0" applyNumberFormat="1" applyFont="1" applyFill="1" applyBorder="1" applyAlignment="1" applyProtection="1">
      <alignment horizontal="center" vertical="center"/>
    </xf>
    <xf numFmtId="1" fontId="8" fillId="7" borderId="23" xfId="0" applyNumberFormat="1" applyFont="1" applyFill="1" applyBorder="1" applyAlignment="1" applyProtection="1">
      <alignment horizontal="center" vertical="center"/>
    </xf>
    <xf numFmtId="1" fontId="31" fillId="0" borderId="25" xfId="0" applyNumberFormat="1" applyFont="1" applyBorder="1" applyAlignment="1" applyProtection="1">
      <alignment horizontal="center" vertical="center"/>
    </xf>
    <xf numFmtId="0" fontId="31" fillId="0" borderId="25" xfId="0" applyFont="1" applyBorder="1" applyAlignment="1" applyProtection="1">
      <alignment horizontal="center" vertical="center"/>
    </xf>
    <xf numFmtId="14" fontId="31" fillId="0" borderId="25" xfId="0" applyNumberFormat="1" applyFont="1" applyFill="1" applyBorder="1" applyAlignment="1" applyProtection="1">
      <alignment vertical="center"/>
    </xf>
    <xf numFmtId="0" fontId="31" fillId="0" borderId="25" xfId="0" applyFont="1" applyFill="1" applyBorder="1" applyAlignment="1" applyProtection="1">
      <alignment horizontal="center" vertical="center" wrapText="1"/>
    </xf>
    <xf numFmtId="170" fontId="7" fillId="12" borderId="20" xfId="0" applyNumberFormat="1" applyFont="1" applyFill="1" applyBorder="1" applyAlignment="1" applyProtection="1">
      <alignment horizontal="center" vertical="center"/>
    </xf>
    <xf numFmtId="166" fontId="7" fillId="12" borderId="20" xfId="0" applyNumberFormat="1" applyFont="1" applyFill="1" applyBorder="1" applyAlignment="1" applyProtection="1">
      <alignment horizontal="center" vertical="center"/>
    </xf>
    <xf numFmtId="0" fontId="7" fillId="11" borderId="11" xfId="0" applyFont="1" applyFill="1" applyBorder="1" applyAlignment="1" applyProtection="1">
      <alignment horizontal="justify" vertical="center" wrapText="1"/>
    </xf>
    <xf numFmtId="43" fontId="7" fillId="11" borderId="11" xfId="11" applyFont="1" applyFill="1" applyBorder="1" applyAlignment="1" applyProtection="1">
      <alignment horizontal="justify" vertical="center"/>
    </xf>
    <xf numFmtId="0" fontId="7" fillId="12" borderId="20" xfId="0" applyFont="1" applyFill="1" applyBorder="1" applyAlignment="1" applyProtection="1">
      <alignment vertical="center" wrapText="1"/>
    </xf>
    <xf numFmtId="0" fontId="7" fillId="12" borderId="20" xfId="0" applyFont="1" applyFill="1" applyBorder="1" applyAlignment="1" applyProtection="1">
      <alignment horizontal="center" vertical="center" wrapText="1"/>
    </xf>
    <xf numFmtId="0" fontId="8" fillId="0" borderId="27" xfId="0" applyFont="1" applyFill="1" applyBorder="1" applyAlignment="1" applyProtection="1">
      <alignment horizontal="justify" vertical="center"/>
    </xf>
    <xf numFmtId="0" fontId="7" fillId="7" borderId="6" xfId="0" applyFont="1" applyFill="1" applyBorder="1" applyAlignment="1" applyProtection="1">
      <alignment horizontal="justify" vertical="center"/>
    </xf>
    <xf numFmtId="0" fontId="7" fillId="7" borderId="6" xfId="0" applyFont="1" applyFill="1" applyBorder="1" applyAlignment="1" applyProtection="1">
      <alignment horizontal="center" vertical="center"/>
    </xf>
    <xf numFmtId="0" fontId="7" fillId="7" borderId="6" xfId="0" applyFont="1" applyFill="1" applyBorder="1" applyAlignment="1" applyProtection="1">
      <alignment horizontal="center" vertical="center" wrapText="1"/>
    </xf>
    <xf numFmtId="9" fontId="7" fillId="7" borderId="6" xfId="12" applyFont="1" applyFill="1" applyBorder="1" applyAlignment="1" applyProtection="1">
      <alignment horizontal="center" vertical="center"/>
    </xf>
    <xf numFmtId="43" fontId="7" fillId="0" borderId="6" xfId="11" applyFont="1" applyFill="1" applyBorder="1" applyAlignment="1" applyProtection="1">
      <alignment horizontal="center" vertical="center"/>
    </xf>
    <xf numFmtId="0" fontId="7" fillId="0" borderId="6" xfId="0" applyFont="1" applyFill="1" applyBorder="1" applyAlignment="1" applyProtection="1">
      <alignment horizontal="justify" vertical="center"/>
    </xf>
    <xf numFmtId="165" fontId="7" fillId="7" borderId="6" xfId="0" applyNumberFormat="1" applyFont="1" applyFill="1" applyBorder="1" applyAlignment="1" applyProtection="1">
      <alignment horizontal="center" vertical="center"/>
    </xf>
    <xf numFmtId="165" fontId="7" fillId="7" borderId="6" xfId="0" applyNumberFormat="1" applyFont="1" applyFill="1" applyBorder="1" applyAlignment="1" applyProtection="1">
      <alignment horizontal="left" vertical="center"/>
    </xf>
    <xf numFmtId="14" fontId="30" fillId="0" borderId="6" xfId="0" applyNumberFormat="1" applyFont="1" applyFill="1" applyBorder="1" applyAlignment="1" applyProtection="1">
      <alignment vertical="center"/>
    </xf>
    <xf numFmtId="0" fontId="30" fillId="0" borderId="6" xfId="0" applyFont="1" applyFill="1" applyBorder="1" applyAlignment="1" applyProtection="1">
      <alignment horizontal="justify" vertical="center" wrapText="1"/>
    </xf>
    <xf numFmtId="0" fontId="30" fillId="0" borderId="0" xfId="0" applyFont="1" applyProtection="1"/>
    <xf numFmtId="1" fontId="8" fillId="0" borderId="0" xfId="0" applyNumberFormat="1" applyFont="1" applyProtection="1"/>
    <xf numFmtId="0" fontId="8" fillId="0" borderId="0" xfId="0" applyFont="1" applyAlignment="1" applyProtection="1">
      <alignment horizontal="justify" vertical="center"/>
    </xf>
    <xf numFmtId="0" fontId="8" fillId="0" borderId="0" xfId="0" applyFont="1" applyAlignment="1" applyProtection="1">
      <alignment horizontal="justify"/>
    </xf>
    <xf numFmtId="0" fontId="8" fillId="0" borderId="0" xfId="0" applyFont="1" applyAlignment="1" applyProtection="1">
      <alignment horizontal="center"/>
    </xf>
    <xf numFmtId="170" fontId="8" fillId="0" borderId="0" xfId="0" applyNumberFormat="1" applyFont="1" applyAlignment="1" applyProtection="1">
      <alignment horizontal="center" vertical="center"/>
    </xf>
    <xf numFmtId="165" fontId="8" fillId="0" borderId="0" xfId="14" applyNumberFormat="1" applyFont="1" applyAlignment="1" applyProtection="1">
      <alignment horizontal="center" vertical="center"/>
    </xf>
    <xf numFmtId="165" fontId="8" fillId="0" borderId="0" xfId="0" applyNumberFormat="1" applyFont="1" applyAlignment="1" applyProtection="1">
      <alignment horizontal="center" vertical="center"/>
    </xf>
    <xf numFmtId="0" fontId="8" fillId="0" borderId="0" xfId="0" applyFont="1" applyAlignment="1" applyProtection="1">
      <alignment horizontal="left"/>
    </xf>
    <xf numFmtId="0" fontId="31" fillId="0" borderId="0" xfId="0" applyFont="1" applyAlignment="1" applyProtection="1">
      <alignment horizontal="justify"/>
    </xf>
    <xf numFmtId="3" fontId="8" fillId="0" borderId="0" xfId="0" applyNumberFormat="1" applyFont="1" applyAlignment="1" applyProtection="1">
      <alignment horizontal="right" vertical="center"/>
    </xf>
    <xf numFmtId="4" fontId="8" fillId="0" borderId="0" xfId="0" applyNumberFormat="1" applyFont="1" applyAlignment="1" applyProtection="1">
      <alignment horizontal="justify" vertical="center"/>
    </xf>
    <xf numFmtId="43" fontId="8" fillId="0" borderId="0" xfId="0" applyNumberFormat="1" applyFont="1" applyAlignment="1" applyProtection="1">
      <alignment horizontal="justify" vertical="center"/>
    </xf>
    <xf numFmtId="42" fontId="8" fillId="0" borderId="0" xfId="14" applyFont="1" applyAlignment="1" applyProtection="1">
      <alignment horizontal="justify"/>
    </xf>
    <xf numFmtId="165" fontId="8" fillId="0" borderId="0" xfId="0" applyNumberFormat="1" applyFont="1" applyAlignment="1" applyProtection="1">
      <alignment horizontal="justify"/>
    </xf>
    <xf numFmtId="0" fontId="8" fillId="0" borderId="0" xfId="0" applyFont="1" applyAlignment="1" applyProtection="1">
      <alignment horizontal="center" wrapText="1"/>
    </xf>
    <xf numFmtId="0" fontId="28" fillId="0" borderId="3" xfId="0" applyFont="1" applyBorder="1"/>
    <xf numFmtId="0" fontId="28" fillId="0" borderId="4" xfId="0" applyFont="1" applyBorder="1" applyAlignment="1">
      <alignment horizontal="justify"/>
    </xf>
    <xf numFmtId="0" fontId="28" fillId="0" borderId="6" xfId="0" applyFont="1" applyBorder="1" applyAlignment="1">
      <alignment horizontal="left"/>
    </xf>
    <xf numFmtId="168" fontId="28" fillId="0" borderId="7" xfId="0" applyNumberFormat="1" applyFont="1" applyBorder="1" applyAlignment="1">
      <alignment horizontal="justify"/>
    </xf>
    <xf numFmtId="0" fontId="28" fillId="0" borderId="6" xfId="0" applyFont="1" applyBorder="1"/>
    <xf numFmtId="17" fontId="28" fillId="0" borderId="7" xfId="0" applyNumberFormat="1" applyFont="1" applyBorder="1" applyAlignment="1">
      <alignment horizontal="justify"/>
    </xf>
    <xf numFmtId="0" fontId="28" fillId="0" borderId="6" xfId="0" applyFont="1" applyBorder="1" applyAlignment="1">
      <alignment vertical="center"/>
    </xf>
    <xf numFmtId="3" fontId="5" fillId="5" borderId="7" xfId="0" applyNumberFormat="1" applyFont="1" applyFill="1" applyBorder="1" applyAlignment="1">
      <alignment horizontal="justify" vertical="center" wrapText="1"/>
    </xf>
    <xf numFmtId="0" fontId="12" fillId="0" borderId="20" xfId="0" applyFont="1" applyBorder="1" applyAlignment="1">
      <alignment vertical="center"/>
    </xf>
    <xf numFmtId="0" fontId="12" fillId="0" borderId="35" xfId="0" applyFont="1" applyBorder="1" applyAlignment="1">
      <alignment vertical="center"/>
    </xf>
    <xf numFmtId="0" fontId="33" fillId="15" borderId="19" xfId="0" applyFont="1" applyFill="1" applyBorder="1" applyAlignment="1">
      <alignment horizontal="center" vertical="center" textRotation="90" wrapText="1"/>
    </xf>
    <xf numFmtId="0" fontId="33" fillId="15" borderId="12" xfId="0" applyFont="1" applyFill="1" applyBorder="1" applyAlignment="1">
      <alignment horizontal="center" vertical="center" textRotation="90" wrapText="1"/>
    </xf>
    <xf numFmtId="0" fontId="33" fillId="15" borderId="9" xfId="0" applyFont="1" applyFill="1" applyBorder="1" applyAlignment="1">
      <alignment horizontal="center" vertical="center" textRotation="90" wrapText="1"/>
    </xf>
    <xf numFmtId="0" fontId="12" fillId="18" borderId="40" xfId="0" applyFont="1" applyFill="1" applyBorder="1" applyAlignment="1">
      <alignment horizontal="center" vertical="center" wrapText="1"/>
    </xf>
    <xf numFmtId="0" fontId="12" fillId="18" borderId="12" xfId="0" applyFont="1" applyFill="1" applyBorder="1" applyAlignment="1">
      <alignment horizontal="left" vertical="center"/>
    </xf>
    <xf numFmtId="0" fontId="12" fillId="18" borderId="9" xfId="0" applyFont="1" applyFill="1" applyBorder="1" applyAlignment="1">
      <alignment horizontal="left" vertical="center" wrapText="1"/>
    </xf>
    <xf numFmtId="0" fontId="12" fillId="18" borderId="9" xfId="0" applyFont="1" applyFill="1" applyBorder="1" applyAlignment="1">
      <alignment horizontal="justify" vertical="center" wrapText="1"/>
    </xf>
    <xf numFmtId="0" fontId="12" fillId="18" borderId="9" xfId="0" applyFont="1" applyFill="1" applyBorder="1" applyAlignment="1">
      <alignment horizontal="center" vertical="center" wrapText="1"/>
    </xf>
    <xf numFmtId="0" fontId="12" fillId="18" borderId="14" xfId="0" applyFont="1" applyFill="1" applyBorder="1" applyAlignment="1">
      <alignment horizontal="justify" vertical="center" wrapText="1"/>
    </xf>
    <xf numFmtId="0" fontId="12" fillId="7" borderId="5" xfId="0" applyFont="1" applyFill="1" applyBorder="1" applyAlignment="1">
      <alignment vertical="center" wrapText="1"/>
    </xf>
    <xf numFmtId="0" fontId="12" fillId="7" borderId="24" xfId="0" applyFont="1" applyFill="1" applyBorder="1" applyAlignment="1">
      <alignment vertical="center" wrapText="1"/>
    </xf>
    <xf numFmtId="0" fontId="12" fillId="19" borderId="6" xfId="0" applyFont="1" applyFill="1" applyBorder="1" applyAlignment="1">
      <alignment horizontal="center" vertical="center" wrapText="1"/>
    </xf>
    <xf numFmtId="0" fontId="12" fillId="19" borderId="19" xfId="0" applyFont="1" applyFill="1" applyBorder="1" applyAlignment="1">
      <alignment vertical="center"/>
    </xf>
    <xf numFmtId="0" fontId="12" fillId="19" borderId="0" xfId="0" applyFont="1" applyFill="1" applyAlignment="1">
      <alignment vertical="center"/>
    </xf>
    <xf numFmtId="0" fontId="12" fillId="19" borderId="0" xfId="0" applyFont="1" applyFill="1" applyAlignment="1">
      <alignment horizontal="justify" vertical="center"/>
    </xf>
    <xf numFmtId="0" fontId="12" fillId="19" borderId="0" xfId="0" applyFont="1" applyFill="1" applyAlignment="1">
      <alignment horizontal="center" vertical="center"/>
    </xf>
    <xf numFmtId="0" fontId="12" fillId="19" borderId="59" xfId="0" applyFont="1" applyFill="1" applyBorder="1" applyAlignment="1">
      <alignment horizontal="justify" vertical="center"/>
    </xf>
    <xf numFmtId="0" fontId="12" fillId="7" borderId="23" xfId="0" applyFont="1" applyFill="1" applyBorder="1" applyAlignment="1">
      <alignment vertical="center" wrapText="1"/>
    </xf>
    <xf numFmtId="0" fontId="12" fillId="20" borderId="6" xfId="0" applyFont="1" applyFill="1" applyBorder="1" applyAlignment="1">
      <alignment horizontal="center" vertical="center" wrapText="1"/>
    </xf>
    <xf numFmtId="0" fontId="22" fillId="20" borderId="19" xfId="0" applyFont="1" applyFill="1" applyBorder="1" applyAlignment="1">
      <alignment horizontal="left" vertical="center"/>
    </xf>
    <xf numFmtId="0" fontId="22" fillId="20" borderId="20" xfId="0" applyFont="1" applyFill="1" applyBorder="1" applyAlignment="1">
      <alignment horizontal="left" vertical="center"/>
    </xf>
    <xf numFmtId="0" fontId="22" fillId="20" borderId="20" xfId="0" applyFont="1" applyFill="1" applyBorder="1" applyAlignment="1">
      <alignment horizontal="justify" vertical="center"/>
    </xf>
    <xf numFmtId="0" fontId="22" fillId="20" borderId="20" xfId="0" applyFont="1" applyFill="1" applyBorder="1" applyAlignment="1">
      <alignment horizontal="center" vertical="center"/>
    </xf>
    <xf numFmtId="0" fontId="16" fillId="20" borderId="35" xfId="0" applyFont="1" applyFill="1" applyBorder="1" applyAlignment="1">
      <alignment horizontal="justify" vertical="center"/>
    </xf>
    <xf numFmtId="0" fontId="18" fillId="7" borderId="19" xfId="0" applyFont="1" applyFill="1" applyBorder="1" applyAlignment="1">
      <alignment horizontal="justify" vertical="center" wrapText="1"/>
    </xf>
    <xf numFmtId="43" fontId="13" fillId="0" borderId="6" xfId="1" applyFont="1" applyFill="1" applyBorder="1" applyAlignment="1">
      <alignment horizontal="center" vertical="center" wrapText="1"/>
    </xf>
    <xf numFmtId="43" fontId="34" fillId="0" borderId="6" xfId="1" applyFont="1" applyBorder="1" applyAlignment="1">
      <alignment horizontal="center" vertical="center" wrapText="1"/>
    </xf>
    <xf numFmtId="0" fontId="18" fillId="7" borderId="16" xfId="0" applyFont="1" applyFill="1" applyBorder="1" applyAlignment="1">
      <alignment horizontal="justify" vertical="center" wrapText="1"/>
    </xf>
    <xf numFmtId="0" fontId="12" fillId="7" borderId="12" xfId="0" applyFont="1" applyFill="1" applyBorder="1" applyAlignment="1">
      <alignment vertical="center" wrapText="1"/>
    </xf>
    <xf numFmtId="0" fontId="12" fillId="7" borderId="13" xfId="0" applyFont="1" applyFill="1" applyBorder="1" applyAlignment="1">
      <alignment vertical="center" wrapText="1"/>
    </xf>
    <xf numFmtId="0" fontId="12" fillId="11" borderId="6" xfId="0" applyFont="1" applyFill="1" applyBorder="1" applyAlignment="1">
      <alignment horizontal="center" vertical="center" wrapText="1"/>
    </xf>
    <xf numFmtId="0" fontId="12" fillId="11" borderId="19" xfId="0" applyFont="1" applyFill="1" applyBorder="1" applyAlignment="1">
      <alignment horizontal="left" vertical="center"/>
    </xf>
    <xf numFmtId="0" fontId="12" fillId="11" borderId="20" xfId="0" applyFont="1" applyFill="1" applyBorder="1" applyAlignment="1">
      <alignment horizontal="left" vertical="center"/>
    </xf>
    <xf numFmtId="0" fontId="12" fillId="11" borderId="20" xfId="0" applyFont="1" applyFill="1" applyBorder="1" applyAlignment="1">
      <alignment horizontal="justify" vertical="center" wrapText="1"/>
    </xf>
    <xf numFmtId="0" fontId="12" fillId="11" borderId="20" xfId="0" applyFont="1" applyFill="1" applyBorder="1" applyAlignment="1">
      <alignment horizontal="justify" vertical="center"/>
    </xf>
    <xf numFmtId="43" fontId="12" fillId="11" borderId="20" xfId="1" applyFont="1" applyFill="1" applyBorder="1" applyAlignment="1">
      <alignment horizontal="left" vertical="center"/>
    </xf>
    <xf numFmtId="43" fontId="12" fillId="11" borderId="6" xfId="1" applyFont="1" applyFill="1" applyBorder="1" applyAlignment="1">
      <alignment horizontal="left" vertical="center"/>
    </xf>
    <xf numFmtId="43" fontId="12" fillId="11" borderId="6" xfId="1" applyFont="1" applyFill="1" applyBorder="1" applyAlignment="1">
      <alignment horizontal="center" vertical="center"/>
    </xf>
    <xf numFmtId="43" fontId="12" fillId="11" borderId="6" xfId="1" applyFont="1" applyFill="1" applyBorder="1" applyAlignment="1">
      <alignment horizontal="justify" vertical="center"/>
    </xf>
    <xf numFmtId="0" fontId="22" fillId="11" borderId="20" xfId="0" applyFont="1" applyFill="1" applyBorder="1" applyAlignment="1">
      <alignment horizontal="left" vertical="center"/>
    </xf>
    <xf numFmtId="0" fontId="16" fillId="11" borderId="35" xfId="0" applyFont="1" applyFill="1" applyBorder="1" applyAlignment="1">
      <alignment horizontal="justify" vertical="center"/>
    </xf>
    <xf numFmtId="0" fontId="13" fillId="7" borderId="23" xfId="0" applyFont="1" applyFill="1" applyBorder="1" applyAlignment="1">
      <alignment vertical="center" wrapText="1"/>
    </xf>
    <xf numFmtId="0" fontId="22" fillId="12" borderId="19" xfId="0" applyFont="1" applyFill="1" applyBorder="1" applyAlignment="1">
      <alignment horizontal="left" vertical="center"/>
    </xf>
    <xf numFmtId="0" fontId="22" fillId="12" borderId="20" xfId="0" applyFont="1" applyFill="1" applyBorder="1" applyAlignment="1">
      <alignment horizontal="left" vertical="center"/>
    </xf>
    <xf numFmtId="0" fontId="22" fillId="12" borderId="20" xfId="0" applyFont="1" applyFill="1" applyBorder="1" applyAlignment="1">
      <alignment horizontal="justify" vertical="center" wrapText="1"/>
    </xf>
    <xf numFmtId="0" fontId="22" fillId="12" borderId="20" xfId="0" applyFont="1" applyFill="1" applyBorder="1" applyAlignment="1">
      <alignment horizontal="justify" vertical="center"/>
    </xf>
    <xf numFmtId="43" fontId="22" fillId="12" borderId="20" xfId="1" applyFont="1" applyFill="1" applyBorder="1" applyAlignment="1">
      <alignment horizontal="left" vertical="center"/>
    </xf>
    <xf numFmtId="0" fontId="22" fillId="12" borderId="11" xfId="0" applyFont="1" applyFill="1" applyBorder="1" applyAlignment="1">
      <alignment horizontal="justify" vertical="center" wrapText="1"/>
    </xf>
    <xf numFmtId="43" fontId="22" fillId="12" borderId="6" xfId="1" applyFont="1" applyFill="1" applyBorder="1" applyAlignment="1">
      <alignment horizontal="left" vertical="center"/>
    </xf>
    <xf numFmtId="43" fontId="22" fillId="12" borderId="6" xfId="1" applyFont="1" applyFill="1" applyBorder="1" applyAlignment="1">
      <alignment horizontal="center" vertical="center"/>
    </xf>
    <xf numFmtId="43" fontId="22" fillId="12" borderId="6" xfId="1" applyFont="1" applyFill="1" applyBorder="1" applyAlignment="1">
      <alignment horizontal="justify" vertical="center"/>
    </xf>
    <xf numFmtId="0" fontId="16" fillId="12" borderId="35" xfId="0" applyFont="1" applyFill="1" applyBorder="1" applyAlignment="1">
      <alignment horizontal="center" vertical="center"/>
    </xf>
    <xf numFmtId="0" fontId="13" fillId="7" borderId="17" xfId="0" applyFont="1" applyFill="1" applyBorder="1" applyAlignment="1">
      <alignment vertical="center" wrapText="1"/>
    </xf>
    <xf numFmtId="43" fontId="34" fillId="0" borderId="6" xfId="1" applyFont="1" applyBorder="1" applyAlignment="1">
      <alignment vertical="center" wrapText="1"/>
    </xf>
    <xf numFmtId="0" fontId="22" fillId="12" borderId="11" xfId="0" applyFont="1" applyFill="1" applyBorder="1" applyAlignment="1">
      <alignment horizontal="left" vertical="center"/>
    </xf>
    <xf numFmtId="0" fontId="13" fillId="7" borderId="0" xfId="0" applyFont="1" applyFill="1" applyAlignment="1">
      <alignment vertical="center" wrapText="1"/>
    </xf>
    <xf numFmtId="43" fontId="13" fillId="7" borderId="6" xfId="1" applyFont="1" applyFill="1" applyBorder="1" applyAlignment="1">
      <alignment horizontal="center" vertical="center" wrapText="1"/>
    </xf>
    <xf numFmtId="0" fontId="12" fillId="12" borderId="25" xfId="0" applyFont="1" applyFill="1" applyBorder="1" applyAlignment="1">
      <alignment horizontal="center" vertical="center" wrapText="1"/>
    </xf>
    <xf numFmtId="0" fontId="13" fillId="7" borderId="16" xfId="0" applyFont="1" applyFill="1" applyBorder="1" applyAlignment="1">
      <alignment horizontal="justify" vertical="center" wrapText="1"/>
    </xf>
    <xf numFmtId="0" fontId="16" fillId="7" borderId="19" xfId="0" applyFont="1" applyFill="1" applyBorder="1" applyAlignment="1">
      <alignment horizontal="justify" vertical="center" wrapText="1"/>
    </xf>
    <xf numFmtId="0" fontId="12" fillId="11" borderId="19" xfId="0" applyFont="1" applyFill="1" applyBorder="1" applyAlignment="1">
      <alignment vertical="center"/>
    </xf>
    <xf numFmtId="0" fontId="12" fillId="11" borderId="20" xfId="0" applyFont="1" applyFill="1" applyBorder="1" applyAlignment="1">
      <alignment vertical="center"/>
    </xf>
    <xf numFmtId="43" fontId="12" fillId="11" borderId="20" xfId="1" applyFont="1" applyFill="1" applyBorder="1" applyAlignment="1">
      <alignment vertical="center"/>
    </xf>
    <xf numFmtId="0" fontId="22" fillId="11" borderId="20" xfId="0" applyFont="1" applyFill="1" applyBorder="1" applyAlignment="1">
      <alignment vertical="center"/>
    </xf>
    <xf numFmtId="0" fontId="16" fillId="11" borderId="35" xfId="0" applyFont="1" applyFill="1" applyBorder="1" applyAlignment="1">
      <alignment horizontal="center" vertical="center"/>
    </xf>
    <xf numFmtId="0" fontId="12" fillId="0" borderId="0" xfId="0" applyFont="1" applyAlignment="1">
      <alignment horizontal="justify" vertical="center"/>
    </xf>
    <xf numFmtId="0" fontId="12" fillId="0" borderId="0" xfId="0" applyFont="1"/>
    <xf numFmtId="0" fontId="16" fillId="7" borderId="19" xfId="7" applyFont="1" applyFill="1" applyBorder="1" applyAlignment="1">
      <alignment horizontal="justify" vertical="center" wrapText="1"/>
    </xf>
    <xf numFmtId="43" fontId="13" fillId="0" borderId="6" xfId="1" applyFont="1" applyFill="1" applyBorder="1" applyAlignment="1">
      <alignment vertical="center"/>
    </xf>
    <xf numFmtId="0" fontId="16" fillId="0" borderId="19" xfId="7" applyFont="1" applyFill="1" applyBorder="1" applyAlignment="1">
      <alignment horizontal="justify" vertical="center" wrapText="1"/>
    </xf>
    <xf numFmtId="0" fontId="13" fillId="7" borderId="12" xfId="0" applyFont="1" applyFill="1" applyBorder="1" applyAlignment="1">
      <alignment vertical="center" wrapText="1"/>
    </xf>
    <xf numFmtId="0" fontId="12" fillId="12" borderId="27" xfId="0" applyFont="1" applyFill="1" applyBorder="1" applyAlignment="1">
      <alignment horizontal="center" vertical="center" wrapText="1"/>
    </xf>
    <xf numFmtId="0" fontId="14" fillId="12" borderId="19" xfId="0" applyFont="1" applyFill="1" applyBorder="1" applyAlignment="1">
      <alignment horizontal="left" vertical="center"/>
    </xf>
    <xf numFmtId="0" fontId="14" fillId="12" borderId="20" xfId="0" applyFont="1" applyFill="1" applyBorder="1" applyAlignment="1">
      <alignment horizontal="left" vertical="center"/>
    </xf>
    <xf numFmtId="0" fontId="14" fillId="12" borderId="20" xfId="0" applyFont="1" applyFill="1" applyBorder="1" applyAlignment="1">
      <alignment horizontal="justify" vertical="center" wrapText="1"/>
    </xf>
    <xf numFmtId="0" fontId="14" fillId="12" borderId="20" xfId="0" applyFont="1" applyFill="1" applyBorder="1" applyAlignment="1">
      <alignment horizontal="justify" vertical="center"/>
    </xf>
    <xf numFmtId="43" fontId="14" fillId="12" borderId="20" xfId="1" applyFont="1" applyFill="1" applyBorder="1" applyAlignment="1">
      <alignment horizontal="left" vertical="center"/>
    </xf>
    <xf numFmtId="43" fontId="14" fillId="12" borderId="6" xfId="1" applyFont="1" applyFill="1" applyBorder="1" applyAlignment="1">
      <alignment horizontal="left" vertical="center"/>
    </xf>
    <xf numFmtId="43" fontId="14" fillId="12" borderId="6" xfId="1" applyFont="1" applyFill="1" applyBorder="1" applyAlignment="1">
      <alignment horizontal="center" vertical="center"/>
    </xf>
    <xf numFmtId="43" fontId="14" fillId="12" borderId="6" xfId="1" applyFont="1" applyFill="1" applyBorder="1" applyAlignment="1">
      <alignment horizontal="justify" vertical="center"/>
    </xf>
    <xf numFmtId="43" fontId="16" fillId="7" borderId="6" xfId="1" applyFont="1" applyFill="1" applyBorder="1" applyAlignment="1">
      <alignment horizontal="center" vertical="center" wrapText="1"/>
    </xf>
    <xf numFmtId="0" fontId="14" fillId="12" borderId="19" xfId="0" applyFont="1" applyFill="1" applyBorder="1" applyAlignment="1">
      <alignment vertical="center"/>
    </xf>
    <xf numFmtId="0" fontId="14" fillId="12" borderId="20" xfId="0" applyFont="1" applyFill="1" applyBorder="1" applyAlignment="1">
      <alignment vertical="center"/>
    </xf>
    <xf numFmtId="43" fontId="14" fillId="12" borderId="20" xfId="1" applyFont="1" applyFill="1" applyBorder="1" applyAlignment="1">
      <alignment vertical="center"/>
    </xf>
    <xf numFmtId="43" fontId="14" fillId="12" borderId="6" xfId="1" applyFont="1" applyFill="1" applyBorder="1" applyAlignment="1">
      <alignment vertical="center"/>
    </xf>
    <xf numFmtId="0" fontId="22" fillId="12" borderId="20" xfId="0" applyFont="1" applyFill="1" applyBorder="1" applyAlignment="1">
      <alignment vertical="center"/>
    </xf>
    <xf numFmtId="0" fontId="13" fillId="0" borderId="19" xfId="0" applyFont="1" applyFill="1" applyBorder="1" applyAlignment="1">
      <alignment horizontal="justify" vertical="center" wrapText="1"/>
    </xf>
    <xf numFmtId="43" fontId="13" fillId="7" borderId="6" xfId="1" applyFont="1" applyFill="1" applyBorder="1" applyAlignment="1">
      <alignment horizontal="center" vertical="center" wrapText="1" readingOrder="1"/>
    </xf>
    <xf numFmtId="176" fontId="13" fillId="7" borderId="18" xfId="0" applyNumberFormat="1" applyFont="1" applyFill="1" applyBorder="1" applyAlignment="1">
      <alignment vertical="center" wrapText="1"/>
    </xf>
    <xf numFmtId="176" fontId="13" fillId="7" borderId="25" xfId="0" applyNumberFormat="1" applyFont="1" applyFill="1" applyBorder="1" applyAlignment="1">
      <alignment vertical="center" wrapText="1"/>
    </xf>
    <xf numFmtId="176" fontId="13" fillId="7" borderId="27" xfId="0" applyNumberFormat="1" applyFont="1" applyFill="1" applyBorder="1" applyAlignment="1">
      <alignment vertical="center" wrapText="1"/>
    </xf>
    <xf numFmtId="0" fontId="12" fillId="11" borderId="25" xfId="0" applyFont="1" applyFill="1" applyBorder="1" applyAlignment="1">
      <alignment horizontal="center" vertical="center" wrapText="1"/>
    </xf>
    <xf numFmtId="43" fontId="12" fillId="11" borderId="6" xfId="1" applyFont="1" applyFill="1" applyBorder="1" applyAlignment="1">
      <alignment vertical="center"/>
    </xf>
    <xf numFmtId="0" fontId="14" fillId="12" borderId="11" xfId="0" applyFont="1" applyFill="1" applyBorder="1" applyAlignment="1">
      <alignment vertical="center"/>
    </xf>
    <xf numFmtId="0" fontId="16" fillId="0" borderId="19" xfId="0" applyFont="1" applyBorder="1" applyAlignment="1">
      <alignment horizontal="justify" vertical="center" wrapText="1"/>
    </xf>
    <xf numFmtId="43" fontId="34" fillId="7" borderId="6" xfId="1" applyFont="1" applyFill="1" applyBorder="1" applyAlignment="1">
      <alignment vertical="center" wrapText="1"/>
    </xf>
    <xf numFmtId="0" fontId="18" fillId="0" borderId="19" xfId="0" applyFont="1" applyBorder="1" applyAlignment="1">
      <alignment horizontal="justify" vertical="center" wrapText="1"/>
    </xf>
    <xf numFmtId="0" fontId="34" fillId="0" borderId="6" xfId="0" applyFont="1" applyBorder="1" applyAlignment="1">
      <alignment horizontal="center" vertical="center" wrapText="1"/>
    </xf>
    <xf numFmtId="0" fontId="34" fillId="0" borderId="6" xfId="0" applyFont="1" applyBorder="1" applyAlignment="1">
      <alignment horizontal="justify" vertical="center" wrapText="1"/>
    </xf>
    <xf numFmtId="0" fontId="13" fillId="0" borderId="16" xfId="0" applyFont="1" applyBorder="1" applyAlignment="1">
      <alignment horizontal="justify" vertical="center" wrapText="1"/>
    </xf>
    <xf numFmtId="1" fontId="34" fillId="0" borderId="6" xfId="0" applyNumberFormat="1" applyFont="1" applyBorder="1" applyAlignment="1">
      <alignment horizontal="center" vertical="center" wrapText="1"/>
    </xf>
    <xf numFmtId="0" fontId="34" fillId="7" borderId="54" xfId="0" applyFont="1" applyFill="1" applyBorder="1" applyAlignment="1">
      <alignment vertical="center" wrapText="1"/>
    </xf>
    <xf numFmtId="175" fontId="13" fillId="0" borderId="6" xfId="3" applyNumberFormat="1" applyFont="1" applyBorder="1" applyAlignment="1">
      <alignment horizontal="center" vertical="center"/>
    </xf>
    <xf numFmtId="0" fontId="13" fillId="0" borderId="19" xfId="0" applyFont="1" applyBorder="1" applyAlignment="1">
      <alignment horizontal="justify" vertical="center" wrapText="1"/>
    </xf>
    <xf numFmtId="43" fontId="34" fillId="7" borderId="6" xfId="1" applyFont="1" applyFill="1" applyBorder="1" applyAlignment="1">
      <alignment horizontal="center" vertical="center" wrapText="1"/>
    </xf>
    <xf numFmtId="43" fontId="13" fillId="0" borderId="6" xfId="1" applyFont="1" applyBorder="1" applyAlignment="1">
      <alignment horizontal="center" vertical="center"/>
    </xf>
    <xf numFmtId="0" fontId="12" fillId="7" borderId="8" xfId="0" applyFont="1" applyFill="1" applyBorder="1" applyAlignment="1">
      <alignment vertical="center" wrapText="1"/>
    </xf>
    <xf numFmtId="43" fontId="12" fillId="0" borderId="6" xfId="1" applyFont="1" applyBorder="1" applyAlignment="1">
      <alignment horizontal="center" vertical="center" wrapText="1"/>
    </xf>
    <xf numFmtId="165" fontId="14" fillId="7" borderId="6" xfId="0" applyNumberFormat="1" applyFont="1" applyFill="1" applyBorder="1" applyAlignment="1">
      <alignment horizontal="justify" vertical="center" wrapText="1"/>
    </xf>
    <xf numFmtId="0" fontId="14" fillId="7" borderId="6" xfId="0" applyFont="1" applyFill="1" applyBorder="1" applyAlignment="1">
      <alignment horizontal="justify" vertical="center" wrapText="1"/>
    </xf>
    <xf numFmtId="0" fontId="14" fillId="7" borderId="19" xfId="0" applyFont="1" applyFill="1" applyBorder="1" applyAlignment="1">
      <alignment horizontal="justify" vertical="center" wrapText="1"/>
    </xf>
    <xf numFmtId="43" fontId="12" fillId="0" borderId="6" xfId="1" applyFont="1" applyFill="1" applyBorder="1" applyAlignment="1">
      <alignment horizontal="center" vertical="center" wrapText="1"/>
    </xf>
    <xf numFmtId="43" fontId="14" fillId="7" borderId="6" xfId="1" applyFont="1" applyFill="1" applyBorder="1" applyAlignment="1">
      <alignment horizontal="center" vertical="center" wrapText="1"/>
    </xf>
    <xf numFmtId="43" fontId="14" fillId="7" borderId="6" xfId="1" applyFont="1" applyFill="1" applyBorder="1" applyAlignment="1">
      <alignment horizontal="justify" vertical="center" wrapText="1"/>
    </xf>
    <xf numFmtId="0" fontId="14" fillId="7" borderId="35" xfId="0" applyFont="1" applyFill="1" applyBorder="1" applyAlignment="1">
      <alignment vertical="center" wrapText="1"/>
    </xf>
    <xf numFmtId="0" fontId="14" fillId="7" borderId="6" xfId="0" applyFont="1" applyFill="1" applyBorder="1" applyAlignment="1">
      <alignment vertical="center" wrapText="1"/>
    </xf>
    <xf numFmtId="0" fontId="13" fillId="0" borderId="0" xfId="0" applyFont="1" applyAlignment="1">
      <alignment wrapText="1"/>
    </xf>
    <xf numFmtId="0" fontId="13" fillId="0" borderId="0" xfId="0" applyFont="1" applyAlignment="1">
      <alignment horizontal="center" wrapText="1"/>
    </xf>
    <xf numFmtId="0" fontId="34" fillId="0" borderId="0" xfId="0" applyFont="1" applyAlignment="1">
      <alignment vertical="center" wrapText="1"/>
    </xf>
    <xf numFmtId="0" fontId="34" fillId="0" borderId="0" xfId="0" applyFont="1" applyAlignment="1">
      <alignment horizontal="justify" vertical="center" wrapText="1"/>
    </xf>
    <xf numFmtId="0" fontId="13" fillId="7" borderId="0" xfId="0" applyFont="1" applyFill="1" applyAlignment="1">
      <alignment horizontal="justify" vertical="center" wrapText="1"/>
    </xf>
    <xf numFmtId="165" fontId="12" fillId="0" borderId="0" xfId="0" applyNumberFormat="1" applyFont="1" applyAlignment="1">
      <alignment wrapText="1"/>
    </xf>
    <xf numFmtId="0" fontId="13" fillId="0" borderId="0" xfId="0" applyFont="1" applyAlignment="1">
      <alignment horizontal="justify" vertical="center" wrapText="1"/>
    </xf>
    <xf numFmtId="165" fontId="13" fillId="0" borderId="0" xfId="0" applyNumberFormat="1" applyFont="1" applyFill="1" applyAlignment="1">
      <alignment horizontal="center" vertical="center" wrapText="1"/>
    </xf>
    <xf numFmtId="0" fontId="13" fillId="0" borderId="0" xfId="0" applyFont="1" applyAlignment="1">
      <alignment horizontal="justify" wrapText="1"/>
    </xf>
    <xf numFmtId="165" fontId="13" fillId="0" borderId="0" xfId="0" applyNumberFormat="1" applyFont="1" applyAlignment="1">
      <alignment wrapText="1"/>
    </xf>
    <xf numFmtId="165" fontId="13" fillId="0" borderId="0" xfId="0" applyNumberFormat="1" applyFont="1" applyFill="1" applyAlignment="1">
      <alignment wrapText="1"/>
    </xf>
    <xf numFmtId="0" fontId="13" fillId="0" borderId="0" xfId="0" applyFont="1" applyAlignment="1">
      <alignment horizontal="justify"/>
    </xf>
    <xf numFmtId="165" fontId="13" fillId="0" borderId="0" xfId="0" applyNumberFormat="1" applyFont="1" applyFill="1"/>
    <xf numFmtId="0" fontId="13" fillId="0" borderId="0" xfId="0" applyFont="1" applyAlignment="1">
      <alignment horizontal="center"/>
    </xf>
    <xf numFmtId="165" fontId="13" fillId="0" borderId="0" xfId="0" applyNumberFormat="1" applyFont="1"/>
    <xf numFmtId="0" fontId="27" fillId="0" borderId="3" xfId="0" applyFont="1" applyBorder="1" applyAlignment="1">
      <alignment vertical="center"/>
    </xf>
    <xf numFmtId="0" fontId="27" fillId="0" borderId="4" xfId="0" applyFont="1" applyBorder="1" applyAlignment="1">
      <alignment vertical="center"/>
    </xf>
    <xf numFmtId="0" fontId="20" fillId="7" borderId="0" xfId="0" applyFont="1" applyFill="1"/>
    <xf numFmtId="0" fontId="27" fillId="0" borderId="6" xfId="0" applyFont="1" applyBorder="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8" fillId="0" borderId="12" xfId="0" applyFont="1" applyBorder="1" applyAlignment="1">
      <alignment horizontal="justify" vertical="center"/>
    </xf>
    <xf numFmtId="0" fontId="28" fillId="0" borderId="9" xfId="0" applyFont="1" applyBorder="1" applyAlignment="1">
      <alignment horizontal="justify" vertical="center"/>
    </xf>
    <xf numFmtId="0" fontId="28" fillId="0" borderId="9" xfId="0" applyFont="1" applyBorder="1" applyAlignment="1">
      <alignment horizontal="center" vertical="center"/>
    </xf>
    <xf numFmtId="174" fontId="28" fillId="0" borderId="9" xfId="2" applyNumberFormat="1" applyFont="1" applyBorder="1" applyAlignment="1">
      <alignment horizontal="justify" vertical="center"/>
    </xf>
    <xf numFmtId="174" fontId="28" fillId="0" borderId="9" xfId="2" applyNumberFormat="1" applyFont="1" applyBorder="1" applyAlignment="1">
      <alignment horizontal="right" vertical="center"/>
    </xf>
    <xf numFmtId="0" fontId="28" fillId="0" borderId="9" xfId="0" applyFont="1" applyBorder="1" applyAlignment="1">
      <alignment vertical="center"/>
    </xf>
    <xf numFmtId="0" fontId="28" fillId="0" borderId="0" xfId="0" applyFont="1" applyAlignment="1">
      <alignment vertical="center"/>
    </xf>
    <xf numFmtId="0" fontId="28" fillId="0" borderId="14" xfId="0" applyFont="1" applyBorder="1" applyAlignment="1">
      <alignment vertical="center"/>
    </xf>
    <xf numFmtId="1" fontId="28" fillId="8" borderId="18" xfId="0" applyNumberFormat="1" applyFont="1" applyFill="1" applyBorder="1" applyAlignment="1">
      <alignment horizontal="center" vertical="center" wrapText="1"/>
    </xf>
    <xf numFmtId="1" fontId="28" fillId="8" borderId="25" xfId="0" applyNumberFormat="1" applyFont="1" applyFill="1" applyBorder="1" applyAlignment="1">
      <alignment horizontal="center" vertical="center" wrapText="1"/>
    </xf>
    <xf numFmtId="0" fontId="28" fillId="8" borderId="19" xfId="0" applyFont="1" applyFill="1" applyBorder="1" applyAlignment="1">
      <alignment horizontal="center" vertical="center" textRotation="90" wrapText="1"/>
    </xf>
    <xf numFmtId="49" fontId="28" fillId="8" borderId="19" xfId="0" applyNumberFormat="1" applyFont="1" applyFill="1" applyBorder="1" applyAlignment="1">
      <alignment horizontal="center" vertical="center" textRotation="90" wrapText="1"/>
    </xf>
    <xf numFmtId="1" fontId="28" fillId="10" borderId="28" xfId="0" applyNumberFormat="1" applyFont="1" applyFill="1" applyBorder="1" applyAlignment="1">
      <alignment horizontal="left" vertical="center" wrapText="1"/>
    </xf>
    <xf numFmtId="0" fontId="28" fillId="10" borderId="20" xfId="0" applyFont="1" applyFill="1" applyBorder="1" applyAlignment="1">
      <alignment vertical="center"/>
    </xf>
    <xf numFmtId="0" fontId="28" fillId="10" borderId="20" xfId="0" applyFont="1" applyFill="1" applyBorder="1" applyAlignment="1">
      <alignment horizontal="left" vertical="center"/>
    </xf>
    <xf numFmtId="0" fontId="28" fillId="10" borderId="20" xfId="0" applyFont="1" applyFill="1" applyBorder="1" applyAlignment="1">
      <alignment horizontal="justify" vertical="center"/>
    </xf>
    <xf numFmtId="0" fontId="28" fillId="10" borderId="20" xfId="0" applyFont="1" applyFill="1" applyBorder="1" applyAlignment="1">
      <alignment horizontal="center" vertical="center"/>
    </xf>
    <xf numFmtId="170" fontId="28" fillId="10" borderId="20" xfId="0" applyNumberFormat="1" applyFont="1" applyFill="1" applyBorder="1" applyAlignment="1">
      <alignment horizontal="center" vertical="center"/>
    </xf>
    <xf numFmtId="174" fontId="28" fillId="10" borderId="20" xfId="2" applyNumberFormat="1" applyFont="1" applyFill="1" applyBorder="1" applyAlignment="1">
      <alignment horizontal="justify" vertical="center"/>
    </xf>
    <xf numFmtId="174" fontId="28" fillId="10" borderId="20" xfId="2" applyNumberFormat="1" applyFont="1" applyFill="1" applyBorder="1" applyAlignment="1">
      <alignment horizontal="right" vertical="center"/>
    </xf>
    <xf numFmtId="1" fontId="28" fillId="10" borderId="20" xfId="0" applyNumberFormat="1" applyFont="1" applyFill="1" applyBorder="1" applyAlignment="1">
      <alignment horizontal="center" vertical="center"/>
    </xf>
    <xf numFmtId="166" fontId="28" fillId="10" borderId="9" xfId="0" applyNumberFormat="1" applyFont="1" applyFill="1" applyBorder="1" applyAlignment="1">
      <alignment vertical="center"/>
    </xf>
    <xf numFmtId="0" fontId="28" fillId="10" borderId="29" xfId="0" applyFont="1" applyFill="1" applyBorder="1" applyAlignment="1">
      <alignment horizontal="justify" vertical="center"/>
    </xf>
    <xf numFmtId="1" fontId="28" fillId="7" borderId="5" xfId="0" applyNumberFormat="1" applyFont="1" applyFill="1" applyBorder="1" applyAlignment="1">
      <alignment horizontal="center" vertical="center" wrapText="1"/>
    </xf>
    <xf numFmtId="0" fontId="28" fillId="7" borderId="0" xfId="0" applyFont="1" applyFill="1" applyAlignment="1">
      <alignment horizontal="center" vertical="center" wrapText="1"/>
    </xf>
    <xf numFmtId="1" fontId="28" fillId="11" borderId="12" xfId="0" applyNumberFormat="1" applyFont="1" applyFill="1" applyBorder="1" applyAlignment="1">
      <alignment horizontal="center" vertical="center"/>
    </xf>
    <xf numFmtId="0" fontId="28" fillId="11" borderId="9" xfId="0" applyFont="1" applyFill="1" applyBorder="1" applyAlignment="1">
      <alignment vertical="center"/>
    </xf>
    <xf numFmtId="0" fontId="28" fillId="11" borderId="9" xfId="0" applyFont="1" applyFill="1" applyBorder="1" applyAlignment="1">
      <alignment horizontal="justify" vertical="center"/>
    </xf>
    <xf numFmtId="0" fontId="28" fillId="11" borderId="9" xfId="0" applyFont="1" applyFill="1" applyBorder="1" applyAlignment="1">
      <alignment horizontal="center" vertical="center"/>
    </xf>
    <xf numFmtId="0" fontId="28" fillId="11" borderId="0" xfId="0" applyFont="1" applyFill="1" applyAlignment="1">
      <alignment horizontal="justify" vertical="center"/>
    </xf>
    <xf numFmtId="170" fontId="28" fillId="11" borderId="9" xfId="0" applyNumberFormat="1" applyFont="1" applyFill="1" applyBorder="1" applyAlignment="1">
      <alignment horizontal="center" vertical="center"/>
    </xf>
    <xf numFmtId="174" fontId="28" fillId="11" borderId="9" xfId="2" applyNumberFormat="1" applyFont="1" applyFill="1" applyBorder="1" applyAlignment="1">
      <alignment horizontal="justify" vertical="center"/>
    </xf>
    <xf numFmtId="174" fontId="28" fillId="11" borderId="9" xfId="2" applyNumberFormat="1" applyFont="1" applyFill="1" applyBorder="1" applyAlignment="1">
      <alignment horizontal="right" vertical="center"/>
    </xf>
    <xf numFmtId="1" fontId="28" fillId="11" borderId="9" xfId="0" applyNumberFormat="1" applyFont="1" applyFill="1" applyBorder="1" applyAlignment="1">
      <alignment horizontal="center" vertical="center"/>
    </xf>
    <xf numFmtId="166" fontId="28" fillId="11" borderId="9" xfId="0" applyNumberFormat="1" applyFont="1" applyFill="1" applyBorder="1" applyAlignment="1">
      <alignment vertical="center"/>
    </xf>
    <xf numFmtId="0" fontId="28" fillId="11" borderId="14" xfId="0" applyFont="1" applyFill="1" applyBorder="1" applyAlignment="1">
      <alignment horizontal="justify" vertical="center"/>
    </xf>
    <xf numFmtId="0" fontId="28" fillId="7" borderId="16" xfId="0" applyFont="1" applyFill="1" applyBorder="1" applyAlignment="1">
      <alignment horizontal="center" vertical="center" wrapText="1"/>
    </xf>
    <xf numFmtId="0" fontId="28" fillId="12" borderId="20" xfId="0" applyFont="1" applyFill="1" applyBorder="1" applyAlignment="1">
      <alignment vertical="center"/>
    </xf>
    <xf numFmtId="0" fontId="28" fillId="12" borderId="11" xfId="0" applyFont="1" applyFill="1" applyBorder="1" applyAlignment="1">
      <alignment horizontal="justify" vertical="center"/>
    </xf>
    <xf numFmtId="0" fontId="28" fillId="12" borderId="11" xfId="0" applyFont="1" applyFill="1" applyBorder="1" applyAlignment="1">
      <alignment horizontal="center" vertical="center"/>
    </xf>
    <xf numFmtId="0" fontId="28" fillId="12" borderId="18" xfId="0" applyFont="1" applyFill="1" applyBorder="1" applyAlignment="1">
      <alignment horizontal="justify" vertical="center"/>
    </xf>
    <xf numFmtId="170" fontId="28" fillId="12" borderId="11" xfId="0" applyNumberFormat="1" applyFont="1" applyFill="1" applyBorder="1" applyAlignment="1">
      <alignment horizontal="center" vertical="center"/>
    </xf>
    <xf numFmtId="174" fontId="28" fillId="12" borderId="11" xfId="2" applyNumberFormat="1" applyFont="1" applyFill="1" applyBorder="1" applyAlignment="1">
      <alignment horizontal="justify" vertical="center"/>
    </xf>
    <xf numFmtId="174" fontId="28" fillId="12" borderId="11" xfId="2" applyNumberFormat="1" applyFont="1" applyFill="1" applyBorder="1" applyAlignment="1">
      <alignment horizontal="right" vertical="center"/>
    </xf>
    <xf numFmtId="1" fontId="28" fillId="12" borderId="11" xfId="0" applyNumberFormat="1" applyFont="1" applyFill="1" applyBorder="1" applyAlignment="1">
      <alignment horizontal="center" vertical="center"/>
    </xf>
    <xf numFmtId="0" fontId="28" fillId="12" borderId="11" xfId="0" applyFont="1" applyFill="1" applyBorder="1" applyAlignment="1">
      <alignment vertical="center"/>
    </xf>
    <xf numFmtId="166" fontId="28" fillId="12" borderId="11" xfId="0" applyNumberFormat="1" applyFont="1" applyFill="1" applyBorder="1" applyAlignment="1">
      <alignment vertical="center"/>
    </xf>
    <xf numFmtId="0" fontId="28" fillId="12" borderId="58" xfId="0" applyFont="1" applyFill="1" applyBorder="1" applyAlignment="1">
      <alignment horizontal="justify" vertical="center"/>
    </xf>
    <xf numFmtId="1" fontId="20" fillId="7" borderId="5" xfId="0" applyNumberFormat="1"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16" xfId="0" applyFont="1" applyFill="1" applyBorder="1" applyAlignment="1">
      <alignment horizontal="center" vertical="center" wrapText="1"/>
    </xf>
    <xf numFmtId="43" fontId="20" fillId="0" borderId="19" xfId="1" applyFont="1" applyFill="1" applyBorder="1" applyAlignment="1">
      <alignment horizontal="right" vertical="center" wrapText="1"/>
    </xf>
    <xf numFmtId="179" fontId="20" fillId="0" borderId="53" xfId="17" applyNumberFormat="1" applyFont="1" applyFill="1" applyBorder="1" applyAlignment="1">
      <alignment vertical="center" wrapText="1"/>
    </xf>
    <xf numFmtId="0" fontId="20" fillId="0" borderId="53" xfId="0" applyFont="1" applyFill="1" applyBorder="1" applyAlignment="1">
      <alignment horizontal="center" vertical="center" wrapText="1"/>
    </xf>
    <xf numFmtId="43" fontId="8" fillId="0" borderId="19" xfId="1" applyFont="1" applyFill="1" applyBorder="1" applyAlignment="1">
      <alignment vertical="center" wrapText="1"/>
    </xf>
    <xf numFmtId="0" fontId="20" fillId="0" borderId="6" xfId="0" applyFont="1" applyBorder="1" applyAlignment="1">
      <alignment horizontal="center" vertical="center" wrapText="1"/>
    </xf>
    <xf numFmtId="0" fontId="20" fillId="0" borderId="6" xfId="0" applyFont="1" applyBorder="1" applyAlignment="1">
      <alignment horizontal="justify" vertical="center" wrapText="1"/>
    </xf>
    <xf numFmtId="0" fontId="20" fillId="0" borderId="19" xfId="0" applyFont="1" applyBorder="1" applyAlignment="1">
      <alignment horizontal="center" vertical="center" wrapText="1"/>
    </xf>
    <xf numFmtId="9" fontId="20" fillId="0" borderId="6" xfId="3" applyFont="1" applyBorder="1" applyAlignment="1">
      <alignment horizontal="center" vertical="center" wrapText="1"/>
    </xf>
    <xf numFmtId="179" fontId="20" fillId="0" borderId="53" xfId="17" applyNumberFormat="1" applyFont="1" applyFill="1" applyBorder="1" applyAlignment="1">
      <alignment horizontal="center" vertical="center" wrapText="1"/>
    </xf>
    <xf numFmtId="0" fontId="20" fillId="0" borderId="53" xfId="0" applyFont="1" applyFill="1" applyBorder="1" applyAlignment="1">
      <alignment vertical="center" wrapText="1"/>
    </xf>
    <xf numFmtId="179" fontId="20" fillId="0" borderId="53" xfId="17" applyNumberFormat="1" applyFont="1" applyBorder="1" applyAlignment="1">
      <alignment horizontal="center" vertical="center" wrapText="1"/>
    </xf>
    <xf numFmtId="0" fontId="20" fillId="0" borderId="53" xfId="0" applyFont="1" applyBorder="1" applyAlignment="1">
      <alignment vertical="center" wrapText="1"/>
    </xf>
    <xf numFmtId="1" fontId="20" fillId="0" borderId="31" xfId="0" applyNumberFormat="1" applyFont="1" applyBorder="1" applyAlignment="1">
      <alignment vertical="center"/>
    </xf>
    <xf numFmtId="0" fontId="20" fillId="0" borderId="32" xfId="0" applyFont="1" applyBorder="1" applyAlignment="1">
      <alignment vertical="center"/>
    </xf>
    <xf numFmtId="0" fontId="20" fillId="0" borderId="32" xfId="0" applyFont="1" applyBorder="1" applyAlignment="1">
      <alignment vertical="center" wrapText="1"/>
    </xf>
    <xf numFmtId="0" fontId="20" fillId="0" borderId="32" xfId="0" applyFont="1" applyBorder="1" applyAlignment="1">
      <alignment horizontal="justify" vertical="center"/>
    </xf>
    <xf numFmtId="0" fontId="20" fillId="0" borderId="32" xfId="0" applyFont="1" applyBorder="1" applyAlignment="1">
      <alignment horizontal="center" vertical="center"/>
    </xf>
    <xf numFmtId="170" fontId="20" fillId="0" borderId="33" xfId="0" applyNumberFormat="1" applyFont="1" applyBorder="1" applyAlignment="1">
      <alignment horizontal="center" vertical="center"/>
    </xf>
    <xf numFmtId="43" fontId="28" fillId="0" borderId="34" xfId="1" applyFont="1" applyBorder="1" applyAlignment="1">
      <alignment horizontal="justify" vertical="center"/>
    </xf>
    <xf numFmtId="0" fontId="20" fillId="0" borderId="31" xfId="0" applyFont="1" applyBorder="1" applyAlignment="1">
      <alignment horizontal="justify" vertical="center"/>
    </xf>
    <xf numFmtId="0" fontId="20" fillId="0" borderId="33" xfId="0" applyFont="1" applyBorder="1" applyAlignment="1">
      <alignment horizontal="justify" vertical="center"/>
    </xf>
    <xf numFmtId="43" fontId="28" fillId="0" borderId="34" xfId="1" applyFont="1" applyBorder="1" applyAlignment="1">
      <alignment horizontal="right" vertical="center"/>
    </xf>
    <xf numFmtId="1" fontId="20" fillId="7" borderId="61" xfId="0" applyNumberFormat="1" applyFont="1" applyFill="1" applyBorder="1" applyAlignment="1">
      <alignment horizontal="center" vertical="center"/>
    </xf>
    <xf numFmtId="0" fontId="20" fillId="7" borderId="62" xfId="0" applyFont="1" applyFill="1" applyBorder="1" applyAlignment="1">
      <alignment horizontal="justify" vertical="center"/>
    </xf>
    <xf numFmtId="166" fontId="20" fillId="0" borderId="32" xfId="0" applyNumberFormat="1" applyFont="1" applyBorder="1" applyAlignment="1">
      <alignment horizontal="right" vertical="center"/>
    </xf>
    <xf numFmtId="166" fontId="20" fillId="0" borderId="32" xfId="0" applyNumberFormat="1" applyFont="1" applyBorder="1" applyAlignment="1">
      <alignment horizontal="center" vertical="center"/>
    </xf>
    <xf numFmtId="174" fontId="28" fillId="0" borderId="0" xfId="2" applyNumberFormat="1" applyFont="1" applyAlignment="1">
      <alignment horizontal="justify" vertical="center"/>
    </xf>
    <xf numFmtId="174" fontId="28" fillId="0" borderId="0" xfId="2" applyNumberFormat="1" applyFont="1" applyAlignment="1">
      <alignment horizontal="right" vertical="center"/>
    </xf>
    <xf numFmtId="165" fontId="28" fillId="7" borderId="0" xfId="0" applyNumberFormat="1" applyFont="1" applyFill="1" applyAlignment="1">
      <alignment vertical="center"/>
    </xf>
    <xf numFmtId="0" fontId="20" fillId="7" borderId="0" xfId="0" applyFont="1" applyFill="1" applyAlignment="1">
      <alignment horizontal="justify"/>
    </xf>
    <xf numFmtId="180" fontId="28" fillId="7" borderId="0" xfId="0" applyNumberFormat="1" applyFont="1" applyFill="1" applyAlignment="1">
      <alignment horizontal="right" vertical="center"/>
    </xf>
    <xf numFmtId="169" fontId="20" fillId="7" borderId="0" xfId="0" applyNumberFormat="1" applyFont="1" applyFill="1" applyAlignment="1">
      <alignment vertical="center"/>
    </xf>
    <xf numFmtId="0" fontId="28" fillId="0" borderId="0" xfId="0" applyFont="1" applyAlignment="1">
      <alignment horizontal="center" vertical="center"/>
    </xf>
    <xf numFmtId="165" fontId="28" fillId="0" borderId="0" xfId="0" applyNumberFormat="1" applyFont="1" applyAlignment="1">
      <alignment horizontal="justify" vertical="center"/>
    </xf>
    <xf numFmtId="1" fontId="20" fillId="7" borderId="0" xfId="0" applyNumberFormat="1" applyFont="1" applyFill="1"/>
    <xf numFmtId="1" fontId="20" fillId="0" borderId="0" xfId="0" applyNumberFormat="1" applyFont="1"/>
    <xf numFmtId="0" fontId="20" fillId="0" borderId="0" xfId="0" applyFont="1" applyAlignment="1">
      <alignment vertical="center" wrapText="1"/>
    </xf>
    <xf numFmtId="0" fontId="20" fillId="0" borderId="0" xfId="0" applyFont="1" applyAlignment="1">
      <alignment horizontal="justify" vertical="center"/>
    </xf>
    <xf numFmtId="0" fontId="20" fillId="0" borderId="0" xfId="0" applyFont="1" applyAlignment="1">
      <alignment horizontal="justify"/>
    </xf>
    <xf numFmtId="0" fontId="20" fillId="0" borderId="0" xfId="0" applyFont="1" applyAlignment="1">
      <alignment horizontal="center"/>
    </xf>
    <xf numFmtId="174" fontId="20" fillId="0" borderId="0" xfId="2" applyNumberFormat="1" applyFont="1" applyAlignment="1">
      <alignment horizontal="justify"/>
    </xf>
    <xf numFmtId="174" fontId="20" fillId="0" borderId="0" xfId="2" applyNumberFormat="1" applyFont="1" applyAlignment="1">
      <alignment horizontal="right" vertical="center"/>
    </xf>
    <xf numFmtId="1" fontId="20" fillId="7" borderId="0" xfId="0" applyNumberFormat="1" applyFont="1" applyFill="1" applyAlignment="1">
      <alignment horizontal="center" vertical="center"/>
    </xf>
    <xf numFmtId="0" fontId="20" fillId="7" borderId="0" xfId="0" applyFont="1" applyFill="1" applyAlignment="1">
      <alignment horizontal="justify" vertical="center"/>
    </xf>
    <xf numFmtId="166" fontId="20" fillId="0" borderId="0" xfId="0" applyNumberFormat="1" applyFont="1" applyAlignment="1">
      <alignment horizontal="right" vertical="center"/>
    </xf>
    <xf numFmtId="166" fontId="20" fillId="0" borderId="0" xfId="0" applyNumberFormat="1" applyFont="1" applyAlignment="1">
      <alignment horizontal="center"/>
    </xf>
    <xf numFmtId="0" fontId="20" fillId="7" borderId="0" xfId="0" applyFont="1" applyFill="1" applyAlignment="1">
      <alignment horizontal="center"/>
    </xf>
    <xf numFmtId="170" fontId="20" fillId="7" borderId="0" xfId="0" applyNumberFormat="1" applyFont="1" applyFill="1" applyAlignment="1">
      <alignment horizontal="center" vertical="center"/>
    </xf>
    <xf numFmtId="174" fontId="20" fillId="7" borderId="0" xfId="2" applyNumberFormat="1" applyFont="1" applyFill="1" applyAlignment="1">
      <alignment horizontal="justify" vertical="center"/>
    </xf>
    <xf numFmtId="174" fontId="20" fillId="7" borderId="0" xfId="2" applyNumberFormat="1" applyFont="1" applyFill="1" applyAlignment="1">
      <alignment horizontal="right" vertical="center"/>
    </xf>
    <xf numFmtId="0" fontId="22" fillId="0" borderId="23" xfId="0" applyFont="1" applyBorder="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24" xfId="0" applyFont="1" applyBorder="1" applyAlignment="1">
      <alignment vertical="center"/>
    </xf>
    <xf numFmtId="0" fontId="22" fillId="8" borderId="6" xfId="0" applyFont="1" applyFill="1" applyBorder="1" applyAlignment="1">
      <alignment horizontal="center" vertical="center" wrapText="1"/>
    </xf>
    <xf numFmtId="165" fontId="22" fillId="8" borderId="6" xfId="0" applyNumberFormat="1" applyFont="1" applyFill="1" applyBorder="1" applyAlignment="1">
      <alignment horizontal="center" vertical="center" wrapText="1"/>
    </xf>
    <xf numFmtId="1" fontId="22" fillId="8" borderId="6" xfId="0" applyNumberFormat="1" applyFont="1" applyFill="1" applyBorder="1" applyAlignment="1">
      <alignment horizontal="center" vertical="center" wrapText="1"/>
    </xf>
    <xf numFmtId="0" fontId="22" fillId="8" borderId="6" xfId="0" applyFont="1" applyFill="1" applyBorder="1" applyAlignment="1">
      <alignment horizontal="center" vertical="center" textRotation="90" wrapText="1"/>
    </xf>
    <xf numFmtId="49" fontId="22" fillId="8" borderId="6" xfId="0" applyNumberFormat="1" applyFont="1" applyFill="1" applyBorder="1" applyAlignment="1">
      <alignment horizontal="center" vertical="center" textRotation="90" wrapText="1"/>
    </xf>
    <xf numFmtId="1" fontId="7" fillId="21" borderId="39" xfId="0" applyNumberFormat="1" applyFont="1" applyFill="1" applyBorder="1" applyAlignment="1">
      <alignment horizontal="left" vertical="center" wrapText="1"/>
    </xf>
    <xf numFmtId="0" fontId="7" fillId="21" borderId="19" xfId="0" applyFont="1" applyFill="1" applyBorder="1" applyAlignment="1">
      <alignment vertical="center"/>
    </xf>
    <xf numFmtId="0" fontId="7" fillId="21" borderId="20" xfId="0" applyFont="1" applyFill="1" applyBorder="1" applyAlignment="1">
      <alignment vertical="center"/>
    </xf>
    <xf numFmtId="0" fontId="7" fillId="21" borderId="20" xfId="0" applyFont="1" applyFill="1" applyBorder="1" applyAlignment="1">
      <alignment horizontal="justify" vertical="center"/>
    </xf>
    <xf numFmtId="0" fontId="7" fillId="21" borderId="20" xfId="0" applyFont="1" applyFill="1" applyBorder="1" applyAlignment="1">
      <alignment horizontal="center" vertical="center"/>
    </xf>
    <xf numFmtId="170" fontId="7" fillId="21" borderId="20" xfId="0" applyNumberFormat="1" applyFont="1" applyFill="1" applyBorder="1" applyAlignment="1">
      <alignment horizontal="center" vertical="center"/>
    </xf>
    <xf numFmtId="165" fontId="7" fillId="21" borderId="20" xfId="0" applyNumberFormat="1" applyFont="1" applyFill="1" applyBorder="1" applyAlignment="1">
      <alignment vertical="center"/>
    </xf>
    <xf numFmtId="165" fontId="7" fillId="21" borderId="20" xfId="0" applyNumberFormat="1" applyFont="1" applyFill="1" applyBorder="1" applyAlignment="1">
      <alignment horizontal="center" vertical="center"/>
    </xf>
    <xf numFmtId="1" fontId="7" fillId="21" borderId="20" xfId="0" applyNumberFormat="1" applyFont="1" applyFill="1" applyBorder="1" applyAlignment="1">
      <alignment horizontal="center" vertical="center"/>
    </xf>
    <xf numFmtId="1" fontId="22" fillId="7" borderId="16" xfId="0" applyNumberFormat="1"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11" borderId="6" xfId="0" applyFont="1" applyFill="1" applyBorder="1" applyAlignment="1">
      <alignment horizontal="center" vertical="center"/>
    </xf>
    <xf numFmtId="0" fontId="22" fillId="11" borderId="20" xfId="0" applyFont="1" applyFill="1" applyBorder="1" applyAlignment="1">
      <alignment horizontal="justify" vertical="center"/>
    </xf>
    <xf numFmtId="0" fontId="22" fillId="11" borderId="20" xfId="0" applyFont="1" applyFill="1" applyBorder="1" applyAlignment="1">
      <alignment horizontal="center" vertical="center"/>
    </xf>
    <xf numFmtId="170" fontId="22" fillId="11" borderId="20" xfId="0" applyNumberFormat="1" applyFont="1" applyFill="1" applyBorder="1" applyAlignment="1">
      <alignment horizontal="center" vertical="center"/>
    </xf>
    <xf numFmtId="165" fontId="22" fillId="11" borderId="20" xfId="0" applyNumberFormat="1" applyFont="1" applyFill="1" applyBorder="1" applyAlignment="1">
      <alignment vertical="center"/>
    </xf>
    <xf numFmtId="165" fontId="22" fillId="11" borderId="20" xfId="0" applyNumberFormat="1" applyFont="1" applyFill="1" applyBorder="1" applyAlignment="1">
      <alignment horizontal="center" vertical="center"/>
    </xf>
    <xf numFmtId="1" fontId="22" fillId="11" borderId="20" xfId="0" applyNumberFormat="1" applyFont="1" applyFill="1" applyBorder="1" applyAlignment="1">
      <alignment horizontal="center" vertical="center"/>
    </xf>
    <xf numFmtId="166" fontId="22" fillId="11" borderId="20" xfId="0" applyNumberFormat="1" applyFont="1" applyFill="1" applyBorder="1" applyAlignment="1">
      <alignment vertical="center"/>
    </xf>
    <xf numFmtId="0" fontId="22" fillId="11" borderId="35" xfId="0" applyFont="1" applyFill="1" applyBorder="1" applyAlignment="1">
      <alignment horizontal="justify" vertical="center"/>
    </xf>
    <xf numFmtId="0" fontId="16" fillId="7" borderId="0" xfId="0" applyFont="1" applyFill="1"/>
    <xf numFmtId="1" fontId="22" fillId="7" borderId="23" xfId="0" applyNumberFormat="1" applyFont="1" applyFill="1" applyBorder="1" applyAlignment="1">
      <alignment horizontal="center" vertical="center" wrapText="1"/>
    </xf>
    <xf numFmtId="0" fontId="22" fillId="7" borderId="0" xfId="0" applyFont="1" applyFill="1" applyAlignment="1">
      <alignment horizontal="center" vertical="center" wrapText="1"/>
    </xf>
    <xf numFmtId="0" fontId="22" fillId="7" borderId="16" xfId="0" applyFont="1" applyFill="1" applyBorder="1" applyAlignment="1">
      <alignment horizontal="center" vertical="center" wrapText="1"/>
    </xf>
    <xf numFmtId="0" fontId="22" fillId="12" borderId="6" xfId="0" applyFont="1" applyFill="1" applyBorder="1" applyAlignment="1">
      <alignment horizontal="center" vertical="center"/>
    </xf>
    <xf numFmtId="0" fontId="22" fillId="12" borderId="20" xfId="0" applyFont="1" applyFill="1" applyBorder="1" applyAlignment="1">
      <alignment horizontal="center" vertical="center"/>
    </xf>
    <xf numFmtId="170" fontId="22" fillId="12" borderId="20" xfId="0" applyNumberFormat="1" applyFont="1" applyFill="1" applyBorder="1" applyAlignment="1">
      <alignment horizontal="center" vertical="center"/>
    </xf>
    <xf numFmtId="165" fontId="22" fillId="12" borderId="20" xfId="0" applyNumberFormat="1" applyFont="1" applyFill="1" applyBorder="1" applyAlignment="1">
      <alignment vertical="center"/>
    </xf>
    <xf numFmtId="165" fontId="22" fillId="12" borderId="20" xfId="0" applyNumberFormat="1" applyFont="1" applyFill="1" applyBorder="1" applyAlignment="1">
      <alignment horizontal="center" vertical="center"/>
    </xf>
    <xf numFmtId="1" fontId="22" fillId="12" borderId="20" xfId="0" applyNumberFormat="1" applyFont="1" applyFill="1" applyBorder="1" applyAlignment="1">
      <alignment horizontal="center" vertical="center"/>
    </xf>
    <xf numFmtId="166" fontId="22" fillId="12" borderId="20" xfId="0" applyNumberFormat="1" applyFont="1" applyFill="1" applyBorder="1" applyAlignment="1">
      <alignment vertical="center"/>
    </xf>
    <xf numFmtId="0" fontId="22" fillId="12" borderId="35" xfId="0" applyFont="1" applyFill="1" applyBorder="1" applyAlignment="1">
      <alignment horizontal="justify" vertical="center"/>
    </xf>
    <xf numFmtId="1" fontId="16" fillId="7" borderId="23" xfId="0" applyNumberFormat="1" applyFont="1" applyFill="1" applyBorder="1" applyAlignment="1">
      <alignment horizontal="center" vertical="center" wrapText="1"/>
    </xf>
    <xf numFmtId="0" fontId="16" fillId="7" borderId="0" xfId="0" applyFont="1" applyFill="1" applyAlignment="1">
      <alignment horizontal="center" vertical="center" wrapText="1"/>
    </xf>
    <xf numFmtId="182" fontId="16" fillId="0" borderId="6" xfId="18" applyFont="1" applyBorder="1" applyAlignment="1">
      <alignment horizontal="center" vertical="center"/>
    </xf>
    <xf numFmtId="0" fontId="8" fillId="0" borderId="27" xfId="0" applyFont="1" applyBorder="1" applyAlignment="1">
      <alignment vertical="center" wrapText="1"/>
    </xf>
    <xf numFmtId="1" fontId="8" fillId="7" borderId="18" xfId="0" applyNumberFormat="1" applyFont="1" applyFill="1" applyBorder="1" applyAlignment="1">
      <alignment horizontal="center" vertical="center" wrapText="1"/>
    </xf>
    <xf numFmtId="1" fontId="8" fillId="7" borderId="25" xfId="0" applyNumberFormat="1" applyFont="1" applyFill="1" applyBorder="1" applyAlignment="1">
      <alignment horizontal="center" vertical="center" wrapText="1"/>
    </xf>
    <xf numFmtId="182" fontId="16" fillId="0" borderId="6" xfId="18" applyFont="1" applyBorder="1" applyAlignment="1">
      <alignment horizontal="center" vertical="center" wrapText="1"/>
    </xf>
    <xf numFmtId="1" fontId="16" fillId="7" borderId="12" xfId="0" applyNumberFormat="1" applyFont="1" applyFill="1" applyBorder="1" applyAlignment="1">
      <alignment horizontal="center" vertical="center" wrapText="1"/>
    </xf>
    <xf numFmtId="1" fontId="16" fillId="7" borderId="27" xfId="0" applyNumberFormat="1" applyFont="1" applyFill="1" applyBorder="1" applyAlignment="1">
      <alignment horizontal="center" vertical="center" wrapText="1"/>
    </xf>
    <xf numFmtId="1" fontId="8" fillId="7" borderId="27" xfId="0" applyNumberFormat="1" applyFont="1" applyFill="1" applyBorder="1" applyAlignment="1">
      <alignment horizontal="center" vertical="center" wrapText="1"/>
    </xf>
    <xf numFmtId="165" fontId="22" fillId="7" borderId="6" xfId="0" applyNumberFormat="1" applyFont="1" applyFill="1" applyBorder="1" applyAlignment="1">
      <alignment vertical="center"/>
    </xf>
    <xf numFmtId="0" fontId="16" fillId="7" borderId="6" xfId="0" applyFont="1" applyFill="1" applyBorder="1" applyAlignment="1">
      <alignment horizontal="justify" vertical="center"/>
    </xf>
    <xf numFmtId="165" fontId="22" fillId="7" borderId="6" xfId="0" applyNumberFormat="1" applyFont="1" applyFill="1" applyBorder="1" applyAlignment="1">
      <alignment horizontal="center" vertical="center"/>
    </xf>
    <xf numFmtId="0" fontId="16" fillId="7" borderId="6" xfId="0" applyFont="1" applyFill="1" applyBorder="1" applyAlignment="1">
      <alignment horizontal="center" vertical="center"/>
    </xf>
    <xf numFmtId="0" fontId="16" fillId="0" borderId="6" xfId="0" applyFont="1" applyBorder="1"/>
    <xf numFmtId="166" fontId="16" fillId="0" borderId="6" xfId="0" applyNumberFormat="1" applyFont="1" applyBorder="1" applyAlignment="1">
      <alignment horizontal="right" vertical="center"/>
    </xf>
    <xf numFmtId="166" fontId="16" fillId="0" borderId="6" xfId="0" applyNumberFormat="1" applyFont="1" applyBorder="1" applyAlignment="1">
      <alignment horizontal="center"/>
    </xf>
    <xf numFmtId="0" fontId="16" fillId="0" borderId="6" xfId="0" applyFont="1" applyBorder="1" applyAlignment="1">
      <alignment horizontal="justify" vertical="center"/>
    </xf>
    <xf numFmtId="1" fontId="16" fillId="0" borderId="0" xfId="0" applyNumberFormat="1" applyFont="1"/>
    <xf numFmtId="0" fontId="16" fillId="7" borderId="0" xfId="0" applyFont="1" applyFill="1" applyAlignment="1">
      <alignment horizontal="justify" vertical="center"/>
    </xf>
    <xf numFmtId="0" fontId="16" fillId="7" borderId="0" xfId="0" applyFont="1" applyFill="1" applyAlignment="1">
      <alignment horizontal="center"/>
    </xf>
    <xf numFmtId="170" fontId="16" fillId="7" borderId="0" xfId="0" applyNumberFormat="1" applyFont="1" applyFill="1" applyAlignment="1">
      <alignment horizontal="center" vertical="center"/>
    </xf>
    <xf numFmtId="165" fontId="16" fillId="7" borderId="0" xfId="0" applyNumberFormat="1" applyFont="1" applyFill="1" applyAlignment="1">
      <alignment vertical="center"/>
    </xf>
    <xf numFmtId="165" fontId="16" fillId="7" borderId="0" xfId="0" applyNumberFormat="1" applyFont="1" applyFill="1" applyAlignment="1">
      <alignment horizontal="center" vertical="center"/>
    </xf>
    <xf numFmtId="1" fontId="16" fillId="7" borderId="0" xfId="0" applyNumberFormat="1" applyFont="1" applyFill="1" applyAlignment="1">
      <alignment horizontal="center" vertical="center"/>
    </xf>
    <xf numFmtId="0" fontId="16" fillId="7" borderId="0" xfId="0" applyFont="1" applyFill="1" applyAlignment="1">
      <alignment horizontal="center" vertical="center"/>
    </xf>
    <xf numFmtId="166" fontId="16" fillId="0" borderId="0" xfId="0" applyNumberFormat="1" applyFont="1" applyAlignment="1">
      <alignment horizontal="right" vertical="center"/>
    </xf>
    <xf numFmtId="166" fontId="16" fillId="0" borderId="0" xfId="0" applyNumberFormat="1" applyFont="1" applyAlignment="1">
      <alignment horizontal="center"/>
    </xf>
    <xf numFmtId="0" fontId="16" fillId="0" borderId="0" xfId="0" applyFont="1" applyAlignment="1">
      <alignment horizontal="justify" vertical="center"/>
    </xf>
    <xf numFmtId="175" fontId="16" fillId="22" borderId="0" xfId="3" applyNumberFormat="1" applyFont="1" applyFill="1" applyAlignment="1">
      <alignment horizontal="center" vertical="center"/>
    </xf>
    <xf numFmtId="0" fontId="12" fillId="0" borderId="3" xfId="0" applyFont="1" applyFill="1" applyBorder="1" applyAlignment="1">
      <alignment vertical="center"/>
    </xf>
    <xf numFmtId="0" fontId="12" fillId="0" borderId="4" xfId="0" applyFont="1" applyFill="1" applyBorder="1" applyAlignment="1">
      <alignment vertical="center" wrapText="1"/>
    </xf>
    <xf numFmtId="0" fontId="12" fillId="0" borderId="6" xfId="0" applyFont="1" applyFill="1" applyBorder="1" applyAlignment="1">
      <alignment horizontal="left" vertical="center"/>
    </xf>
    <xf numFmtId="0" fontId="12" fillId="0" borderId="7" xfId="0" applyFont="1" applyFill="1" applyBorder="1" applyAlignment="1">
      <alignment vertical="center" wrapText="1"/>
    </xf>
    <xf numFmtId="0" fontId="12" fillId="0" borderId="6" xfId="0" applyFont="1" applyFill="1" applyBorder="1" applyAlignment="1">
      <alignment vertical="center"/>
    </xf>
    <xf numFmtId="3" fontId="14" fillId="0" borderId="7" xfId="0" applyNumberFormat="1" applyFont="1" applyFill="1" applyBorder="1" applyAlignment="1">
      <alignment horizontal="left" vertical="center" wrapText="1"/>
    </xf>
    <xf numFmtId="0" fontId="12" fillId="0" borderId="14" xfId="0" applyFont="1" applyBorder="1" applyAlignment="1">
      <alignment vertical="center" wrapText="1"/>
    </xf>
    <xf numFmtId="0" fontId="27" fillId="8" borderId="6" xfId="0" applyFont="1" applyFill="1" applyBorder="1" applyAlignment="1">
      <alignment horizontal="center" vertical="center" textRotation="90" wrapText="1"/>
    </xf>
    <xf numFmtId="49" fontId="27" fillId="8" borderId="6" xfId="0" applyNumberFormat="1" applyFont="1" applyFill="1" applyBorder="1" applyAlignment="1">
      <alignment horizontal="center" vertical="center" textRotation="90" wrapText="1"/>
    </xf>
    <xf numFmtId="0" fontId="27" fillId="8" borderId="19" xfId="0" applyFont="1" applyFill="1" applyBorder="1" applyAlignment="1">
      <alignment horizontal="center" vertical="center" textRotation="90" wrapText="1"/>
    </xf>
    <xf numFmtId="1" fontId="12" fillId="18" borderId="19" xfId="0" applyNumberFormat="1" applyFont="1" applyFill="1" applyBorder="1" applyAlignment="1">
      <alignment horizontal="left" vertical="center" wrapText="1"/>
    </xf>
    <xf numFmtId="0" fontId="12" fillId="18" borderId="20" xfId="0" applyFont="1" applyFill="1" applyBorder="1" applyAlignment="1">
      <alignment vertical="center"/>
    </xf>
    <xf numFmtId="0" fontId="12" fillId="18" borderId="20" xfId="0" applyFont="1" applyFill="1" applyBorder="1" applyAlignment="1">
      <alignment horizontal="justify" vertical="center"/>
    </xf>
    <xf numFmtId="0" fontId="12" fillId="18" borderId="20" xfId="0" applyFont="1" applyFill="1" applyBorder="1" applyAlignment="1">
      <alignment horizontal="center" vertical="center"/>
    </xf>
    <xf numFmtId="170" fontId="12" fillId="18" borderId="20" xfId="0" applyNumberFormat="1" applyFont="1" applyFill="1" applyBorder="1" applyAlignment="1">
      <alignment horizontal="center" vertical="center"/>
    </xf>
    <xf numFmtId="165" fontId="12" fillId="18" borderId="20" xfId="0" applyNumberFormat="1" applyFont="1" applyFill="1" applyBorder="1" applyAlignment="1">
      <alignment vertical="center"/>
    </xf>
    <xf numFmtId="1" fontId="12" fillId="18" borderId="20" xfId="0" applyNumberFormat="1" applyFont="1" applyFill="1" applyBorder="1" applyAlignment="1">
      <alignment horizontal="center" vertical="center"/>
    </xf>
    <xf numFmtId="166" fontId="12" fillId="18" borderId="20" xfId="0" applyNumberFormat="1" applyFont="1" applyFill="1" applyBorder="1" applyAlignment="1">
      <alignment vertical="center"/>
    </xf>
    <xf numFmtId="0" fontId="12" fillId="18" borderId="35" xfId="0" applyFont="1" applyFill="1" applyBorder="1" applyAlignment="1">
      <alignment horizontal="justify" vertical="center"/>
    </xf>
    <xf numFmtId="0" fontId="13" fillId="7" borderId="11" xfId="0" applyFont="1" applyFill="1" applyBorder="1" applyAlignment="1">
      <alignment vertical="center" wrapText="1"/>
    </xf>
    <xf numFmtId="1" fontId="12" fillId="23" borderId="12" xfId="0" applyNumberFormat="1" applyFont="1" applyFill="1" applyBorder="1" applyAlignment="1">
      <alignment horizontal="center" vertical="center"/>
    </xf>
    <xf numFmtId="0" fontId="12" fillId="23" borderId="9" xfId="0" applyFont="1" applyFill="1" applyBorder="1" applyAlignment="1">
      <alignment vertical="center"/>
    </xf>
    <xf numFmtId="0" fontId="12" fillId="23" borderId="9" xfId="0" applyFont="1" applyFill="1" applyBorder="1" applyAlignment="1">
      <alignment horizontal="justify" vertical="center"/>
    </xf>
    <xf numFmtId="0" fontId="12" fillId="23" borderId="9" xfId="0" applyFont="1" applyFill="1" applyBorder="1" applyAlignment="1">
      <alignment horizontal="center" vertical="center"/>
    </xf>
    <xf numFmtId="170" fontId="12" fillId="23" borderId="9" xfId="0" applyNumberFormat="1" applyFont="1" applyFill="1" applyBorder="1" applyAlignment="1">
      <alignment horizontal="center" vertical="center"/>
    </xf>
    <xf numFmtId="165" fontId="12" fillId="23" borderId="9" xfId="0" applyNumberFormat="1" applyFont="1" applyFill="1" applyBorder="1" applyAlignment="1">
      <alignment vertical="center"/>
    </xf>
    <xf numFmtId="165" fontId="12" fillId="23" borderId="9" xfId="0" applyNumberFormat="1" applyFont="1" applyFill="1" applyBorder="1" applyAlignment="1">
      <alignment horizontal="center" vertical="center"/>
    </xf>
    <xf numFmtId="1" fontId="12" fillId="23" borderId="9" xfId="0" applyNumberFormat="1" applyFont="1" applyFill="1" applyBorder="1" applyAlignment="1">
      <alignment horizontal="center" vertical="center"/>
    </xf>
    <xf numFmtId="166" fontId="12" fillId="23" borderId="9" xfId="0" applyNumberFormat="1" applyFont="1" applyFill="1" applyBorder="1" applyAlignment="1">
      <alignment vertical="center"/>
    </xf>
    <xf numFmtId="0" fontId="12" fillId="23" borderId="13" xfId="0" applyFont="1" applyFill="1" applyBorder="1" applyAlignment="1">
      <alignment horizontal="justify" vertical="center"/>
    </xf>
    <xf numFmtId="0" fontId="12" fillId="7" borderId="16" xfId="0" applyFont="1" applyFill="1" applyBorder="1" applyAlignment="1">
      <alignment horizontal="center" vertical="center" wrapText="1"/>
    </xf>
    <xf numFmtId="1" fontId="12" fillId="24" borderId="19" xfId="0" applyNumberFormat="1" applyFont="1" applyFill="1" applyBorder="1" applyAlignment="1">
      <alignment horizontal="left" vertical="center" wrapText="1" indent="1"/>
    </xf>
    <xf numFmtId="0" fontId="12" fillId="24" borderId="20" xfId="0" applyFont="1" applyFill="1" applyBorder="1" applyAlignment="1">
      <alignment vertical="center"/>
    </xf>
    <xf numFmtId="0" fontId="12" fillId="24" borderId="20" xfId="0" applyFont="1" applyFill="1" applyBorder="1" applyAlignment="1">
      <alignment horizontal="justify" vertical="center"/>
    </xf>
    <xf numFmtId="0" fontId="12" fillId="24" borderId="20" xfId="0" applyFont="1" applyFill="1" applyBorder="1" applyAlignment="1">
      <alignment horizontal="center" vertical="center"/>
    </xf>
    <xf numFmtId="170" fontId="12" fillId="24" borderId="20" xfId="0" applyNumberFormat="1" applyFont="1" applyFill="1" applyBorder="1" applyAlignment="1">
      <alignment horizontal="center" vertical="center"/>
    </xf>
    <xf numFmtId="165" fontId="12" fillId="24" borderId="20" xfId="0" applyNumberFormat="1" applyFont="1" applyFill="1" applyBorder="1" applyAlignment="1">
      <alignment vertical="center"/>
    </xf>
    <xf numFmtId="165" fontId="12" fillId="24" borderId="20" xfId="0" applyNumberFormat="1" applyFont="1" applyFill="1" applyBorder="1" applyAlignment="1">
      <alignment horizontal="center" vertical="center"/>
    </xf>
    <xf numFmtId="1" fontId="12" fillId="24" borderId="20" xfId="0" applyNumberFormat="1" applyFont="1" applyFill="1" applyBorder="1" applyAlignment="1">
      <alignment horizontal="center" vertical="center"/>
    </xf>
    <xf numFmtId="166" fontId="12" fillId="24" borderId="20" xfId="0" applyNumberFormat="1" applyFont="1" applyFill="1" applyBorder="1" applyAlignment="1">
      <alignment vertical="center"/>
    </xf>
    <xf numFmtId="0" fontId="12" fillId="24" borderId="35" xfId="0" applyFont="1" applyFill="1" applyBorder="1" applyAlignment="1">
      <alignment horizontal="justify" vertical="center"/>
    </xf>
    <xf numFmtId="0" fontId="13" fillId="7" borderId="23"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0" xfId="0" applyFont="1" applyFill="1" applyBorder="1" applyAlignment="1">
      <alignment horizontal="center" vertical="center"/>
    </xf>
    <xf numFmtId="43" fontId="16" fillId="7" borderId="6" xfId="1" applyFont="1" applyFill="1" applyBorder="1" applyAlignment="1">
      <alignment horizontal="center"/>
    </xf>
    <xf numFmtId="0" fontId="13" fillId="7" borderId="6" xfId="0" applyFont="1" applyFill="1" applyBorder="1" applyAlignment="1">
      <alignment horizontal="center" vertical="center"/>
    </xf>
    <xf numFmtId="43" fontId="16" fillId="7" borderId="6" xfId="1" applyFont="1" applyFill="1" applyBorder="1" applyAlignment="1">
      <alignment horizontal="center" vertical="center"/>
    </xf>
    <xf numFmtId="0" fontId="13" fillId="7" borderId="35" xfId="0" applyFont="1" applyFill="1" applyBorder="1" applyAlignment="1">
      <alignment horizontal="center" vertical="center"/>
    </xf>
    <xf numFmtId="9" fontId="13" fillId="7" borderId="6" xfId="0" applyNumberFormat="1" applyFont="1" applyFill="1" applyBorder="1" applyAlignment="1">
      <alignment horizontal="center" vertical="center" wrapText="1"/>
    </xf>
    <xf numFmtId="43" fontId="16" fillId="0" borderId="6" xfId="1" applyFont="1" applyFill="1" applyBorder="1" applyAlignment="1">
      <alignment horizontal="center" vertical="center" wrapText="1"/>
    </xf>
    <xf numFmtId="43" fontId="12" fillId="24" borderId="20" xfId="1" applyFont="1" applyFill="1" applyBorder="1" applyAlignment="1">
      <alignment vertical="center"/>
    </xf>
    <xf numFmtId="43" fontId="12" fillId="24" borderId="6" xfId="1" applyFont="1" applyFill="1" applyBorder="1" applyAlignment="1">
      <alignment horizontal="center" vertical="center"/>
    </xf>
    <xf numFmtId="0" fontId="13" fillId="24" borderId="20" xfId="0" applyFont="1" applyFill="1" applyBorder="1" applyAlignment="1">
      <alignment vertical="center"/>
    </xf>
    <xf numFmtId="0" fontId="13" fillId="24" borderId="35" xfId="0" applyFont="1" applyFill="1" applyBorder="1" applyAlignment="1">
      <alignment horizontal="justify" vertical="center"/>
    </xf>
    <xf numFmtId="43" fontId="13" fillId="7" borderId="6" xfId="1" applyFont="1" applyFill="1" applyBorder="1" applyAlignment="1">
      <alignment horizontal="center" vertical="center"/>
    </xf>
    <xf numFmtId="0" fontId="13" fillId="7" borderId="63"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35" xfId="0" applyFont="1" applyFill="1" applyBorder="1" applyAlignment="1">
      <alignment horizontal="center" vertical="center" wrapText="1"/>
    </xf>
    <xf numFmtId="1" fontId="13" fillId="7" borderId="35" xfId="0" applyNumberFormat="1" applyFont="1" applyFill="1" applyBorder="1" applyAlignment="1">
      <alignment horizontal="center" vertical="center" wrapText="1"/>
    </xf>
    <xf numFmtId="43" fontId="12" fillId="23" borderId="9" xfId="1" applyFont="1" applyFill="1" applyBorder="1" applyAlignment="1">
      <alignment vertical="center"/>
    </xf>
    <xf numFmtId="43" fontId="12" fillId="23" borderId="6" xfId="1" applyFont="1" applyFill="1" applyBorder="1" applyAlignment="1">
      <alignment horizontal="center" vertical="center"/>
    </xf>
    <xf numFmtId="43" fontId="13" fillId="0" borderId="6" xfId="1" applyFont="1" applyBorder="1" applyAlignment="1">
      <alignment horizontal="left" vertical="center" indent="7"/>
    </xf>
    <xf numFmtId="43" fontId="13" fillId="0" borderId="6" xfId="1" applyFont="1" applyBorder="1" applyAlignment="1">
      <alignment horizontal="left" vertical="center" indent="6"/>
    </xf>
    <xf numFmtId="0" fontId="13" fillId="7" borderId="36" xfId="0" applyFont="1" applyFill="1" applyBorder="1" applyAlignment="1">
      <alignment horizontal="center" vertical="center" wrapText="1"/>
    </xf>
    <xf numFmtId="0" fontId="13" fillId="7" borderId="35" xfId="0" applyFont="1" applyFill="1" applyBorder="1"/>
    <xf numFmtId="43" fontId="13" fillId="7" borderId="6" xfId="1" applyFont="1" applyFill="1" applyBorder="1" applyAlignment="1">
      <alignment vertical="center" wrapText="1"/>
    </xf>
    <xf numFmtId="1" fontId="13" fillId="7" borderId="35" xfId="0" applyNumberFormat="1" applyFont="1" applyFill="1" applyBorder="1" applyAlignment="1">
      <alignment vertical="center" wrapText="1"/>
    </xf>
    <xf numFmtId="0" fontId="13" fillId="7" borderId="9" xfId="0" applyFont="1" applyFill="1" applyBorder="1" applyAlignment="1">
      <alignment vertical="center" wrapText="1"/>
    </xf>
    <xf numFmtId="0" fontId="13" fillId="7" borderId="12" xfId="0" applyFont="1" applyFill="1" applyBorder="1" applyAlignment="1">
      <alignment horizontal="center" vertical="center" wrapText="1"/>
    </xf>
    <xf numFmtId="1" fontId="12" fillId="0" borderId="19" xfId="0" applyNumberFormat="1" applyFont="1" applyBorder="1"/>
    <xf numFmtId="0" fontId="12" fillId="0" borderId="20" xfId="0" applyFont="1" applyBorder="1"/>
    <xf numFmtId="0" fontId="12" fillId="7" borderId="20" xfId="0" applyFont="1" applyFill="1" applyBorder="1" applyAlignment="1">
      <alignment horizontal="justify" vertical="center"/>
    </xf>
    <xf numFmtId="0" fontId="12" fillId="7" borderId="20" xfId="0" applyFont="1" applyFill="1" applyBorder="1"/>
    <xf numFmtId="0" fontId="12" fillId="7" borderId="20" xfId="0" applyFont="1" applyFill="1" applyBorder="1" applyAlignment="1">
      <alignment horizontal="center"/>
    </xf>
    <xf numFmtId="170" fontId="12" fillId="7" borderId="20" xfId="0" applyNumberFormat="1" applyFont="1" applyFill="1" applyBorder="1" applyAlignment="1">
      <alignment horizontal="center" vertical="center"/>
    </xf>
    <xf numFmtId="43" fontId="12" fillId="7" borderId="20" xfId="1" applyFont="1" applyFill="1" applyBorder="1" applyAlignment="1">
      <alignment vertical="center"/>
    </xf>
    <xf numFmtId="0" fontId="12" fillId="7" borderId="35" xfId="0" applyFont="1" applyFill="1" applyBorder="1" applyAlignment="1">
      <alignment horizontal="justify" vertical="center"/>
    </xf>
    <xf numFmtId="43" fontId="12" fillId="7" borderId="19" xfId="1" applyFont="1" applyFill="1" applyBorder="1" applyAlignment="1">
      <alignment horizontal="center" vertical="center"/>
    </xf>
    <xf numFmtId="1" fontId="12" fillId="7" borderId="19" xfId="0" applyNumberFormat="1" applyFont="1" applyFill="1" applyBorder="1" applyAlignment="1">
      <alignment horizontal="center" vertical="center"/>
    </xf>
    <xf numFmtId="0" fontId="12" fillId="7" borderId="20" xfId="0" applyFont="1" applyFill="1" applyBorder="1" applyAlignment="1">
      <alignment horizontal="center" vertical="center"/>
    </xf>
    <xf numFmtId="166" fontId="12" fillId="0" borderId="20" xfId="0" applyNumberFormat="1" applyFont="1" applyBorder="1" applyAlignment="1">
      <alignment horizontal="right" vertical="center"/>
    </xf>
    <xf numFmtId="166" fontId="12" fillId="0" borderId="20" xfId="0" applyNumberFormat="1" applyFont="1" applyBorder="1" applyAlignment="1">
      <alignment horizontal="center"/>
    </xf>
    <xf numFmtId="0" fontId="12" fillId="0" borderId="35" xfId="0" applyFont="1" applyBorder="1"/>
    <xf numFmtId="183" fontId="13" fillId="7" borderId="0" xfId="0" applyNumberFormat="1" applyFont="1" applyFill="1" applyAlignment="1">
      <alignment horizontal="center" vertical="center"/>
    </xf>
    <xf numFmtId="165" fontId="38" fillId="7" borderId="0" xfId="0" applyNumberFormat="1" applyFont="1" applyFill="1" applyAlignment="1">
      <alignment vertical="center"/>
    </xf>
    <xf numFmtId="165" fontId="38" fillId="7" borderId="0" xfId="0" applyNumberFormat="1" applyFont="1" applyFill="1" applyAlignment="1">
      <alignment horizontal="justify" vertical="center"/>
    </xf>
    <xf numFmtId="165" fontId="39" fillId="7" borderId="0" xfId="0" applyNumberFormat="1" applyFont="1" applyFill="1" applyAlignment="1">
      <alignment vertical="center"/>
    </xf>
    <xf numFmtId="0" fontId="22" fillId="0" borderId="3" xfId="0" applyFont="1" applyBorder="1" applyAlignment="1">
      <alignment vertical="center"/>
    </xf>
    <xf numFmtId="0" fontId="23" fillId="0" borderId="4" xfId="0" applyFont="1" applyBorder="1" applyAlignment="1">
      <alignment horizontal="justify" vertical="center" wrapText="1"/>
    </xf>
    <xf numFmtId="0" fontId="8" fillId="7" borderId="0" xfId="0" applyFont="1" applyFill="1"/>
    <xf numFmtId="0" fontId="22" fillId="0" borderId="6" xfId="0" applyFont="1" applyBorder="1" applyAlignment="1">
      <alignment horizontal="left" vertical="center"/>
    </xf>
    <xf numFmtId="0" fontId="23" fillId="0" borderId="7" xfId="0" applyFont="1" applyBorder="1" applyAlignment="1">
      <alignment horizontal="justify" vertical="center" wrapText="1"/>
    </xf>
    <xf numFmtId="3" fontId="23" fillId="0" borderId="7" xfId="0" applyNumberFormat="1" applyFont="1" applyBorder="1" applyAlignment="1">
      <alignment horizontal="justify" vertical="center" wrapText="1"/>
    </xf>
    <xf numFmtId="0" fontId="8" fillId="0" borderId="12" xfId="0" applyFont="1" applyBorder="1" applyAlignment="1">
      <alignment horizontal="justify" vertical="center"/>
    </xf>
    <xf numFmtId="0" fontId="8" fillId="0" borderId="9" xfId="0" applyFont="1" applyBorder="1" applyAlignment="1">
      <alignment vertical="center"/>
    </xf>
    <xf numFmtId="0" fontId="7" fillId="0" borderId="9" xfId="0" applyFont="1" applyBorder="1" applyAlignment="1">
      <alignment horizontal="justify" vertical="center"/>
    </xf>
    <xf numFmtId="0" fontId="7" fillId="0" borderId="9" xfId="0" applyFont="1" applyBorder="1" applyAlignment="1">
      <alignment vertical="center"/>
    </xf>
    <xf numFmtId="0" fontId="7" fillId="0" borderId="9" xfId="0" applyFont="1" applyBorder="1" applyAlignment="1">
      <alignment horizontal="justify" vertical="center" wrapText="1"/>
    </xf>
    <xf numFmtId="41" fontId="7" fillId="0" borderId="9" xfId="0" applyNumberFormat="1" applyFont="1" applyBorder="1" applyAlignment="1">
      <alignment vertical="center"/>
    </xf>
    <xf numFmtId="0" fontId="7" fillId="0" borderId="9" xfId="0" applyFont="1" applyBorder="1" applyAlignment="1">
      <alignment horizontal="center" vertical="center"/>
    </xf>
    <xf numFmtId="0" fontId="7" fillId="0" borderId="14" xfId="0" applyFont="1" applyBorder="1" applyAlignment="1">
      <alignment horizontal="justify" vertical="center" wrapText="1"/>
    </xf>
    <xf numFmtId="0" fontId="7" fillId="0" borderId="8" xfId="0" applyFont="1" applyBorder="1" applyAlignment="1">
      <alignment horizontal="center" vertical="center"/>
    </xf>
    <xf numFmtId="0" fontId="7" fillId="0" borderId="0" xfId="0" applyFont="1" applyAlignment="1">
      <alignment vertical="center"/>
    </xf>
    <xf numFmtId="0" fontId="7" fillId="8" borderId="16" xfId="0" applyFont="1" applyFill="1" applyBorder="1" applyAlignment="1">
      <alignment horizontal="center" vertical="center" wrapText="1"/>
    </xf>
    <xf numFmtId="165" fontId="7" fillId="8" borderId="6" xfId="0" applyNumberFormat="1" applyFont="1" applyFill="1" applyBorder="1" applyAlignment="1">
      <alignment horizontal="center" vertical="center" wrapText="1"/>
    </xf>
    <xf numFmtId="0" fontId="40" fillId="8" borderId="19" xfId="0" applyFont="1" applyFill="1" applyBorder="1" applyAlignment="1">
      <alignment horizontal="center" vertical="center" textRotation="90" wrapText="1"/>
    </xf>
    <xf numFmtId="166" fontId="7" fillId="8" borderId="19" xfId="0" applyNumberFormat="1" applyFont="1" applyFill="1" applyBorder="1" applyAlignment="1">
      <alignment horizontal="center" vertical="center" wrapText="1"/>
    </xf>
    <xf numFmtId="0" fontId="7" fillId="7" borderId="0" xfId="0" applyFont="1" applyFill="1"/>
    <xf numFmtId="0" fontId="7" fillId="0" borderId="0" xfId="0" applyFont="1"/>
    <xf numFmtId="0" fontId="7" fillId="8" borderId="6" xfId="0" applyFont="1" applyFill="1" applyBorder="1" applyAlignment="1">
      <alignment horizontal="center" vertical="center" wrapText="1"/>
    </xf>
    <xf numFmtId="41" fontId="7" fillId="8" borderId="27" xfId="0" applyNumberFormat="1" applyFont="1" applyFill="1" applyBorder="1" applyAlignment="1">
      <alignment horizontal="center" vertical="center" wrapText="1"/>
    </xf>
    <xf numFmtId="164" fontId="23" fillId="8" borderId="6" xfId="0" applyNumberFormat="1" applyFont="1" applyFill="1" applyBorder="1" applyAlignment="1">
      <alignment horizontal="center" vertical="center" wrapText="1"/>
    </xf>
    <xf numFmtId="1" fontId="22" fillId="10" borderId="19" xfId="0" applyNumberFormat="1" applyFont="1" applyFill="1" applyBorder="1" applyAlignment="1">
      <alignment horizontal="left" vertical="center" wrapText="1"/>
    </xf>
    <xf numFmtId="0" fontId="22" fillId="10" borderId="11" xfId="0" applyFont="1" applyFill="1" applyBorder="1" applyAlignment="1">
      <alignment vertical="center"/>
    </xf>
    <xf numFmtId="0" fontId="16" fillId="10" borderId="11" xfId="0" applyFont="1" applyFill="1" applyBorder="1" applyAlignment="1">
      <alignment vertical="center"/>
    </xf>
    <xf numFmtId="0" fontId="22" fillId="10" borderId="11" xfId="0" applyFont="1" applyFill="1" applyBorder="1" applyAlignment="1">
      <alignment horizontal="justify" vertical="center" wrapText="1"/>
    </xf>
    <xf numFmtId="0" fontId="22" fillId="10" borderId="11" xfId="0" applyFont="1" applyFill="1" applyBorder="1" applyAlignment="1">
      <alignment horizontal="justify" vertical="center"/>
    </xf>
    <xf numFmtId="0" fontId="16" fillId="10" borderId="11" xfId="0" applyFont="1" applyFill="1" applyBorder="1" applyAlignment="1">
      <alignment horizontal="justify" vertical="center"/>
    </xf>
    <xf numFmtId="170" fontId="16" fillId="10" borderId="11" xfId="0" applyNumberFormat="1" applyFont="1" applyFill="1" applyBorder="1" applyAlignment="1">
      <alignment horizontal="center" vertical="center"/>
    </xf>
    <xf numFmtId="165" fontId="22" fillId="10" borderId="11" xfId="0" applyNumberFormat="1" applyFont="1" applyFill="1" applyBorder="1" applyAlignment="1">
      <alignment vertical="center"/>
    </xf>
    <xf numFmtId="166" fontId="22" fillId="10" borderId="11" xfId="0" applyNumberFormat="1" applyFont="1" applyFill="1" applyBorder="1" applyAlignment="1">
      <alignment vertical="center"/>
    </xf>
    <xf numFmtId="0" fontId="22" fillId="10" borderId="17" xfId="0" applyFont="1" applyFill="1" applyBorder="1" applyAlignment="1">
      <alignment horizontal="justify" vertical="center"/>
    </xf>
    <xf numFmtId="0" fontId="16" fillId="0" borderId="0" xfId="0" applyFont="1" applyBorder="1"/>
    <xf numFmtId="0" fontId="22" fillId="11" borderId="11" xfId="0" applyFont="1" applyFill="1" applyBorder="1" applyAlignment="1">
      <alignment vertical="center"/>
    </xf>
    <xf numFmtId="0" fontId="16" fillId="11" borderId="11" xfId="0" applyFont="1" applyFill="1" applyBorder="1" applyAlignment="1">
      <alignment vertical="center"/>
    </xf>
    <xf numFmtId="0" fontId="22" fillId="11" borderId="11" xfId="0" applyFont="1" applyFill="1" applyBorder="1" applyAlignment="1">
      <alignment horizontal="justify" vertical="center" wrapText="1"/>
    </xf>
    <xf numFmtId="0" fontId="22" fillId="11" borderId="11" xfId="0" applyFont="1" applyFill="1" applyBorder="1" applyAlignment="1">
      <alignment horizontal="justify" vertical="center"/>
    </xf>
    <xf numFmtId="0" fontId="16" fillId="11" borderId="11" xfId="0" applyFont="1" applyFill="1" applyBorder="1" applyAlignment="1">
      <alignment horizontal="justify" vertical="center"/>
    </xf>
    <xf numFmtId="170" fontId="16" fillId="11" borderId="11" xfId="0" applyNumberFormat="1" applyFont="1" applyFill="1" applyBorder="1" applyAlignment="1">
      <alignment horizontal="center" vertical="center"/>
    </xf>
    <xf numFmtId="165" fontId="22" fillId="11" borderId="11" xfId="0" applyNumberFormat="1" applyFont="1" applyFill="1" applyBorder="1" applyAlignment="1">
      <alignment vertical="center"/>
    </xf>
    <xf numFmtId="165" fontId="22" fillId="11" borderId="11" xfId="0" applyNumberFormat="1" applyFont="1" applyFill="1" applyBorder="1" applyAlignment="1">
      <alignment horizontal="center" vertical="center"/>
    </xf>
    <xf numFmtId="0" fontId="22" fillId="11" borderId="11" xfId="0" applyFont="1" applyFill="1" applyBorder="1" applyAlignment="1">
      <alignment horizontal="center" vertical="center"/>
    </xf>
    <xf numFmtId="166" fontId="22" fillId="11" borderId="11" xfId="0" applyNumberFormat="1" applyFont="1" applyFill="1" applyBorder="1" applyAlignment="1">
      <alignment vertical="center"/>
    </xf>
    <xf numFmtId="0" fontId="22" fillId="11" borderId="17" xfId="0" applyFont="1" applyFill="1" applyBorder="1" applyAlignment="1">
      <alignment horizontal="justify" vertical="center"/>
    </xf>
    <xf numFmtId="1" fontId="22" fillId="12" borderId="20" xfId="0" applyNumberFormat="1" applyFont="1" applyFill="1" applyBorder="1" applyAlignment="1">
      <alignment horizontal="left" vertical="center" wrapText="1" indent="1"/>
    </xf>
    <xf numFmtId="0" fontId="16" fillId="12" borderId="11" xfId="0" applyFont="1" applyFill="1" applyBorder="1" applyAlignment="1">
      <alignment vertical="center"/>
    </xf>
    <xf numFmtId="0" fontId="22" fillId="12" borderId="11" xfId="0" applyFont="1" applyFill="1" applyBorder="1" applyAlignment="1">
      <alignment horizontal="justify" vertical="center"/>
    </xf>
    <xf numFmtId="0" fontId="22" fillId="12" borderId="11" xfId="0" applyFont="1" applyFill="1" applyBorder="1" applyAlignment="1">
      <alignment vertical="center"/>
    </xf>
    <xf numFmtId="0" fontId="16" fillId="12" borderId="20" xfId="0" applyFont="1" applyFill="1" applyBorder="1" applyAlignment="1">
      <alignment horizontal="justify" vertical="center"/>
    </xf>
    <xf numFmtId="0" fontId="16" fillId="12" borderId="20" xfId="0" applyFont="1" applyFill="1" applyBorder="1" applyAlignment="1">
      <alignment vertical="center"/>
    </xf>
    <xf numFmtId="170" fontId="16" fillId="12" borderId="11" xfId="0" applyNumberFormat="1" applyFont="1" applyFill="1" applyBorder="1" applyAlignment="1">
      <alignment horizontal="center" vertical="center"/>
    </xf>
    <xf numFmtId="165" fontId="22" fillId="12" borderId="11" xfId="0" applyNumberFormat="1" applyFont="1" applyFill="1" applyBorder="1" applyAlignment="1">
      <alignment vertical="center"/>
    </xf>
    <xf numFmtId="165" fontId="22" fillId="12" borderId="11" xfId="0" applyNumberFormat="1" applyFont="1" applyFill="1" applyBorder="1" applyAlignment="1">
      <alignment horizontal="center" vertical="center"/>
    </xf>
    <xf numFmtId="0" fontId="22" fillId="12" borderId="11" xfId="0" applyFont="1" applyFill="1" applyBorder="1" applyAlignment="1">
      <alignment horizontal="center" vertical="center"/>
    </xf>
    <xf numFmtId="166" fontId="22" fillId="12" borderId="11" xfId="0" applyNumberFormat="1" applyFont="1" applyFill="1" applyBorder="1" applyAlignment="1">
      <alignment vertical="center"/>
    </xf>
    <xf numFmtId="0" fontId="22" fillId="12" borderId="17" xfId="0" applyFont="1" applyFill="1" applyBorder="1" applyAlignment="1">
      <alignment horizontal="justify" vertical="center"/>
    </xf>
    <xf numFmtId="0" fontId="16" fillId="7" borderId="16" xfId="0" applyFont="1" applyFill="1" applyBorder="1"/>
    <xf numFmtId="0" fontId="16" fillId="7" borderId="17" xfId="0" applyFont="1" applyFill="1" applyBorder="1"/>
    <xf numFmtId="43" fontId="16" fillId="0" borderId="6" xfId="1" applyFont="1" applyFill="1" applyBorder="1" applyAlignment="1">
      <alignment vertical="center" wrapText="1"/>
    </xf>
    <xf numFmtId="3" fontId="13" fillId="0" borderId="6" xfId="19" applyNumberFormat="1" applyFont="1" applyFill="1" applyBorder="1" applyAlignment="1">
      <alignment horizontal="center" vertical="center" wrapText="1"/>
    </xf>
    <xf numFmtId="3" fontId="13" fillId="7" borderId="6" xfId="19" applyNumberFormat="1" applyFont="1" applyFill="1" applyBorder="1" applyAlignment="1">
      <alignment horizontal="center" vertical="center" wrapText="1"/>
    </xf>
    <xf numFmtId="0" fontId="16" fillId="7" borderId="23" xfId="0" applyFont="1" applyFill="1" applyBorder="1"/>
    <xf numFmtId="0" fontId="16" fillId="7" borderId="24" xfId="0" applyFont="1" applyFill="1" applyBorder="1"/>
    <xf numFmtId="3" fontId="16" fillId="7" borderId="6" xfId="19" applyNumberFormat="1" applyFont="1" applyFill="1" applyBorder="1" applyAlignment="1">
      <alignment horizontal="center" vertical="center" wrapText="1"/>
    </xf>
    <xf numFmtId="184" fontId="16" fillId="7" borderId="6" xfId="19" applyFont="1" applyFill="1" applyBorder="1" applyAlignment="1">
      <alignment horizontal="justify" vertical="center" wrapText="1"/>
    </xf>
    <xf numFmtId="184" fontId="16" fillId="0" borderId="6" xfId="19" applyFont="1" applyFill="1" applyBorder="1" applyAlignment="1">
      <alignment horizontal="justify" vertical="center" wrapText="1"/>
    </xf>
    <xf numFmtId="3" fontId="16" fillId="7" borderId="6" xfId="19" applyNumberFormat="1" applyFont="1" applyFill="1" applyBorder="1" applyAlignment="1">
      <alignment horizontal="center" vertical="center"/>
    </xf>
    <xf numFmtId="10" fontId="16" fillId="7" borderId="6" xfId="3" applyNumberFormat="1" applyFont="1" applyFill="1" applyBorder="1" applyAlignment="1">
      <alignment horizontal="center" vertical="center" wrapText="1"/>
    </xf>
    <xf numFmtId="184" fontId="16" fillId="0" borderId="19" xfId="19" applyFont="1" applyFill="1" applyBorder="1" applyAlignment="1">
      <alignment horizontal="justify" vertical="center" wrapText="1"/>
    </xf>
    <xf numFmtId="0" fontId="13" fillId="0" borderId="6" xfId="0" applyFont="1" applyFill="1" applyBorder="1" applyAlignment="1">
      <alignment horizontal="center" vertical="center"/>
    </xf>
    <xf numFmtId="184" fontId="16" fillId="0" borderId="6" xfId="19" applyFont="1" applyFill="1" applyBorder="1" applyAlignment="1">
      <alignment vertical="center" wrapText="1"/>
    </xf>
    <xf numFmtId="184" fontId="16" fillId="0" borderId="12" xfId="19" applyFont="1" applyFill="1" applyBorder="1" applyAlignment="1">
      <alignment vertical="center" wrapText="1"/>
    </xf>
    <xf numFmtId="184" fontId="16" fillId="7" borderId="0" xfId="19" applyFont="1" applyFill="1" applyBorder="1" applyAlignment="1">
      <alignment horizontal="justify" vertical="center" wrapText="1"/>
    </xf>
    <xf numFmtId="184" fontId="16" fillId="7" borderId="0" xfId="19" applyFont="1" applyFill="1" applyBorder="1" applyAlignment="1">
      <alignment horizontal="center" vertical="center" wrapText="1"/>
    </xf>
    <xf numFmtId="0" fontId="16" fillId="0" borderId="19" xfId="0" applyFont="1" applyFill="1" applyBorder="1" applyAlignment="1">
      <alignment horizontal="justify" vertical="center" wrapText="1"/>
    </xf>
    <xf numFmtId="184" fontId="16" fillId="7" borderId="0" xfId="19" applyFont="1" applyFill="1" applyBorder="1" applyAlignment="1">
      <alignment vertical="center" wrapText="1"/>
    </xf>
    <xf numFmtId="43" fontId="13" fillId="0" borderId="6" xfId="1" applyFont="1" applyFill="1" applyBorder="1" applyAlignment="1">
      <alignment horizontal="center" vertical="center"/>
    </xf>
    <xf numFmtId="3" fontId="13" fillId="0" borderId="27" xfId="19" applyNumberFormat="1" applyFont="1" applyFill="1" applyBorder="1" applyAlignment="1">
      <alignment horizontal="center" vertical="center" wrapText="1"/>
    </xf>
    <xf numFmtId="0" fontId="16" fillId="7" borderId="12" xfId="0" applyFont="1" applyFill="1" applyBorder="1"/>
    <xf numFmtId="0" fontId="16" fillId="7" borderId="13" xfId="0" applyFont="1" applyFill="1" applyBorder="1"/>
    <xf numFmtId="43" fontId="16" fillId="0" borderId="6" xfId="1" applyFont="1" applyFill="1" applyBorder="1" applyAlignment="1">
      <alignment horizontal="center" vertical="center"/>
    </xf>
    <xf numFmtId="3" fontId="13" fillId="7" borderId="27" xfId="19" applyNumberFormat="1" applyFont="1" applyFill="1" applyBorder="1" applyAlignment="1">
      <alignment horizontal="center" vertical="center" wrapText="1"/>
    </xf>
    <xf numFmtId="0" fontId="16" fillId="12" borderId="0" xfId="0" applyFont="1" applyFill="1" applyBorder="1" applyAlignment="1">
      <alignment vertical="center"/>
    </xf>
    <xf numFmtId="0" fontId="22" fillId="12" borderId="0" xfId="0" applyFont="1" applyFill="1" applyBorder="1" applyAlignment="1">
      <alignment horizontal="justify" vertical="center" wrapText="1"/>
    </xf>
    <xf numFmtId="0" fontId="22" fillId="12" borderId="0" xfId="0" applyFont="1" applyFill="1" applyBorder="1" applyAlignment="1">
      <alignment horizontal="justify" vertical="center"/>
    </xf>
    <xf numFmtId="170" fontId="16" fillId="12" borderId="0" xfId="0" applyNumberFormat="1" applyFont="1" applyFill="1" applyBorder="1" applyAlignment="1">
      <alignment horizontal="center" vertical="center"/>
    </xf>
    <xf numFmtId="43" fontId="22" fillId="12" borderId="0" xfId="1" applyFont="1" applyFill="1" applyBorder="1" applyAlignment="1">
      <alignment vertical="center"/>
    </xf>
    <xf numFmtId="0" fontId="22" fillId="12" borderId="6" xfId="0" applyFont="1" applyFill="1" applyBorder="1" applyAlignment="1">
      <alignment horizontal="justify" vertical="center"/>
    </xf>
    <xf numFmtId="184" fontId="16" fillId="7" borderId="24" xfId="19" applyFont="1" applyFill="1" applyBorder="1" applyAlignment="1">
      <alignment horizontal="justify" vertical="center" wrapText="1"/>
    </xf>
    <xf numFmtId="0" fontId="0" fillId="0" borderId="18" xfId="0" applyFont="1" applyFill="1" applyBorder="1" applyAlignment="1">
      <alignment horizontal="center" vertical="center" wrapText="1"/>
    </xf>
    <xf numFmtId="184" fontId="13" fillId="7" borderId="18" xfId="19" applyFont="1" applyFill="1" applyBorder="1" applyAlignment="1">
      <alignment horizontal="center" vertical="center" wrapText="1"/>
    </xf>
    <xf numFmtId="184" fontId="16" fillId="7" borderId="25" xfId="19" applyFont="1" applyFill="1" applyBorder="1" applyAlignment="1">
      <alignment horizontal="center" vertical="center" wrapText="1"/>
    </xf>
    <xf numFmtId="0" fontId="0" fillId="0" borderId="6" xfId="0" applyFont="1" applyFill="1" applyBorder="1" applyAlignment="1">
      <alignment horizontal="center" vertical="center" wrapText="1"/>
    </xf>
    <xf numFmtId="184" fontId="13" fillId="7" borderId="6" xfId="19" applyFont="1" applyFill="1" applyBorder="1" applyAlignment="1">
      <alignment horizontal="center" vertical="center" wrapText="1"/>
    </xf>
    <xf numFmtId="0" fontId="0" fillId="0" borderId="18" xfId="0" applyFont="1" applyFill="1" applyBorder="1" applyAlignment="1">
      <alignment horizontal="center" vertical="top" wrapText="1"/>
    </xf>
    <xf numFmtId="184" fontId="16" fillId="0" borderId="12" xfId="19" applyFont="1" applyFill="1" applyBorder="1" applyAlignment="1">
      <alignment horizontal="justify" vertical="center" wrapText="1"/>
    </xf>
    <xf numFmtId="0" fontId="16" fillId="0" borderId="25" xfId="0" applyFont="1" applyBorder="1" applyAlignment="1">
      <alignment horizontal="center"/>
    </xf>
    <xf numFmtId="1" fontId="16" fillId="7" borderId="6" xfId="20" applyNumberFormat="1" applyFont="1" applyFill="1" applyBorder="1" applyAlignment="1">
      <alignment horizontal="center" vertical="center" wrapText="1"/>
    </xf>
    <xf numFmtId="184" fontId="16" fillId="0" borderId="6" xfId="19" applyFont="1" applyBorder="1" applyAlignment="1">
      <alignment horizontal="justify" vertical="center" wrapText="1"/>
    </xf>
    <xf numFmtId="1" fontId="16" fillId="0" borderId="6" xfId="19" applyNumberFormat="1" applyFont="1" applyBorder="1" applyAlignment="1">
      <alignment horizontal="center" vertical="center"/>
    </xf>
    <xf numFmtId="184" fontId="16" fillId="7" borderId="27" xfId="19" applyFont="1" applyFill="1" applyBorder="1" applyAlignment="1">
      <alignment horizontal="center" vertical="center" wrapText="1"/>
    </xf>
    <xf numFmtId="1" fontId="22" fillId="11" borderId="6" xfId="0" applyNumberFormat="1" applyFont="1" applyFill="1" applyBorder="1" applyAlignment="1">
      <alignment horizontal="center" vertical="center"/>
    </xf>
    <xf numFmtId="0" fontId="16" fillId="11" borderId="0" xfId="0" applyFont="1" applyFill="1" applyBorder="1" applyAlignment="1">
      <alignment vertical="center"/>
    </xf>
    <xf numFmtId="0" fontId="22" fillId="11" borderId="0" xfId="0" applyFont="1" applyFill="1" applyBorder="1" applyAlignment="1">
      <alignment horizontal="justify" vertical="center" wrapText="1"/>
    </xf>
    <xf numFmtId="0" fontId="22" fillId="11" borderId="0" xfId="0" applyFont="1" applyFill="1" applyBorder="1" applyAlignment="1">
      <alignment horizontal="justify" vertical="center"/>
    </xf>
    <xf numFmtId="0" fontId="22" fillId="11" borderId="0" xfId="0" applyFont="1" applyFill="1" applyBorder="1" applyAlignment="1">
      <alignment vertical="center"/>
    </xf>
    <xf numFmtId="170" fontId="16" fillId="11" borderId="0" xfId="0" applyNumberFormat="1" applyFont="1" applyFill="1" applyBorder="1" applyAlignment="1">
      <alignment horizontal="center" vertical="center"/>
    </xf>
    <xf numFmtId="43" fontId="22" fillId="11" borderId="0" xfId="1" applyFont="1" applyFill="1" applyBorder="1" applyAlignment="1">
      <alignment vertical="center"/>
    </xf>
    <xf numFmtId="43" fontId="22" fillId="11" borderId="6" xfId="1" applyFont="1" applyFill="1" applyBorder="1" applyAlignment="1">
      <alignment horizontal="center" vertical="center"/>
    </xf>
    <xf numFmtId="165" fontId="22" fillId="11" borderId="6" xfId="0" applyNumberFormat="1" applyFont="1" applyFill="1" applyBorder="1" applyAlignment="1">
      <alignment horizontal="justify" vertical="center"/>
    </xf>
    <xf numFmtId="43" fontId="22" fillId="12" borderId="11" xfId="1" applyFont="1" applyFill="1" applyBorder="1" applyAlignment="1">
      <alignment vertical="center"/>
    </xf>
    <xf numFmtId="165" fontId="22" fillId="12" borderId="6" xfId="0" applyNumberFormat="1" applyFont="1" applyFill="1" applyBorder="1" applyAlignment="1">
      <alignment horizontal="justify" vertical="center"/>
    </xf>
    <xf numFmtId="165" fontId="22" fillId="12" borderId="35" xfId="0" applyNumberFormat="1" applyFont="1" applyFill="1" applyBorder="1" applyAlignment="1">
      <alignment horizontal="center" vertical="center"/>
    </xf>
    <xf numFmtId="0" fontId="16" fillId="7" borderId="11" xfId="0" applyFont="1" applyFill="1" applyBorder="1" applyAlignment="1"/>
    <xf numFmtId="0" fontId="26" fillId="7" borderId="16" xfId="0" applyFont="1" applyFill="1" applyBorder="1" applyAlignment="1"/>
    <xf numFmtId="0" fontId="26" fillId="7" borderId="17" xfId="0" applyFont="1" applyFill="1" applyBorder="1" applyAlignment="1"/>
    <xf numFmtId="184" fontId="16" fillId="7" borderId="24" xfId="19" applyFont="1" applyFill="1" applyBorder="1" applyAlignment="1">
      <alignment vertical="center" wrapText="1"/>
    </xf>
    <xf numFmtId="3" fontId="13" fillId="0" borderId="18" xfId="19" applyNumberFormat="1" applyFont="1" applyFill="1" applyBorder="1" applyAlignment="1">
      <alignment horizontal="center" vertical="center" wrapText="1"/>
    </xf>
    <xf numFmtId="184" fontId="13" fillId="7" borderId="18" xfId="19" applyFont="1" applyFill="1" applyBorder="1" applyAlignment="1">
      <alignment horizontal="center" vertical="center"/>
    </xf>
    <xf numFmtId="0" fontId="26" fillId="7" borderId="0" xfId="0" applyFont="1" applyFill="1" applyBorder="1" applyAlignment="1"/>
    <xf numFmtId="0" fontId="26" fillId="7" borderId="23" xfId="0" applyFont="1" applyFill="1" applyBorder="1" applyAlignment="1"/>
    <xf numFmtId="0" fontId="26" fillId="7" borderId="24" xfId="0" applyFont="1" applyFill="1" applyBorder="1" applyAlignment="1"/>
    <xf numFmtId="184" fontId="13" fillId="7" borderId="6" xfId="19" applyFont="1" applyFill="1" applyBorder="1" applyAlignment="1">
      <alignment horizontal="center" vertical="center"/>
    </xf>
    <xf numFmtId="43" fontId="16" fillId="0" borderId="27" xfId="1" applyFont="1" applyFill="1" applyBorder="1" applyAlignment="1">
      <alignment vertical="center" wrapText="1"/>
    </xf>
    <xf numFmtId="43" fontId="13" fillId="0" borderId="19" xfId="1" applyFont="1" applyFill="1" applyBorder="1" applyAlignment="1">
      <alignment vertical="center" wrapText="1"/>
    </xf>
    <xf numFmtId="184" fontId="16" fillId="7" borderId="24" xfId="19" applyFont="1" applyFill="1" applyBorder="1" applyAlignment="1">
      <alignment horizontal="center" vertical="center" wrapText="1"/>
    </xf>
    <xf numFmtId="0" fontId="26" fillId="7" borderId="9" xfId="0" applyFont="1" applyFill="1" applyBorder="1" applyAlignment="1"/>
    <xf numFmtId="0" fontId="26" fillId="7" borderId="12" xfId="0" applyFont="1" applyFill="1" applyBorder="1" applyAlignment="1"/>
    <xf numFmtId="0" fontId="26" fillId="7" borderId="13" xfId="0" applyFont="1" applyFill="1" applyBorder="1" applyAlignment="1"/>
    <xf numFmtId="184" fontId="16" fillId="7" borderId="13" xfId="19" applyFont="1" applyFill="1" applyBorder="1" applyAlignment="1">
      <alignment vertical="center" wrapText="1"/>
    </xf>
    <xf numFmtId="0" fontId="22" fillId="12" borderId="0" xfId="0" applyFont="1" applyFill="1" applyBorder="1" applyAlignment="1">
      <alignment vertical="center"/>
    </xf>
    <xf numFmtId="0" fontId="16" fillId="12" borderId="9" xfId="0" applyFont="1" applyFill="1" applyBorder="1" applyAlignment="1">
      <alignment vertical="center"/>
    </xf>
    <xf numFmtId="43" fontId="22" fillId="12" borderId="6" xfId="1" applyFont="1" applyFill="1" applyBorder="1" applyAlignment="1">
      <alignment horizontal="justify" vertical="center" wrapText="1"/>
    </xf>
    <xf numFmtId="184" fontId="16" fillId="7" borderId="24" xfId="19" applyFont="1" applyFill="1" applyBorder="1" applyAlignment="1">
      <alignment vertical="center"/>
    </xf>
    <xf numFmtId="43" fontId="16" fillId="0" borderId="6" xfId="1" applyFont="1" applyFill="1" applyBorder="1" applyAlignment="1">
      <alignment horizontal="justify" vertical="center"/>
    </xf>
    <xf numFmtId="184" fontId="16" fillId="7" borderId="24" xfId="19" applyFont="1" applyFill="1" applyBorder="1" applyAlignment="1">
      <alignment horizontal="center" vertical="center"/>
    </xf>
    <xf numFmtId="3" fontId="13" fillId="0" borderId="6" xfId="19" applyNumberFormat="1" applyFont="1" applyFill="1" applyBorder="1" applyAlignment="1">
      <alignment horizontal="center" vertical="center"/>
    </xf>
    <xf numFmtId="43" fontId="13" fillId="0" borderId="19" xfId="1" applyFont="1" applyFill="1" applyBorder="1" applyAlignment="1">
      <alignment horizontal="justify" vertical="center"/>
    </xf>
    <xf numFmtId="0" fontId="16" fillId="0" borderId="16" xfId="0" applyFont="1" applyFill="1" applyBorder="1" applyAlignment="1">
      <alignment horizontal="justify" vertical="center" wrapText="1"/>
    </xf>
    <xf numFmtId="166" fontId="22" fillId="12" borderId="35" xfId="0" applyNumberFormat="1" applyFont="1" applyFill="1" applyBorder="1" applyAlignment="1">
      <alignment vertical="center"/>
    </xf>
    <xf numFmtId="1" fontId="13" fillId="0" borderId="18" xfId="19" applyNumberFormat="1" applyFont="1" applyFill="1" applyBorder="1" applyAlignment="1">
      <alignment horizontal="center" vertical="center" wrapText="1"/>
    </xf>
    <xf numFmtId="3" fontId="13" fillId="7" borderId="6" xfId="19" applyNumberFormat="1" applyFont="1" applyFill="1" applyBorder="1" applyAlignment="1">
      <alignment horizontal="center" vertical="center"/>
    </xf>
    <xf numFmtId="1" fontId="13" fillId="0" borderId="6" xfId="19" applyNumberFormat="1" applyFont="1" applyFill="1" applyBorder="1" applyAlignment="1">
      <alignment horizontal="center" vertical="center"/>
    </xf>
    <xf numFmtId="184" fontId="16" fillId="7" borderId="0" xfId="19" applyFont="1" applyFill="1" applyBorder="1" applyAlignment="1">
      <alignment horizontal="center" vertical="center"/>
    </xf>
    <xf numFmtId="43" fontId="13" fillId="0" borderId="6" xfId="1" applyFont="1" applyFill="1" applyBorder="1" applyAlignment="1">
      <alignment horizontal="justify" vertical="center"/>
    </xf>
    <xf numFmtId="1" fontId="13" fillId="0" borderId="27" xfId="19" applyNumberFormat="1" applyFont="1" applyFill="1" applyBorder="1" applyAlignment="1">
      <alignment horizontal="center" vertical="center"/>
    </xf>
    <xf numFmtId="3" fontId="13" fillId="7" borderId="27" xfId="19" applyNumberFormat="1" applyFont="1" applyFill="1" applyBorder="1" applyAlignment="1">
      <alignment horizontal="center" vertical="center"/>
    </xf>
    <xf numFmtId="0" fontId="16" fillId="7" borderId="24" xfId="19" applyNumberFormat="1" applyFont="1" applyFill="1" applyBorder="1" applyAlignment="1">
      <alignment vertical="center" wrapText="1"/>
    </xf>
    <xf numFmtId="9" fontId="13" fillId="0" borderId="6" xfId="3" applyFont="1" applyFill="1" applyBorder="1" applyAlignment="1">
      <alignment horizontal="center" vertical="center"/>
    </xf>
    <xf numFmtId="1" fontId="13" fillId="0" borderId="6" xfId="19" applyNumberFormat="1" applyFont="1" applyFill="1" applyBorder="1" applyAlignment="1">
      <alignment horizontal="center" vertical="center" wrapText="1"/>
    </xf>
    <xf numFmtId="0" fontId="16" fillId="7" borderId="24" xfId="19" applyNumberFormat="1" applyFont="1" applyFill="1" applyBorder="1" applyAlignment="1">
      <alignment horizontal="center" vertical="center" wrapText="1"/>
    </xf>
    <xf numFmtId="9" fontId="13" fillId="7" borderId="6" xfId="3" applyFont="1" applyFill="1" applyBorder="1" applyAlignment="1">
      <alignment horizontal="center" vertical="center"/>
    </xf>
    <xf numFmtId="1" fontId="22" fillId="11" borderId="6" xfId="0" applyNumberFormat="1" applyFont="1" applyFill="1" applyBorder="1" applyAlignment="1">
      <alignment vertical="center"/>
    </xf>
    <xf numFmtId="1" fontId="22" fillId="11" borderId="11" xfId="0" applyNumberFormat="1" applyFont="1" applyFill="1" applyBorder="1" applyAlignment="1">
      <alignment vertical="center"/>
    </xf>
    <xf numFmtId="0" fontId="22" fillId="11" borderId="6" xfId="0" applyFont="1" applyFill="1" applyBorder="1" applyAlignment="1">
      <alignment horizontal="justify" vertical="center"/>
    </xf>
    <xf numFmtId="1" fontId="13" fillId="0" borderId="18" xfId="19" applyNumberFormat="1" applyFont="1" applyFill="1" applyBorder="1" applyAlignment="1">
      <alignment horizontal="center" vertical="center"/>
    </xf>
    <xf numFmtId="3" fontId="13" fillId="0" borderId="18" xfId="19" applyNumberFormat="1" applyFont="1" applyFill="1" applyBorder="1" applyAlignment="1">
      <alignment horizontal="center" vertical="center"/>
    </xf>
    <xf numFmtId="43" fontId="16" fillId="0" borderId="6" xfId="1" applyFont="1" applyFill="1" applyBorder="1" applyAlignment="1">
      <alignment vertical="center"/>
    </xf>
    <xf numFmtId="184" fontId="16" fillId="0" borderId="16" xfId="19" applyFont="1" applyFill="1" applyBorder="1" applyAlignment="1">
      <alignment horizontal="justify" vertical="center" wrapText="1"/>
    </xf>
    <xf numFmtId="43" fontId="13" fillId="0" borderId="27" xfId="1" applyFont="1" applyFill="1" applyBorder="1" applyAlignment="1">
      <alignment vertical="center"/>
    </xf>
    <xf numFmtId="43" fontId="16" fillId="0" borderId="18" xfId="1" applyFont="1" applyFill="1" applyBorder="1" applyAlignment="1">
      <alignment horizontal="center" vertical="center"/>
    </xf>
    <xf numFmtId="1" fontId="22" fillId="11" borderId="19" xfId="0" applyNumberFormat="1" applyFont="1" applyFill="1" applyBorder="1" applyAlignment="1">
      <alignment vertical="center"/>
    </xf>
    <xf numFmtId="1" fontId="22" fillId="11" borderId="19" xfId="0" applyNumberFormat="1" applyFont="1" applyFill="1" applyBorder="1" applyAlignment="1">
      <alignment horizontal="center" vertical="center"/>
    </xf>
    <xf numFmtId="1" fontId="22" fillId="11" borderId="35" xfId="0" applyNumberFormat="1" applyFont="1" applyFill="1" applyBorder="1" applyAlignment="1">
      <alignment horizontal="center" vertical="center"/>
    </xf>
    <xf numFmtId="1" fontId="22" fillId="12" borderId="9" xfId="0" applyNumberFormat="1" applyFont="1" applyFill="1" applyBorder="1" applyAlignment="1">
      <alignment horizontal="left" vertical="center" wrapText="1" indent="1"/>
    </xf>
    <xf numFmtId="0" fontId="22" fillId="12" borderId="9" xfId="0" applyFont="1" applyFill="1" applyBorder="1" applyAlignment="1">
      <alignment vertical="center"/>
    </xf>
    <xf numFmtId="0" fontId="16" fillId="12" borderId="9" xfId="0" applyFont="1" applyFill="1" applyBorder="1" applyAlignment="1">
      <alignment horizontal="justify" vertical="center"/>
    </xf>
    <xf numFmtId="0" fontId="22" fillId="12" borderId="9" xfId="0" applyFont="1" applyFill="1" applyBorder="1" applyAlignment="1">
      <alignment horizontal="justify" vertical="center"/>
    </xf>
    <xf numFmtId="43" fontId="22" fillId="12" borderId="27" xfId="1" applyFont="1" applyFill="1" applyBorder="1" applyAlignment="1">
      <alignment horizontal="center" vertical="center"/>
    </xf>
    <xf numFmtId="165" fontId="22" fillId="12" borderId="27" xfId="0" applyNumberFormat="1" applyFont="1" applyFill="1" applyBorder="1" applyAlignment="1">
      <alignment horizontal="justify" vertical="center"/>
    </xf>
    <xf numFmtId="165" fontId="22" fillId="12" borderId="9" xfId="0" applyNumberFormat="1" applyFont="1" applyFill="1" applyBorder="1" applyAlignment="1">
      <alignment horizontal="center" vertical="center"/>
    </xf>
    <xf numFmtId="165" fontId="22" fillId="12" borderId="13" xfId="0" applyNumberFormat="1" applyFont="1" applyFill="1" applyBorder="1" applyAlignment="1">
      <alignment horizontal="center" vertical="center"/>
    </xf>
    <xf numFmtId="0" fontId="16" fillId="7" borderId="19" xfId="0" applyFont="1" applyFill="1" applyBorder="1" applyAlignment="1">
      <alignment horizontal="justify" vertical="center" wrapText="1" readingOrder="2"/>
    </xf>
    <xf numFmtId="49" fontId="13" fillId="0" borderId="18" xfId="19" applyNumberFormat="1" applyFont="1" applyFill="1" applyBorder="1" applyAlignment="1">
      <alignment horizontal="center" vertical="center" wrapText="1"/>
    </xf>
    <xf numFmtId="3" fontId="13" fillId="7" borderId="18" xfId="19" applyNumberFormat="1" applyFont="1" applyFill="1" applyBorder="1" applyAlignment="1">
      <alignment horizontal="center" vertical="center" wrapText="1"/>
    </xf>
    <xf numFmtId="49" fontId="13" fillId="0" borderId="6" xfId="19" applyNumberFormat="1" applyFont="1" applyFill="1" applyBorder="1" applyAlignment="1">
      <alignment horizontal="center" vertical="center"/>
    </xf>
    <xf numFmtId="184" fontId="16" fillId="7" borderId="19" xfId="19" applyFont="1" applyFill="1" applyBorder="1" applyAlignment="1">
      <alignment horizontal="justify" vertical="center" wrapText="1"/>
    </xf>
    <xf numFmtId="49" fontId="13" fillId="0" borderId="27" xfId="19" applyNumberFormat="1" applyFont="1" applyFill="1" applyBorder="1" applyAlignment="1">
      <alignment horizontal="center" vertical="center"/>
    </xf>
    <xf numFmtId="0" fontId="16" fillId="10" borderId="0" xfId="0" applyFont="1" applyFill="1" applyBorder="1" applyAlignment="1">
      <alignment vertical="center"/>
    </xf>
    <xf numFmtId="0" fontId="22" fillId="10" borderId="0" xfId="0" applyFont="1" applyFill="1" applyBorder="1" applyAlignment="1">
      <alignment horizontal="justify" vertical="center" wrapText="1"/>
    </xf>
    <xf numFmtId="0" fontId="22" fillId="10" borderId="0" xfId="0" applyFont="1" applyFill="1" applyBorder="1" applyAlignment="1">
      <alignment horizontal="justify" vertical="center"/>
    </xf>
    <xf numFmtId="0" fontId="22" fillId="10" borderId="0" xfId="0" applyFont="1" applyFill="1" applyBorder="1" applyAlignment="1">
      <alignment vertical="center"/>
    </xf>
    <xf numFmtId="170" fontId="16" fillId="10" borderId="0" xfId="0" applyNumberFormat="1" applyFont="1" applyFill="1" applyBorder="1" applyAlignment="1">
      <alignment horizontal="center" vertical="center"/>
    </xf>
    <xf numFmtId="43" fontId="22" fillId="10" borderId="0" xfId="1" applyFont="1" applyFill="1" applyBorder="1" applyAlignment="1">
      <alignment vertical="center"/>
    </xf>
    <xf numFmtId="43" fontId="22" fillId="10" borderId="6" xfId="1" applyFont="1" applyFill="1" applyBorder="1" applyAlignment="1">
      <alignment horizontal="center" vertical="center"/>
    </xf>
    <xf numFmtId="165" fontId="22" fillId="10" borderId="6" xfId="0" applyNumberFormat="1" applyFont="1" applyFill="1" applyBorder="1" applyAlignment="1">
      <alignment horizontal="justify" vertical="center"/>
    </xf>
    <xf numFmtId="165" fontId="22" fillId="10" borderId="11" xfId="0" applyNumberFormat="1" applyFont="1" applyFill="1" applyBorder="1" applyAlignment="1">
      <alignment horizontal="center" vertical="center"/>
    </xf>
    <xf numFmtId="165" fontId="22" fillId="10" borderId="17" xfId="0" applyNumberFormat="1" applyFont="1" applyFill="1" applyBorder="1" applyAlignment="1">
      <alignment horizontal="center" vertical="center"/>
    </xf>
    <xf numFmtId="0" fontId="16" fillId="7" borderId="0" xfId="0" applyFont="1" applyFill="1" applyBorder="1"/>
    <xf numFmtId="43" fontId="22" fillId="11" borderId="11" xfId="1" applyFont="1" applyFill="1" applyBorder="1" applyAlignment="1">
      <alignment vertical="center"/>
    </xf>
    <xf numFmtId="1" fontId="22" fillId="12" borderId="11" xfId="0" applyNumberFormat="1" applyFont="1" applyFill="1" applyBorder="1" applyAlignment="1">
      <alignment horizontal="left" vertical="center" wrapText="1" indent="1"/>
    </xf>
    <xf numFmtId="170" fontId="16" fillId="12" borderId="20" xfId="0" applyNumberFormat="1" applyFont="1" applyFill="1" applyBorder="1" applyAlignment="1">
      <alignment horizontal="center" vertical="center"/>
    </xf>
    <xf numFmtId="43" fontId="22" fillId="12" borderId="20" xfId="1" applyFont="1" applyFill="1" applyBorder="1" applyAlignment="1">
      <alignment vertical="center"/>
    </xf>
    <xf numFmtId="0" fontId="16" fillId="7" borderId="17" xfId="0" applyFont="1" applyFill="1" applyBorder="1" applyAlignment="1"/>
    <xf numFmtId="0" fontId="26" fillId="7" borderId="11" xfId="0" applyFont="1" applyFill="1" applyBorder="1" applyAlignment="1"/>
    <xf numFmtId="1" fontId="7" fillId="7" borderId="19" xfId="19" applyNumberFormat="1" applyFont="1" applyFill="1" applyBorder="1" applyAlignment="1">
      <alignment horizontal="center" vertical="center" wrapText="1"/>
    </xf>
    <xf numFmtId="1" fontId="7" fillId="7" borderId="20" xfId="19" applyNumberFormat="1" applyFont="1" applyFill="1" applyBorder="1" applyAlignment="1">
      <alignment horizontal="center" vertical="center" wrapText="1"/>
    </xf>
    <xf numFmtId="0" fontId="22" fillId="0" borderId="20" xfId="0" applyFont="1" applyBorder="1" applyAlignment="1">
      <alignment horizontal="center"/>
    </xf>
    <xf numFmtId="0" fontId="33" fillId="7" borderId="20" xfId="0" applyFont="1" applyFill="1" applyBorder="1" applyAlignment="1"/>
    <xf numFmtId="3" fontId="22" fillId="0" borderId="20" xfId="19" applyNumberFormat="1" applyFont="1" applyBorder="1" applyAlignment="1">
      <alignment horizontal="center" vertical="center"/>
    </xf>
    <xf numFmtId="184" fontId="22" fillId="7" borderId="20" xfId="19" applyFont="1" applyFill="1" applyBorder="1" applyAlignment="1">
      <alignment horizontal="justify" vertical="center" wrapText="1"/>
    </xf>
    <xf numFmtId="3" fontId="22" fillId="7" borderId="20" xfId="19" applyNumberFormat="1" applyFont="1" applyFill="1" applyBorder="1" applyAlignment="1">
      <alignment horizontal="center" vertical="center"/>
    </xf>
    <xf numFmtId="184" fontId="22" fillId="7" borderId="20" xfId="19" applyFont="1" applyFill="1" applyBorder="1" applyAlignment="1">
      <alignment horizontal="justify" vertical="center"/>
    </xf>
    <xf numFmtId="49" fontId="22" fillId="0" borderId="20" xfId="19" applyNumberFormat="1" applyFont="1" applyFill="1" applyBorder="1" applyAlignment="1">
      <alignment horizontal="center" vertical="center" wrapText="1"/>
    </xf>
    <xf numFmtId="43" fontId="22" fillId="7" borderId="6" xfId="1" applyFont="1" applyFill="1" applyBorder="1" applyAlignment="1">
      <alignment horizontal="center" vertical="center"/>
    </xf>
    <xf numFmtId="0" fontId="7" fillId="7" borderId="35" xfId="0" applyFont="1" applyFill="1" applyBorder="1" applyAlignment="1">
      <alignment horizontal="justify" vertical="center" wrapText="1"/>
    </xf>
    <xf numFmtId="3" fontId="22" fillId="7" borderId="19" xfId="19" applyNumberFormat="1" applyFont="1" applyFill="1" applyBorder="1" applyAlignment="1">
      <alignment horizontal="center" vertical="center"/>
    </xf>
    <xf numFmtId="0" fontId="33" fillId="0" borderId="20" xfId="0" applyFont="1" applyFill="1" applyBorder="1" applyAlignment="1">
      <alignment vertical="center"/>
    </xf>
    <xf numFmtId="0" fontId="33" fillId="0" borderId="20" xfId="0" applyFont="1" applyBorder="1" applyAlignment="1">
      <alignment vertical="center"/>
    </xf>
    <xf numFmtId="14" fontId="22" fillId="0" borderId="20" xfId="0" applyNumberFormat="1" applyFont="1" applyBorder="1" applyAlignment="1">
      <alignment vertical="center"/>
    </xf>
    <xf numFmtId="0" fontId="33" fillId="0" borderId="35" xfId="0" applyFont="1" applyBorder="1" applyAlignment="1">
      <alignment horizontal="left" vertical="center"/>
    </xf>
    <xf numFmtId="0" fontId="22" fillId="7" borderId="0" xfId="0" applyFont="1" applyFill="1"/>
    <xf numFmtId="1" fontId="8" fillId="0" borderId="0" xfId="0" applyNumberFormat="1" applyFont="1"/>
    <xf numFmtId="0" fontId="8" fillId="7" borderId="0" xfId="0" applyFont="1" applyFill="1" applyAlignment="1">
      <alignment horizontal="justify" vertical="center" wrapText="1"/>
    </xf>
    <xf numFmtId="0" fontId="8" fillId="7" borderId="0" xfId="0" applyFont="1" applyFill="1" applyAlignment="1">
      <alignment horizontal="justify"/>
    </xf>
    <xf numFmtId="0" fontId="8" fillId="7" borderId="0" xfId="0" applyFont="1" applyFill="1" applyAlignment="1">
      <alignment horizontal="center"/>
    </xf>
    <xf numFmtId="0" fontId="8" fillId="7" borderId="0" xfId="0" applyFont="1" applyFill="1" applyAlignment="1">
      <alignment horizontal="justify" vertical="center"/>
    </xf>
    <xf numFmtId="170" fontId="8" fillId="7" borderId="0" xfId="0" applyNumberFormat="1" applyFont="1" applyFill="1" applyAlignment="1">
      <alignment horizontal="center" vertical="center"/>
    </xf>
    <xf numFmtId="165" fontId="8" fillId="7" borderId="0" xfId="0" applyNumberFormat="1" applyFont="1" applyFill="1" applyAlignment="1">
      <alignment vertical="center"/>
    </xf>
    <xf numFmtId="41" fontId="8" fillId="7" borderId="0" xfId="0" applyNumberFormat="1" applyFont="1" applyFill="1" applyAlignment="1">
      <alignment horizontal="center" vertical="center"/>
    </xf>
    <xf numFmtId="0" fontId="8" fillId="7" borderId="0" xfId="0" applyFont="1" applyFill="1" applyAlignment="1">
      <alignment horizontal="center" vertical="center"/>
    </xf>
    <xf numFmtId="166" fontId="8" fillId="0" borderId="0" xfId="0" applyNumberFormat="1" applyFont="1" applyAlignment="1">
      <alignment horizontal="right" vertical="center"/>
    </xf>
    <xf numFmtId="166" fontId="8" fillId="0" borderId="0" xfId="0" applyNumberFormat="1" applyFont="1" applyAlignment="1">
      <alignment horizontal="center"/>
    </xf>
    <xf numFmtId="0" fontId="8" fillId="0" borderId="0" xfId="0" applyFont="1" applyAlignment="1">
      <alignment horizontal="justify" vertical="center" wrapText="1"/>
    </xf>
    <xf numFmtId="0" fontId="7" fillId="0" borderId="11" xfId="0" applyFont="1" applyBorder="1"/>
    <xf numFmtId="0" fontId="23" fillId="0" borderId="6" xfId="0" applyFont="1" applyBorder="1" applyAlignment="1">
      <alignment vertical="center"/>
    </xf>
    <xf numFmtId="0" fontId="23" fillId="0" borderId="6" xfId="0" applyFont="1" applyBorder="1" applyAlignment="1">
      <alignment vertical="center" wrapText="1"/>
    </xf>
    <xf numFmtId="3" fontId="23" fillId="0" borderId="6" xfId="0" applyNumberFormat="1" applyFont="1" applyBorder="1" applyAlignment="1">
      <alignment horizontal="left" vertical="center" wrapText="1"/>
    </xf>
    <xf numFmtId="0" fontId="22" fillId="8" borderId="19" xfId="0" applyFont="1" applyFill="1" applyBorder="1" applyAlignment="1">
      <alignment horizontal="center" vertical="center" textRotation="90" wrapText="1"/>
    </xf>
    <xf numFmtId="49" fontId="22" fillId="8" borderId="19" xfId="0" applyNumberFormat="1" applyFont="1" applyFill="1" applyBorder="1" applyAlignment="1">
      <alignment horizontal="center" vertical="center" textRotation="90" wrapText="1"/>
    </xf>
    <xf numFmtId="0" fontId="16" fillId="0" borderId="0" xfId="0" applyFont="1" applyAlignment="1">
      <alignment horizontal="center" vertical="center"/>
    </xf>
    <xf numFmtId="1" fontId="22" fillId="10" borderId="11" xfId="0" applyNumberFormat="1" applyFont="1" applyFill="1" applyBorder="1" applyAlignment="1">
      <alignment horizontal="justify" vertical="center" wrapText="1"/>
    </xf>
    <xf numFmtId="0" fontId="22" fillId="10" borderId="20" xfId="0" applyFont="1" applyFill="1" applyBorder="1" applyAlignment="1">
      <alignment horizontal="justify" vertical="center"/>
    </xf>
    <xf numFmtId="170" fontId="22" fillId="10" borderId="20" xfId="0" applyNumberFormat="1" applyFont="1" applyFill="1" applyBorder="1" applyAlignment="1">
      <alignment horizontal="justify" vertical="center"/>
    </xf>
    <xf numFmtId="165" fontId="22" fillId="10" borderId="20" xfId="0" applyNumberFormat="1" applyFont="1" applyFill="1" applyBorder="1" applyAlignment="1">
      <alignment horizontal="center" vertical="center"/>
    </xf>
    <xf numFmtId="0" fontId="16" fillId="10" borderId="20" xfId="0" applyFont="1" applyFill="1" applyBorder="1" applyAlignment="1">
      <alignment horizontal="justify" vertical="center"/>
    </xf>
    <xf numFmtId="43" fontId="16" fillId="10" borderId="20" xfId="8" applyNumberFormat="1" applyFont="1" applyFill="1" applyBorder="1" applyAlignment="1">
      <alignment horizontal="right" vertical="center"/>
    </xf>
    <xf numFmtId="1" fontId="22" fillId="10" borderId="20" xfId="0" applyNumberFormat="1" applyFont="1" applyFill="1" applyBorder="1" applyAlignment="1">
      <alignment horizontal="center" vertical="center"/>
    </xf>
    <xf numFmtId="166" fontId="22" fillId="10" borderId="20" xfId="0" applyNumberFormat="1" applyFont="1" applyFill="1" applyBorder="1" applyAlignment="1">
      <alignment vertical="center"/>
    </xf>
    <xf numFmtId="0" fontId="22" fillId="10" borderId="35" xfId="0" applyFont="1" applyFill="1" applyBorder="1" applyAlignment="1">
      <alignment horizontal="justify" vertical="center"/>
    </xf>
    <xf numFmtId="1" fontId="7" fillId="7" borderId="16" xfId="0" applyNumberFormat="1" applyFont="1" applyFill="1" applyBorder="1" applyAlignment="1">
      <alignment horizontal="justify" vertical="center" wrapText="1"/>
    </xf>
    <xf numFmtId="0" fontId="7" fillId="7" borderId="11" xfId="0" applyFont="1" applyFill="1" applyBorder="1" applyAlignment="1">
      <alignment horizontal="justify" vertical="center" wrapText="1"/>
    </xf>
    <xf numFmtId="0" fontId="7" fillId="7" borderId="17" xfId="0" applyFont="1" applyFill="1" applyBorder="1" applyAlignment="1">
      <alignment horizontal="justify" vertical="center" wrapText="1"/>
    </xf>
    <xf numFmtId="1" fontId="7" fillId="11" borderId="0" xfId="0" applyNumberFormat="1" applyFont="1" applyFill="1" applyAlignment="1">
      <alignment horizontal="justify" vertical="center"/>
    </xf>
    <xf numFmtId="170" fontId="7" fillId="11" borderId="9" xfId="0" applyNumberFormat="1" applyFont="1" applyFill="1" applyBorder="1" applyAlignment="1">
      <alignment horizontal="justify" vertical="center"/>
    </xf>
    <xf numFmtId="0" fontId="8" fillId="11" borderId="9" xfId="0" applyFont="1" applyFill="1" applyBorder="1" applyAlignment="1">
      <alignment horizontal="justify" vertical="center"/>
    </xf>
    <xf numFmtId="43" fontId="8" fillId="11" borderId="9" xfId="8" applyNumberFormat="1" applyFont="1" applyFill="1" applyBorder="1" applyAlignment="1">
      <alignment horizontal="right" vertical="center"/>
    </xf>
    <xf numFmtId="1" fontId="7" fillId="11" borderId="9" xfId="0" applyNumberFormat="1" applyFont="1" applyFill="1" applyBorder="1" applyAlignment="1">
      <alignment horizontal="center" vertical="center"/>
    </xf>
    <xf numFmtId="0" fontId="7" fillId="11" borderId="13" xfId="0" applyFont="1" applyFill="1" applyBorder="1" applyAlignment="1">
      <alignment horizontal="justify" vertical="center"/>
    </xf>
    <xf numFmtId="1" fontId="7" fillId="7" borderId="23" xfId="0" applyNumberFormat="1" applyFont="1" applyFill="1" applyBorder="1" applyAlignment="1">
      <alignment horizontal="justify" vertical="center" wrapText="1"/>
    </xf>
    <xf numFmtId="0" fontId="7" fillId="7" borderId="0" xfId="0" applyFont="1" applyFill="1" applyAlignment="1">
      <alignment horizontal="justify" vertical="center" wrapText="1"/>
    </xf>
    <xf numFmtId="0" fontId="7" fillId="7" borderId="16" xfId="0" applyFont="1" applyFill="1" applyBorder="1" applyAlignment="1">
      <alignment horizontal="justify" vertical="center" wrapText="1"/>
    </xf>
    <xf numFmtId="1" fontId="7" fillId="12" borderId="19" xfId="0" applyNumberFormat="1" applyFont="1" applyFill="1" applyBorder="1" applyAlignment="1">
      <alignment horizontal="justify" vertical="center" wrapText="1"/>
    </xf>
    <xf numFmtId="170" fontId="7" fillId="12" borderId="20" xfId="0" applyNumberFormat="1" applyFont="1" applyFill="1" applyBorder="1" applyAlignment="1">
      <alignment horizontal="justify" vertical="center"/>
    </xf>
    <xf numFmtId="165" fontId="7" fillId="12" borderId="11" xfId="0" applyNumberFormat="1" applyFont="1" applyFill="1" applyBorder="1" applyAlignment="1">
      <alignment horizontal="center" vertical="center"/>
    </xf>
    <xf numFmtId="0" fontId="8" fillId="12" borderId="20" xfId="0" applyFont="1" applyFill="1" applyBorder="1" applyAlignment="1">
      <alignment horizontal="justify" vertical="center"/>
    </xf>
    <xf numFmtId="43" fontId="8" fillId="12" borderId="20" xfId="8" applyNumberFormat="1" applyFont="1" applyFill="1" applyBorder="1" applyAlignment="1">
      <alignment horizontal="right" vertical="center"/>
    </xf>
    <xf numFmtId="1" fontId="7" fillId="12" borderId="20" xfId="0" applyNumberFormat="1" applyFont="1" applyFill="1" applyBorder="1" applyAlignment="1">
      <alignment horizontal="center" vertical="center"/>
    </xf>
    <xf numFmtId="0" fontId="7" fillId="12" borderId="35" xfId="0" applyFont="1" applyFill="1" applyBorder="1" applyAlignment="1">
      <alignment horizontal="justify" vertical="center"/>
    </xf>
    <xf numFmtId="1" fontId="8" fillId="0" borderId="23" xfId="0" applyNumberFormat="1" applyFont="1" applyBorder="1" applyAlignment="1">
      <alignment horizontal="justify" vertical="center" wrapText="1"/>
    </xf>
    <xf numFmtId="0" fontId="8" fillId="0" borderId="23"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16" xfId="0" applyFont="1" applyBorder="1" applyAlignment="1">
      <alignment horizontal="justify" vertical="center" wrapText="1"/>
    </xf>
    <xf numFmtId="3" fontId="16" fillId="0" borderId="6" xfId="0" applyNumberFormat="1" applyFont="1" applyBorder="1" applyAlignment="1">
      <alignment horizontal="justify" vertical="center" wrapText="1"/>
    </xf>
    <xf numFmtId="43" fontId="8" fillId="0" borderId="6" xfId="11" applyFont="1" applyBorder="1" applyAlignment="1">
      <alignment horizontal="right" vertical="center"/>
    </xf>
    <xf numFmtId="1" fontId="8" fillId="0" borderId="6" xfId="0" applyNumberFormat="1" applyFont="1" applyBorder="1" applyAlignment="1">
      <alignment horizontal="center" vertical="center"/>
    </xf>
    <xf numFmtId="1" fontId="8" fillId="0" borderId="6" xfId="0" applyNumberFormat="1" applyFont="1" applyBorder="1" applyAlignment="1">
      <alignment vertical="center" wrapText="1"/>
    </xf>
    <xf numFmtId="0" fontId="16" fillId="7" borderId="6" xfId="15" applyFont="1" applyFill="1" applyBorder="1" applyAlignment="1">
      <alignment horizontal="justify" vertical="center" wrapText="1"/>
    </xf>
    <xf numFmtId="4" fontId="8" fillId="0" borderId="6" xfId="15" applyNumberFormat="1" applyFont="1" applyBorder="1" applyAlignment="1">
      <alignment horizontal="right" vertical="center"/>
    </xf>
    <xf numFmtId="3" fontId="8" fillId="0" borderId="6" xfId="15" applyNumberFormat="1" applyFont="1" applyBorder="1" applyAlignment="1">
      <alignment horizontal="right" vertical="center"/>
    </xf>
    <xf numFmtId="0" fontId="8" fillId="0" borderId="12" xfId="0" applyFont="1" applyBorder="1" applyAlignment="1">
      <alignment horizontal="justify" vertical="center" wrapText="1"/>
    </xf>
    <xf numFmtId="1" fontId="8" fillId="7" borderId="23" xfId="0" applyNumberFormat="1" applyFont="1" applyFill="1" applyBorder="1" applyAlignment="1">
      <alignment horizontal="justify"/>
    </xf>
    <xf numFmtId="0" fontId="8" fillId="7" borderId="23" xfId="0" applyFont="1" applyFill="1" applyBorder="1" applyAlignment="1">
      <alignment horizontal="justify"/>
    </xf>
    <xf numFmtId="0" fontId="8" fillId="0" borderId="0" xfId="0" applyFont="1" applyAlignment="1">
      <alignment horizontal="justify"/>
    </xf>
    <xf numFmtId="165" fontId="7" fillId="12" borderId="9" xfId="0" applyNumberFormat="1" applyFont="1" applyFill="1" applyBorder="1" applyAlignment="1">
      <alignment horizontal="center" vertical="center"/>
    </xf>
    <xf numFmtId="0" fontId="7" fillId="12" borderId="20" xfId="0" applyFont="1" applyFill="1" applyBorder="1" applyAlignment="1">
      <alignment horizontal="justify" vertical="center" wrapText="1"/>
    </xf>
    <xf numFmtId="0" fontId="8" fillId="12" borderId="20" xfId="0" applyFont="1" applyFill="1" applyBorder="1" applyAlignment="1">
      <alignment horizontal="justify" vertical="center" wrapText="1"/>
    </xf>
    <xf numFmtId="43" fontId="8" fillId="12" borderId="20" xfId="11" applyFont="1" applyFill="1" applyBorder="1" applyAlignment="1">
      <alignment horizontal="right" vertical="center"/>
    </xf>
    <xf numFmtId="1" fontId="8" fillId="12" borderId="20" xfId="0" applyNumberFormat="1" applyFont="1" applyFill="1" applyBorder="1" applyAlignment="1">
      <alignment horizontal="center" vertical="center"/>
    </xf>
    <xf numFmtId="0" fontId="8" fillId="12" borderId="20" xfId="0" applyFont="1" applyFill="1" applyBorder="1" applyAlignment="1">
      <alignment horizontal="center" vertical="center"/>
    </xf>
    <xf numFmtId="0" fontId="8" fillId="12" borderId="20" xfId="0" applyFont="1" applyFill="1" applyBorder="1"/>
    <xf numFmtId="2" fontId="8" fillId="12" borderId="20" xfId="0" applyNumberFormat="1" applyFont="1" applyFill="1" applyBorder="1" applyAlignment="1">
      <alignment vertical="center" wrapText="1"/>
    </xf>
    <xf numFmtId="166" fontId="8" fillId="12" borderId="20" xfId="0" applyNumberFormat="1" applyFont="1" applyFill="1" applyBorder="1" applyAlignment="1">
      <alignment horizontal="right" vertical="center"/>
    </xf>
    <xf numFmtId="166" fontId="8" fillId="12" borderId="20" xfId="0" applyNumberFormat="1" applyFont="1" applyFill="1" applyBorder="1" applyAlignment="1">
      <alignment horizontal="center"/>
    </xf>
    <xf numFmtId="0" fontId="8" fillId="12" borderId="35" xfId="0" applyFont="1" applyFill="1" applyBorder="1" applyAlignment="1">
      <alignment horizontal="justify" vertical="center" wrapText="1"/>
    </xf>
    <xf numFmtId="1" fontId="8" fillId="0" borderId="23" xfId="0" applyNumberFormat="1" applyFont="1" applyBorder="1" applyAlignment="1">
      <alignment horizontal="justify"/>
    </xf>
    <xf numFmtId="0" fontId="8" fillId="0" borderId="23" xfId="0" applyFont="1" applyBorder="1" applyAlignment="1">
      <alignment horizontal="justify"/>
    </xf>
    <xf numFmtId="43" fontId="8" fillId="0" borderId="6" xfId="11" applyFont="1" applyFill="1" applyBorder="1" applyAlignment="1">
      <alignment horizontal="right" vertical="center"/>
    </xf>
    <xf numFmtId="43" fontId="8" fillId="0" borderId="18" xfId="11" applyFont="1" applyFill="1" applyBorder="1" applyAlignment="1">
      <alignment horizontal="right" vertical="center"/>
    </xf>
    <xf numFmtId="1" fontId="8" fillId="0" borderId="18" xfId="0" applyNumberFormat="1" applyFont="1" applyBorder="1" applyAlignment="1">
      <alignment horizontal="center" vertical="center"/>
    </xf>
    <xf numFmtId="1" fontId="8" fillId="0" borderId="18" xfId="0" applyNumberFormat="1" applyFont="1" applyBorder="1" applyAlignment="1">
      <alignment vertical="center" wrapText="1"/>
    </xf>
    <xf numFmtId="0" fontId="8" fillId="0" borderId="12" xfId="0" applyFont="1" applyBorder="1" applyAlignment="1">
      <alignment horizontal="justify"/>
    </xf>
    <xf numFmtId="0" fontId="8" fillId="0" borderId="54" xfId="0" applyFont="1" applyBorder="1" applyAlignment="1">
      <alignment horizontal="center" vertical="center"/>
    </xf>
    <xf numFmtId="0" fontId="8" fillId="0" borderId="53" xfId="0" applyFont="1" applyBorder="1" applyAlignment="1">
      <alignment horizontal="center" vertical="center"/>
    </xf>
    <xf numFmtId="1" fontId="7" fillId="25" borderId="19" xfId="0" applyNumberFormat="1" applyFont="1" applyFill="1" applyBorder="1" applyAlignment="1">
      <alignment horizontal="justify" vertical="center"/>
    </xf>
    <xf numFmtId="0" fontId="7" fillId="25" borderId="11" xfId="0" applyFont="1" applyFill="1" applyBorder="1" applyAlignment="1">
      <alignment horizontal="justify" vertical="center"/>
    </xf>
    <xf numFmtId="0" fontId="7" fillId="25" borderId="11" xfId="0" applyFont="1" applyFill="1" applyBorder="1" applyAlignment="1">
      <alignment horizontal="center" vertical="center"/>
    </xf>
    <xf numFmtId="170" fontId="7" fillId="25" borderId="11" xfId="0" applyNumberFormat="1" applyFont="1" applyFill="1" applyBorder="1" applyAlignment="1">
      <alignment horizontal="justify" vertical="center"/>
    </xf>
    <xf numFmtId="165" fontId="7" fillId="25" borderId="11" xfId="0" applyNumberFormat="1" applyFont="1" applyFill="1" applyBorder="1" applyAlignment="1">
      <alignment horizontal="center" vertical="center"/>
    </xf>
    <xf numFmtId="0" fontId="7" fillId="25" borderId="11" xfId="0" applyFont="1" applyFill="1" applyBorder="1" applyAlignment="1">
      <alignment horizontal="justify" vertical="center" wrapText="1"/>
    </xf>
    <xf numFmtId="0" fontId="8" fillId="25" borderId="11" xfId="0" applyFont="1" applyFill="1" applyBorder="1" applyAlignment="1">
      <alignment horizontal="justify" vertical="center" wrapText="1"/>
    </xf>
    <xf numFmtId="43" fontId="8" fillId="25" borderId="0" xfId="8" applyNumberFormat="1" applyFont="1" applyFill="1" applyAlignment="1">
      <alignment horizontal="right" vertical="center"/>
    </xf>
    <xf numFmtId="1" fontId="8" fillId="25" borderId="0" xfId="0" applyNumberFormat="1" applyFont="1" applyFill="1" applyAlignment="1">
      <alignment horizontal="center" vertical="center"/>
    </xf>
    <xf numFmtId="0" fontId="8" fillId="25" borderId="0" xfId="0" applyFont="1" applyFill="1" applyAlignment="1">
      <alignment horizontal="center" vertical="center"/>
    </xf>
    <xf numFmtId="0" fontId="8" fillId="25" borderId="11" xfId="0" applyFont="1" applyFill="1" applyBorder="1"/>
    <xf numFmtId="2" fontId="8" fillId="25" borderId="11" xfId="0" applyNumberFormat="1" applyFont="1" applyFill="1" applyBorder="1" applyAlignment="1">
      <alignment vertical="center" wrapText="1"/>
    </xf>
    <xf numFmtId="166" fontId="8" fillId="25" borderId="11" xfId="0" applyNumberFormat="1" applyFont="1" applyFill="1" applyBorder="1" applyAlignment="1">
      <alignment horizontal="right" vertical="center"/>
    </xf>
    <xf numFmtId="166" fontId="8" fillId="25" borderId="11" xfId="0" applyNumberFormat="1" applyFont="1" applyFill="1" applyBorder="1" applyAlignment="1">
      <alignment horizontal="center"/>
    </xf>
    <xf numFmtId="0" fontId="8" fillId="25" borderId="17" xfId="0" applyFont="1" applyFill="1" applyBorder="1" applyAlignment="1">
      <alignment horizontal="justify" vertical="center" wrapText="1"/>
    </xf>
    <xf numFmtId="0" fontId="8" fillId="7" borderId="24" xfId="0" applyFont="1" applyFill="1" applyBorder="1" applyAlignment="1">
      <alignment horizontal="justify"/>
    </xf>
    <xf numFmtId="1" fontId="8" fillId="0" borderId="23" xfId="0" applyNumberFormat="1" applyFont="1" applyBorder="1" applyAlignment="1">
      <alignment horizontal="justify" vertical="center"/>
    </xf>
    <xf numFmtId="0" fontId="8" fillId="0" borderId="0" xfId="0" applyFont="1" applyAlignment="1">
      <alignment horizontal="justify" vertical="center"/>
    </xf>
    <xf numFmtId="0" fontId="8" fillId="0" borderId="24" xfId="0" applyFont="1" applyBorder="1" applyAlignment="1">
      <alignment horizontal="justify" vertical="center"/>
    </xf>
    <xf numFmtId="0" fontId="8" fillId="0" borderId="23" xfId="0" applyFont="1" applyBorder="1" applyAlignment="1">
      <alignment horizontal="justify" vertical="center"/>
    </xf>
    <xf numFmtId="0" fontId="8" fillId="0" borderId="16" xfId="0" applyFont="1" applyBorder="1" applyAlignment="1">
      <alignment horizontal="justify" vertical="center"/>
    </xf>
    <xf numFmtId="49" fontId="16" fillId="0" borderId="6" xfId="20" applyNumberFormat="1" applyFont="1" applyBorder="1" applyAlignment="1">
      <alignment horizontal="justify" vertical="center" wrapText="1"/>
    </xf>
    <xf numFmtId="49" fontId="16" fillId="7" borderId="6" xfId="20" applyNumberFormat="1" applyFont="1" applyFill="1" applyBorder="1" applyAlignment="1">
      <alignment horizontal="justify" vertical="center" wrapText="1"/>
    </xf>
    <xf numFmtId="1" fontId="7" fillId="23" borderId="19" xfId="0" applyNumberFormat="1" applyFont="1" applyFill="1" applyBorder="1" applyAlignment="1">
      <alignment horizontal="justify" vertical="center"/>
    </xf>
    <xf numFmtId="0" fontId="7" fillId="23" borderId="20" xfId="0" applyFont="1" applyFill="1" applyBorder="1" applyAlignment="1">
      <alignment horizontal="justify" vertical="center"/>
    </xf>
    <xf numFmtId="0" fontId="7" fillId="23" borderId="11" xfId="0" applyFont="1" applyFill="1" applyBorder="1" applyAlignment="1">
      <alignment horizontal="justify" vertical="center"/>
    </xf>
    <xf numFmtId="0" fontId="7" fillId="23" borderId="11" xfId="0" applyFont="1" applyFill="1" applyBorder="1" applyAlignment="1">
      <alignment horizontal="center" vertical="center"/>
    </xf>
    <xf numFmtId="170" fontId="7" fillId="23" borderId="11" xfId="0" applyNumberFormat="1" applyFont="1" applyFill="1" applyBorder="1" applyAlignment="1">
      <alignment horizontal="justify" vertical="center"/>
    </xf>
    <xf numFmtId="165" fontId="7" fillId="23" borderId="11" xfId="0" applyNumberFormat="1" applyFont="1" applyFill="1" applyBorder="1" applyAlignment="1">
      <alignment horizontal="center" vertical="center"/>
    </xf>
    <xf numFmtId="0" fontId="7" fillId="23" borderId="11" xfId="0" applyFont="1" applyFill="1" applyBorder="1" applyAlignment="1">
      <alignment horizontal="justify" vertical="center" wrapText="1"/>
    </xf>
    <xf numFmtId="0" fontId="8" fillId="23" borderId="11" xfId="0" applyFont="1" applyFill="1" applyBorder="1" applyAlignment="1">
      <alignment horizontal="justify" vertical="center" wrapText="1"/>
    </xf>
    <xf numFmtId="43" fontId="8" fillId="23" borderId="11" xfId="8" applyNumberFormat="1" applyFont="1" applyFill="1" applyBorder="1" applyAlignment="1">
      <alignment horizontal="right" vertical="center"/>
    </xf>
    <xf numFmtId="1" fontId="8" fillId="23" borderId="11" xfId="0" applyNumberFormat="1" applyFont="1" applyFill="1" applyBorder="1" applyAlignment="1">
      <alignment horizontal="center" vertical="center"/>
    </xf>
    <xf numFmtId="0" fontId="8" fillId="23" borderId="11" xfId="0" applyFont="1" applyFill="1" applyBorder="1" applyAlignment="1">
      <alignment horizontal="center" vertical="center"/>
    </xf>
    <xf numFmtId="0" fontId="8" fillId="23" borderId="11" xfId="0" applyFont="1" applyFill="1" applyBorder="1"/>
    <xf numFmtId="2" fontId="8" fillId="23" borderId="11" xfId="0" applyNumberFormat="1" applyFont="1" applyFill="1" applyBorder="1" applyAlignment="1">
      <alignment vertical="center" wrapText="1"/>
    </xf>
    <xf numFmtId="166" fontId="8" fillId="23" borderId="11" xfId="0" applyNumberFormat="1" applyFont="1" applyFill="1" applyBorder="1" applyAlignment="1">
      <alignment horizontal="right" vertical="center"/>
    </xf>
    <xf numFmtId="166" fontId="8" fillId="23" borderId="11" xfId="0" applyNumberFormat="1" applyFont="1" applyFill="1" applyBorder="1" applyAlignment="1">
      <alignment horizontal="center"/>
    </xf>
    <xf numFmtId="0" fontId="8" fillId="23" borderId="17" xfId="0" applyFont="1" applyFill="1" applyBorder="1" applyAlignment="1">
      <alignment horizontal="justify" vertical="center" wrapText="1"/>
    </xf>
    <xf numFmtId="0" fontId="8" fillId="7" borderId="16" xfId="0" applyFont="1" applyFill="1" applyBorder="1" applyAlignment="1">
      <alignment horizontal="justify"/>
    </xf>
    <xf numFmtId="0" fontId="8" fillId="7" borderId="11" xfId="0" applyFont="1" applyFill="1" applyBorder="1" applyAlignment="1">
      <alignment horizontal="justify"/>
    </xf>
    <xf numFmtId="0" fontId="8" fillId="7" borderId="17" xfId="0" applyFont="1" applyFill="1" applyBorder="1" applyAlignment="1">
      <alignment horizontal="justify"/>
    </xf>
    <xf numFmtId="1" fontId="8" fillId="12" borderId="11" xfId="0" applyNumberFormat="1" applyFont="1" applyFill="1" applyBorder="1" applyAlignment="1">
      <alignment horizontal="center" vertical="center"/>
    </xf>
    <xf numFmtId="0" fontId="8" fillId="12" borderId="11" xfId="0" applyFont="1" applyFill="1" applyBorder="1" applyAlignment="1">
      <alignment horizontal="center" vertical="center"/>
    </xf>
    <xf numFmtId="0" fontId="8" fillId="12" borderId="11" xfId="0" applyFont="1" applyFill="1" applyBorder="1"/>
    <xf numFmtId="0" fontId="8" fillId="0" borderId="16" xfId="0" applyFont="1" applyBorder="1" applyAlignment="1">
      <alignment horizontal="justify"/>
    </xf>
    <xf numFmtId="0" fontId="8" fillId="0" borderId="11" xfId="0" applyFont="1" applyBorder="1" applyAlignment="1">
      <alignment horizontal="justify"/>
    </xf>
    <xf numFmtId="0" fontId="16" fillId="0" borderId="6" xfId="0" applyFont="1" applyFill="1" applyBorder="1" applyAlignment="1">
      <alignment horizontal="justify" vertical="center" wrapText="1"/>
    </xf>
    <xf numFmtId="1" fontId="8" fillId="0" borderId="18" xfId="0" applyNumberFormat="1" applyFont="1" applyBorder="1" applyAlignment="1">
      <alignment horizontal="center" vertical="center" wrapText="1"/>
    </xf>
    <xf numFmtId="43" fontId="8" fillId="0" borderId="17" xfId="11" applyFont="1" applyFill="1" applyBorder="1" applyAlignment="1">
      <alignment horizontal="right" vertical="center"/>
    </xf>
    <xf numFmtId="43" fontId="8" fillId="0" borderId="54" xfId="11" applyFont="1" applyFill="1" applyBorder="1" applyAlignment="1">
      <alignment horizontal="right" vertical="center"/>
    </xf>
    <xf numFmtId="1" fontId="8" fillId="0" borderId="53" xfId="0" applyNumberFormat="1" applyFont="1" applyBorder="1" applyAlignment="1">
      <alignment horizontal="center" vertical="center" wrapText="1"/>
    </xf>
    <xf numFmtId="1" fontId="8" fillId="0" borderId="53" xfId="0" applyNumberFormat="1" applyFont="1" applyBorder="1" applyAlignment="1">
      <alignment vertical="center" wrapText="1"/>
    </xf>
    <xf numFmtId="0" fontId="8" fillId="0" borderId="65" xfId="0" applyFont="1" applyFill="1" applyBorder="1" applyAlignment="1">
      <alignment horizontal="justify" vertical="center"/>
    </xf>
    <xf numFmtId="188" fontId="8" fillId="0" borderId="55" xfId="0" applyNumberFormat="1" applyFont="1" applyFill="1" applyBorder="1" applyAlignment="1">
      <alignment vertical="center"/>
    </xf>
    <xf numFmtId="1" fontId="8" fillId="0" borderId="55" xfId="0" applyNumberFormat="1" applyFont="1" applyBorder="1" applyAlignment="1">
      <alignment horizontal="center" vertical="center" wrapText="1"/>
    </xf>
    <xf numFmtId="1" fontId="8" fillId="0" borderId="55" xfId="0" applyNumberFormat="1" applyFont="1" applyBorder="1" applyAlignment="1">
      <alignment vertical="center" wrapText="1"/>
    </xf>
    <xf numFmtId="0" fontId="16" fillId="0" borderId="53" xfId="0" applyFont="1" applyFill="1" applyBorder="1" applyAlignment="1">
      <alignment horizontal="justify" vertical="center" wrapText="1"/>
    </xf>
    <xf numFmtId="188" fontId="8" fillId="0" borderId="53" xfId="11" applyNumberFormat="1" applyFont="1" applyFill="1" applyBorder="1" applyAlignment="1">
      <alignment horizontal="right" vertical="center"/>
    </xf>
    <xf numFmtId="0" fontId="8" fillId="0" borderId="0" xfId="0" applyFont="1" applyAlignment="1">
      <alignment horizontal="justify" wrapText="1"/>
    </xf>
    <xf numFmtId="0" fontId="8" fillId="0" borderId="53" xfId="0" applyFont="1" applyFill="1" applyBorder="1" applyAlignment="1">
      <alignment horizontal="justify" wrapText="1"/>
    </xf>
    <xf numFmtId="188" fontId="8" fillId="0" borderId="53" xfId="0" applyNumberFormat="1" applyFont="1" applyFill="1" applyBorder="1" applyAlignment="1">
      <alignment vertical="center"/>
    </xf>
    <xf numFmtId="9" fontId="8" fillId="0" borderId="18" xfId="12" applyFont="1" applyBorder="1" applyAlignment="1">
      <alignment horizontal="center" vertical="center"/>
    </xf>
    <xf numFmtId="0" fontId="16" fillId="7" borderId="27" xfId="0" applyFont="1" applyFill="1" applyBorder="1" applyAlignment="1">
      <alignment horizontal="justify" vertical="center" wrapText="1"/>
    </xf>
    <xf numFmtId="43" fontId="8" fillId="0" borderId="27" xfId="11" applyFont="1" applyBorder="1" applyAlignment="1">
      <alignment horizontal="right" vertical="center"/>
    </xf>
    <xf numFmtId="1" fontId="8" fillId="0" borderId="25" xfId="0" applyNumberFormat="1" applyFont="1" applyBorder="1" applyAlignment="1">
      <alignment horizontal="center" vertical="center" wrapText="1"/>
    </xf>
    <xf numFmtId="1" fontId="8" fillId="0" borderId="25" xfId="0" applyNumberFormat="1" applyFont="1" applyBorder="1" applyAlignment="1">
      <alignment vertical="center" wrapText="1"/>
    </xf>
    <xf numFmtId="1" fontId="8" fillId="0" borderId="6" xfId="0" applyNumberFormat="1" applyFont="1" applyBorder="1" applyAlignment="1">
      <alignment horizontal="center" vertical="center" wrapText="1"/>
    </xf>
    <xf numFmtId="1" fontId="8" fillId="0" borderId="19" xfId="0" applyNumberFormat="1" applyFont="1" applyBorder="1" applyAlignment="1">
      <alignment horizontal="center" vertical="center"/>
    </xf>
    <xf numFmtId="9" fontId="8" fillId="0" borderId="6" xfId="12" applyFont="1" applyBorder="1" applyAlignment="1">
      <alignment horizontal="center" vertical="center"/>
    </xf>
    <xf numFmtId="43" fontId="8" fillId="0" borderId="19" xfId="11" applyFont="1" applyBorder="1" applyAlignment="1">
      <alignment horizontal="right" vertical="center"/>
    </xf>
    <xf numFmtId="1" fontId="8" fillId="0" borderId="17" xfId="0" applyNumberFormat="1" applyFont="1" applyBorder="1" applyAlignment="1">
      <alignment horizontal="center" vertical="center" wrapText="1"/>
    </xf>
    <xf numFmtId="43" fontId="8" fillId="0" borderId="19" xfId="11" applyFont="1" applyFill="1" applyBorder="1" applyAlignment="1">
      <alignment horizontal="right" vertical="center"/>
    </xf>
    <xf numFmtId="1" fontId="8" fillId="0" borderId="54" xfId="0" applyNumberFormat="1" applyFont="1" applyBorder="1" applyAlignment="1">
      <alignment horizontal="center" vertical="center" wrapText="1"/>
    </xf>
    <xf numFmtId="43" fontId="8" fillId="0" borderId="16" xfId="11" applyFont="1" applyBorder="1" applyAlignment="1">
      <alignment horizontal="right" vertical="center"/>
    </xf>
    <xf numFmtId="41" fontId="8" fillId="0" borderId="53" xfId="0" applyNumberFormat="1" applyFont="1" applyBorder="1" applyAlignment="1">
      <alignment vertical="center"/>
    </xf>
    <xf numFmtId="43" fontId="8" fillId="0" borderId="12" xfId="11" applyFont="1" applyBorder="1" applyAlignment="1">
      <alignment horizontal="right" vertical="center"/>
    </xf>
    <xf numFmtId="1" fontId="8" fillId="0" borderId="27" xfId="0" applyNumberFormat="1" applyFont="1" applyBorder="1" applyAlignment="1">
      <alignment vertical="center" wrapText="1"/>
    </xf>
    <xf numFmtId="1" fontId="8" fillId="0" borderId="18" xfId="0" applyNumberFormat="1" applyFont="1" applyFill="1" applyBorder="1" applyAlignment="1">
      <alignment horizontal="center" vertical="center" wrapText="1"/>
    </xf>
    <xf numFmtId="1" fontId="8" fillId="0" borderId="6" xfId="0" applyNumberFormat="1" applyFont="1" applyFill="1" applyBorder="1" applyAlignment="1">
      <alignment vertical="center" wrapText="1"/>
    </xf>
    <xf numFmtId="1" fontId="8" fillId="0" borderId="27" xfId="0" applyNumberFormat="1" applyFont="1" applyFill="1" applyBorder="1" applyAlignment="1">
      <alignment vertical="center" wrapText="1"/>
    </xf>
    <xf numFmtId="43" fontId="8" fillId="0" borderId="16" xfId="11" applyFont="1" applyFill="1" applyBorder="1" applyAlignment="1">
      <alignment horizontal="right" vertical="center"/>
    </xf>
    <xf numFmtId="1" fontId="8" fillId="0" borderId="18" xfId="0" applyNumberFormat="1" applyFont="1" applyFill="1" applyBorder="1" applyAlignment="1">
      <alignment vertical="center" wrapText="1"/>
    </xf>
    <xf numFmtId="1" fontId="8" fillId="0" borderId="53" xfId="0" applyNumberFormat="1" applyFont="1" applyFill="1" applyBorder="1" applyAlignment="1">
      <alignment horizontal="center" vertical="center" wrapText="1"/>
    </xf>
    <xf numFmtId="1" fontId="8" fillId="0" borderId="55" xfId="0" applyNumberFormat="1" applyFont="1" applyFill="1" applyBorder="1" applyAlignment="1">
      <alignment vertical="center" wrapText="1"/>
    </xf>
    <xf numFmtId="1" fontId="8" fillId="0" borderId="60" xfId="0" applyNumberFormat="1" applyFont="1" applyFill="1" applyBorder="1" applyAlignment="1">
      <alignment horizontal="center" vertical="center" wrapText="1"/>
    </xf>
    <xf numFmtId="0" fontId="26" fillId="7" borderId="56" xfId="0" applyFont="1" applyFill="1" applyBorder="1" applyAlignment="1">
      <alignment horizontal="justify" vertical="center" wrapText="1"/>
    </xf>
    <xf numFmtId="0" fontId="26" fillId="7" borderId="71" xfId="0" applyFont="1" applyFill="1" applyBorder="1" applyAlignment="1">
      <alignment horizontal="justify" vertical="center" wrapText="1"/>
    </xf>
    <xf numFmtId="188" fontId="8" fillId="0" borderId="70" xfId="0" applyNumberFormat="1" applyFont="1" applyFill="1" applyBorder="1" applyAlignment="1">
      <alignment horizontal="right" vertical="center"/>
    </xf>
    <xf numFmtId="0" fontId="8" fillId="0" borderId="55" xfId="0" applyFont="1" applyFill="1" applyBorder="1" applyAlignment="1">
      <alignment horizontal="center" vertical="center"/>
    </xf>
    <xf numFmtId="1" fontId="8" fillId="0" borderId="0" xfId="0" applyNumberFormat="1" applyFont="1" applyBorder="1" applyAlignment="1">
      <alignment horizontal="justify" vertical="center" wrapText="1"/>
    </xf>
    <xf numFmtId="0" fontId="8" fillId="0" borderId="0" xfId="0" applyFont="1" applyBorder="1" applyAlignment="1">
      <alignment horizontal="justify"/>
    </xf>
    <xf numFmtId="0" fontId="8" fillId="0" borderId="24" xfId="0" applyFont="1" applyBorder="1" applyAlignment="1">
      <alignment horizontal="justify"/>
    </xf>
    <xf numFmtId="0" fontId="8" fillId="0" borderId="0" xfId="0" applyFont="1" applyBorder="1" applyAlignment="1">
      <alignment horizontal="justify" vertical="center" wrapText="1"/>
    </xf>
    <xf numFmtId="41" fontId="8" fillId="0" borderId="6" xfId="11" applyNumberFormat="1" applyFont="1" applyBorder="1" applyAlignment="1">
      <alignment horizontal="right" vertical="center"/>
    </xf>
    <xf numFmtId="0" fontId="8" fillId="0" borderId="6" xfId="0" applyFont="1" applyFill="1" applyBorder="1" applyAlignment="1">
      <alignment horizontal="center" vertical="center"/>
    </xf>
    <xf numFmtId="41" fontId="8" fillId="0" borderId="6" xfId="0" applyNumberFormat="1" applyFont="1" applyBorder="1" applyAlignment="1">
      <alignment horizontal="center" vertical="center" wrapText="1"/>
    </xf>
    <xf numFmtId="0" fontId="8" fillId="0" borderId="0" xfId="0" applyFont="1" applyBorder="1"/>
    <xf numFmtId="41" fontId="8" fillId="0" borderId="6" xfId="11" applyNumberFormat="1" applyFont="1" applyFill="1" applyBorder="1" applyAlignment="1">
      <alignment horizontal="right" vertical="center"/>
    </xf>
    <xf numFmtId="0" fontId="26" fillId="0" borderId="6" xfId="7" applyFont="1" applyBorder="1" applyAlignment="1">
      <alignment horizontal="justify" vertical="center" wrapText="1"/>
    </xf>
    <xf numFmtId="0" fontId="16" fillId="0" borderId="18" xfId="0" applyFont="1" applyBorder="1" applyAlignment="1">
      <alignment horizontal="justify" vertical="center" wrapText="1"/>
    </xf>
    <xf numFmtId="41" fontId="8" fillId="0" borderId="53" xfId="0" applyNumberFormat="1" applyFont="1" applyFill="1" applyBorder="1" applyAlignment="1">
      <alignment vertical="center"/>
    </xf>
    <xf numFmtId="1" fontId="8" fillId="0" borderId="53" xfId="0" applyNumberFormat="1" applyFont="1" applyFill="1" applyBorder="1" applyAlignment="1">
      <alignment vertical="center" wrapText="1"/>
    </xf>
    <xf numFmtId="43" fontId="8" fillId="0" borderId="56" xfId="11" applyFont="1" applyFill="1" applyBorder="1" applyAlignment="1">
      <alignment horizontal="right" vertical="center"/>
    </xf>
    <xf numFmtId="1" fontId="8" fillId="0" borderId="56" xfId="0" applyNumberFormat="1" applyFont="1" applyBorder="1" applyAlignment="1">
      <alignment horizontal="center" vertical="center" wrapText="1"/>
    </xf>
    <xf numFmtId="1" fontId="8" fillId="0" borderId="56" xfId="0" applyNumberFormat="1" applyFont="1" applyBorder="1" applyAlignment="1">
      <alignment vertical="center" wrapText="1"/>
    </xf>
    <xf numFmtId="43" fontId="8" fillId="0" borderId="27" xfId="11" applyFont="1" applyFill="1" applyBorder="1" applyAlignment="1">
      <alignment horizontal="right" vertical="center"/>
    </xf>
    <xf numFmtId="0" fontId="16" fillId="0" borderId="12" xfId="0" applyFont="1" applyBorder="1" applyAlignment="1">
      <alignment horizontal="justify" vertical="center" wrapText="1"/>
    </xf>
    <xf numFmtId="43" fontId="8" fillId="0" borderId="53" xfId="11" applyFont="1" applyFill="1" applyBorder="1" applyAlignment="1">
      <alignment vertical="center"/>
    </xf>
    <xf numFmtId="0" fontId="16" fillId="0" borderId="6" xfId="15" applyFont="1" applyBorder="1" applyAlignment="1">
      <alignment horizontal="justify" vertical="center" wrapText="1"/>
    </xf>
    <xf numFmtId="4" fontId="8" fillId="0" borderId="27" xfId="11" applyNumberFormat="1" applyFont="1" applyFill="1" applyBorder="1" applyAlignment="1">
      <alignment horizontal="right" vertical="center"/>
    </xf>
    <xf numFmtId="4" fontId="8" fillId="0" borderId="6" xfId="11" applyNumberFormat="1" applyFont="1" applyFill="1" applyBorder="1" applyAlignment="1">
      <alignment horizontal="right" vertical="center"/>
    </xf>
    <xf numFmtId="0" fontId="26" fillId="0" borderId="18" xfId="15" applyFont="1" applyBorder="1" applyAlignment="1">
      <alignment horizontal="justify" vertical="center" wrapText="1"/>
    </xf>
    <xf numFmtId="0" fontId="16" fillId="0" borderId="18" xfId="15" applyFont="1" applyBorder="1" applyAlignment="1">
      <alignment horizontal="justify" vertical="center" wrapText="1"/>
    </xf>
    <xf numFmtId="4" fontId="8" fillId="0" borderId="18" xfId="11" applyNumberFormat="1" applyFont="1" applyFill="1" applyBorder="1" applyAlignment="1">
      <alignment horizontal="right" vertical="center"/>
    </xf>
    <xf numFmtId="0" fontId="16" fillId="0" borderId="16" xfId="15" applyFont="1" applyBorder="1" applyAlignment="1">
      <alignment horizontal="justify" vertical="center" wrapText="1"/>
    </xf>
    <xf numFmtId="0" fontId="16" fillId="7" borderId="6" xfId="21" applyFont="1" applyFill="1" applyBorder="1" applyAlignment="1">
      <alignment horizontal="justify" vertical="center" wrapText="1"/>
    </xf>
    <xf numFmtId="1" fontId="8" fillId="0" borderId="27" xfId="0" applyNumberFormat="1" applyFont="1" applyBorder="1" applyAlignment="1">
      <alignment horizontal="center" vertical="center" wrapText="1"/>
    </xf>
    <xf numFmtId="0" fontId="16" fillId="0" borderId="70" xfId="0" applyFont="1" applyBorder="1" applyAlignment="1">
      <alignment horizontal="center" vertical="center" wrapText="1"/>
    </xf>
    <xf numFmtId="0" fontId="16" fillId="0" borderId="55" xfId="0" applyFont="1" applyBorder="1" applyAlignment="1">
      <alignment horizontal="justify" vertical="center" wrapText="1"/>
    </xf>
    <xf numFmtId="0" fontId="16" fillId="7" borderId="35" xfId="0" applyFont="1" applyFill="1" applyBorder="1" applyAlignment="1" applyProtection="1">
      <alignment horizontal="justify" vertical="center" wrapText="1"/>
      <protection locked="0"/>
    </xf>
    <xf numFmtId="1" fontId="16" fillId="0" borderId="6" xfId="0" applyNumberFormat="1" applyFont="1" applyBorder="1" applyAlignment="1">
      <alignment horizontal="center" vertical="center"/>
    </xf>
    <xf numFmtId="43" fontId="8" fillId="0" borderId="18" xfId="11" applyFont="1" applyBorder="1" applyAlignment="1">
      <alignment horizontal="right" vertical="center"/>
    </xf>
    <xf numFmtId="0" fontId="8" fillId="0" borderId="80" xfId="0" applyFont="1" applyBorder="1" applyAlignment="1">
      <alignment horizontal="justify"/>
    </xf>
    <xf numFmtId="0" fontId="8" fillId="0" borderId="62" xfId="0" applyFont="1" applyBorder="1" applyAlignment="1">
      <alignment horizontal="justify"/>
    </xf>
    <xf numFmtId="0" fontId="8" fillId="0" borderId="81" xfId="0" applyFont="1" applyBorder="1" applyAlignment="1">
      <alignment horizontal="justify"/>
    </xf>
    <xf numFmtId="1" fontId="8" fillId="0" borderId="31" xfId="0" applyNumberFormat="1" applyFont="1" applyBorder="1" applyAlignment="1">
      <alignment horizontal="justify"/>
    </xf>
    <xf numFmtId="0" fontId="8" fillId="0" borderId="32" xfId="0" applyFont="1" applyBorder="1" applyAlignment="1">
      <alignment horizontal="justify"/>
    </xf>
    <xf numFmtId="0" fontId="8" fillId="0" borderId="32" xfId="0" applyFont="1" applyBorder="1" applyAlignment="1">
      <alignment horizontal="center" vertical="center"/>
    </xf>
    <xf numFmtId="0" fontId="8" fillId="7" borderId="32" xfId="0" applyFont="1" applyFill="1" applyBorder="1" applyAlignment="1">
      <alignment horizontal="justify" vertical="center"/>
    </xf>
    <xf numFmtId="0" fontId="8" fillId="7" borderId="32" xfId="0" applyFont="1" applyFill="1" applyBorder="1" applyAlignment="1">
      <alignment horizontal="justify"/>
    </xf>
    <xf numFmtId="0" fontId="7" fillId="7" borderId="32" xfId="0" applyFont="1" applyFill="1" applyBorder="1" applyAlignment="1">
      <alignment horizontal="center" vertical="center"/>
    </xf>
    <xf numFmtId="0" fontId="8" fillId="7" borderId="32" xfId="0" applyFont="1" applyFill="1" applyBorder="1" applyAlignment="1">
      <alignment horizontal="center"/>
    </xf>
    <xf numFmtId="170" fontId="8" fillId="7" borderId="33" xfId="0" applyNumberFormat="1" applyFont="1" applyFill="1" applyBorder="1" applyAlignment="1">
      <alignment horizontal="justify" vertical="center"/>
    </xf>
    <xf numFmtId="43" fontId="7" fillId="7" borderId="34" xfId="11" applyFont="1" applyFill="1" applyBorder="1" applyAlignment="1">
      <alignment horizontal="right" vertical="center"/>
    </xf>
    <xf numFmtId="0" fontId="8" fillId="7" borderId="31" xfId="0" applyFont="1" applyFill="1" applyBorder="1" applyAlignment="1">
      <alignment horizontal="justify" vertical="center"/>
    </xf>
    <xf numFmtId="0" fontId="8" fillId="7" borderId="33" xfId="0" applyFont="1" applyFill="1" applyBorder="1" applyAlignment="1">
      <alignment horizontal="justify" vertical="center"/>
    </xf>
    <xf numFmtId="1" fontId="8" fillId="7" borderId="31" xfId="0" applyNumberFormat="1" applyFont="1" applyFill="1" applyBorder="1" applyAlignment="1">
      <alignment horizontal="center" vertical="center"/>
    </xf>
    <xf numFmtId="0" fontId="8" fillId="7" borderId="32" xfId="0" applyFont="1" applyFill="1" applyBorder="1" applyAlignment="1">
      <alignment horizontal="center" vertical="center"/>
    </xf>
    <xf numFmtId="0" fontId="8" fillId="0" borderId="32" xfId="0" applyFont="1" applyBorder="1"/>
    <xf numFmtId="166" fontId="8" fillId="0" borderId="32" xfId="0" applyNumberFormat="1" applyFont="1" applyBorder="1" applyAlignment="1">
      <alignment horizontal="right" vertical="center"/>
    </xf>
    <xf numFmtId="166" fontId="8" fillId="0" borderId="32" xfId="0" applyNumberFormat="1" applyFont="1" applyBorder="1" applyAlignment="1">
      <alignment horizontal="center"/>
    </xf>
    <xf numFmtId="0" fontId="8" fillId="0" borderId="33" xfId="0" applyFont="1" applyBorder="1" applyAlignment="1">
      <alignment horizontal="justify" vertical="center"/>
    </xf>
    <xf numFmtId="1" fontId="8" fillId="0" borderId="0" xfId="0" applyNumberFormat="1" applyFont="1" applyAlignment="1">
      <alignment horizontal="justify"/>
    </xf>
    <xf numFmtId="0" fontId="7" fillId="0" borderId="0" xfId="0" applyFont="1" applyAlignment="1">
      <alignment horizontal="justify"/>
    </xf>
    <xf numFmtId="0" fontId="8" fillId="0" borderId="0" xfId="0" applyFont="1" applyAlignment="1">
      <alignment horizontal="center" vertical="center"/>
    </xf>
    <xf numFmtId="170" fontId="8" fillId="7" borderId="0" xfId="0" applyNumberFormat="1" applyFont="1" applyFill="1" applyAlignment="1">
      <alignment horizontal="justify" vertical="center"/>
    </xf>
    <xf numFmtId="165" fontId="8" fillId="7" borderId="0" xfId="0" applyNumberFormat="1" applyFont="1" applyFill="1" applyAlignment="1">
      <alignment horizontal="center" vertical="center"/>
    </xf>
    <xf numFmtId="43" fontId="8" fillId="7" borderId="0" xfId="11" applyFont="1" applyFill="1" applyAlignment="1">
      <alignment horizontal="right" vertical="center"/>
    </xf>
    <xf numFmtId="1" fontId="8" fillId="7" borderId="0" xfId="0" applyNumberFormat="1" applyFont="1" applyFill="1" applyAlignment="1">
      <alignment horizontal="center" vertical="center"/>
    </xf>
    <xf numFmtId="0" fontId="8" fillId="0" borderId="0" xfId="0" applyFont="1" applyAlignment="1">
      <alignment horizontal="center"/>
    </xf>
    <xf numFmtId="170" fontId="8" fillId="0" borderId="0" xfId="0" applyNumberFormat="1" applyFont="1" applyAlignment="1">
      <alignment horizontal="center" vertical="center"/>
    </xf>
    <xf numFmtId="165" fontId="8" fillId="0" borderId="0" xfId="0" applyNumberFormat="1" applyFont="1" applyAlignment="1">
      <alignment horizontal="justify" vertical="center"/>
    </xf>
    <xf numFmtId="43" fontId="8" fillId="7" borderId="0" xfId="8" applyNumberFormat="1" applyFont="1" applyFill="1" applyAlignment="1">
      <alignment horizontal="right" vertical="center"/>
    </xf>
    <xf numFmtId="0" fontId="7" fillId="0" borderId="11" xfId="0" applyFont="1" applyBorder="1" applyAlignment="1">
      <alignment horizontal="center"/>
    </xf>
    <xf numFmtId="0" fontId="7" fillId="0" borderId="0" xfId="0" applyFont="1" applyAlignment="1">
      <alignment horizontal="center"/>
    </xf>
    <xf numFmtId="168" fontId="27" fillId="0" borderId="6" xfId="0" applyNumberFormat="1" applyFont="1" applyBorder="1" applyAlignment="1">
      <alignment horizontal="left"/>
    </xf>
    <xf numFmtId="17" fontId="27" fillId="0" borderId="6" xfId="0" applyNumberFormat="1" applyFont="1" applyBorder="1" applyAlignment="1">
      <alignment horizontal="left"/>
    </xf>
    <xf numFmtId="3" fontId="3" fillId="5" borderId="6" xfId="0" applyNumberFormat="1" applyFont="1" applyFill="1" applyBorder="1" applyAlignment="1">
      <alignment horizontal="left" vertical="center" wrapText="1"/>
    </xf>
    <xf numFmtId="0" fontId="28" fillId="8" borderId="6" xfId="0" applyFont="1" applyFill="1" applyBorder="1" applyAlignment="1">
      <alignment horizontal="center" vertical="center" textRotation="90" wrapText="1"/>
    </xf>
    <xf numFmtId="49" fontId="28" fillId="8" borderId="6" xfId="0" applyNumberFormat="1" applyFont="1" applyFill="1" applyBorder="1" applyAlignment="1">
      <alignment horizontal="center" vertical="center" textRotation="90" wrapText="1"/>
    </xf>
    <xf numFmtId="1" fontId="28" fillId="10" borderId="16" xfId="0" applyNumberFormat="1" applyFont="1" applyFill="1" applyBorder="1" applyAlignment="1">
      <alignment horizontal="left" vertical="center" wrapText="1"/>
    </xf>
    <xf numFmtId="0" fontId="28" fillId="10" borderId="11" xfId="0" applyFont="1" applyFill="1" applyBorder="1" applyAlignment="1">
      <alignment vertical="center"/>
    </xf>
    <xf numFmtId="0" fontId="28" fillId="10" borderId="11" xfId="0" applyFont="1" applyFill="1" applyBorder="1" applyAlignment="1">
      <alignment horizontal="justify" vertical="center"/>
    </xf>
    <xf numFmtId="0" fontId="28" fillId="10" borderId="11" xfId="0" applyFont="1" applyFill="1" applyBorder="1" applyAlignment="1">
      <alignment horizontal="center" vertical="center"/>
    </xf>
    <xf numFmtId="9" fontId="28" fillId="10" borderId="11" xfId="13" applyFont="1" applyFill="1" applyBorder="1" applyAlignment="1">
      <alignment horizontal="center" vertical="center"/>
    </xf>
    <xf numFmtId="3" fontId="20" fillId="10" borderId="11" xfId="0" applyNumberFormat="1" applyFont="1" applyFill="1" applyBorder="1" applyAlignment="1">
      <alignment vertical="center"/>
    </xf>
    <xf numFmtId="3" fontId="28" fillId="10" borderId="11" xfId="0" applyNumberFormat="1" applyFont="1" applyFill="1" applyBorder="1" applyAlignment="1">
      <alignment horizontal="right" vertical="center"/>
    </xf>
    <xf numFmtId="167" fontId="28" fillId="10" borderId="11" xfId="0" applyNumberFormat="1" applyFont="1" applyFill="1" applyBorder="1" applyAlignment="1">
      <alignment horizontal="center" vertical="center"/>
    </xf>
    <xf numFmtId="0" fontId="28" fillId="10" borderId="6" xfId="0" applyFont="1" applyFill="1" applyBorder="1" applyAlignment="1">
      <alignment vertical="center"/>
    </xf>
    <xf numFmtId="0" fontId="28" fillId="10" borderId="6" xfId="0" applyFont="1" applyFill="1" applyBorder="1" applyAlignment="1">
      <alignment horizontal="justify" vertical="center"/>
    </xf>
    <xf numFmtId="0" fontId="20" fillId="7" borderId="16" xfId="0" applyFont="1" applyFill="1" applyBorder="1" applyAlignment="1">
      <alignment vertical="center" wrapText="1"/>
    </xf>
    <xf numFmtId="0" fontId="28" fillId="11" borderId="19" xfId="0" applyFont="1" applyFill="1" applyBorder="1" applyAlignment="1">
      <alignment horizontal="left" vertical="center"/>
    </xf>
    <xf numFmtId="1" fontId="28" fillId="11" borderId="20" xfId="0" applyNumberFormat="1" applyFont="1" applyFill="1" applyBorder="1" applyAlignment="1">
      <alignment horizontal="left" vertical="center"/>
    </xf>
    <xf numFmtId="0" fontId="28" fillId="11" borderId="11" xfId="0" applyFont="1" applyFill="1" applyBorder="1" applyAlignment="1">
      <alignment vertical="center"/>
    </xf>
    <xf numFmtId="0" fontId="28" fillId="11" borderId="11" xfId="0" applyFont="1" applyFill="1" applyBorder="1" applyAlignment="1">
      <alignment horizontal="justify" vertical="center"/>
    </xf>
    <xf numFmtId="0" fontId="28" fillId="11" borderId="11" xfId="0" applyFont="1" applyFill="1" applyBorder="1" applyAlignment="1">
      <alignment horizontal="center" vertical="center"/>
    </xf>
    <xf numFmtId="9" fontId="28" fillId="11" borderId="11" xfId="13" applyFont="1" applyFill="1" applyBorder="1" applyAlignment="1">
      <alignment horizontal="center" vertical="center"/>
    </xf>
    <xf numFmtId="3" fontId="20" fillId="11" borderId="11" xfId="0" applyNumberFormat="1" applyFont="1" applyFill="1" applyBorder="1" applyAlignment="1">
      <alignment vertical="center"/>
    </xf>
    <xf numFmtId="3" fontId="28" fillId="11" borderId="11" xfId="0" applyNumberFormat="1" applyFont="1" applyFill="1" applyBorder="1" applyAlignment="1">
      <alignment horizontal="right" vertical="center"/>
    </xf>
    <xf numFmtId="167" fontId="28" fillId="11" borderId="11" xfId="0" applyNumberFormat="1" applyFont="1" applyFill="1" applyBorder="1" applyAlignment="1">
      <alignment horizontal="center" vertical="center"/>
    </xf>
    <xf numFmtId="0" fontId="28" fillId="11" borderId="0" xfId="0" applyFont="1" applyFill="1" applyAlignment="1">
      <alignment vertical="center"/>
    </xf>
    <xf numFmtId="0" fontId="28" fillId="11" borderId="6" xfId="0" applyFont="1" applyFill="1" applyBorder="1" applyAlignment="1">
      <alignment vertical="center"/>
    </xf>
    <xf numFmtId="166" fontId="28" fillId="11" borderId="6" xfId="0" applyNumberFormat="1" applyFont="1" applyFill="1" applyBorder="1" applyAlignment="1">
      <alignment vertical="center"/>
    </xf>
    <xf numFmtId="0" fontId="28" fillId="11" borderId="6" xfId="0" applyFont="1" applyFill="1" applyBorder="1" applyAlignment="1">
      <alignment horizontal="justify" vertical="center"/>
    </xf>
    <xf numFmtId="0" fontId="20" fillId="7" borderId="23" xfId="0" applyFont="1" applyFill="1" applyBorder="1" applyAlignment="1">
      <alignment vertical="center" wrapText="1"/>
    </xf>
    <xf numFmtId="1" fontId="28" fillId="12" borderId="19" xfId="0" applyNumberFormat="1" applyFont="1" applyFill="1" applyBorder="1" applyAlignment="1">
      <alignment horizontal="left" vertical="center" wrapText="1"/>
    </xf>
    <xf numFmtId="1" fontId="28" fillId="12" borderId="20" xfId="0" applyNumberFormat="1" applyFont="1" applyFill="1" applyBorder="1" applyAlignment="1">
      <alignment vertical="center"/>
    </xf>
    <xf numFmtId="0" fontId="28" fillId="12" borderId="35" xfId="0" applyFont="1" applyFill="1" applyBorder="1" applyAlignment="1">
      <alignment vertical="center"/>
    </xf>
    <xf numFmtId="0" fontId="28" fillId="12" borderId="6" xfId="0" applyFont="1" applyFill="1" applyBorder="1" applyAlignment="1">
      <alignment horizontal="justify" vertical="center"/>
    </xf>
    <xf numFmtId="0" fontId="28" fillId="12" borderId="6" xfId="0" applyFont="1" applyFill="1" applyBorder="1" applyAlignment="1">
      <alignment vertical="center"/>
    </xf>
    <xf numFmtId="0" fontId="28" fillId="12" borderId="6" xfId="0" applyFont="1" applyFill="1" applyBorder="1" applyAlignment="1">
      <alignment horizontal="center" vertical="center"/>
    </xf>
    <xf numFmtId="9" fontId="28" fillId="12" borderId="6" xfId="13" applyFont="1" applyFill="1" applyBorder="1" applyAlignment="1">
      <alignment horizontal="center" vertical="center"/>
    </xf>
    <xf numFmtId="3" fontId="20" fillId="12" borderId="6" xfId="0" applyNumberFormat="1" applyFont="1" applyFill="1" applyBorder="1" applyAlignment="1">
      <alignment vertical="center"/>
    </xf>
    <xf numFmtId="3" fontId="28" fillId="12" borderId="6" xfId="0" applyNumberFormat="1" applyFont="1" applyFill="1" applyBorder="1" applyAlignment="1">
      <alignment horizontal="right" vertical="center"/>
    </xf>
    <xf numFmtId="167" fontId="28" fillId="12" borderId="18" xfId="0" applyNumberFormat="1" applyFont="1" applyFill="1" applyBorder="1" applyAlignment="1">
      <alignment horizontal="center" vertical="center"/>
    </xf>
    <xf numFmtId="0" fontId="28" fillId="12" borderId="18" xfId="0" applyFont="1" applyFill="1" applyBorder="1" applyAlignment="1">
      <alignment vertical="center"/>
    </xf>
    <xf numFmtId="166" fontId="28" fillId="12" borderId="6" xfId="0" applyNumberFormat="1" applyFont="1" applyFill="1" applyBorder="1" applyAlignment="1">
      <alignment vertical="center"/>
    </xf>
    <xf numFmtId="167" fontId="20" fillId="0" borderId="53" xfId="0" applyNumberFormat="1" applyFont="1" applyFill="1" applyBorder="1" applyAlignment="1">
      <alignment vertical="center" wrapText="1"/>
    </xf>
    <xf numFmtId="1" fontId="20" fillId="7" borderId="60" xfId="0" applyNumberFormat="1" applyFont="1" applyFill="1" applyBorder="1" applyAlignment="1">
      <alignment horizontal="center" vertical="center" wrapText="1"/>
    </xf>
    <xf numFmtId="0" fontId="20" fillId="7" borderId="53" xfId="0" applyFont="1" applyFill="1" applyBorder="1" applyAlignment="1">
      <alignment vertical="center" wrapText="1"/>
    </xf>
    <xf numFmtId="167" fontId="20" fillId="0" borderId="55" xfId="0" applyNumberFormat="1" applyFont="1" applyFill="1" applyBorder="1" applyAlignment="1">
      <alignment vertical="center" wrapText="1"/>
    </xf>
    <xf numFmtId="1" fontId="20" fillId="7" borderId="82" xfId="0" applyNumberFormat="1" applyFont="1" applyFill="1" applyBorder="1" applyAlignment="1">
      <alignment horizontal="center" vertical="center" wrapText="1"/>
    </xf>
    <xf numFmtId="167" fontId="20" fillId="0" borderId="60" xfId="0" applyNumberFormat="1" applyFont="1" applyFill="1" applyBorder="1" applyAlignment="1">
      <alignment vertical="center" wrapText="1"/>
    </xf>
    <xf numFmtId="1" fontId="20" fillId="7" borderId="53" xfId="0" applyNumberFormat="1" applyFont="1" applyFill="1" applyBorder="1" applyAlignment="1">
      <alignment horizontal="center" vertical="center" wrapText="1"/>
    </xf>
    <xf numFmtId="0" fontId="20" fillId="7" borderId="54" xfId="0" applyFont="1" applyFill="1" applyBorder="1" applyAlignment="1">
      <alignment vertical="center" wrapText="1"/>
    </xf>
    <xf numFmtId="0" fontId="20" fillId="7" borderId="0" xfId="0" applyFont="1" applyFill="1" applyAlignment="1">
      <alignment wrapText="1"/>
    </xf>
    <xf numFmtId="0" fontId="20" fillId="7" borderId="6" xfId="0" applyFont="1" applyFill="1" applyBorder="1" applyAlignment="1">
      <alignment horizontal="center" vertical="center" wrapText="1"/>
    </xf>
    <xf numFmtId="0" fontId="20" fillId="7" borderId="6" xfId="0" applyFont="1" applyFill="1" applyBorder="1" applyAlignment="1">
      <alignment vertical="center" wrapText="1"/>
    </xf>
    <xf numFmtId="9" fontId="20" fillId="7" borderId="6" xfId="13" applyFont="1" applyFill="1" applyBorder="1" applyAlignment="1">
      <alignment horizontal="center" vertical="center" wrapText="1"/>
    </xf>
    <xf numFmtId="3" fontId="20" fillId="7" borderId="6" xfId="0" applyNumberFormat="1" applyFont="1" applyFill="1" applyBorder="1" applyAlignment="1">
      <alignment horizontal="center" vertical="center" wrapText="1"/>
    </xf>
    <xf numFmtId="167" fontId="20" fillId="0" borderId="27" xfId="0" applyNumberFormat="1" applyFont="1" applyFill="1" applyBorder="1" applyAlignment="1">
      <alignment horizontal="right" vertical="center" wrapText="1"/>
    </xf>
    <xf numFmtId="1" fontId="20" fillId="7" borderId="27" xfId="0" applyNumberFormat="1" applyFont="1" applyFill="1" applyBorder="1" applyAlignment="1">
      <alignment horizontal="center" vertical="center" wrapText="1"/>
    </xf>
    <xf numFmtId="0" fontId="20" fillId="7" borderId="27" xfId="0" applyFont="1" applyFill="1" applyBorder="1" applyAlignment="1">
      <alignment horizontal="justify" vertical="center" wrapText="1"/>
    </xf>
    <xf numFmtId="167" fontId="8" fillId="0" borderId="6" xfId="0" applyNumberFormat="1" applyFont="1" applyBorder="1" applyAlignment="1">
      <alignment horizontal="center" vertical="center"/>
    </xf>
    <xf numFmtId="3" fontId="20" fillId="0" borderId="6" xfId="0" applyNumberFormat="1" applyFont="1" applyBorder="1" applyAlignment="1">
      <alignment horizontal="center" vertical="center"/>
    </xf>
    <xf numFmtId="14" fontId="20" fillId="7" borderId="6" xfId="0" applyNumberFormat="1" applyFont="1" applyFill="1" applyBorder="1" applyAlignment="1">
      <alignment horizontal="center" vertical="center"/>
    </xf>
    <xf numFmtId="1" fontId="28" fillId="11" borderId="19" xfId="0" applyNumberFormat="1" applyFont="1" applyFill="1" applyBorder="1" applyAlignment="1">
      <alignment horizontal="left" vertical="center"/>
    </xf>
    <xf numFmtId="0" fontId="28" fillId="11" borderId="20" xfId="0" applyFont="1" applyFill="1" applyBorder="1" applyAlignment="1">
      <alignment vertical="center"/>
    </xf>
    <xf numFmtId="0" fontId="28" fillId="11" borderId="35" xfId="0" applyFont="1" applyFill="1" applyBorder="1" applyAlignment="1">
      <alignment vertical="center"/>
    </xf>
    <xf numFmtId="0" fontId="28" fillId="11" borderId="6" xfId="0" applyFont="1" applyFill="1" applyBorder="1" applyAlignment="1">
      <alignment horizontal="center" vertical="center"/>
    </xf>
    <xf numFmtId="9" fontId="28" fillId="11" borderId="6" xfId="13" applyFont="1" applyFill="1" applyBorder="1" applyAlignment="1">
      <alignment horizontal="center" vertical="center"/>
    </xf>
    <xf numFmtId="3" fontId="20" fillId="11" borderId="6" xfId="0" applyNumberFormat="1" applyFont="1" applyFill="1" applyBorder="1" applyAlignment="1">
      <alignment vertical="center"/>
    </xf>
    <xf numFmtId="3" fontId="28" fillId="11" borderId="6" xfId="0" applyNumberFormat="1" applyFont="1" applyFill="1" applyBorder="1" applyAlignment="1">
      <alignment horizontal="right" vertical="center"/>
    </xf>
    <xf numFmtId="167" fontId="28" fillId="11" borderId="6" xfId="0" applyNumberFormat="1" applyFont="1" applyFill="1" applyBorder="1" applyAlignment="1">
      <alignment horizontal="center" vertical="center"/>
    </xf>
    <xf numFmtId="1" fontId="28" fillId="12" borderId="19" xfId="0" applyNumberFormat="1" applyFont="1" applyFill="1" applyBorder="1" applyAlignment="1">
      <alignment horizontal="left" vertical="center" wrapText="1" indent="1"/>
    </xf>
    <xf numFmtId="1" fontId="28" fillId="12" borderId="35" xfId="0" applyNumberFormat="1" applyFont="1" applyFill="1" applyBorder="1" applyAlignment="1">
      <alignment horizontal="left" vertical="center" wrapText="1" indent="1"/>
    </xf>
    <xf numFmtId="167" fontId="28" fillId="12" borderId="6" xfId="0" applyNumberFormat="1" applyFont="1" applyFill="1" applyBorder="1" applyAlignment="1">
      <alignment horizontal="center" vertical="center" wrapText="1"/>
    </xf>
    <xf numFmtId="167" fontId="8" fillId="0" borderId="19" xfId="11" applyNumberFormat="1" applyFont="1" applyFill="1" applyBorder="1" applyAlignment="1">
      <alignment horizontal="center" vertical="center"/>
    </xf>
    <xf numFmtId="0" fontId="20" fillId="7" borderId="17" xfId="0" applyFont="1" applyFill="1" applyBorder="1" applyAlignment="1">
      <alignment vertical="center" wrapText="1"/>
    </xf>
    <xf numFmtId="0" fontId="35" fillId="26" borderId="6" xfId="0" applyFont="1" applyFill="1" applyBorder="1" applyAlignment="1">
      <alignment horizontal="justify" vertical="center" wrapText="1"/>
    </xf>
    <xf numFmtId="167" fontId="8" fillId="0" borderId="16" xfId="11" applyNumberFormat="1" applyFont="1" applyFill="1" applyBorder="1" applyAlignment="1">
      <alignment horizontal="center" vertical="center"/>
    </xf>
    <xf numFmtId="1" fontId="20" fillId="7" borderId="55" xfId="0" applyNumberFormat="1" applyFont="1" applyFill="1" applyBorder="1" applyAlignment="1">
      <alignment horizontal="center" vertical="center" wrapText="1"/>
    </xf>
    <xf numFmtId="167" fontId="8" fillId="0" borderId="53" xfId="11" applyNumberFormat="1" applyFont="1" applyFill="1" applyBorder="1" applyAlignment="1">
      <alignment horizontal="center" vertical="center"/>
    </xf>
    <xf numFmtId="0" fontId="20" fillId="7" borderId="55" xfId="0" applyFont="1" applyFill="1" applyBorder="1" applyAlignment="1">
      <alignment vertical="center" wrapText="1"/>
    </xf>
    <xf numFmtId="0" fontId="20" fillId="7" borderId="80" xfId="0" applyFont="1" applyFill="1" applyBorder="1" applyAlignment="1">
      <alignment vertical="center" wrapText="1"/>
    </xf>
    <xf numFmtId="41" fontId="20" fillId="0" borderId="82" xfId="0" applyNumberFormat="1" applyFont="1" applyFill="1" applyBorder="1" applyAlignment="1">
      <alignment vertical="center"/>
    </xf>
    <xf numFmtId="0" fontId="28" fillId="0" borderId="31" xfId="0" applyFont="1" applyBorder="1" applyAlignment="1">
      <alignment vertical="center"/>
    </xf>
    <xf numFmtId="0" fontId="28" fillId="0" borderId="32" xfId="0" applyFont="1" applyBorder="1" applyAlignment="1">
      <alignment vertical="center"/>
    </xf>
    <xf numFmtId="0" fontId="7" fillId="0" borderId="33" xfId="0" applyFont="1" applyBorder="1" applyAlignment="1">
      <alignment vertical="center"/>
    </xf>
    <xf numFmtId="43" fontId="7" fillId="0" borderId="34" xfId="11" applyFont="1" applyBorder="1" applyAlignment="1">
      <alignment vertical="center"/>
    </xf>
    <xf numFmtId="0" fontId="28" fillId="0" borderId="33" xfId="0" applyFont="1" applyBorder="1" applyAlignment="1">
      <alignment horizontal="justify" vertical="center"/>
    </xf>
    <xf numFmtId="167" fontId="28" fillId="0" borderId="34" xfId="11" applyNumberFormat="1" applyFont="1" applyBorder="1"/>
    <xf numFmtId="165" fontId="7" fillId="0" borderId="31" xfId="0" applyNumberFormat="1" applyFont="1" applyBorder="1" applyAlignment="1">
      <alignment vertical="center"/>
    </xf>
    <xf numFmtId="0" fontId="28" fillId="7" borderId="32" xfId="0" applyFont="1" applyFill="1" applyBorder="1" applyAlignment="1">
      <alignment horizontal="justify" vertical="center"/>
    </xf>
    <xf numFmtId="0" fontId="28" fillId="0" borderId="32" xfId="0" applyFont="1" applyBorder="1" applyAlignment="1">
      <alignment horizontal="right" vertical="center"/>
    </xf>
    <xf numFmtId="164" fontId="28" fillId="0" borderId="32" xfId="0" applyNumberFormat="1" applyFont="1" applyBorder="1" applyAlignment="1">
      <alignment horizontal="center" vertical="center"/>
    </xf>
    <xf numFmtId="0" fontId="28" fillId="0" borderId="33" xfId="0" applyFont="1" applyBorder="1" applyAlignment="1">
      <alignment horizontal="left" vertical="center"/>
    </xf>
    <xf numFmtId="3" fontId="20" fillId="0" borderId="0" xfId="0" applyNumberFormat="1" applyFont="1"/>
    <xf numFmtId="167" fontId="20" fillId="0" borderId="0" xfId="0" applyNumberFormat="1" applyFont="1" applyAlignment="1">
      <alignment horizontal="center"/>
    </xf>
    <xf numFmtId="165" fontId="20" fillId="0" borderId="0" xfId="0" applyNumberFormat="1" applyFont="1"/>
    <xf numFmtId="3" fontId="28" fillId="7" borderId="11" xfId="0" applyNumberFormat="1" applyFont="1" applyFill="1" applyBorder="1" applyAlignment="1">
      <alignment vertical="center"/>
    </xf>
    <xf numFmtId="0" fontId="28" fillId="0" borderId="11" xfId="0" applyFont="1" applyBorder="1"/>
    <xf numFmtId="0" fontId="22" fillId="0" borderId="6" xfId="0" applyFont="1" applyBorder="1" applyAlignment="1"/>
    <xf numFmtId="0" fontId="22" fillId="9" borderId="20" xfId="0" applyFont="1" applyFill="1" applyBorder="1" applyAlignment="1">
      <alignment horizontal="center" vertical="center" wrapText="1"/>
    </xf>
    <xf numFmtId="0" fontId="22" fillId="10" borderId="18" xfId="0" applyFont="1" applyFill="1" applyBorder="1" applyAlignment="1">
      <alignment horizontal="center" vertical="center" wrapText="1"/>
    </xf>
    <xf numFmtId="14" fontId="22" fillId="10" borderId="20" xfId="0" applyNumberFormat="1" applyFont="1" applyFill="1" applyBorder="1" applyAlignment="1">
      <alignment vertical="center" wrapText="1"/>
    </xf>
    <xf numFmtId="0" fontId="22" fillId="7" borderId="18" xfId="0" applyFont="1" applyFill="1" applyBorder="1" applyAlignment="1">
      <alignment horizontal="center" vertical="center" wrapText="1"/>
    </xf>
    <xf numFmtId="0" fontId="22" fillId="7" borderId="18" xfId="0" applyFont="1" applyFill="1" applyBorder="1" applyAlignment="1">
      <alignment vertical="center" wrapText="1"/>
    </xf>
    <xf numFmtId="0" fontId="22" fillId="16" borderId="17" xfId="0" applyFont="1" applyFill="1" applyBorder="1" applyAlignment="1">
      <alignment horizontal="center" vertical="center" wrapText="1"/>
    </xf>
    <xf numFmtId="0" fontId="22" fillId="7" borderId="25" xfId="0" applyFont="1" applyFill="1" applyBorder="1" applyAlignment="1">
      <alignment horizontal="center" vertical="center" wrapText="1"/>
    </xf>
    <xf numFmtId="0" fontId="22" fillId="7" borderId="25" xfId="0" applyFont="1" applyFill="1" applyBorder="1" applyAlignment="1">
      <alignment vertical="center" wrapText="1"/>
    </xf>
    <xf numFmtId="0" fontId="22" fillId="12" borderId="6" xfId="0" applyFont="1" applyFill="1" applyBorder="1" applyAlignment="1">
      <alignment horizontal="center" vertical="center" wrapText="1"/>
    </xf>
    <xf numFmtId="49" fontId="16" fillId="7" borderId="25" xfId="0" applyNumberFormat="1" applyFont="1" applyFill="1" applyBorder="1" applyAlignment="1">
      <alignment vertical="center" wrapText="1"/>
    </xf>
    <xf numFmtId="0" fontId="16" fillId="7" borderId="25" xfId="0" applyFont="1" applyFill="1" applyBorder="1" applyAlignment="1">
      <alignment vertical="center" wrapText="1"/>
    </xf>
    <xf numFmtId="43" fontId="16" fillId="0" borderId="6" xfId="1" applyFont="1" applyBorder="1" applyAlignment="1">
      <alignment vertical="center" wrapText="1"/>
    </xf>
    <xf numFmtId="37" fontId="16" fillId="0" borderId="6" xfId="9" applyNumberFormat="1" applyFont="1" applyBorder="1" applyAlignment="1">
      <alignment horizontal="center" vertical="center" wrapText="1"/>
    </xf>
    <xf numFmtId="189" fontId="16" fillId="0" borderId="6" xfId="0" applyNumberFormat="1" applyFont="1" applyBorder="1" applyAlignment="1">
      <alignment horizontal="center" vertical="center" wrapText="1"/>
    </xf>
    <xf numFmtId="0" fontId="22" fillId="12" borderId="6" xfId="0" applyFont="1" applyFill="1" applyBorder="1" applyAlignment="1">
      <alignment horizontal="left" vertical="center" wrapText="1"/>
    </xf>
    <xf numFmtId="0" fontId="22" fillId="12" borderId="6" xfId="0" applyFont="1" applyFill="1" applyBorder="1" applyAlignment="1">
      <alignment horizontal="justify" vertical="center" wrapText="1"/>
    </xf>
    <xf numFmtId="43" fontId="22" fillId="12" borderId="6" xfId="1" applyFont="1" applyFill="1" applyBorder="1" applyAlignment="1">
      <alignment horizontal="left" vertical="center" wrapText="1"/>
    </xf>
    <xf numFmtId="0" fontId="22" fillId="12" borderId="27" xfId="0" applyFont="1" applyFill="1" applyBorder="1" applyAlignment="1">
      <alignment horizontal="justify" vertical="center" wrapText="1"/>
    </xf>
    <xf numFmtId="43" fontId="22" fillId="12" borderId="27" xfId="1" applyFont="1" applyFill="1" applyBorder="1" applyAlignment="1">
      <alignment horizontal="left" vertical="center" wrapText="1"/>
    </xf>
    <xf numFmtId="0" fontId="22" fillId="12" borderId="27" xfId="0" applyFont="1" applyFill="1" applyBorder="1" applyAlignment="1">
      <alignment horizontal="center" vertical="center" wrapText="1"/>
    </xf>
    <xf numFmtId="0" fontId="22" fillId="12" borderId="6" xfId="0" applyFont="1" applyFill="1" applyBorder="1" applyAlignment="1">
      <alignment vertical="center" wrapText="1"/>
    </xf>
    <xf numFmtId="14" fontId="22" fillId="12" borderId="6" xfId="0" applyNumberFormat="1" applyFont="1" applyFill="1" applyBorder="1" applyAlignment="1">
      <alignment horizontal="left" vertical="center" wrapText="1"/>
    </xf>
    <xf numFmtId="49" fontId="16" fillId="7" borderId="25" xfId="0" applyNumberFormat="1" applyFont="1" applyFill="1" applyBorder="1" applyAlignment="1">
      <alignment horizontal="center" vertical="center" wrapText="1"/>
    </xf>
    <xf numFmtId="0" fontId="16" fillId="7" borderId="18" xfId="0" applyFont="1" applyFill="1" applyBorder="1" applyAlignment="1">
      <alignment horizontal="center" vertical="center" wrapText="1"/>
    </xf>
    <xf numFmtId="0" fontId="16" fillId="7" borderId="18" xfId="0" applyFont="1" applyFill="1" applyBorder="1" applyAlignment="1">
      <alignment horizontal="justify" vertical="center" wrapText="1"/>
    </xf>
    <xf numFmtId="9" fontId="16" fillId="7" borderId="18" xfId="3" applyFont="1" applyFill="1" applyBorder="1" applyAlignment="1">
      <alignment horizontal="center" vertical="center" wrapText="1"/>
    </xf>
    <xf numFmtId="43" fontId="16" fillId="0" borderId="18" xfId="1" applyFont="1" applyBorder="1" applyAlignment="1">
      <alignment horizontal="center" vertical="center" wrapText="1"/>
    </xf>
    <xf numFmtId="49" fontId="16" fillId="7" borderId="18" xfId="0" applyNumberFormat="1" applyFont="1" applyFill="1" applyBorder="1" applyAlignment="1">
      <alignment horizontal="center" vertical="center" wrapText="1"/>
    </xf>
    <xf numFmtId="189" fontId="16" fillId="7" borderId="18" xfId="0" applyNumberFormat="1" applyFont="1" applyFill="1" applyBorder="1" applyAlignment="1">
      <alignment horizontal="center" vertical="center" wrapText="1"/>
    </xf>
    <xf numFmtId="49" fontId="16" fillId="7" borderId="6" xfId="0" applyNumberFormat="1" applyFont="1" applyFill="1" applyBorder="1" applyAlignment="1">
      <alignment horizontal="center" vertical="center" wrapText="1"/>
    </xf>
    <xf numFmtId="189" fontId="16" fillId="7" borderId="6" xfId="0" applyNumberFormat="1"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25" xfId="0" applyFont="1" applyFill="1" applyBorder="1" applyAlignment="1">
      <alignment horizontal="justify" vertical="center" wrapText="1"/>
    </xf>
    <xf numFmtId="43" fontId="16" fillId="0" borderId="27" xfId="1" applyFont="1" applyBorder="1" applyAlignment="1">
      <alignment horizontal="center" vertical="center" wrapText="1"/>
    </xf>
    <xf numFmtId="49" fontId="16" fillId="7" borderId="27" xfId="0" applyNumberFormat="1" applyFont="1" applyFill="1" applyBorder="1" applyAlignment="1">
      <alignment horizontal="center" vertical="center" wrapText="1"/>
    </xf>
    <xf numFmtId="189" fontId="16" fillId="7" borderId="27" xfId="0" applyNumberFormat="1" applyFont="1" applyFill="1" applyBorder="1" applyAlignment="1">
      <alignment horizontal="center" vertical="center" wrapText="1"/>
    </xf>
    <xf numFmtId="43" fontId="16" fillId="0" borderId="6" xfId="1" applyFont="1" applyBorder="1" applyAlignment="1">
      <alignment horizontal="center" vertical="center" wrapText="1"/>
    </xf>
    <xf numFmtId="43" fontId="22" fillId="7" borderId="6" xfId="1" applyFont="1" applyFill="1" applyBorder="1" applyAlignment="1">
      <alignment horizontal="right" vertical="center" wrapText="1"/>
    </xf>
    <xf numFmtId="190" fontId="22" fillId="7" borderId="6" xfId="0" applyNumberFormat="1" applyFont="1" applyFill="1" applyBorder="1" applyAlignment="1">
      <alignment vertical="center" wrapText="1"/>
    </xf>
    <xf numFmtId="190" fontId="22" fillId="7" borderId="6" xfId="0" applyNumberFormat="1" applyFont="1" applyFill="1" applyBorder="1" applyAlignment="1">
      <alignment horizontal="justify" vertical="center" wrapText="1"/>
    </xf>
    <xf numFmtId="189" fontId="22" fillId="7" borderId="6" xfId="0" applyNumberFormat="1" applyFont="1" applyFill="1" applyBorder="1" applyAlignment="1">
      <alignment horizontal="center" vertical="center" wrapText="1"/>
    </xf>
    <xf numFmtId="0" fontId="22" fillId="7" borderId="6" xfId="0" applyFont="1" applyFill="1" applyBorder="1" applyAlignment="1">
      <alignment vertical="center"/>
    </xf>
    <xf numFmtId="14" fontId="22" fillId="7" borderId="6" xfId="0" applyNumberFormat="1" applyFont="1" applyFill="1" applyBorder="1" applyAlignment="1">
      <alignment horizontal="right" vertical="center"/>
    </xf>
    <xf numFmtId="14" fontId="22" fillId="7" borderId="6" xfId="0" applyNumberFormat="1" applyFont="1" applyFill="1" applyBorder="1" applyAlignment="1">
      <alignment horizontal="left" vertical="center"/>
    </xf>
    <xf numFmtId="0" fontId="22" fillId="7" borderId="6" xfId="0" applyFont="1" applyFill="1" applyBorder="1" applyAlignment="1">
      <alignment horizontal="left" vertical="center"/>
    </xf>
    <xf numFmtId="0" fontId="16" fillId="0" borderId="0" xfId="0" applyFont="1" applyAlignment="1"/>
    <xf numFmtId="14" fontId="16" fillId="0" borderId="0" xfId="0" applyNumberFormat="1" applyFont="1" applyAlignment="1">
      <alignment horizontal="right" vertical="center"/>
    </xf>
    <xf numFmtId="14" fontId="16" fillId="0" borderId="0" xfId="0" applyNumberFormat="1" applyFont="1" applyAlignment="1">
      <alignment horizontal="left"/>
    </xf>
    <xf numFmtId="0" fontId="16" fillId="0" borderId="0" xfId="0" applyFont="1" applyAlignment="1">
      <alignment horizontal="right" vertical="center"/>
    </xf>
    <xf numFmtId="164" fontId="16" fillId="0" borderId="0" xfId="0" applyNumberFormat="1" applyFont="1" applyAlignment="1">
      <alignment horizontal="center"/>
    </xf>
    <xf numFmtId="0" fontId="16" fillId="0" borderId="0" xfId="0" applyFont="1" applyAlignment="1">
      <alignment horizontal="left"/>
    </xf>
    <xf numFmtId="0" fontId="41" fillId="0" borderId="0" xfId="0" applyFont="1"/>
    <xf numFmtId="0" fontId="12" fillId="0" borderId="6" xfId="0" applyFont="1" applyBorder="1"/>
    <xf numFmtId="0" fontId="12" fillId="0" borderId="6" xfId="0" applyFont="1" applyBorder="1" applyAlignment="1">
      <alignment horizontal="left"/>
    </xf>
    <xf numFmtId="168" fontId="12" fillId="0" borderId="6" xfId="0" applyNumberFormat="1" applyFont="1" applyBorder="1" applyAlignment="1">
      <alignment horizontal="left"/>
    </xf>
    <xf numFmtId="17" fontId="12" fillId="0" borderId="6" xfId="0" applyNumberFormat="1" applyFont="1" applyBorder="1" applyAlignment="1">
      <alignment horizontal="left"/>
    </xf>
    <xf numFmtId="3" fontId="14" fillId="5" borderId="6" xfId="0" applyNumberFormat="1" applyFont="1" applyFill="1" applyBorder="1" applyAlignment="1">
      <alignment horizontal="left" vertical="center" wrapText="1"/>
    </xf>
    <xf numFmtId="0" fontId="43" fillId="0" borderId="0" xfId="0" applyFont="1"/>
    <xf numFmtId="0" fontId="42" fillId="8" borderId="6" xfId="0" applyFont="1" applyFill="1" applyBorder="1" applyAlignment="1">
      <alignment horizontal="center" vertical="center" textRotation="90" wrapText="1"/>
    </xf>
    <xf numFmtId="49" fontId="42" fillId="8" borderId="6" xfId="0" applyNumberFormat="1" applyFont="1" applyFill="1" applyBorder="1" applyAlignment="1">
      <alignment horizontal="center" vertical="center" textRotation="90" wrapText="1"/>
    </xf>
    <xf numFmtId="0" fontId="12" fillId="10" borderId="6" xfId="0" applyFont="1" applyFill="1" applyBorder="1" applyAlignment="1">
      <alignment horizontal="center" vertical="center" wrapText="1"/>
    </xf>
    <xf numFmtId="0" fontId="12" fillId="10" borderId="20" xfId="0" applyFont="1" applyFill="1" applyBorder="1" applyAlignment="1">
      <alignment horizontal="left" vertical="center"/>
    </xf>
    <xf numFmtId="0" fontId="12" fillId="10" borderId="20" xfId="0" applyFont="1" applyFill="1" applyBorder="1" applyAlignment="1">
      <alignment vertical="center" wrapText="1"/>
    </xf>
    <xf numFmtId="0" fontId="12" fillId="10" borderId="35" xfId="0" applyFont="1" applyFill="1" applyBorder="1" applyAlignment="1">
      <alignment vertical="center" wrapText="1"/>
    </xf>
    <xf numFmtId="0" fontId="12" fillId="11" borderId="19" xfId="0" applyFont="1" applyFill="1" applyBorder="1" applyAlignment="1">
      <alignment horizontal="center" vertical="center" wrapText="1"/>
    </xf>
    <xf numFmtId="0" fontId="12" fillId="11" borderId="20" xfId="0" applyFont="1" applyFill="1" applyBorder="1" applyAlignment="1">
      <alignment vertical="center" wrapText="1"/>
    </xf>
    <xf numFmtId="0" fontId="12" fillId="11" borderId="19" xfId="0" applyFont="1" applyFill="1" applyBorder="1" applyAlignment="1">
      <alignment vertical="center" wrapText="1"/>
    </xf>
    <xf numFmtId="0" fontId="12" fillId="11" borderId="35" xfId="0" applyFont="1" applyFill="1" applyBorder="1" applyAlignment="1">
      <alignment vertical="center" wrapText="1"/>
    </xf>
    <xf numFmtId="0" fontId="12" fillId="14" borderId="19" xfId="0" applyFont="1" applyFill="1" applyBorder="1" applyAlignment="1">
      <alignment horizontal="center" vertical="center" wrapText="1"/>
    </xf>
    <xf numFmtId="0" fontId="12" fillId="14" borderId="20" xfId="0" applyFont="1" applyFill="1" applyBorder="1" applyAlignment="1">
      <alignment vertical="center"/>
    </xf>
    <xf numFmtId="0" fontId="12" fillId="14" borderId="35" xfId="0" applyFont="1" applyFill="1" applyBorder="1" applyAlignment="1">
      <alignment vertical="center" wrapText="1"/>
    </xf>
    <xf numFmtId="0" fontId="12" fillId="14" borderId="20" xfId="0" applyFont="1" applyFill="1" applyBorder="1" applyAlignment="1">
      <alignment vertical="center" wrapText="1"/>
    </xf>
    <xf numFmtId="43" fontId="13" fillId="0" borderId="6" xfId="1" applyFont="1" applyBorder="1" applyAlignment="1">
      <alignment horizontal="center" vertical="center" wrapText="1"/>
    </xf>
    <xf numFmtId="0" fontId="12" fillId="0" borderId="31" xfId="0" applyFont="1" applyBorder="1" applyAlignment="1">
      <alignment vertical="center"/>
    </xf>
    <xf numFmtId="0" fontId="12" fillId="0" borderId="32" xfId="0" applyFont="1" applyBorder="1" applyAlignment="1">
      <alignment vertical="center"/>
    </xf>
    <xf numFmtId="0" fontId="22" fillId="0" borderId="33" xfId="0" applyFont="1" applyBorder="1" applyAlignment="1">
      <alignment vertical="center"/>
    </xf>
    <xf numFmtId="191" fontId="22" fillId="0" borderId="34" xfId="0" applyNumberFormat="1" applyFont="1" applyBorder="1" applyAlignment="1">
      <alignment vertical="center"/>
    </xf>
    <xf numFmtId="0" fontId="12" fillId="0" borderId="34" xfId="0" applyFont="1" applyBorder="1" applyAlignment="1">
      <alignment vertical="center"/>
    </xf>
    <xf numFmtId="0" fontId="12" fillId="0" borderId="33" xfId="0" applyFont="1" applyBorder="1" applyAlignment="1">
      <alignment horizontal="justify" vertical="center"/>
    </xf>
    <xf numFmtId="43" fontId="22" fillId="0" borderId="34" xfId="1" applyFont="1" applyBorder="1" applyAlignment="1">
      <alignment horizontal="center" vertical="center"/>
    </xf>
    <xf numFmtId="165" fontId="22" fillId="0" borderId="31" xfId="0" applyNumberFormat="1" applyFont="1" applyBorder="1" applyAlignment="1">
      <alignment vertical="center"/>
    </xf>
    <xf numFmtId="0" fontId="12" fillId="7" borderId="32" xfId="0" applyFont="1" applyFill="1" applyBorder="1" applyAlignment="1">
      <alignment horizontal="justify" vertical="center"/>
    </xf>
    <xf numFmtId="0" fontId="12" fillId="0" borderId="49" xfId="0" applyFont="1" applyBorder="1" applyAlignment="1">
      <alignment horizontal="right" vertical="center"/>
    </xf>
    <xf numFmtId="164" fontId="12" fillId="0" borderId="49" xfId="0" applyNumberFormat="1" applyFont="1" applyBorder="1" applyAlignment="1">
      <alignment horizontal="center" vertical="center"/>
    </xf>
    <xf numFmtId="0" fontId="12" fillId="0" borderId="50" xfId="0" applyFont="1" applyBorder="1" applyAlignment="1">
      <alignment horizontal="left" vertical="center"/>
    </xf>
    <xf numFmtId="0" fontId="12" fillId="0" borderId="0" xfId="0" applyFont="1" applyAlignment="1">
      <alignment vertical="center"/>
    </xf>
    <xf numFmtId="3" fontId="13" fillId="0" borderId="0" xfId="0" applyNumberFormat="1" applyFont="1"/>
    <xf numFmtId="3" fontId="12" fillId="7" borderId="11" xfId="0" applyNumberFormat="1" applyFont="1" applyFill="1" applyBorder="1" applyAlignment="1">
      <alignment vertical="center"/>
    </xf>
    <xf numFmtId="0" fontId="12" fillId="0" borderId="11" xfId="0" applyFont="1" applyBorder="1"/>
    <xf numFmtId="0" fontId="22" fillId="0" borderId="19" xfId="0" applyFont="1" applyBorder="1"/>
    <xf numFmtId="0" fontId="22" fillId="0" borderId="19" xfId="0" applyFont="1" applyBorder="1" applyAlignment="1">
      <alignment vertical="center"/>
    </xf>
    <xf numFmtId="0" fontId="22" fillId="15" borderId="19" xfId="0" applyFont="1" applyFill="1" applyBorder="1" applyAlignment="1">
      <alignment horizontal="center" vertical="center" textRotation="90" wrapText="1"/>
    </xf>
    <xf numFmtId="0" fontId="22" fillId="15" borderId="6" xfId="0" applyFont="1" applyFill="1" applyBorder="1" applyAlignment="1">
      <alignment horizontal="center" vertical="center" textRotation="90" wrapText="1"/>
    </xf>
    <xf numFmtId="0" fontId="22" fillId="10" borderId="28" xfId="22" applyFont="1" applyFill="1" applyBorder="1" applyAlignment="1">
      <alignment horizontal="center" vertical="center" wrapText="1"/>
    </xf>
    <xf numFmtId="0" fontId="22" fillId="10" borderId="20" xfId="22" applyFont="1" applyFill="1" applyBorder="1" applyAlignment="1">
      <alignment vertical="center"/>
    </xf>
    <xf numFmtId="0" fontId="22" fillId="10" borderId="20" xfId="22" applyFont="1" applyFill="1" applyBorder="1" applyAlignment="1">
      <alignment horizontal="justify" vertical="center"/>
    </xf>
    <xf numFmtId="0" fontId="22" fillId="10" borderId="20" xfId="22" applyFont="1" applyFill="1" applyBorder="1" applyAlignment="1">
      <alignment horizontal="center" vertical="center"/>
    </xf>
    <xf numFmtId="0" fontId="16" fillId="10" borderId="20" xfId="22" applyFont="1" applyFill="1" applyBorder="1" applyAlignment="1">
      <alignment vertical="center"/>
    </xf>
    <xf numFmtId="0" fontId="22" fillId="10" borderId="20" xfId="11" applyNumberFormat="1" applyFont="1" applyFill="1" applyBorder="1" applyAlignment="1">
      <alignment vertical="center"/>
    </xf>
    <xf numFmtId="167" fontId="22" fillId="10" borderId="20" xfId="11" applyNumberFormat="1" applyFont="1" applyFill="1" applyBorder="1" applyAlignment="1">
      <alignment vertical="center"/>
    </xf>
    <xf numFmtId="0" fontId="22" fillId="10" borderId="20" xfId="11" applyNumberFormat="1" applyFont="1" applyFill="1" applyBorder="1" applyAlignment="1">
      <alignment horizontal="center" vertical="center"/>
    </xf>
    <xf numFmtId="0" fontId="22" fillId="10" borderId="29" xfId="22" applyFont="1" applyFill="1" applyBorder="1" applyAlignment="1">
      <alignment vertical="center"/>
    </xf>
    <xf numFmtId="0" fontId="16" fillId="0" borderId="0" xfId="22" applyFont="1"/>
    <xf numFmtId="0" fontId="22" fillId="11" borderId="11" xfId="22" applyFont="1" applyFill="1" applyBorder="1" applyAlignment="1">
      <alignment horizontal="center" vertical="center"/>
    </xf>
    <xf numFmtId="0" fontId="22" fillId="11" borderId="11" xfId="22" applyFont="1" applyFill="1" applyBorder="1" applyAlignment="1">
      <alignment vertical="center"/>
    </xf>
    <xf numFmtId="0" fontId="22" fillId="11" borderId="20" xfId="22" applyFont="1" applyFill="1" applyBorder="1" applyAlignment="1">
      <alignment vertical="center"/>
    </xf>
    <xf numFmtId="0" fontId="22" fillId="11" borderId="20" xfId="22" applyFont="1" applyFill="1" applyBorder="1" applyAlignment="1">
      <alignment horizontal="justify" vertical="center"/>
    </xf>
    <xf numFmtId="0" fontId="22" fillId="11" borderId="20" xfId="22" applyFont="1" applyFill="1" applyBorder="1" applyAlignment="1">
      <alignment horizontal="center" vertical="center"/>
    </xf>
    <xf numFmtId="0" fontId="16" fillId="11" borderId="20" xfId="22" applyFont="1" applyFill="1" applyBorder="1" applyAlignment="1">
      <alignment vertical="center"/>
    </xf>
    <xf numFmtId="0" fontId="22" fillId="11" borderId="20" xfId="11" applyNumberFormat="1" applyFont="1" applyFill="1" applyBorder="1" applyAlignment="1">
      <alignment vertical="center"/>
    </xf>
    <xf numFmtId="167" fontId="22" fillId="11" borderId="20" xfId="11" applyNumberFormat="1" applyFont="1" applyFill="1" applyBorder="1" applyAlignment="1">
      <alignment vertical="center"/>
    </xf>
    <xf numFmtId="0" fontId="22" fillId="11" borderId="20" xfId="11" applyNumberFormat="1" applyFont="1" applyFill="1" applyBorder="1" applyAlignment="1">
      <alignment horizontal="center" vertical="center"/>
    </xf>
    <xf numFmtId="0" fontId="22" fillId="11" borderId="29" xfId="22" applyFont="1" applyFill="1" applyBorder="1" applyAlignment="1">
      <alignment vertical="center"/>
    </xf>
    <xf numFmtId="0" fontId="22" fillId="0" borderId="5" xfId="22" applyFont="1" applyBorder="1" applyAlignment="1">
      <alignment vertical="center" wrapText="1"/>
    </xf>
    <xf numFmtId="0" fontId="22" fillId="0" borderId="0" xfId="22" applyFont="1" applyAlignment="1">
      <alignment vertical="center" wrapText="1"/>
    </xf>
    <xf numFmtId="0" fontId="22" fillId="0" borderId="24" xfId="22" applyFont="1" applyBorder="1" applyAlignment="1">
      <alignment vertical="center" wrapText="1"/>
    </xf>
    <xf numFmtId="0" fontId="22" fillId="0" borderId="11" xfId="22" applyFont="1" applyBorder="1" applyAlignment="1">
      <alignment vertical="center" wrapText="1"/>
    </xf>
    <xf numFmtId="0" fontId="22" fillId="0" borderId="17" xfId="22" applyFont="1" applyBorder="1" applyAlignment="1">
      <alignment vertical="center" wrapText="1"/>
    </xf>
    <xf numFmtId="0" fontId="22" fillId="14" borderId="20" xfId="22" applyFont="1" applyFill="1" applyBorder="1" applyAlignment="1">
      <alignment horizontal="center" vertical="center" wrapText="1"/>
    </xf>
    <xf numFmtId="0" fontId="22" fillId="14" borderId="20" xfId="22" applyFont="1" applyFill="1" applyBorder="1" applyAlignment="1">
      <alignment vertical="center"/>
    </xf>
    <xf numFmtId="0" fontId="22" fillId="14" borderId="20" xfId="22" applyFont="1" applyFill="1" applyBorder="1" applyAlignment="1">
      <alignment horizontal="justify" vertical="center"/>
    </xf>
    <xf numFmtId="0" fontId="22" fillId="14" borderId="20" xfId="22" applyFont="1" applyFill="1" applyBorder="1" applyAlignment="1">
      <alignment horizontal="center" vertical="center"/>
    </xf>
    <xf numFmtId="0" fontId="16" fillId="14" borderId="20" xfId="22" applyFont="1" applyFill="1" applyBorder="1" applyAlignment="1">
      <alignment vertical="center"/>
    </xf>
    <xf numFmtId="0" fontId="22" fillId="14" borderId="20" xfId="11" applyNumberFormat="1" applyFont="1" applyFill="1" applyBorder="1" applyAlignment="1">
      <alignment vertical="center"/>
    </xf>
    <xf numFmtId="167" fontId="22" fillId="14" borderId="20" xfId="11" applyNumberFormat="1" applyFont="1" applyFill="1" applyBorder="1" applyAlignment="1">
      <alignment vertical="center"/>
    </xf>
    <xf numFmtId="0" fontId="22" fillId="14" borderId="20" xfId="11" applyNumberFormat="1" applyFont="1" applyFill="1" applyBorder="1" applyAlignment="1">
      <alignment horizontal="center" vertical="center"/>
    </xf>
    <xf numFmtId="0" fontId="22" fillId="14" borderId="29" xfId="22" applyFont="1" applyFill="1" applyBorder="1" applyAlignment="1">
      <alignment vertical="center"/>
    </xf>
    <xf numFmtId="0" fontId="16" fillId="7" borderId="5" xfId="22" applyFont="1" applyFill="1" applyBorder="1" applyAlignment="1">
      <alignment vertical="center" wrapText="1"/>
    </xf>
    <xf numFmtId="0" fontId="16" fillId="7" borderId="0" xfId="22" applyFont="1" applyFill="1" applyAlignment="1">
      <alignment vertical="center" wrapText="1"/>
    </xf>
    <xf numFmtId="0" fontId="16" fillId="7" borderId="24" xfId="22" applyFont="1" applyFill="1" applyBorder="1" applyAlignment="1">
      <alignment vertical="center" wrapText="1"/>
    </xf>
    <xf numFmtId="0" fontId="16" fillId="7" borderId="16" xfId="22" applyFont="1" applyFill="1" applyBorder="1" applyAlignment="1">
      <alignment vertical="center" wrapText="1"/>
    </xf>
    <xf numFmtId="0" fontId="16" fillId="7" borderId="11" xfId="22" applyFont="1" applyFill="1" applyBorder="1" applyAlignment="1">
      <alignment vertical="center" wrapText="1"/>
    </xf>
    <xf numFmtId="0" fontId="16" fillId="7" borderId="17" xfId="22" applyFont="1" applyFill="1" applyBorder="1" applyAlignment="1">
      <alignment vertical="center" wrapText="1"/>
    </xf>
    <xf numFmtId="1" fontId="16" fillId="7" borderId="6" xfId="22" applyNumberFormat="1" applyFont="1" applyFill="1" applyBorder="1" applyAlignment="1">
      <alignment horizontal="center" vertical="center" wrapText="1"/>
    </xf>
    <xf numFmtId="0" fontId="16" fillId="7" borderId="0" xfId="22" applyFont="1" applyFill="1"/>
    <xf numFmtId="0" fontId="16" fillId="7" borderId="23" xfId="22" applyFont="1" applyFill="1" applyBorder="1" applyAlignment="1">
      <alignment vertical="center" wrapText="1"/>
    </xf>
    <xf numFmtId="49" fontId="16" fillId="7" borderId="6" xfId="23" applyNumberFormat="1" applyFont="1" applyFill="1" applyBorder="1" applyAlignment="1">
      <alignment horizontal="justify" vertical="center" wrapText="1"/>
    </xf>
    <xf numFmtId="0" fontId="16" fillId="7" borderId="9" xfId="22" applyFont="1" applyFill="1" applyBorder="1" applyAlignment="1">
      <alignment vertical="center" wrapText="1"/>
    </xf>
    <xf numFmtId="0" fontId="16" fillId="7" borderId="13" xfId="22" applyFont="1" applyFill="1" applyBorder="1" applyAlignment="1">
      <alignment vertical="center" wrapText="1"/>
    </xf>
    <xf numFmtId="0" fontId="16" fillId="7" borderId="12" xfId="22" applyFont="1" applyFill="1" applyBorder="1" applyAlignment="1">
      <alignment vertical="center" wrapText="1"/>
    </xf>
    <xf numFmtId="0" fontId="16" fillId="0" borderId="24" xfId="22" applyFont="1" applyBorder="1"/>
    <xf numFmtId="0" fontId="22" fillId="11" borderId="20" xfId="22" applyFont="1" applyFill="1" applyBorder="1" applyAlignment="1">
      <alignment horizontal="justify" vertical="center" wrapText="1"/>
    </xf>
    <xf numFmtId="0" fontId="22" fillId="11" borderId="35" xfId="22" applyFont="1" applyFill="1" applyBorder="1" applyAlignment="1">
      <alignment vertical="center"/>
    </xf>
    <xf numFmtId="0" fontId="22" fillId="11" borderId="19" xfId="22" applyFont="1" applyFill="1" applyBorder="1" applyAlignment="1">
      <alignment vertical="center"/>
    </xf>
    <xf numFmtId="0" fontId="12" fillId="11" borderId="20" xfId="22" applyFont="1" applyFill="1" applyBorder="1" applyAlignment="1">
      <alignment vertical="center"/>
    </xf>
    <xf numFmtId="43" fontId="22" fillId="11" borderId="20" xfId="11" applyFont="1" applyFill="1" applyBorder="1" applyAlignment="1">
      <alignment horizontal="center" vertical="center"/>
    </xf>
    <xf numFmtId="43" fontId="16" fillId="11" borderId="20" xfId="1" applyFont="1" applyFill="1" applyBorder="1" applyAlignment="1">
      <alignment vertical="center"/>
    </xf>
    <xf numFmtId="1" fontId="22" fillId="11" borderId="20" xfId="22" applyNumberFormat="1" applyFont="1" applyFill="1" applyBorder="1" applyAlignment="1">
      <alignment horizontal="center" vertical="center"/>
    </xf>
    <xf numFmtId="0" fontId="22" fillId="14" borderId="20" xfId="22" applyFont="1" applyFill="1" applyBorder="1" applyAlignment="1">
      <alignment horizontal="justify" vertical="center" wrapText="1"/>
    </xf>
    <xf numFmtId="0" fontId="12" fillId="14" borderId="20" xfId="22" applyFont="1" applyFill="1" applyBorder="1" applyAlignment="1">
      <alignment vertical="center"/>
    </xf>
    <xf numFmtId="43" fontId="22" fillId="14" borderId="20" xfId="11" applyFont="1" applyFill="1" applyBorder="1" applyAlignment="1">
      <alignment horizontal="center" vertical="center"/>
    </xf>
    <xf numFmtId="43" fontId="16" fillId="14" borderId="20" xfId="1" applyFont="1" applyFill="1" applyBorder="1" applyAlignment="1">
      <alignment vertical="center"/>
    </xf>
    <xf numFmtId="1" fontId="22" fillId="14" borderId="20" xfId="22" applyNumberFormat="1" applyFont="1" applyFill="1" applyBorder="1" applyAlignment="1">
      <alignment horizontal="center" vertical="center"/>
    </xf>
    <xf numFmtId="0" fontId="22" fillId="7" borderId="5" xfId="22" applyFont="1" applyFill="1" applyBorder="1" applyAlignment="1">
      <alignment vertical="center" wrapText="1"/>
    </xf>
    <xf numFmtId="0" fontId="22" fillId="7" borderId="0" xfId="22" applyFont="1" applyFill="1" applyAlignment="1">
      <alignment vertical="center" wrapText="1"/>
    </xf>
    <xf numFmtId="0" fontId="22" fillId="7" borderId="24" xfId="22" applyFont="1" applyFill="1" applyBorder="1" applyAlignment="1">
      <alignment vertical="center" wrapText="1"/>
    </xf>
    <xf numFmtId="0" fontId="22" fillId="7" borderId="16" xfId="22" applyFont="1" applyFill="1" applyBorder="1" applyAlignment="1">
      <alignment vertical="center" wrapText="1"/>
    </xf>
    <xf numFmtId="0" fontId="22" fillId="7" borderId="11" xfId="22" applyFont="1" applyFill="1" applyBorder="1" applyAlignment="1">
      <alignment vertical="center" wrapText="1"/>
    </xf>
    <xf numFmtId="0" fontId="22" fillId="7" borderId="17" xfId="22" applyFont="1" applyFill="1" applyBorder="1" applyAlignment="1">
      <alignment vertical="center" wrapText="1"/>
    </xf>
    <xf numFmtId="43" fontId="16" fillId="0" borderId="19" xfId="1" applyFont="1" applyBorder="1" applyAlignment="1">
      <alignment horizontal="center" vertical="center" wrapText="1"/>
    </xf>
    <xf numFmtId="0" fontId="22" fillId="7" borderId="23" xfId="22" applyFont="1" applyFill="1" applyBorder="1" applyAlignment="1">
      <alignment vertical="center" wrapText="1"/>
    </xf>
    <xf numFmtId="43" fontId="16" fillId="7" borderId="19" xfId="1" applyFont="1" applyFill="1" applyBorder="1" applyAlignment="1">
      <alignment horizontal="center" vertical="center" wrapText="1"/>
    </xf>
    <xf numFmtId="0" fontId="22" fillId="7" borderId="12" xfId="22" applyFont="1" applyFill="1" applyBorder="1" applyAlignment="1">
      <alignment vertical="center" wrapText="1"/>
    </xf>
    <xf numFmtId="0" fontId="22" fillId="7" borderId="9" xfId="22" applyFont="1" applyFill="1" applyBorder="1" applyAlignment="1">
      <alignment vertical="center" wrapText="1"/>
    </xf>
    <xf numFmtId="0" fontId="22" fillId="7" borderId="13" xfId="22" applyFont="1" applyFill="1" applyBorder="1" applyAlignment="1">
      <alignment vertical="center" wrapText="1"/>
    </xf>
    <xf numFmtId="0" fontId="16" fillId="7" borderId="6" xfId="22" applyFont="1" applyFill="1" applyBorder="1" applyAlignment="1">
      <alignment horizontal="justify" vertical="center" wrapText="1"/>
    </xf>
    <xf numFmtId="49" fontId="16" fillId="7" borderId="6" xfId="23" applyNumberFormat="1" applyFont="1" applyFill="1" applyBorder="1" applyAlignment="1">
      <alignment horizontal="justify" vertical="top" wrapText="1"/>
    </xf>
    <xf numFmtId="0" fontId="16" fillId="28" borderId="0" xfId="22" applyFont="1" applyFill="1"/>
    <xf numFmtId="0" fontId="16" fillId="7" borderId="18" xfId="22" applyFont="1" applyFill="1" applyBorder="1" applyAlignment="1">
      <alignment vertical="center" wrapText="1"/>
    </xf>
    <xf numFmtId="1" fontId="16" fillId="0" borderId="6" xfId="22" applyNumberFormat="1" applyFont="1" applyBorder="1" applyAlignment="1">
      <alignment horizontal="center" vertical="center" wrapText="1"/>
    </xf>
    <xf numFmtId="0" fontId="16" fillId="0" borderId="18" xfId="22" applyFont="1" applyBorder="1" applyAlignment="1">
      <alignment vertical="center" wrapText="1"/>
    </xf>
    <xf numFmtId="0" fontId="22" fillId="14" borderId="11" xfId="22" applyFont="1" applyFill="1" applyBorder="1" applyAlignment="1">
      <alignment horizontal="center" vertical="center"/>
    </xf>
    <xf numFmtId="0" fontId="16" fillId="7" borderId="27" xfId="22" applyFont="1" applyFill="1" applyBorder="1" applyAlignment="1">
      <alignment horizontal="justify" vertical="center" wrapText="1"/>
    </xf>
    <xf numFmtId="1" fontId="16" fillId="7" borderId="19" xfId="22" applyNumberFormat="1" applyFont="1" applyFill="1" applyBorder="1" applyAlignment="1">
      <alignment horizontal="center" vertical="center" wrapText="1"/>
    </xf>
    <xf numFmtId="43" fontId="16" fillId="7" borderId="27" xfId="1" applyFont="1" applyFill="1" applyBorder="1" applyAlignment="1">
      <alignment horizontal="center" vertical="center" wrapText="1"/>
    </xf>
    <xf numFmtId="0" fontId="16" fillId="0" borderId="5" xfId="22" applyFont="1" applyBorder="1" applyAlignment="1">
      <alignment vertical="center" wrapText="1"/>
    </xf>
    <xf numFmtId="0" fontId="16" fillId="0" borderId="0" xfId="22" applyFont="1" applyAlignment="1">
      <alignment vertical="center" wrapText="1"/>
    </xf>
    <xf numFmtId="0" fontId="16" fillId="0" borderId="24" xfId="22" applyFont="1" applyBorder="1" applyAlignment="1">
      <alignment vertical="center" wrapText="1"/>
    </xf>
    <xf numFmtId="0" fontId="16" fillId="0" borderId="23" xfId="22" applyFont="1" applyBorder="1" applyAlignment="1">
      <alignment vertical="center" wrapText="1"/>
    </xf>
    <xf numFmtId="0" fontId="16" fillId="0" borderId="6" xfId="22" applyFont="1" applyBorder="1" applyAlignment="1">
      <alignment horizontal="center" vertical="center"/>
    </xf>
    <xf numFmtId="0" fontId="16" fillId="0" borderId="27" xfId="22" applyFont="1" applyBorder="1" applyAlignment="1">
      <alignment horizontal="center" vertical="center" wrapText="1"/>
    </xf>
    <xf numFmtId="1" fontId="16" fillId="0" borderId="18" xfId="22" applyNumberFormat="1" applyFont="1" applyBorder="1" applyAlignment="1">
      <alignment horizontal="center" vertical="center" wrapText="1"/>
    </xf>
    <xf numFmtId="0" fontId="16" fillId="0" borderId="18" xfId="22" applyFont="1" applyBorder="1" applyAlignment="1">
      <alignment horizontal="center" vertical="center" wrapText="1"/>
    </xf>
    <xf numFmtId="43" fontId="16" fillId="0" borderId="55" xfId="1" applyFont="1" applyBorder="1" applyAlignment="1">
      <alignment vertical="center"/>
    </xf>
    <xf numFmtId="0" fontId="16" fillId="0" borderId="55" xfId="22" applyFont="1" applyBorder="1" applyAlignment="1">
      <alignment horizontal="center" vertical="center"/>
    </xf>
    <xf numFmtId="0" fontId="16" fillId="0" borderId="55" xfId="22" applyFont="1" applyBorder="1" applyAlignment="1">
      <alignment horizontal="center" vertical="center" wrapText="1"/>
    </xf>
    <xf numFmtId="43" fontId="16" fillId="0" borderId="53" xfId="1" applyFont="1" applyBorder="1" applyAlignment="1">
      <alignment horizontal="center" vertical="center" wrapText="1"/>
    </xf>
    <xf numFmtId="1" fontId="16" fillId="0" borderId="53" xfId="22" applyNumberFormat="1" applyFont="1" applyBorder="1" applyAlignment="1">
      <alignment horizontal="center" vertical="center" wrapText="1"/>
    </xf>
    <xf numFmtId="0" fontId="16" fillId="0" borderId="53" xfId="22" applyFont="1" applyBorder="1" applyAlignment="1">
      <alignment horizontal="center" vertical="center" wrapText="1"/>
    </xf>
    <xf numFmtId="1" fontId="16" fillId="0" borderId="27" xfId="22" applyNumberFormat="1" applyFont="1" applyBorder="1" applyAlignment="1">
      <alignment horizontal="center" vertical="center" wrapText="1"/>
    </xf>
    <xf numFmtId="0" fontId="16" fillId="0" borderId="6" xfId="22" applyFont="1" applyBorder="1" applyAlignment="1">
      <alignment horizontal="center" vertical="center" wrapText="1"/>
    </xf>
    <xf numFmtId="43" fontId="16" fillId="0" borderId="25" xfId="1" applyFont="1" applyBorder="1" applyAlignment="1">
      <alignment horizontal="center" vertical="center" wrapText="1"/>
    </xf>
    <xf numFmtId="1" fontId="16" fillId="0" borderId="25" xfId="22" applyNumberFormat="1" applyFont="1" applyBorder="1" applyAlignment="1">
      <alignment horizontal="center" vertical="center" wrapText="1"/>
    </xf>
    <xf numFmtId="0" fontId="16" fillId="0" borderId="25" xfId="22" applyFont="1" applyBorder="1" applyAlignment="1">
      <alignment horizontal="center" vertical="center" wrapText="1"/>
    </xf>
    <xf numFmtId="1" fontId="16" fillId="0" borderId="17" xfId="22" applyNumberFormat="1" applyFont="1" applyBorder="1" applyAlignment="1">
      <alignment horizontal="center" vertical="center" wrapText="1"/>
    </xf>
    <xf numFmtId="1" fontId="16" fillId="0" borderId="54" xfId="22" applyNumberFormat="1" applyFont="1" applyBorder="1" applyAlignment="1">
      <alignment horizontal="center" vertical="center" wrapText="1"/>
    </xf>
    <xf numFmtId="0" fontId="16" fillId="0" borderId="17" xfId="22" applyFont="1" applyBorder="1" applyAlignment="1">
      <alignment horizontal="center" vertical="center" wrapText="1"/>
    </xf>
    <xf numFmtId="0" fontId="16" fillId="0" borderId="24" xfId="22" applyFont="1" applyBorder="1" applyAlignment="1">
      <alignment horizontal="center" vertical="center" wrapText="1"/>
    </xf>
    <xf numFmtId="49" fontId="16" fillId="7" borderId="19" xfId="23" applyNumberFormat="1" applyFont="1" applyFill="1" applyBorder="1" applyAlignment="1">
      <alignment horizontal="justify" vertical="center" wrapText="1"/>
    </xf>
    <xf numFmtId="0" fontId="16" fillId="0" borderId="12" xfId="22" applyFont="1" applyBorder="1" applyAlignment="1">
      <alignment vertical="center" wrapText="1"/>
    </xf>
    <xf numFmtId="0" fontId="16" fillId="0" borderId="9" xfId="22" applyFont="1" applyBorder="1" applyAlignment="1">
      <alignment vertical="center" wrapText="1"/>
    </xf>
    <xf numFmtId="0" fontId="16" fillId="0" borderId="13" xfId="22" applyFont="1" applyBorder="1" applyAlignment="1">
      <alignment vertical="center" wrapText="1"/>
    </xf>
    <xf numFmtId="0" fontId="16" fillId="0" borderId="13" xfId="22" applyFont="1" applyBorder="1" applyAlignment="1">
      <alignment horizontal="center" vertical="center" wrapText="1"/>
    </xf>
    <xf numFmtId="43" fontId="22" fillId="14" borderId="20" xfId="1" applyFont="1" applyFill="1" applyBorder="1" applyAlignment="1">
      <alignment horizontal="justify" vertical="center"/>
    </xf>
    <xf numFmtId="1" fontId="22" fillId="14" borderId="9" xfId="22" applyNumberFormat="1" applyFont="1" applyFill="1" applyBorder="1" applyAlignment="1">
      <alignment horizontal="center" vertical="center"/>
    </xf>
    <xf numFmtId="1" fontId="16" fillId="7" borderId="35" xfId="22" applyNumberFormat="1" applyFont="1" applyFill="1" applyBorder="1" applyAlignment="1">
      <alignment horizontal="center" vertical="center" wrapText="1"/>
    </xf>
    <xf numFmtId="0" fontId="16" fillId="7" borderId="18" xfId="22" applyFont="1" applyFill="1" applyBorder="1" applyAlignment="1">
      <alignment horizontal="center" vertical="center" wrapText="1"/>
    </xf>
    <xf numFmtId="1" fontId="16" fillId="0" borderId="35" xfId="22" applyNumberFormat="1" applyFont="1" applyBorder="1" applyAlignment="1">
      <alignment horizontal="center" vertical="center" wrapText="1"/>
    </xf>
    <xf numFmtId="1" fontId="22" fillId="14" borderId="11" xfId="22" applyNumberFormat="1" applyFont="1" applyFill="1" applyBorder="1" applyAlignment="1">
      <alignment horizontal="center" vertical="center"/>
    </xf>
    <xf numFmtId="43" fontId="16" fillId="7" borderId="12" xfId="1" applyFont="1" applyFill="1" applyBorder="1" applyAlignment="1">
      <alignment horizontal="center" vertical="center" wrapText="1"/>
    </xf>
    <xf numFmtId="1" fontId="16" fillId="7" borderId="86" xfId="22" applyNumberFormat="1" applyFont="1" applyFill="1" applyBorder="1" applyAlignment="1">
      <alignment horizontal="center" vertical="center" wrapText="1"/>
    </xf>
    <xf numFmtId="0" fontId="16" fillId="7" borderId="53" xfId="22" applyFont="1" applyFill="1" applyBorder="1" applyAlignment="1">
      <alignment horizontal="center" vertical="center" wrapText="1"/>
    </xf>
    <xf numFmtId="0" fontId="16" fillId="7" borderId="25" xfId="22" applyFont="1" applyFill="1" applyBorder="1" applyAlignment="1">
      <alignment horizontal="center" vertical="center" wrapText="1"/>
    </xf>
    <xf numFmtId="43" fontId="16" fillId="0" borderId="12" xfId="1" applyFont="1" applyBorder="1" applyAlignment="1">
      <alignment horizontal="center" vertical="center" wrapText="1"/>
    </xf>
    <xf numFmtId="0" fontId="16" fillId="7" borderId="55" xfId="22" applyFont="1" applyFill="1" applyBorder="1" applyAlignment="1">
      <alignment horizontal="center" vertical="center" wrapText="1"/>
    </xf>
    <xf numFmtId="0" fontId="16" fillId="7" borderId="24" xfId="22" applyFont="1" applyFill="1" applyBorder="1" applyAlignment="1">
      <alignment horizontal="center" vertical="center" wrapText="1"/>
    </xf>
    <xf numFmtId="1" fontId="16" fillId="7" borderId="12" xfId="22" applyNumberFormat="1" applyFont="1" applyFill="1" applyBorder="1" applyAlignment="1">
      <alignment horizontal="center" vertical="center" wrapText="1"/>
    </xf>
    <xf numFmtId="49" fontId="16" fillId="0" borderId="6" xfId="23" applyNumberFormat="1" applyFont="1" applyBorder="1" applyAlignment="1">
      <alignment horizontal="justify" vertical="center" wrapText="1"/>
    </xf>
    <xf numFmtId="0" fontId="16" fillId="7" borderId="27" xfId="22" applyFont="1" applyFill="1" applyBorder="1" applyAlignment="1">
      <alignment horizontal="center" vertical="center" wrapText="1"/>
    </xf>
    <xf numFmtId="0" fontId="16" fillId="7" borderId="24" xfId="22" applyFont="1" applyFill="1" applyBorder="1" applyAlignment="1">
      <alignment horizontal="center" wrapText="1"/>
    </xf>
    <xf numFmtId="0" fontId="16" fillId="7" borderId="0" xfId="22" applyFont="1" applyFill="1" applyAlignment="1">
      <alignment horizontal="center"/>
    </xf>
    <xf numFmtId="0" fontId="16" fillId="7" borderId="13" xfId="22" applyFont="1" applyFill="1" applyBorder="1" applyAlignment="1">
      <alignment horizontal="center" vertical="center" wrapText="1"/>
    </xf>
    <xf numFmtId="43" fontId="22" fillId="14" borderId="20" xfId="1" applyFont="1" applyFill="1" applyBorder="1" applyAlignment="1">
      <alignment vertical="center"/>
    </xf>
    <xf numFmtId="0" fontId="16" fillId="7" borderId="6" xfId="22" applyFont="1" applyFill="1" applyBorder="1" applyAlignment="1">
      <alignment horizontal="center" vertical="center" wrapText="1"/>
    </xf>
    <xf numFmtId="9" fontId="16" fillId="7" borderId="6" xfId="12" applyFont="1" applyFill="1" applyBorder="1" applyAlignment="1">
      <alignment horizontal="center" vertical="center" wrapText="1"/>
    </xf>
    <xf numFmtId="0" fontId="16" fillId="7" borderId="6" xfId="22" applyFont="1" applyFill="1" applyBorder="1" applyAlignment="1">
      <alignment horizontal="left" vertical="center" wrapText="1"/>
    </xf>
    <xf numFmtId="43" fontId="16" fillId="14" borderId="11" xfId="1" applyFont="1" applyFill="1" applyBorder="1" applyAlignment="1">
      <alignment vertical="center"/>
    </xf>
    <xf numFmtId="0" fontId="16" fillId="0" borderId="6" xfId="22" applyFont="1" applyBorder="1" applyAlignment="1">
      <alignment vertical="center" wrapText="1"/>
    </xf>
    <xf numFmtId="0" fontId="16" fillId="7" borderId="53" xfId="22" applyFont="1" applyFill="1" applyBorder="1" applyAlignment="1">
      <alignment vertical="center" wrapText="1"/>
    </xf>
    <xf numFmtId="0" fontId="22" fillId="11" borderId="0" xfId="22" applyFont="1" applyFill="1" applyAlignment="1">
      <alignment horizontal="justify" vertical="center" wrapText="1"/>
    </xf>
    <xf numFmtId="0" fontId="22" fillId="11" borderId="0" xfId="22" applyFont="1" applyFill="1" applyAlignment="1">
      <alignment vertical="center"/>
    </xf>
    <xf numFmtId="0" fontId="22" fillId="11" borderId="9" xfId="22" applyFont="1" applyFill="1" applyBorder="1" applyAlignment="1">
      <alignment vertical="center"/>
    </xf>
    <xf numFmtId="0" fontId="22" fillId="11" borderId="9" xfId="22" applyFont="1" applyFill="1" applyBorder="1" applyAlignment="1">
      <alignment horizontal="justify" vertical="center"/>
    </xf>
    <xf numFmtId="0" fontId="22" fillId="11" borderId="9" xfId="22" applyFont="1" applyFill="1" applyBorder="1" applyAlignment="1">
      <alignment horizontal="center" vertical="center"/>
    </xf>
    <xf numFmtId="0" fontId="12" fillId="11" borderId="9" xfId="22" applyFont="1" applyFill="1" applyBorder="1" applyAlignment="1">
      <alignment vertical="center"/>
    </xf>
    <xf numFmtId="43" fontId="22" fillId="11" borderId="9" xfId="11" applyFont="1" applyFill="1" applyBorder="1" applyAlignment="1">
      <alignment horizontal="center" vertical="center"/>
    </xf>
    <xf numFmtId="43" fontId="16" fillId="11" borderId="9" xfId="1" applyFont="1" applyFill="1" applyBorder="1" applyAlignment="1">
      <alignment vertical="center"/>
    </xf>
    <xf numFmtId="1" fontId="22" fillId="11" borderId="9" xfId="22" applyNumberFormat="1" applyFont="1" applyFill="1" applyBorder="1" applyAlignment="1">
      <alignment horizontal="center" vertical="center"/>
    </xf>
    <xf numFmtId="0" fontId="22" fillId="11" borderId="6" xfId="22" applyFont="1" applyFill="1" applyBorder="1" applyAlignment="1">
      <alignment horizontal="center" vertical="center"/>
    </xf>
    <xf numFmtId="0" fontId="22" fillId="11" borderId="14" xfId="22" applyFont="1" applyFill="1" applyBorder="1" applyAlignment="1">
      <alignment vertical="center"/>
    </xf>
    <xf numFmtId="0" fontId="16" fillId="7" borderId="6" xfId="22" quotePrefix="1" applyFont="1" applyFill="1" applyBorder="1" applyAlignment="1">
      <alignment horizontal="justify" vertical="center" wrapText="1"/>
    </xf>
    <xf numFmtId="1" fontId="16" fillId="7" borderId="6" xfId="22" quotePrefix="1" applyNumberFormat="1" applyFont="1" applyFill="1" applyBorder="1" applyAlignment="1">
      <alignment vertical="center" wrapText="1"/>
    </xf>
    <xf numFmtId="0" fontId="16" fillId="7" borderId="6" xfId="22" applyFont="1" applyFill="1" applyBorder="1" applyAlignment="1">
      <alignment vertical="center" wrapText="1"/>
    </xf>
    <xf numFmtId="0" fontId="22" fillId="14" borderId="53" xfId="22" applyFont="1" applyFill="1" applyBorder="1" applyAlignment="1">
      <alignment horizontal="justify" vertical="center" wrapText="1"/>
    </xf>
    <xf numFmtId="0" fontId="22" fillId="14" borderId="53" xfId="22" applyFont="1" applyFill="1" applyBorder="1" applyAlignment="1">
      <alignment vertical="center"/>
    </xf>
    <xf numFmtId="0" fontId="22" fillId="14" borderId="11" xfId="22" applyFont="1" applyFill="1" applyBorder="1" applyAlignment="1">
      <alignment vertical="center"/>
    </xf>
    <xf numFmtId="0" fontId="22" fillId="14" borderId="11" xfId="22" applyFont="1" applyFill="1" applyBorder="1" applyAlignment="1">
      <alignment horizontal="justify" vertical="center"/>
    </xf>
    <xf numFmtId="0" fontId="22" fillId="14" borderId="6" xfId="22" applyFont="1" applyFill="1" applyBorder="1" applyAlignment="1">
      <alignment vertical="center"/>
    </xf>
    <xf numFmtId="43" fontId="16" fillId="0" borderId="35" xfId="1" applyFont="1" applyBorder="1" applyAlignment="1">
      <alignment horizontal="center" vertical="center" wrapText="1"/>
    </xf>
    <xf numFmtId="1" fontId="16" fillId="7" borderId="18" xfId="22" quotePrefix="1" applyNumberFormat="1" applyFont="1" applyFill="1" applyBorder="1" applyAlignment="1">
      <alignment horizontal="center" vertical="center" wrapText="1"/>
    </xf>
    <xf numFmtId="0" fontId="16" fillId="7" borderId="16" xfId="22" applyFont="1" applyFill="1" applyBorder="1" applyAlignment="1">
      <alignment horizontal="center" vertical="center" wrapText="1"/>
    </xf>
    <xf numFmtId="0" fontId="22" fillId="14" borderId="9" xfId="22" applyFont="1" applyFill="1" applyBorder="1" applyAlignment="1">
      <alignment horizontal="justify" vertical="center" wrapText="1"/>
    </xf>
    <xf numFmtId="0" fontId="22" fillId="14" borderId="9" xfId="22" applyFont="1" applyFill="1" applyBorder="1" applyAlignment="1">
      <alignment vertical="center"/>
    </xf>
    <xf numFmtId="0" fontId="22" fillId="14" borderId="9" xfId="22" applyFont="1" applyFill="1" applyBorder="1" applyAlignment="1">
      <alignment horizontal="justify" vertical="center"/>
    </xf>
    <xf numFmtId="0" fontId="22" fillId="14" borderId="0" xfId="22" applyFont="1" applyFill="1" applyAlignment="1">
      <alignment horizontal="justify" vertical="center"/>
    </xf>
    <xf numFmtId="1" fontId="16" fillId="7" borderId="6" xfId="22" quotePrefix="1" applyNumberFormat="1" applyFont="1" applyFill="1" applyBorder="1" applyAlignment="1">
      <alignment horizontal="center" vertical="center" wrapText="1"/>
    </xf>
    <xf numFmtId="3" fontId="22" fillId="11" borderId="11" xfId="22" applyNumberFormat="1" applyFont="1" applyFill="1" applyBorder="1" applyAlignment="1">
      <alignment horizontal="justify" vertical="center" wrapText="1"/>
    </xf>
    <xf numFmtId="43" fontId="22" fillId="11" borderId="20" xfId="1" applyFont="1" applyFill="1" applyBorder="1" applyAlignment="1">
      <alignment horizontal="justify" vertical="center"/>
    </xf>
    <xf numFmtId="0" fontId="22" fillId="14" borderId="11" xfId="22" applyFont="1" applyFill="1" applyBorder="1" applyAlignment="1">
      <alignment horizontal="justify" vertical="center" wrapText="1"/>
    </xf>
    <xf numFmtId="0" fontId="12" fillId="14" borderId="11" xfId="22" applyFont="1" applyFill="1" applyBorder="1" applyAlignment="1">
      <alignment vertical="center"/>
    </xf>
    <xf numFmtId="43" fontId="22" fillId="14" borderId="11" xfId="11" applyFont="1" applyFill="1" applyBorder="1" applyAlignment="1">
      <alignment horizontal="center" vertical="center"/>
    </xf>
    <xf numFmtId="43" fontId="22" fillId="14" borderId="11" xfId="1" applyFont="1" applyFill="1" applyBorder="1" applyAlignment="1">
      <alignment horizontal="justify" vertical="center"/>
    </xf>
    <xf numFmtId="0" fontId="22" fillId="14" borderId="58" xfId="22" applyFont="1" applyFill="1" applyBorder="1" applyAlignment="1">
      <alignment vertical="center"/>
    </xf>
    <xf numFmtId="0" fontId="16" fillId="0" borderId="18" xfId="22" applyFont="1" applyBorder="1" applyAlignment="1">
      <alignment horizontal="justify" vertical="center" wrapText="1"/>
    </xf>
    <xf numFmtId="0" fontId="16" fillId="0" borderId="18" xfId="22" applyFont="1" applyBorder="1" applyAlignment="1">
      <alignment horizontal="center" vertical="center"/>
    </xf>
    <xf numFmtId="9" fontId="16" fillId="7" borderId="18" xfId="12" applyFont="1" applyFill="1" applyBorder="1" applyAlignment="1">
      <alignment horizontal="center" vertical="center" wrapText="1"/>
    </xf>
    <xf numFmtId="1" fontId="16" fillId="7" borderId="18" xfId="22" quotePrefix="1" applyNumberFormat="1" applyFont="1" applyFill="1" applyBorder="1" applyAlignment="1">
      <alignment vertical="center" wrapText="1"/>
    </xf>
    <xf numFmtId="0" fontId="16" fillId="0" borderId="6" xfId="22" applyFont="1" applyBorder="1" applyAlignment="1">
      <alignment horizontal="center"/>
    </xf>
    <xf numFmtId="43" fontId="16" fillId="0" borderId="6" xfId="1" applyFont="1" applyBorder="1" applyAlignment="1">
      <alignment horizontal="right" vertical="center"/>
    </xf>
    <xf numFmtId="1" fontId="16" fillId="7" borderId="35" xfId="22" quotePrefix="1" applyNumberFormat="1" applyFont="1" applyFill="1" applyBorder="1" applyAlignment="1">
      <alignment horizontal="center" vertical="center" wrapText="1"/>
    </xf>
    <xf numFmtId="0" fontId="16" fillId="0" borderId="0" xfId="22" applyFont="1" applyAlignment="1">
      <alignment horizontal="center"/>
    </xf>
    <xf numFmtId="1" fontId="16" fillId="7" borderId="17" xfId="22" quotePrefix="1" applyNumberFormat="1" applyFont="1" applyFill="1" applyBorder="1" applyAlignment="1">
      <alignment horizontal="center" vertical="center" wrapText="1"/>
    </xf>
    <xf numFmtId="0" fontId="16" fillId="7" borderId="18" xfId="22" applyFont="1" applyFill="1" applyBorder="1" applyAlignment="1">
      <alignment horizontal="justify" vertical="center" wrapText="1"/>
    </xf>
    <xf numFmtId="43" fontId="16" fillId="0" borderId="56" xfId="1" applyFont="1" applyBorder="1" applyAlignment="1">
      <alignment horizontal="right"/>
    </xf>
    <xf numFmtId="43" fontId="16" fillId="0" borderId="53" xfId="1" applyFont="1" applyBorder="1" applyAlignment="1">
      <alignment horizontal="right"/>
    </xf>
    <xf numFmtId="43" fontId="16" fillId="0" borderId="25" xfId="1" applyFont="1" applyBorder="1" applyAlignment="1">
      <alignment vertical="center" wrapText="1"/>
    </xf>
    <xf numFmtId="0" fontId="16" fillId="7" borderId="27" xfId="22" applyFont="1" applyFill="1" applyBorder="1" applyAlignment="1">
      <alignment vertical="center" wrapText="1"/>
    </xf>
    <xf numFmtId="0" fontId="22" fillId="0" borderId="9" xfId="22" applyFont="1" applyBorder="1" applyAlignment="1">
      <alignment vertical="center" wrapText="1"/>
    </xf>
    <xf numFmtId="0" fontId="22" fillId="0" borderId="13" xfId="22" applyFont="1" applyBorder="1" applyAlignment="1">
      <alignment vertical="center" wrapText="1"/>
    </xf>
    <xf numFmtId="0" fontId="16" fillId="7" borderId="19" xfId="22" quotePrefix="1" applyFont="1" applyFill="1" applyBorder="1" applyAlignment="1">
      <alignment horizontal="justify" vertical="center" wrapText="1"/>
    </xf>
    <xf numFmtId="0" fontId="22" fillId="14" borderId="0" xfId="22" applyFont="1" applyFill="1" applyAlignment="1">
      <alignment horizontal="justify" vertical="center" wrapText="1"/>
    </xf>
    <xf numFmtId="0" fontId="22" fillId="14" borderId="0" xfId="22" applyFont="1" applyFill="1" applyAlignment="1">
      <alignment vertical="center"/>
    </xf>
    <xf numFmtId="43" fontId="16" fillId="14" borderId="9" xfId="1" applyFont="1" applyFill="1" applyBorder="1" applyAlignment="1">
      <alignment vertical="center"/>
    </xf>
    <xf numFmtId="0" fontId="22" fillId="14" borderId="20" xfId="11" applyNumberFormat="1" applyFont="1" applyFill="1" applyBorder="1" applyAlignment="1">
      <alignment horizontal="center" vertical="center" textRotation="180" wrapText="1"/>
    </xf>
    <xf numFmtId="0" fontId="16" fillId="7" borderId="5" xfId="22" applyFont="1" applyFill="1" applyBorder="1" applyAlignment="1">
      <alignment horizontal="center" vertical="center" wrapText="1"/>
    </xf>
    <xf numFmtId="0" fontId="16" fillId="7" borderId="0" xfId="22" applyFont="1" applyFill="1" applyAlignment="1">
      <alignment horizontal="center" vertical="center" wrapText="1"/>
    </xf>
    <xf numFmtId="0" fontId="16" fillId="7" borderId="11" xfId="22" applyFont="1" applyFill="1" applyBorder="1" applyAlignment="1">
      <alignment horizontal="center" vertical="center" wrapText="1"/>
    </xf>
    <xf numFmtId="0" fontId="16" fillId="7" borderId="17" xfId="22" applyFont="1" applyFill="1" applyBorder="1" applyAlignment="1">
      <alignment horizontal="center" vertical="center" wrapText="1"/>
    </xf>
    <xf numFmtId="0" fontId="16" fillId="7" borderId="25" xfId="22" applyFont="1" applyFill="1" applyBorder="1" applyAlignment="1">
      <alignment vertical="center" wrapText="1"/>
    </xf>
    <xf numFmtId="0" fontId="22" fillId="14" borderId="0" xfId="11" applyNumberFormat="1" applyFont="1" applyFill="1" applyAlignment="1">
      <alignment horizontal="center" vertical="center" textRotation="180" wrapText="1"/>
    </xf>
    <xf numFmtId="0" fontId="16" fillId="7" borderId="6" xfId="23" quotePrefix="1" applyFont="1" applyFill="1" applyBorder="1" applyAlignment="1">
      <alignment horizontal="justify" vertical="center" wrapText="1"/>
    </xf>
    <xf numFmtId="43" fontId="16" fillId="7" borderId="6" xfId="1" quotePrefix="1" applyFont="1" applyFill="1" applyBorder="1" applyAlignment="1">
      <alignment vertical="center" wrapText="1"/>
    </xf>
    <xf numFmtId="49" fontId="16" fillId="7" borderId="6" xfId="23" quotePrefix="1" applyNumberFormat="1" applyFont="1" applyFill="1" applyBorder="1" applyAlignment="1">
      <alignment horizontal="justify" vertical="center" wrapText="1"/>
    </xf>
    <xf numFmtId="49" fontId="16" fillId="7" borderId="18" xfId="23" quotePrefix="1" applyNumberFormat="1" applyFont="1" applyFill="1" applyBorder="1" applyAlignment="1">
      <alignment horizontal="justify" vertical="center" wrapText="1"/>
    </xf>
    <xf numFmtId="0" fontId="22" fillId="14" borderId="20" xfId="11" applyNumberFormat="1" applyFont="1" applyFill="1" applyBorder="1" applyAlignment="1">
      <alignment vertical="center" textRotation="180" wrapText="1"/>
    </xf>
    <xf numFmtId="167" fontId="22" fillId="14" borderId="20" xfId="11" applyNumberFormat="1" applyFont="1" applyFill="1" applyBorder="1" applyAlignment="1">
      <alignment vertical="center" textRotation="180" wrapText="1"/>
    </xf>
    <xf numFmtId="49" fontId="16" fillId="0" borderId="35" xfId="23" applyNumberFormat="1" applyFont="1" applyBorder="1" applyAlignment="1">
      <alignment horizontal="justify" vertical="center" wrapText="1"/>
    </xf>
    <xf numFmtId="0" fontId="16" fillId="7" borderId="9" xfId="22" applyFont="1" applyFill="1" applyBorder="1" applyAlignment="1">
      <alignment horizontal="center" vertical="center" wrapText="1"/>
    </xf>
    <xf numFmtId="0" fontId="16" fillId="7" borderId="54" xfId="22" applyFont="1" applyFill="1" applyBorder="1" applyAlignment="1">
      <alignment vertical="center" wrapText="1"/>
    </xf>
    <xf numFmtId="0" fontId="16" fillId="7" borderId="35" xfId="22" applyFont="1" applyFill="1" applyBorder="1" applyAlignment="1">
      <alignment horizontal="justify" vertical="center" wrapText="1"/>
    </xf>
    <xf numFmtId="43" fontId="16" fillId="7" borderId="6" xfId="1" quotePrefix="1" applyFont="1" applyFill="1" applyBorder="1" applyAlignment="1">
      <alignment horizontal="center" vertical="center"/>
    </xf>
    <xf numFmtId="0" fontId="16" fillId="0" borderId="25" xfId="22" applyFont="1" applyBorder="1" applyAlignment="1">
      <alignment horizontal="left" vertical="center" wrapText="1"/>
    </xf>
    <xf numFmtId="0" fontId="16" fillId="0" borderId="6" xfId="22" applyFont="1" applyBorder="1" applyAlignment="1">
      <alignment horizontal="justify" vertical="center" wrapText="1"/>
    </xf>
    <xf numFmtId="0" fontId="22" fillId="11" borderId="20" xfId="11" applyNumberFormat="1" applyFont="1" applyFill="1" applyBorder="1" applyAlignment="1">
      <alignment vertical="center" textRotation="180" wrapText="1"/>
    </xf>
    <xf numFmtId="167" fontId="22" fillId="11" borderId="20" xfId="11" applyNumberFormat="1" applyFont="1" applyFill="1" applyBorder="1" applyAlignment="1">
      <alignment vertical="center" textRotation="180" wrapText="1"/>
    </xf>
    <xf numFmtId="0" fontId="22" fillId="11" borderId="20" xfId="11" applyNumberFormat="1" applyFont="1" applyFill="1" applyBorder="1" applyAlignment="1">
      <alignment horizontal="center" vertical="center" textRotation="180" wrapText="1"/>
    </xf>
    <xf numFmtId="0" fontId="22" fillId="14" borderId="9" xfId="22" applyFont="1" applyFill="1" applyBorder="1" applyAlignment="1">
      <alignment horizontal="center" vertical="center"/>
    </xf>
    <xf numFmtId="0" fontId="22" fillId="14" borderId="9" xfId="11" applyNumberFormat="1" applyFont="1" applyFill="1" applyBorder="1" applyAlignment="1">
      <alignment vertical="center" textRotation="180" wrapText="1"/>
    </xf>
    <xf numFmtId="167" fontId="22" fillId="14" borderId="9" xfId="11" applyNumberFormat="1" applyFont="1" applyFill="1" applyBorder="1" applyAlignment="1">
      <alignment vertical="center" textRotation="180" wrapText="1"/>
    </xf>
    <xf numFmtId="0" fontId="22" fillId="14" borderId="9" xfId="11" applyNumberFormat="1" applyFont="1" applyFill="1" applyBorder="1" applyAlignment="1">
      <alignment horizontal="center" vertical="center" textRotation="180" wrapText="1"/>
    </xf>
    <xf numFmtId="9" fontId="16" fillId="7" borderId="27" xfId="12" applyFont="1" applyFill="1" applyBorder="1" applyAlignment="1">
      <alignment horizontal="center" vertical="center" wrapText="1"/>
    </xf>
    <xf numFmtId="43" fontId="16" fillId="7" borderId="6" xfId="1" applyFont="1" applyFill="1" applyBorder="1" applyAlignment="1">
      <alignment vertical="center"/>
    </xf>
    <xf numFmtId="1" fontId="16" fillId="7" borderId="6" xfId="22" applyNumberFormat="1" applyFont="1" applyFill="1" applyBorder="1" applyAlignment="1">
      <alignment horizontal="center" vertical="center"/>
    </xf>
    <xf numFmtId="0" fontId="16" fillId="7" borderId="6" xfId="23" applyFont="1" applyFill="1" applyBorder="1" applyAlignment="1">
      <alignment horizontal="justify" vertical="center" wrapText="1"/>
    </xf>
    <xf numFmtId="0" fontId="16" fillId="7" borderId="18" xfId="23" applyFont="1" applyFill="1" applyBorder="1" applyAlignment="1">
      <alignment horizontal="justify" vertical="center" wrapText="1"/>
    </xf>
    <xf numFmtId="43" fontId="16" fillId="7" borderId="18" xfId="1" applyFont="1" applyFill="1" applyBorder="1" applyAlignment="1">
      <alignment horizontal="center" vertical="center" wrapText="1"/>
    </xf>
    <xf numFmtId="1" fontId="16" fillId="7" borderId="18" xfId="22" applyNumberFormat="1" applyFont="1" applyFill="1" applyBorder="1" applyAlignment="1">
      <alignment horizontal="center" vertical="center"/>
    </xf>
    <xf numFmtId="0" fontId="16" fillId="0" borderId="6" xfId="22" applyFont="1" applyBorder="1"/>
    <xf numFmtId="43" fontId="22" fillId="0" borderId="34" xfId="11" applyFont="1" applyBorder="1" applyAlignment="1">
      <alignment horizontal="center" vertical="center"/>
    </xf>
    <xf numFmtId="0" fontId="16" fillId="7" borderId="31" xfId="22" applyFont="1" applyFill="1" applyBorder="1"/>
    <xf numFmtId="0" fontId="16" fillId="7" borderId="32" xfId="22" applyFont="1" applyFill="1" applyBorder="1" applyAlignment="1">
      <alignment horizontal="justify"/>
    </xf>
    <xf numFmtId="0" fontId="16" fillId="7" borderId="33" xfId="22" applyFont="1" applyFill="1" applyBorder="1" applyAlignment="1">
      <alignment horizontal="right" vertical="center"/>
    </xf>
    <xf numFmtId="43" fontId="22" fillId="0" borderId="34" xfId="11" applyFont="1" applyBorder="1" applyAlignment="1">
      <alignment horizontal="justify" vertical="center"/>
    </xf>
    <xf numFmtId="0" fontId="16" fillId="7" borderId="34" xfId="22" applyFont="1" applyFill="1" applyBorder="1" applyAlignment="1">
      <alignment horizontal="center" vertical="center"/>
    </xf>
    <xf numFmtId="0" fontId="16" fillId="0" borderId="34" xfId="11" applyNumberFormat="1" applyFont="1" applyBorder="1"/>
    <xf numFmtId="167" fontId="16" fillId="0" borderId="34" xfId="11" applyNumberFormat="1" applyFont="1" applyBorder="1"/>
    <xf numFmtId="0" fontId="16" fillId="0" borderId="34" xfId="11" applyNumberFormat="1" applyFont="1" applyBorder="1" applyAlignment="1">
      <alignment horizontal="center" vertical="center"/>
    </xf>
    <xf numFmtId="0" fontId="16" fillId="0" borderId="34" xfId="22" applyFont="1" applyBorder="1"/>
    <xf numFmtId="0" fontId="16" fillId="7" borderId="0" xfId="22" applyFont="1" applyFill="1" applyAlignment="1">
      <alignment horizontal="justify"/>
    </xf>
    <xf numFmtId="0" fontId="16" fillId="7" borderId="0" xfId="22" applyFont="1" applyFill="1" applyAlignment="1">
      <alignment horizontal="center" vertical="center"/>
    </xf>
    <xf numFmtId="0" fontId="16" fillId="7" borderId="0" xfId="22" applyFont="1" applyFill="1" applyAlignment="1">
      <alignment horizontal="justify" vertical="center"/>
    </xf>
    <xf numFmtId="167" fontId="16" fillId="7" borderId="0" xfId="22" applyNumberFormat="1" applyFont="1" applyFill="1" applyAlignment="1">
      <alignment horizontal="justify" vertical="center"/>
    </xf>
    <xf numFmtId="0" fontId="16" fillId="0" borderId="0" xfId="11" applyNumberFormat="1" applyFont="1"/>
    <xf numFmtId="167" fontId="16" fillId="0" borderId="0" xfId="11" applyNumberFormat="1" applyFont="1"/>
    <xf numFmtId="0" fontId="16" fillId="0" borderId="0" xfId="11" applyNumberFormat="1" applyFont="1" applyAlignment="1">
      <alignment horizontal="center" vertical="center"/>
    </xf>
    <xf numFmtId="192" fontId="16" fillId="7" borderId="0" xfId="22" applyNumberFormat="1" applyFont="1" applyFill="1" applyAlignment="1">
      <alignment horizontal="center"/>
    </xf>
    <xf numFmtId="193" fontId="16" fillId="7" borderId="0" xfId="24" applyFont="1" applyFill="1" applyAlignment="1">
      <alignment horizontal="justify" vertical="center"/>
    </xf>
    <xf numFmtId="193" fontId="16" fillId="7" borderId="0" xfId="22" applyNumberFormat="1" applyFont="1" applyFill="1" applyAlignment="1">
      <alignment horizontal="justify" vertical="center"/>
    </xf>
    <xf numFmtId="17" fontId="3" fillId="0" borderId="7" xfId="0" applyNumberFormat="1" applyFont="1" applyBorder="1" applyAlignment="1">
      <alignment horizontal="left"/>
    </xf>
    <xf numFmtId="0" fontId="4" fillId="7" borderId="0" xfId="0" applyFont="1" applyFill="1"/>
    <xf numFmtId="0" fontId="10" fillId="7" borderId="0" xfId="0" applyFont="1" applyFill="1"/>
    <xf numFmtId="1" fontId="4" fillId="0" borderId="6" xfId="0" applyNumberFormat="1" applyFont="1" applyBorder="1" applyAlignment="1">
      <alignment vertical="center" wrapText="1"/>
    </xf>
    <xf numFmtId="43" fontId="8" fillId="7" borderId="19" xfId="5" applyFont="1" applyFill="1" applyBorder="1" applyAlignment="1">
      <alignment horizontal="center" vertical="center" wrapText="1"/>
    </xf>
    <xf numFmtId="1" fontId="4" fillId="7" borderId="19" xfId="0" applyNumberFormat="1" applyFont="1" applyFill="1" applyBorder="1" applyAlignment="1">
      <alignment horizontal="center" vertical="center" wrapText="1"/>
    </xf>
    <xf numFmtId="0" fontId="4" fillId="7" borderId="6" xfId="0" applyFont="1" applyFill="1" applyBorder="1" applyAlignment="1">
      <alignment horizontal="center" vertical="center" wrapText="1"/>
    </xf>
    <xf numFmtId="43" fontId="8" fillId="7" borderId="16" xfId="5" applyFont="1" applyFill="1" applyBorder="1" applyAlignment="1">
      <alignment horizontal="center" vertical="center" wrapText="1"/>
    </xf>
    <xf numFmtId="1" fontId="4" fillId="7" borderId="16" xfId="0" applyNumberFormat="1" applyFont="1" applyFill="1" applyBorder="1" applyAlignment="1">
      <alignment horizontal="center" vertical="center" wrapText="1"/>
    </xf>
    <xf numFmtId="0" fontId="4" fillId="5" borderId="65" xfId="0" applyFont="1" applyFill="1" applyBorder="1" applyAlignment="1">
      <alignment vertical="center" wrapText="1"/>
    </xf>
    <xf numFmtId="43" fontId="4" fillId="7" borderId="53" xfId="5" applyFont="1" applyFill="1" applyBorder="1" applyAlignment="1">
      <alignment horizontal="center" vertical="center" wrapText="1"/>
    </xf>
    <xf numFmtId="1" fontId="4" fillId="7" borderId="53" xfId="0" applyNumberFormat="1" applyFont="1" applyFill="1" applyBorder="1" applyAlignment="1">
      <alignment horizontal="center" vertical="center" wrapText="1"/>
    </xf>
    <xf numFmtId="0" fontId="4" fillId="7" borderId="53" xfId="0" applyFont="1" applyFill="1" applyBorder="1" applyAlignment="1">
      <alignment horizontal="center" vertical="center" wrapText="1"/>
    </xf>
    <xf numFmtId="43" fontId="4" fillId="7" borderId="55" xfId="5" applyFont="1" applyFill="1" applyBorder="1" applyAlignment="1">
      <alignment horizontal="center" vertical="center" wrapText="1"/>
    </xf>
    <xf numFmtId="1" fontId="4" fillId="7" borderId="55" xfId="0" applyNumberFormat="1" applyFont="1" applyFill="1" applyBorder="1" applyAlignment="1">
      <alignment horizontal="center" vertical="center" wrapText="1"/>
    </xf>
    <xf numFmtId="0" fontId="4" fillId="7" borderId="55" xfId="0" applyFont="1" applyFill="1" applyBorder="1" applyAlignment="1">
      <alignment horizontal="center" vertical="center" wrapText="1"/>
    </xf>
    <xf numFmtId="0" fontId="35" fillId="7" borderId="0" xfId="0" applyFont="1" applyFill="1"/>
    <xf numFmtId="0" fontId="23" fillId="0" borderId="4" xfId="0" applyFont="1" applyBorder="1"/>
    <xf numFmtId="168" fontId="23" fillId="0" borderId="7" xfId="0" applyNumberFormat="1" applyFont="1" applyBorder="1" applyAlignment="1">
      <alignment horizontal="left"/>
    </xf>
    <xf numFmtId="17" fontId="23" fillId="0" borderId="7" xfId="0" applyNumberFormat="1" applyFont="1" applyBorder="1" applyAlignment="1">
      <alignment horizontal="left"/>
    </xf>
    <xf numFmtId="3" fontId="23" fillId="5" borderId="7" xfId="0" applyNumberFormat="1" applyFont="1" applyFill="1" applyBorder="1" applyAlignment="1">
      <alignment horizontal="left" vertical="center" wrapText="1"/>
    </xf>
    <xf numFmtId="0" fontId="28" fillId="0" borderId="12" xfId="0" applyFont="1" applyBorder="1" applyAlignment="1">
      <alignment vertical="center"/>
    </xf>
    <xf numFmtId="0" fontId="20" fillId="0" borderId="9" xfId="0" applyFont="1" applyBorder="1" applyAlignment="1">
      <alignment vertical="center"/>
    </xf>
    <xf numFmtId="43" fontId="20" fillId="0" borderId="9" xfId="1" applyFont="1" applyBorder="1" applyAlignment="1">
      <alignment vertical="center"/>
    </xf>
    <xf numFmtId="167" fontId="28" fillId="0" borderId="9" xfId="1" applyNumberFormat="1" applyFont="1" applyBorder="1" applyAlignment="1">
      <alignment horizontal="center" vertical="center"/>
    </xf>
    <xf numFmtId="14" fontId="28" fillId="0" borderId="9" xfId="0" applyNumberFormat="1" applyFont="1" applyBorder="1" applyAlignment="1">
      <alignment vertical="center"/>
    </xf>
    <xf numFmtId="0" fontId="20" fillId="0" borderId="14" xfId="0" applyFont="1" applyBorder="1" applyAlignment="1">
      <alignment vertical="center"/>
    </xf>
    <xf numFmtId="0" fontId="7" fillId="8" borderId="19" xfId="0" applyFont="1" applyFill="1" applyBorder="1" applyAlignment="1">
      <alignment horizontal="center" vertical="center" textRotation="90" wrapText="1"/>
    </xf>
    <xf numFmtId="1" fontId="28" fillId="10" borderId="39" xfId="0" applyNumberFormat="1" applyFont="1" applyFill="1" applyBorder="1" applyAlignment="1">
      <alignment horizontal="center" vertical="center" wrapText="1"/>
    </xf>
    <xf numFmtId="0" fontId="20" fillId="10" borderId="20" xfId="0" applyFont="1" applyFill="1" applyBorder="1" applyAlignment="1">
      <alignment horizontal="center" vertical="center"/>
    </xf>
    <xf numFmtId="43" fontId="20" fillId="10" borderId="20" xfId="1" applyFont="1" applyFill="1" applyBorder="1" applyAlignment="1">
      <alignment vertical="center"/>
    </xf>
    <xf numFmtId="165" fontId="28" fillId="10" borderId="20" xfId="0" applyNumberFormat="1" applyFont="1" applyFill="1" applyBorder="1" applyAlignment="1">
      <alignment horizontal="center" vertical="center"/>
    </xf>
    <xf numFmtId="167" fontId="20" fillId="10" borderId="20" xfId="1" applyNumberFormat="1" applyFont="1" applyFill="1" applyBorder="1" applyAlignment="1">
      <alignment vertical="center"/>
    </xf>
    <xf numFmtId="167" fontId="28" fillId="10" borderId="20" xfId="1" applyNumberFormat="1" applyFont="1" applyFill="1" applyBorder="1" applyAlignment="1">
      <alignment vertical="center"/>
    </xf>
    <xf numFmtId="14" fontId="28" fillId="10" borderId="20" xfId="0" applyNumberFormat="1" applyFont="1" applyFill="1" applyBorder="1" applyAlignment="1">
      <alignment vertical="center"/>
    </xf>
    <xf numFmtId="0" fontId="20" fillId="10" borderId="29" xfId="0" applyFont="1" applyFill="1" applyBorder="1" applyAlignment="1">
      <alignment horizontal="justify" vertical="center"/>
    </xf>
    <xf numFmtId="1" fontId="28" fillId="11" borderId="35" xfId="0" applyNumberFormat="1" applyFont="1" applyFill="1" applyBorder="1" applyAlignment="1">
      <alignment horizontal="center" vertical="center"/>
    </xf>
    <xf numFmtId="0" fontId="20" fillId="11" borderId="9" xfId="0" applyFont="1" applyFill="1" applyBorder="1" applyAlignment="1">
      <alignment horizontal="center" vertical="center"/>
    </xf>
    <xf numFmtId="43" fontId="20" fillId="11" borderId="9" xfId="1" applyFont="1" applyFill="1" applyBorder="1" applyAlignment="1">
      <alignment vertical="center"/>
    </xf>
    <xf numFmtId="165" fontId="28" fillId="11" borderId="9" xfId="0" applyNumberFormat="1" applyFont="1" applyFill="1" applyBorder="1" applyAlignment="1">
      <alignment horizontal="center" vertical="center"/>
    </xf>
    <xf numFmtId="167" fontId="20" fillId="11" borderId="9" xfId="1" applyNumberFormat="1" applyFont="1" applyFill="1" applyBorder="1" applyAlignment="1">
      <alignment vertical="center"/>
    </xf>
    <xf numFmtId="167" fontId="28" fillId="11" borderId="9" xfId="1" applyNumberFormat="1" applyFont="1" applyFill="1" applyBorder="1" applyAlignment="1">
      <alignment vertical="center"/>
    </xf>
    <xf numFmtId="14" fontId="28" fillId="11" borderId="9" xfId="0" applyNumberFormat="1" applyFont="1" applyFill="1" applyBorder="1" applyAlignment="1">
      <alignment vertical="center"/>
    </xf>
    <xf numFmtId="0" fontId="20" fillId="11" borderId="14" xfId="0" applyFont="1" applyFill="1" applyBorder="1" applyAlignment="1">
      <alignment horizontal="justify" vertical="center"/>
    </xf>
    <xf numFmtId="1" fontId="28" fillId="12" borderId="35" xfId="0" applyNumberFormat="1" applyFont="1" applyFill="1" applyBorder="1" applyAlignment="1">
      <alignment horizontal="center" vertical="center" wrapText="1"/>
    </xf>
    <xf numFmtId="0" fontId="28" fillId="12" borderId="20" xfId="0" applyFont="1" applyFill="1" applyBorder="1" applyAlignment="1">
      <alignment horizontal="justify" vertical="center"/>
    </xf>
    <xf numFmtId="0" fontId="20" fillId="12" borderId="20" xfId="0" applyFont="1" applyFill="1" applyBorder="1" applyAlignment="1">
      <alignment horizontal="center" vertical="center"/>
    </xf>
    <xf numFmtId="170" fontId="28" fillId="12" borderId="20" xfId="0" applyNumberFormat="1" applyFont="1" applyFill="1" applyBorder="1" applyAlignment="1">
      <alignment horizontal="center" vertical="center"/>
    </xf>
    <xf numFmtId="43" fontId="20" fillId="12" borderId="20" xfId="1" applyFont="1" applyFill="1" applyBorder="1" applyAlignment="1">
      <alignment vertical="center"/>
    </xf>
    <xf numFmtId="165" fontId="28" fillId="12" borderId="20" xfId="0" applyNumberFormat="1" applyFont="1" applyFill="1" applyBorder="1" applyAlignment="1">
      <alignment horizontal="center" vertical="center"/>
    </xf>
    <xf numFmtId="1" fontId="28" fillId="12" borderId="20" xfId="0" applyNumberFormat="1" applyFont="1" applyFill="1" applyBorder="1" applyAlignment="1">
      <alignment horizontal="center" vertical="center"/>
    </xf>
    <xf numFmtId="0" fontId="28" fillId="12" borderId="20" xfId="0" applyFont="1" applyFill="1" applyBorder="1" applyAlignment="1">
      <alignment horizontal="center" vertical="center"/>
    </xf>
    <xf numFmtId="167" fontId="20" fillId="12" borderId="20" xfId="1" applyNumberFormat="1" applyFont="1" applyFill="1" applyBorder="1" applyAlignment="1">
      <alignment vertical="center"/>
    </xf>
    <xf numFmtId="167" fontId="28" fillId="12" borderId="20" xfId="1" applyNumberFormat="1" applyFont="1" applyFill="1" applyBorder="1" applyAlignment="1">
      <alignment vertical="center"/>
    </xf>
    <xf numFmtId="14" fontId="28" fillId="12" borderId="20" xfId="0" applyNumberFormat="1" applyFont="1" applyFill="1" applyBorder="1" applyAlignment="1">
      <alignment vertical="center"/>
    </xf>
    <xf numFmtId="0" fontId="20" fillId="12" borderId="29" xfId="0" applyFont="1" applyFill="1" applyBorder="1" applyAlignment="1">
      <alignment horizontal="justify" vertical="center"/>
    </xf>
    <xf numFmtId="43" fontId="20" fillId="0" borderId="6" xfId="1" applyFont="1" applyFill="1" applyBorder="1" applyAlignment="1">
      <alignment vertical="center" wrapText="1"/>
    </xf>
    <xf numFmtId="1" fontId="20" fillId="0" borderId="18"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1" fontId="28" fillId="7" borderId="18" xfId="0" applyNumberFormat="1" applyFont="1" applyFill="1" applyBorder="1" applyAlignment="1">
      <alignment horizontal="center" vertical="center" wrapText="1"/>
    </xf>
    <xf numFmtId="43" fontId="20" fillId="0" borderId="19" xfId="1" applyFont="1" applyFill="1" applyBorder="1" applyAlignment="1">
      <alignment vertical="center" wrapText="1"/>
    </xf>
    <xf numFmtId="1" fontId="20" fillId="0" borderId="53" xfId="0" applyNumberFormat="1" applyFont="1" applyFill="1" applyBorder="1" applyAlignment="1">
      <alignment horizontal="center" vertical="center" wrapText="1"/>
    </xf>
    <xf numFmtId="1" fontId="28" fillId="7" borderId="25" xfId="0" applyNumberFormat="1" applyFont="1" applyFill="1" applyBorder="1" applyAlignment="1">
      <alignment horizontal="center" vertical="center" wrapText="1"/>
    </xf>
    <xf numFmtId="1" fontId="28" fillId="7" borderId="27" xfId="0" applyNumberFormat="1" applyFont="1" applyFill="1" applyBorder="1" applyAlignment="1">
      <alignment horizontal="center" vertical="center" wrapText="1"/>
    </xf>
    <xf numFmtId="0" fontId="20" fillId="7" borderId="25" xfId="0" applyFont="1" applyFill="1" applyBorder="1" applyAlignment="1">
      <alignment horizontal="center" vertical="center" wrapText="1"/>
    </xf>
    <xf numFmtId="43" fontId="20" fillId="0" borderId="53" xfId="1" applyFont="1" applyBorder="1" applyAlignment="1">
      <alignment vertical="center" wrapText="1"/>
    </xf>
    <xf numFmtId="0" fontId="20" fillId="7" borderId="53" xfId="0" applyFont="1" applyFill="1" applyBorder="1" applyAlignment="1">
      <alignment horizontal="center" vertical="center" wrapText="1"/>
    </xf>
    <xf numFmtId="43" fontId="28" fillId="12" borderId="18" xfId="1" applyFont="1" applyFill="1" applyBorder="1" applyAlignment="1">
      <alignment horizontal="center" vertical="center"/>
    </xf>
    <xf numFmtId="14" fontId="20" fillId="12" borderId="20" xfId="0" applyNumberFormat="1" applyFont="1" applyFill="1" applyBorder="1" applyAlignment="1">
      <alignment vertical="center"/>
    </xf>
    <xf numFmtId="0" fontId="20" fillId="12" borderId="29" xfId="0" applyFont="1" applyFill="1" applyBorder="1" applyAlignment="1">
      <alignment horizontal="justify" vertical="center" wrapText="1"/>
    </xf>
    <xf numFmtId="0" fontId="20" fillId="7" borderId="25" xfId="0" applyFont="1" applyFill="1" applyBorder="1" applyAlignment="1">
      <alignment horizontal="center" vertical="center"/>
    </xf>
    <xf numFmtId="43" fontId="20" fillId="0" borderId="53" xfId="1" applyFont="1" applyFill="1" applyBorder="1" applyAlignment="1">
      <alignment vertical="center" wrapText="1"/>
    </xf>
    <xf numFmtId="1" fontId="20" fillId="0" borderId="54" xfId="0" applyNumberFormat="1" applyFont="1" applyFill="1" applyBorder="1" applyAlignment="1">
      <alignment horizontal="center" vertical="center" wrapText="1"/>
    </xf>
    <xf numFmtId="0" fontId="20" fillId="0" borderId="60" xfId="0" applyFont="1" applyFill="1" applyBorder="1" applyAlignment="1">
      <alignment horizontal="justify" vertical="center" wrapText="1"/>
    </xf>
    <xf numFmtId="0" fontId="20" fillId="0" borderId="0" xfId="0" applyFont="1" applyFill="1"/>
    <xf numFmtId="170" fontId="28" fillId="12" borderId="9" xfId="0" applyNumberFormat="1" applyFont="1" applyFill="1" applyBorder="1" applyAlignment="1">
      <alignment horizontal="center" vertical="center"/>
    </xf>
    <xf numFmtId="43" fontId="28" fillId="12" borderId="25" xfId="1" applyFont="1" applyFill="1" applyBorder="1" applyAlignment="1">
      <alignment horizontal="center" vertical="center"/>
    </xf>
    <xf numFmtId="1" fontId="28" fillId="12" borderId="0" xfId="0" applyNumberFormat="1" applyFont="1" applyFill="1" applyAlignment="1">
      <alignment horizontal="center" vertical="center"/>
    </xf>
    <xf numFmtId="0" fontId="28" fillId="12" borderId="0" xfId="0" applyFont="1" applyFill="1" applyAlignment="1">
      <alignment horizontal="center" vertical="center"/>
    </xf>
    <xf numFmtId="0" fontId="20" fillId="7" borderId="27" xfId="0" applyFont="1" applyFill="1" applyBorder="1" applyAlignment="1">
      <alignment horizontal="center" vertical="center" wrapText="1"/>
    </xf>
    <xf numFmtId="14" fontId="20" fillId="11" borderId="9" xfId="0" applyNumberFormat="1" applyFont="1" applyFill="1" applyBorder="1" applyAlignment="1">
      <alignment vertical="center"/>
    </xf>
    <xf numFmtId="0" fontId="20" fillId="11" borderId="14" xfId="0" applyFont="1" applyFill="1" applyBorder="1" applyAlignment="1">
      <alignment horizontal="justify" vertical="center" wrapText="1"/>
    </xf>
    <xf numFmtId="43" fontId="28" fillId="12" borderId="6" xfId="1" applyFont="1" applyFill="1" applyBorder="1" applyAlignment="1">
      <alignment horizontal="center" vertical="center"/>
    </xf>
    <xf numFmtId="1" fontId="20" fillId="7" borderId="18" xfId="0" applyNumberFormat="1" applyFont="1" applyFill="1" applyBorder="1" applyAlignment="1">
      <alignment horizontal="center" vertical="center" wrapText="1"/>
    </xf>
    <xf numFmtId="1" fontId="20" fillId="7" borderId="25" xfId="0" applyNumberFormat="1" applyFont="1" applyFill="1" applyBorder="1" applyAlignment="1">
      <alignment horizontal="center" vertical="center" wrapText="1"/>
    </xf>
    <xf numFmtId="0" fontId="28" fillId="12" borderId="9" xfId="0" applyFont="1" applyFill="1" applyBorder="1" applyAlignment="1">
      <alignment vertical="center"/>
    </xf>
    <xf numFmtId="0" fontId="28" fillId="12" borderId="9" xfId="0" applyFont="1" applyFill="1" applyBorder="1" applyAlignment="1">
      <alignment horizontal="justify" vertical="center"/>
    </xf>
    <xf numFmtId="0" fontId="28" fillId="12" borderId="9" xfId="0" applyFont="1" applyFill="1" applyBorder="1" applyAlignment="1">
      <alignment horizontal="center" vertical="center"/>
    </xf>
    <xf numFmtId="0" fontId="20" fillId="12" borderId="9" xfId="0" applyFont="1" applyFill="1" applyBorder="1" applyAlignment="1">
      <alignment horizontal="center" vertical="center"/>
    </xf>
    <xf numFmtId="43" fontId="20" fillId="12" borderId="9" xfId="1" applyFont="1" applyFill="1" applyBorder="1" applyAlignment="1">
      <alignment vertical="center"/>
    </xf>
    <xf numFmtId="0" fontId="28" fillId="12" borderId="0" xfId="0" applyFont="1" applyFill="1" applyAlignment="1">
      <alignment horizontal="justify" vertical="center"/>
    </xf>
    <xf numFmtId="167" fontId="20" fillId="12" borderId="9" xfId="1" applyNumberFormat="1" applyFont="1" applyFill="1" applyBorder="1" applyAlignment="1">
      <alignment vertical="center"/>
    </xf>
    <xf numFmtId="14" fontId="20" fillId="12" borderId="9" xfId="0" applyNumberFormat="1" applyFont="1" applyFill="1" applyBorder="1" applyAlignment="1">
      <alignment vertical="center"/>
    </xf>
    <xf numFmtId="0" fontId="20" fillId="12" borderId="14" xfId="0" applyFont="1" applyFill="1" applyBorder="1" applyAlignment="1">
      <alignment horizontal="justify" vertical="center" wrapText="1"/>
    </xf>
    <xf numFmtId="1" fontId="20" fillId="7" borderId="18" xfId="0" applyNumberFormat="1" applyFont="1" applyFill="1" applyBorder="1" applyAlignment="1">
      <alignment vertical="center" wrapText="1"/>
    </xf>
    <xf numFmtId="1" fontId="20" fillId="7" borderId="25" xfId="0" applyNumberFormat="1" applyFont="1" applyFill="1" applyBorder="1" applyAlignment="1">
      <alignment vertical="center" wrapText="1"/>
    </xf>
    <xf numFmtId="0" fontId="20" fillId="0" borderId="53" xfId="0" applyFont="1" applyFill="1" applyBorder="1" applyAlignment="1">
      <alignment horizontal="center" vertical="center"/>
    </xf>
    <xf numFmtId="41" fontId="20" fillId="0" borderId="53" xfId="0" applyNumberFormat="1" applyFont="1" applyFill="1" applyBorder="1"/>
    <xf numFmtId="1" fontId="20" fillId="0" borderId="31" xfId="0" applyNumberFormat="1" applyFont="1" applyBorder="1"/>
    <xf numFmtId="0" fontId="20" fillId="0" borderId="32" xfId="0" applyFont="1" applyBorder="1"/>
    <xf numFmtId="0" fontId="20" fillId="7" borderId="32" xfId="0" applyFont="1" applyFill="1" applyBorder="1" applyAlignment="1">
      <alignment horizontal="justify" vertical="center"/>
    </xf>
    <xf numFmtId="0" fontId="20" fillId="7" borderId="32" xfId="0" applyFont="1" applyFill="1" applyBorder="1" applyAlignment="1">
      <alignment horizontal="justify"/>
    </xf>
    <xf numFmtId="0" fontId="20" fillId="7" borderId="32" xfId="0" applyFont="1" applyFill="1" applyBorder="1"/>
    <xf numFmtId="0" fontId="20" fillId="7" borderId="32" xfId="0" applyFont="1" applyFill="1" applyBorder="1" applyAlignment="1">
      <alignment horizontal="center"/>
    </xf>
    <xf numFmtId="0" fontId="7" fillId="7" borderId="32" xfId="0" applyFont="1" applyFill="1" applyBorder="1" applyAlignment="1">
      <alignment horizontal="justify" vertical="center"/>
    </xf>
    <xf numFmtId="170" fontId="20" fillId="7" borderId="33" xfId="0" applyNumberFormat="1" applyFont="1" applyFill="1" applyBorder="1" applyAlignment="1">
      <alignment horizontal="center" vertical="center"/>
    </xf>
    <xf numFmtId="43" fontId="28" fillId="0" borderId="34" xfId="1" applyFont="1" applyBorder="1" applyAlignment="1">
      <alignment horizontal="center" vertical="center"/>
    </xf>
    <xf numFmtId="0" fontId="20" fillId="7" borderId="31" xfId="0" applyFont="1" applyFill="1" applyBorder="1" applyAlignment="1">
      <alignment horizontal="justify" vertical="center"/>
    </xf>
    <xf numFmtId="0" fontId="20" fillId="7" borderId="33" xfId="0" applyFont="1" applyFill="1" applyBorder="1" applyAlignment="1">
      <alignment horizontal="justify" vertical="center"/>
    </xf>
    <xf numFmtId="43" fontId="28" fillId="0" borderId="92" xfId="1" applyFont="1" applyBorder="1" applyAlignment="1">
      <alignment horizontal="center" vertical="center"/>
    </xf>
    <xf numFmtId="0" fontId="20" fillId="7" borderId="62" xfId="0" applyFont="1" applyFill="1" applyBorder="1" applyAlignment="1">
      <alignment horizontal="center" vertical="center"/>
    </xf>
    <xf numFmtId="167" fontId="20" fillId="0" borderId="32" xfId="1" applyNumberFormat="1" applyFont="1" applyBorder="1"/>
    <xf numFmtId="14" fontId="20" fillId="0" borderId="32" xfId="0" applyNumberFormat="1" applyFont="1" applyBorder="1" applyAlignment="1">
      <alignment horizontal="right" vertical="center"/>
    </xf>
    <xf numFmtId="43" fontId="20" fillId="7" borderId="0" xfId="1" applyFont="1" applyFill="1" applyAlignment="1">
      <alignment vertical="center"/>
    </xf>
    <xf numFmtId="165" fontId="20" fillId="0" borderId="0" xfId="0" applyNumberFormat="1" applyFont="1" applyAlignment="1">
      <alignment horizontal="center" vertical="center"/>
    </xf>
    <xf numFmtId="0" fontId="20" fillId="7" borderId="0" xfId="0" applyFont="1" applyFill="1" applyAlignment="1">
      <alignment horizontal="center" vertical="center"/>
    </xf>
    <xf numFmtId="167" fontId="20" fillId="0" borderId="0" xfId="1" applyNumberFormat="1" applyFont="1"/>
    <xf numFmtId="14" fontId="20" fillId="0" borderId="0" xfId="0" applyNumberFormat="1" applyFont="1" applyAlignment="1">
      <alignment horizontal="right" vertical="center"/>
    </xf>
    <xf numFmtId="0" fontId="20" fillId="0" borderId="9" xfId="0" applyFont="1" applyBorder="1"/>
    <xf numFmtId="165" fontId="20" fillId="7" borderId="0" xfId="0" applyNumberFormat="1" applyFont="1" applyFill="1" applyAlignment="1">
      <alignment horizontal="center" vertical="center"/>
    </xf>
    <xf numFmtId="10" fontId="8" fillId="5" borderId="18" xfId="4" applyNumberFormat="1" applyFont="1" applyFill="1" applyBorder="1" applyAlignment="1">
      <alignment horizontal="center" vertical="center" wrapText="1"/>
    </xf>
    <xf numFmtId="10" fontId="8" fillId="5" borderId="27" xfId="4" applyNumberFormat="1" applyFont="1" applyFill="1" applyBorder="1" applyAlignment="1">
      <alignment horizontal="center" vertical="center" wrapText="1"/>
    </xf>
    <xf numFmtId="0" fontId="4" fillId="0" borderId="6" xfId="0" applyFont="1" applyBorder="1" applyAlignment="1">
      <alignment horizontal="justify" vertical="center" wrapText="1"/>
    </xf>
    <xf numFmtId="3" fontId="4" fillId="0" borderId="7"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3" fontId="4" fillId="0" borderId="18"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4" fillId="0" borderId="30" xfId="0" applyNumberFormat="1" applyFont="1" applyBorder="1" applyAlignment="1">
      <alignment horizontal="center" vertical="center"/>
    </xf>
    <xf numFmtId="164" fontId="4" fillId="5" borderId="18" xfId="0" applyNumberFormat="1" applyFont="1" applyFill="1" applyBorder="1" applyAlignment="1">
      <alignment horizontal="center" vertical="center" wrapText="1"/>
    </xf>
    <xf numFmtId="164" fontId="4" fillId="5" borderId="25" xfId="0" applyNumberFormat="1" applyFont="1" applyFill="1" applyBorder="1" applyAlignment="1">
      <alignment horizontal="center" vertical="center" wrapText="1"/>
    </xf>
    <xf numFmtId="164" fontId="4" fillId="5" borderId="30"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justify" vertical="center" wrapText="1"/>
    </xf>
    <xf numFmtId="0" fontId="8" fillId="0" borderId="27" xfId="0" applyFont="1" applyBorder="1" applyAlignment="1">
      <alignment horizontal="justify" vertical="center" wrapText="1"/>
    </xf>
    <xf numFmtId="0" fontId="4" fillId="0" borderId="19" xfId="0" applyFont="1" applyBorder="1" applyAlignment="1">
      <alignment horizontal="center" vertical="center" wrapText="1"/>
    </xf>
    <xf numFmtId="0" fontId="4" fillId="5" borderId="25" xfId="0" applyFont="1" applyFill="1" applyBorder="1" applyAlignment="1">
      <alignment horizontal="center" vertical="center" wrapText="1"/>
    </xf>
    <xf numFmtId="3" fontId="4" fillId="0" borderId="6" xfId="0" applyNumberFormat="1" applyFont="1" applyBorder="1" applyAlignment="1">
      <alignment horizontal="center" vertical="center"/>
    </xf>
    <xf numFmtId="164" fontId="4" fillId="0" borderId="6" xfId="0" applyNumberFormat="1" applyFont="1" applyBorder="1" applyAlignment="1">
      <alignment horizontal="center" vertical="center" wrapText="1"/>
    </xf>
    <xf numFmtId="0" fontId="4" fillId="5" borderId="18"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18" xfId="0" applyFont="1" applyFill="1" applyBorder="1" applyAlignment="1">
      <alignment horizontal="justify" vertical="center" wrapText="1"/>
    </xf>
    <xf numFmtId="0" fontId="4" fillId="5" borderId="25" xfId="0" applyFont="1" applyFill="1" applyBorder="1" applyAlignment="1">
      <alignment horizontal="justify" vertical="center" wrapText="1"/>
    </xf>
    <xf numFmtId="0" fontId="4" fillId="5" borderId="30" xfId="0" applyFont="1" applyFill="1" applyBorder="1" applyAlignment="1">
      <alignment horizontal="justify" vertical="center" wrapText="1"/>
    </xf>
    <xf numFmtId="43" fontId="4" fillId="5" borderId="18" xfId="5" applyFont="1" applyFill="1" applyBorder="1" applyAlignment="1">
      <alignment horizontal="center" vertical="center" wrapText="1"/>
    </xf>
    <xf numFmtId="43" fontId="4" fillId="5" borderId="25" xfId="5" applyFont="1" applyFill="1" applyBorder="1" applyAlignment="1">
      <alignment horizontal="center" vertical="center" wrapText="1"/>
    </xf>
    <xf numFmtId="43" fontId="4" fillId="5" borderId="30" xfId="5" applyFont="1" applyFill="1" applyBorder="1" applyAlignment="1">
      <alignment horizontal="center" vertical="center" wrapText="1"/>
    </xf>
    <xf numFmtId="9" fontId="8" fillId="0" borderId="6" xfId="4" applyFont="1" applyBorder="1" applyAlignment="1">
      <alignment horizontal="center" vertical="center" wrapText="1"/>
    </xf>
    <xf numFmtId="43" fontId="4" fillId="0" borderId="6" xfId="5" applyFont="1" applyBorder="1" applyAlignment="1">
      <alignment horizontal="center" vertical="center" wrapText="1"/>
    </xf>
    <xf numFmtId="0" fontId="4" fillId="0" borderId="6" xfId="0" applyFont="1" applyBorder="1" applyAlignment="1">
      <alignment horizontal="center" vertical="center" wrapText="1"/>
    </xf>
    <xf numFmtId="0" fontId="4" fillId="7" borderId="6" xfId="0" applyFont="1" applyFill="1" applyBorder="1" applyAlignment="1">
      <alignment horizontal="center" vertical="center" wrapText="1"/>
    </xf>
    <xf numFmtId="0" fontId="5" fillId="2" borderId="18" xfId="0" applyFont="1" applyFill="1" applyBorder="1" applyAlignment="1">
      <alignment horizontal="center" vertical="center" textRotation="90" wrapText="1"/>
    </xf>
    <xf numFmtId="0" fontId="5" fillId="2" borderId="25" xfId="0" applyFont="1" applyFill="1" applyBorder="1" applyAlignment="1">
      <alignment horizontal="center" vertical="center" textRotation="90" wrapText="1"/>
    </xf>
    <xf numFmtId="0" fontId="5" fillId="2" borderId="27" xfId="0" applyFont="1" applyFill="1" applyBorder="1" applyAlignment="1">
      <alignment horizontal="center" vertical="center" textRotation="90" wrapText="1"/>
    </xf>
    <xf numFmtId="0" fontId="7" fillId="3" borderId="18" xfId="0" applyFont="1" applyFill="1" applyBorder="1" applyAlignment="1">
      <alignment horizontal="center" vertical="center" textRotation="90" wrapText="1"/>
    </xf>
    <xf numFmtId="0" fontId="7" fillId="3" borderId="25" xfId="0" applyFont="1" applyFill="1" applyBorder="1" applyAlignment="1">
      <alignment horizontal="center" vertical="center" textRotation="90" wrapText="1"/>
    </xf>
    <xf numFmtId="0" fontId="7" fillId="3" borderId="27" xfId="0" applyFont="1" applyFill="1" applyBorder="1" applyAlignment="1">
      <alignment horizontal="center" vertical="center" textRotation="90" wrapText="1"/>
    </xf>
    <xf numFmtId="164" fontId="5" fillId="2" borderId="18" xfId="0" applyNumberFormat="1" applyFont="1" applyFill="1" applyBorder="1" applyAlignment="1">
      <alignment horizontal="center" vertical="center" wrapText="1"/>
    </xf>
    <xf numFmtId="164" fontId="5" fillId="2" borderId="25" xfId="0" applyNumberFormat="1" applyFont="1" applyFill="1" applyBorder="1" applyAlignment="1">
      <alignment horizontal="center" vertical="center" wrapText="1"/>
    </xf>
    <xf numFmtId="164" fontId="5" fillId="2" borderId="27" xfId="0" applyNumberFormat="1" applyFont="1" applyFill="1" applyBorder="1" applyAlignment="1">
      <alignment horizontal="center" vertical="center" wrapText="1"/>
    </xf>
    <xf numFmtId="3" fontId="5" fillId="2" borderId="21" xfId="0" applyNumberFormat="1" applyFont="1" applyFill="1" applyBorder="1" applyAlignment="1">
      <alignment horizontal="center" vertical="center" wrapText="1"/>
    </xf>
    <xf numFmtId="3" fontId="5" fillId="2" borderId="26" xfId="0" applyNumberFormat="1" applyFont="1" applyFill="1" applyBorder="1" applyAlignment="1">
      <alignment horizontal="center" vertical="center" wrapText="1"/>
    </xf>
    <xf numFmtId="1" fontId="5" fillId="2" borderId="25"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textRotation="90" wrapText="1"/>
    </xf>
    <xf numFmtId="49" fontId="5" fillId="2" borderId="25" xfId="0" applyNumberFormat="1" applyFont="1" applyFill="1" applyBorder="1" applyAlignment="1">
      <alignment horizontal="center" vertical="center" textRotation="90" wrapText="1"/>
    </xf>
    <xf numFmtId="49" fontId="5" fillId="2" borderId="27" xfId="0" applyNumberFormat="1" applyFont="1" applyFill="1" applyBorder="1" applyAlignment="1">
      <alignment horizontal="center" vertical="center" textRotation="90"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3" fontId="7" fillId="3" borderId="19" xfId="0" applyNumberFormat="1" applyFont="1" applyFill="1" applyBorder="1" applyAlignment="1">
      <alignment horizontal="center" vertical="center" wrapText="1"/>
    </xf>
    <xf numFmtId="3" fontId="7" fillId="3" borderId="20" xfId="0" applyNumberFormat="1"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10" fontId="7" fillId="2" borderId="18" xfId="4" applyNumberFormat="1" applyFont="1" applyFill="1" applyBorder="1" applyAlignment="1">
      <alignment horizontal="center" vertical="center" wrapText="1"/>
    </xf>
    <xf numFmtId="10" fontId="7" fillId="2" borderId="25" xfId="4" applyNumberFormat="1" applyFont="1" applyFill="1" applyBorder="1" applyAlignment="1">
      <alignment horizontal="center" vertical="center" wrapText="1"/>
    </xf>
    <xf numFmtId="43" fontId="5" fillId="2" borderId="18" xfId="5" applyFont="1" applyFill="1" applyBorder="1" applyAlignment="1">
      <alignment horizontal="center" vertical="center" wrapText="1"/>
    </xf>
    <xf numFmtId="43" fontId="5" fillId="2" borderId="25" xfId="5"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 fontId="5" fillId="2" borderId="15" xfId="0" applyNumberFormat="1" applyFont="1" applyFill="1" applyBorder="1" applyAlignment="1">
      <alignment horizontal="center" vertical="center" wrapText="1"/>
    </xf>
    <xf numFmtId="1" fontId="5" fillId="2" borderId="22" xfId="0" applyNumberFormat="1"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25" xfId="0" applyFont="1" applyBorder="1" applyAlignment="1">
      <alignment horizontal="justify" vertical="center" wrapText="1"/>
    </xf>
    <xf numFmtId="0" fontId="16" fillId="0" borderId="30" xfId="0" applyFont="1" applyBorder="1" applyAlignment="1">
      <alignment horizontal="justify" vertical="center" wrapText="1"/>
    </xf>
    <xf numFmtId="0" fontId="16" fillId="7" borderId="18" xfId="0" applyFont="1" applyFill="1" applyBorder="1" applyAlignment="1" applyProtection="1">
      <alignment horizontal="justify" vertical="center" wrapText="1"/>
      <protection locked="0"/>
    </xf>
    <xf numFmtId="0" fontId="16" fillId="7" borderId="30" xfId="0" applyFont="1" applyFill="1" applyBorder="1" applyAlignment="1" applyProtection="1">
      <alignment horizontal="justify" vertical="center" wrapText="1"/>
      <protection locked="0"/>
    </xf>
    <xf numFmtId="1" fontId="16" fillId="0" borderId="18" xfId="0" applyNumberFormat="1" applyFont="1" applyBorder="1" applyAlignment="1">
      <alignment horizontal="center" vertical="center"/>
    </xf>
    <xf numFmtId="1" fontId="16" fillId="0" borderId="30" xfId="0" applyNumberFormat="1" applyFont="1" applyBorder="1" applyAlignment="1">
      <alignment horizontal="center" vertical="center"/>
    </xf>
    <xf numFmtId="9" fontId="8" fillId="0" borderId="18" xfId="12" applyFont="1" applyBorder="1" applyAlignment="1">
      <alignment horizontal="center" vertical="center"/>
    </xf>
    <xf numFmtId="9" fontId="8" fillId="0" borderId="30" xfId="12" applyFont="1" applyBorder="1" applyAlignment="1">
      <alignment horizontal="center" vertical="center"/>
    </xf>
    <xf numFmtId="0" fontId="16" fillId="0" borderId="54" xfId="0" applyFont="1" applyBorder="1" applyAlignment="1">
      <alignment horizontal="center" vertical="center" wrapText="1"/>
    </xf>
    <xf numFmtId="0" fontId="16" fillId="0" borderId="53" xfId="0" applyFont="1" applyBorder="1" applyAlignment="1">
      <alignment horizontal="justify" vertical="center" wrapText="1"/>
    </xf>
    <xf numFmtId="0" fontId="16" fillId="7" borderId="77" xfId="0" applyFont="1" applyFill="1" applyBorder="1" applyAlignment="1" applyProtection="1">
      <alignment horizontal="justify" vertical="center" wrapText="1"/>
      <protection locked="0"/>
    </xf>
    <xf numFmtId="0" fontId="16" fillId="7" borderId="78" xfId="0" applyFont="1" applyFill="1" applyBorder="1" applyAlignment="1" applyProtection="1">
      <alignment horizontal="justify" vertical="center" wrapText="1"/>
      <protection locked="0"/>
    </xf>
    <xf numFmtId="0" fontId="16" fillId="7" borderId="79" xfId="0" applyFont="1" applyFill="1" applyBorder="1" applyAlignment="1" applyProtection="1">
      <alignment horizontal="justify" vertical="center" wrapText="1"/>
      <protection locked="0"/>
    </xf>
    <xf numFmtId="1" fontId="16" fillId="0" borderId="25" xfId="0" applyNumberFormat="1" applyFont="1" applyBorder="1" applyAlignment="1">
      <alignment horizontal="center" vertical="center"/>
    </xf>
    <xf numFmtId="1" fontId="16" fillId="0" borderId="27" xfId="0" applyNumberFormat="1" applyFont="1" applyBorder="1" applyAlignment="1">
      <alignment horizontal="center" vertical="center"/>
    </xf>
    <xf numFmtId="9" fontId="8" fillId="0" borderId="25" xfId="12" applyFont="1" applyBorder="1" applyAlignment="1">
      <alignment horizontal="center" vertical="center"/>
    </xf>
    <xf numFmtId="9" fontId="8" fillId="0" borderId="27" xfId="12" applyFont="1" applyBorder="1" applyAlignment="1">
      <alignment horizontal="center" vertical="center"/>
    </xf>
    <xf numFmtId="0" fontId="16" fillId="7" borderId="18" xfId="21" applyFont="1" applyFill="1" applyBorder="1" applyAlignment="1">
      <alignment horizontal="justify" vertical="center" wrapText="1"/>
    </xf>
    <xf numFmtId="0" fontId="16" fillId="7" borderId="27" xfId="21" applyFont="1" applyFill="1" applyBorder="1" applyAlignment="1">
      <alignment horizontal="justify" vertical="center" wrapText="1"/>
    </xf>
    <xf numFmtId="0" fontId="16" fillId="0" borderId="17" xfId="0" applyFont="1" applyBorder="1" applyAlignment="1">
      <alignment horizontal="center" vertical="center" wrapText="1"/>
    </xf>
    <xf numFmtId="0" fontId="16" fillId="0" borderId="18" xfId="0" applyFont="1" applyBorder="1" applyAlignment="1">
      <alignment horizontal="justify" vertical="center" wrapText="1"/>
    </xf>
    <xf numFmtId="0" fontId="16" fillId="7" borderId="25" xfId="0" applyFont="1" applyFill="1" applyBorder="1" applyAlignment="1" applyProtection="1">
      <alignment horizontal="justify" vertical="center" wrapText="1"/>
      <protection locked="0"/>
    </xf>
    <xf numFmtId="0" fontId="16" fillId="7" borderId="27" xfId="0" applyFont="1" applyFill="1" applyBorder="1" applyAlignment="1" applyProtection="1">
      <alignment horizontal="justify" vertical="center" wrapText="1"/>
      <protection locked="0"/>
    </xf>
    <xf numFmtId="0" fontId="16" fillId="0" borderId="13" xfId="0" applyFont="1" applyBorder="1" applyAlignment="1">
      <alignment horizontal="center" vertical="center" wrapText="1"/>
    </xf>
    <xf numFmtId="0" fontId="16" fillId="0" borderId="27" xfId="0" applyFont="1" applyBorder="1" applyAlignment="1">
      <alignment horizontal="justify" vertical="center" wrapText="1"/>
    </xf>
    <xf numFmtId="9" fontId="8" fillId="0" borderId="18" xfId="3" applyFont="1" applyBorder="1" applyAlignment="1">
      <alignment horizontal="center" vertical="center"/>
    </xf>
    <xf numFmtId="9" fontId="8" fillId="0" borderId="27" xfId="3" applyFont="1" applyBorder="1" applyAlignment="1">
      <alignment horizontal="center" vertical="center"/>
    </xf>
    <xf numFmtId="1" fontId="8" fillId="0" borderId="6" xfId="0" applyNumberFormat="1" applyFont="1" applyBorder="1" applyAlignment="1">
      <alignment horizontal="center" vertical="center"/>
    </xf>
    <xf numFmtId="1" fontId="8" fillId="0" borderId="18" xfId="0" applyNumberFormat="1" applyFont="1" applyBorder="1" applyAlignment="1">
      <alignment horizontal="center" vertical="center"/>
    </xf>
    <xf numFmtId="187" fontId="8" fillId="0" borderId="6" xfId="0" applyNumberFormat="1" applyFont="1" applyBorder="1" applyAlignment="1">
      <alignment horizontal="center" vertical="center"/>
    </xf>
    <xf numFmtId="187" fontId="8" fillId="0" borderId="18" xfId="0" applyNumberFormat="1" applyFont="1" applyBorder="1" applyAlignment="1">
      <alignment horizontal="center" vertical="center"/>
    </xf>
    <xf numFmtId="1" fontId="8" fillId="0" borderId="6"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0" fontId="16" fillId="0" borderId="23" xfId="0" applyFont="1" applyBorder="1" applyAlignment="1">
      <alignment horizontal="justify" vertical="center" wrapText="1"/>
    </xf>
    <xf numFmtId="0" fontId="8" fillId="0" borderId="6" xfId="0" applyFont="1" applyBorder="1" applyAlignment="1">
      <alignment horizontal="justify" vertical="center" wrapText="1"/>
    </xf>
    <xf numFmtId="1" fontId="8" fillId="0" borderId="25" xfId="0" applyNumberFormat="1" applyFont="1" applyBorder="1" applyAlignment="1">
      <alignment horizontal="center" vertical="center"/>
    </xf>
    <xf numFmtId="0" fontId="8" fillId="0" borderId="74" xfId="0" applyFont="1" applyBorder="1" applyAlignment="1">
      <alignment horizontal="justify" vertical="center" wrapText="1"/>
    </xf>
    <xf numFmtId="0" fontId="8" fillId="0" borderId="75" xfId="0" applyFont="1" applyBorder="1" applyAlignment="1">
      <alignment horizontal="justify" vertical="center" wrapText="1"/>
    </xf>
    <xf numFmtId="0" fontId="16" fillId="7" borderId="60" xfId="21" applyFont="1" applyFill="1" applyBorder="1" applyAlignment="1">
      <alignment horizontal="justify" vertical="center" wrapText="1"/>
    </xf>
    <xf numFmtId="1" fontId="8" fillId="0" borderId="35" xfId="0" applyNumberFormat="1" applyFont="1" applyBorder="1" applyAlignment="1">
      <alignment horizontal="center" vertical="center"/>
    </xf>
    <xf numFmtId="2" fontId="8" fillId="0" borderId="6" xfId="0" applyNumberFormat="1" applyFont="1" applyBorder="1" applyAlignment="1">
      <alignment vertical="center" wrapText="1"/>
    </xf>
    <xf numFmtId="2" fontId="8" fillId="0" borderId="18" xfId="0" applyNumberFormat="1" applyFont="1" applyBorder="1" applyAlignment="1">
      <alignment vertical="center" wrapText="1"/>
    </xf>
    <xf numFmtId="0" fontId="16" fillId="7" borderId="76" xfId="21" applyFont="1" applyFill="1" applyBorder="1" applyAlignment="1">
      <alignment horizontal="justify" vertical="center" wrapText="1"/>
    </xf>
    <xf numFmtId="0" fontId="16" fillId="7" borderId="12" xfId="21" applyFont="1" applyFill="1" applyBorder="1" applyAlignment="1">
      <alignment horizontal="justify"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2" fontId="8" fillId="0" borderId="6" xfId="0" applyNumberFormat="1" applyFont="1" applyBorder="1" applyAlignment="1">
      <alignment horizontal="center" vertical="center" wrapText="1"/>
    </xf>
    <xf numFmtId="2" fontId="8" fillId="0" borderId="18" xfId="0" applyNumberFormat="1" applyFont="1" applyBorder="1" applyAlignment="1">
      <alignment horizontal="center" vertical="center" wrapText="1"/>
    </xf>
    <xf numFmtId="0" fontId="8" fillId="0" borderId="6" xfId="0" applyFont="1" applyBorder="1" applyAlignment="1">
      <alignment horizontal="justify" vertical="center"/>
    </xf>
    <xf numFmtId="0" fontId="8" fillId="0" borderId="18" xfId="0" applyFont="1" applyBorder="1" applyAlignment="1">
      <alignment horizontal="justify" vertical="center"/>
    </xf>
    <xf numFmtId="3" fontId="8" fillId="0" borderId="6" xfId="0" applyNumberFormat="1" applyFont="1" applyBorder="1" applyAlignment="1">
      <alignment horizontal="center" vertical="center"/>
    </xf>
    <xf numFmtId="3" fontId="8" fillId="0" borderId="18" xfId="0" applyNumberFormat="1" applyFont="1" applyBorder="1" applyAlignment="1">
      <alignment horizontal="center" vertical="center"/>
    </xf>
    <xf numFmtId="1" fontId="8" fillId="0" borderId="0" xfId="0" applyNumberFormat="1" applyFont="1" applyBorder="1" applyAlignment="1">
      <alignment horizontal="center"/>
    </xf>
    <xf numFmtId="0" fontId="8" fillId="0" borderId="0" xfId="0" applyFont="1" applyBorder="1" applyAlignment="1">
      <alignment horizontal="center"/>
    </xf>
    <xf numFmtId="0" fontId="8" fillId="0" borderId="24" xfId="0" applyFont="1" applyBorder="1" applyAlignment="1">
      <alignment horizontal="center"/>
    </xf>
    <xf numFmtId="0" fontId="16" fillId="0" borderId="60" xfId="0" applyFont="1" applyBorder="1" applyAlignment="1">
      <alignment horizontal="justify" vertical="center" wrapText="1"/>
    </xf>
    <xf numFmtId="167" fontId="8" fillId="0" borderId="18" xfId="11" applyNumberFormat="1" applyFont="1" applyBorder="1" applyAlignment="1">
      <alignment horizontal="center" vertical="center"/>
    </xf>
    <xf numFmtId="167" fontId="8" fillId="0" borderId="25" xfId="11" applyNumberFormat="1" applyFont="1" applyBorder="1" applyAlignment="1">
      <alignment horizontal="center" vertical="center"/>
    </xf>
    <xf numFmtId="167" fontId="8" fillId="0" borderId="27" xfId="11" applyNumberFormat="1" applyFont="1" applyBorder="1" applyAlignment="1">
      <alignment horizontal="center" vertical="center"/>
    </xf>
    <xf numFmtId="1" fontId="8" fillId="0" borderId="27" xfId="0" applyNumberFormat="1" applyFont="1" applyBorder="1" applyAlignment="1">
      <alignment horizontal="center" vertical="center"/>
    </xf>
    <xf numFmtId="2" fontId="8" fillId="0" borderId="25" xfId="0" applyNumberFormat="1" applyFont="1" applyBorder="1" applyAlignment="1">
      <alignment vertical="center" wrapText="1"/>
    </xf>
    <xf numFmtId="2" fontId="8" fillId="0" borderId="27" xfId="0" applyNumberFormat="1" applyFont="1" applyBorder="1" applyAlignment="1">
      <alignment vertical="center" wrapText="1"/>
    </xf>
    <xf numFmtId="0" fontId="8" fillId="0" borderId="27" xfId="0" applyFont="1" applyBorder="1" applyAlignment="1">
      <alignment horizontal="justify" vertical="center"/>
    </xf>
    <xf numFmtId="9" fontId="8" fillId="0" borderId="6" xfId="12" applyFont="1" applyBorder="1" applyAlignment="1">
      <alignment horizontal="center" vertical="center"/>
    </xf>
    <xf numFmtId="165" fontId="8" fillId="0" borderId="27" xfId="0" applyNumberFormat="1" applyFont="1" applyBorder="1" applyAlignment="1">
      <alignment horizontal="center" vertical="center"/>
    </xf>
    <xf numFmtId="165" fontId="8" fillId="0" borderId="6" xfId="0" applyNumberFormat="1" applyFont="1" applyBorder="1" applyAlignment="1">
      <alignment horizontal="center" vertical="center"/>
    </xf>
    <xf numFmtId="0" fontId="8" fillId="0" borderId="25" xfId="0" applyFont="1" applyBorder="1" applyAlignment="1">
      <alignment horizontal="justify" vertical="center" wrapText="1"/>
    </xf>
    <xf numFmtId="1" fontId="8" fillId="0" borderId="13" xfId="0" applyNumberFormat="1" applyFont="1" applyBorder="1" applyAlignment="1">
      <alignment horizontal="center" vertical="center"/>
    </xf>
    <xf numFmtId="1" fontId="8" fillId="0" borderId="13" xfId="0" applyNumberFormat="1" applyFont="1" applyBorder="1" applyAlignment="1">
      <alignment horizontal="center" vertical="center" wrapText="1"/>
    </xf>
    <xf numFmtId="1" fontId="8" fillId="0" borderId="35" xfId="0" applyNumberFormat="1" applyFont="1" applyBorder="1" applyAlignment="1">
      <alignment horizontal="center" vertical="center" wrapText="1"/>
    </xf>
    <xf numFmtId="1" fontId="8" fillId="0" borderId="17" xfId="0" applyNumberFormat="1" applyFont="1" applyBorder="1" applyAlignment="1">
      <alignment horizontal="center" vertical="center" wrapText="1"/>
    </xf>
    <xf numFmtId="1" fontId="8" fillId="0" borderId="27" xfId="0" applyNumberFormat="1" applyFont="1" applyBorder="1" applyAlignment="1">
      <alignment horizontal="justify" vertical="center" wrapText="1"/>
    </xf>
    <xf numFmtId="1" fontId="8" fillId="0" borderId="6" xfId="0" applyNumberFormat="1" applyFont="1" applyBorder="1" applyAlignment="1">
      <alignment horizontal="justify" vertical="center" wrapText="1"/>
    </xf>
    <xf numFmtId="0" fontId="8" fillId="0" borderId="13" xfId="0" applyFont="1" applyBorder="1" applyAlignment="1">
      <alignment horizontal="center" vertical="center" wrapText="1"/>
    </xf>
    <xf numFmtId="0" fontId="8" fillId="0" borderId="27" xfId="0" applyFont="1" applyBorder="1" applyAlignment="1">
      <alignment horizontal="center" vertical="center" wrapText="1"/>
    </xf>
    <xf numFmtId="187" fontId="8" fillId="0" borderId="27" xfId="0" applyNumberFormat="1" applyFont="1" applyBorder="1" applyAlignment="1">
      <alignment horizontal="center" vertical="center"/>
    </xf>
    <xf numFmtId="1" fontId="8" fillId="0" borderId="27" xfId="0" applyNumberFormat="1" applyFont="1" applyBorder="1" applyAlignment="1">
      <alignment horizontal="center" vertical="center" wrapText="1"/>
    </xf>
    <xf numFmtId="0" fontId="8" fillId="0" borderId="19" xfId="0" applyFont="1" applyBorder="1" applyAlignment="1">
      <alignment horizontal="justify" vertical="center" wrapText="1"/>
    </xf>
    <xf numFmtId="0" fontId="16" fillId="0" borderId="16" xfId="0" applyFont="1" applyFill="1" applyBorder="1" applyAlignment="1">
      <alignment horizontal="justify" vertical="center" wrapText="1"/>
    </xf>
    <xf numFmtId="0" fontId="16" fillId="0" borderId="12" xfId="0" applyFont="1" applyFill="1" applyBorder="1" applyAlignment="1">
      <alignment horizontal="justify" vertical="center" wrapText="1"/>
    </xf>
    <xf numFmtId="0" fontId="16" fillId="0" borderId="16" xfId="0" applyFont="1" applyBorder="1" applyAlignment="1">
      <alignment horizontal="justify" vertical="center" wrapText="1"/>
    </xf>
    <xf numFmtId="0" fontId="8" fillId="0" borderId="25" xfId="11" applyNumberFormat="1" applyFont="1" applyBorder="1" applyAlignment="1">
      <alignment horizontal="center" vertical="center"/>
    </xf>
    <xf numFmtId="0" fontId="8" fillId="0" borderId="27" xfId="11" applyNumberFormat="1"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4" xfId="11" applyNumberFormat="1" applyFont="1" applyBorder="1" applyAlignment="1">
      <alignment horizontal="center" vertical="center"/>
    </xf>
    <xf numFmtId="0" fontId="8" fillId="0" borderId="13" xfId="11" applyNumberFormat="1" applyFont="1" applyBorder="1" applyAlignment="1">
      <alignment horizontal="center" vertical="center"/>
    </xf>
    <xf numFmtId="0" fontId="8" fillId="0" borderId="25" xfId="11" applyNumberFormat="1" applyFont="1" applyBorder="1" applyAlignment="1">
      <alignment horizontal="center" vertical="center" wrapText="1"/>
    </xf>
    <xf numFmtId="0" fontId="8" fillId="0" borderId="27" xfId="11" applyNumberFormat="1" applyFont="1" applyBorder="1" applyAlignment="1">
      <alignment horizontal="center" vertical="center" wrapText="1"/>
    </xf>
    <xf numFmtId="1" fontId="8" fillId="0" borderId="55" xfId="0" applyNumberFormat="1" applyFont="1" applyBorder="1" applyAlignment="1">
      <alignment horizontal="center" vertical="center" wrapText="1"/>
    </xf>
    <xf numFmtId="1" fontId="8" fillId="0" borderId="56" xfId="0" applyNumberFormat="1" applyFont="1" applyBorder="1" applyAlignment="1">
      <alignment horizontal="center" vertical="center" wrapText="1"/>
    </xf>
    <xf numFmtId="3" fontId="8" fillId="0" borderId="56" xfId="0" applyNumberFormat="1" applyFont="1" applyBorder="1" applyAlignment="1">
      <alignment horizontal="center" vertical="center"/>
    </xf>
    <xf numFmtId="3" fontId="8" fillId="0" borderId="53" xfId="0" applyNumberFormat="1" applyFont="1" applyBorder="1" applyAlignment="1">
      <alignment horizontal="center" vertical="center"/>
    </xf>
    <xf numFmtId="0" fontId="8" fillId="0" borderId="13" xfId="0" applyFont="1" applyBorder="1" applyAlignment="1">
      <alignment horizontal="justify" vertical="center" wrapText="1"/>
    </xf>
    <xf numFmtId="0" fontId="8" fillId="0" borderId="35" xfId="0" applyFont="1" applyBorder="1" applyAlignment="1">
      <alignment horizontal="justify" vertical="center" wrapText="1"/>
    </xf>
    <xf numFmtId="43" fontId="8" fillId="0" borderId="18" xfId="11" applyFont="1" applyFill="1" applyBorder="1" applyAlignment="1">
      <alignment horizontal="center" vertical="center"/>
    </xf>
    <xf numFmtId="43" fontId="8" fillId="0" borderId="27" xfId="11" applyFont="1" applyFill="1" applyBorder="1" applyAlignment="1">
      <alignment horizontal="center" vertical="center"/>
    </xf>
    <xf numFmtId="43" fontId="8" fillId="0" borderId="70" xfId="11" applyFont="1" applyFill="1" applyBorder="1" applyAlignment="1">
      <alignment horizontal="center" vertical="center"/>
    </xf>
    <xf numFmtId="43" fontId="8" fillId="0" borderId="72" xfId="11" applyFont="1" applyFill="1" applyBorder="1" applyAlignment="1">
      <alignment horizontal="center" vertical="center"/>
    </xf>
    <xf numFmtId="0" fontId="8" fillId="0" borderId="56" xfId="0" applyFont="1" applyBorder="1" applyAlignment="1">
      <alignment horizontal="justify" vertical="center" wrapText="1"/>
    </xf>
    <xf numFmtId="0" fontId="8" fillId="0" borderId="53" xfId="0" applyFont="1" applyBorder="1" applyAlignment="1">
      <alignment horizontal="justify" vertical="center" wrapText="1"/>
    </xf>
    <xf numFmtId="1" fontId="8" fillId="0" borderId="73" xfId="0" applyNumberFormat="1" applyFont="1" applyBorder="1" applyAlignment="1">
      <alignment horizontal="center" vertical="center"/>
    </xf>
    <xf numFmtId="1" fontId="8" fillId="0" borderId="66" xfId="0" applyNumberFormat="1" applyFont="1" applyBorder="1" applyAlignment="1">
      <alignment horizontal="center" vertical="center"/>
    </xf>
    <xf numFmtId="0" fontId="8" fillId="0" borderId="7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6" xfId="0" applyFont="1" applyBorder="1" applyAlignment="1">
      <alignment horizontal="justify" vertical="center"/>
    </xf>
    <xf numFmtId="0" fontId="8" fillId="0" borderId="53" xfId="0" applyFont="1" applyBorder="1" applyAlignment="1">
      <alignment horizontal="justify" vertical="center"/>
    </xf>
    <xf numFmtId="9" fontId="8" fillId="0" borderId="56" xfId="12" applyFont="1" applyBorder="1" applyAlignment="1">
      <alignment horizontal="center" vertical="center"/>
    </xf>
    <xf numFmtId="9" fontId="8" fillId="0" borderId="53" xfId="12" applyFont="1" applyBorder="1" applyAlignment="1">
      <alignment horizontal="center" vertical="center"/>
    </xf>
    <xf numFmtId="0" fontId="26" fillId="7" borderId="6" xfId="7" applyFont="1" applyFill="1" applyBorder="1" applyAlignment="1">
      <alignment horizontal="justify" vertical="center" wrapText="1"/>
    </xf>
    <xf numFmtId="1" fontId="8" fillId="0" borderId="0" xfId="0" applyNumberFormat="1" applyFont="1" applyBorder="1" applyAlignment="1">
      <alignment horizontal="justify"/>
    </xf>
    <xf numFmtId="0" fontId="7" fillId="0" borderId="0" xfId="0" applyFont="1" applyBorder="1" applyAlignment="1">
      <alignment horizontal="justify" vertical="center" wrapText="1"/>
    </xf>
    <xf numFmtId="0" fontId="7" fillId="0" borderId="24" xfId="0" applyFont="1" applyBorder="1" applyAlignment="1">
      <alignment horizontal="justify" vertical="center" wrapText="1"/>
    </xf>
    <xf numFmtId="0" fontId="8" fillId="0" borderId="0" xfId="0" applyFont="1" applyBorder="1" applyAlignment="1">
      <alignment horizontal="justify"/>
    </xf>
    <xf numFmtId="0" fontId="8" fillId="0" borderId="24" xfId="0" applyFont="1" applyBorder="1" applyAlignment="1">
      <alignment horizontal="justify"/>
    </xf>
    <xf numFmtId="1" fontId="8" fillId="0" borderId="72" xfId="0" applyNumberFormat="1" applyFont="1" applyBorder="1" applyAlignment="1">
      <alignment horizontal="center" vertical="center" wrapText="1"/>
    </xf>
    <xf numFmtId="1" fontId="8" fillId="0" borderId="54" xfId="0" applyNumberFormat="1" applyFont="1" applyBorder="1" applyAlignment="1">
      <alignment horizontal="center" vertical="center" wrapText="1"/>
    </xf>
    <xf numFmtId="9" fontId="8" fillId="0" borderId="6" xfId="12" applyFont="1" applyBorder="1" applyAlignment="1">
      <alignment horizontal="center" vertical="center" wrapText="1"/>
    </xf>
    <xf numFmtId="43" fontId="8" fillId="0" borderId="6" xfId="11" applyFont="1" applyBorder="1" applyAlignment="1">
      <alignment horizontal="center" vertical="center" wrapText="1"/>
    </xf>
    <xf numFmtId="0" fontId="26" fillId="0" borderId="6" xfId="7" applyFont="1" applyBorder="1" applyAlignment="1">
      <alignment horizontal="justify" vertical="center" wrapText="1"/>
    </xf>
    <xf numFmtId="0" fontId="26" fillId="0" borderId="18" xfId="0" applyFont="1" applyBorder="1" applyAlignment="1">
      <alignment horizontal="justify" vertical="center" wrapText="1"/>
    </xf>
    <xf numFmtId="0" fontId="26" fillId="0" borderId="27" xfId="0" applyFont="1" applyBorder="1" applyAlignment="1">
      <alignment horizontal="justify" vertical="center" wrapText="1"/>
    </xf>
    <xf numFmtId="0" fontId="26" fillId="7" borderId="18" xfId="0" applyFont="1" applyFill="1" applyBorder="1" applyAlignment="1">
      <alignment horizontal="justify" vertical="center" wrapText="1"/>
    </xf>
    <xf numFmtId="0" fontId="26" fillId="7" borderId="25" xfId="0" applyFont="1" applyFill="1" applyBorder="1" applyAlignment="1">
      <alignment horizontal="justify" vertical="center" wrapText="1"/>
    </xf>
    <xf numFmtId="0" fontId="26" fillId="7" borderId="53" xfId="0" applyFont="1" applyFill="1" applyBorder="1" applyAlignment="1">
      <alignment horizontal="justify" vertical="center" wrapText="1"/>
    </xf>
    <xf numFmtId="1" fontId="8" fillId="0" borderId="17" xfId="0" applyNumberFormat="1" applyFont="1" applyBorder="1" applyAlignment="1">
      <alignment horizontal="center" vertical="center"/>
    </xf>
    <xf numFmtId="0" fontId="8" fillId="0" borderId="17" xfId="0" applyFont="1" applyBorder="1" applyAlignment="1">
      <alignment horizontal="justify" vertical="center" wrapText="1"/>
    </xf>
    <xf numFmtId="3" fontId="8" fillId="0" borderId="18" xfId="0" applyNumberFormat="1" applyFont="1" applyBorder="1" applyAlignment="1">
      <alignment horizontal="justify" vertical="center" wrapText="1"/>
    </xf>
    <xf numFmtId="3" fontId="8" fillId="0" borderId="25" xfId="0" applyNumberFormat="1" applyFont="1" applyBorder="1" applyAlignment="1">
      <alignment horizontal="justify" vertical="center" wrapText="1"/>
    </xf>
    <xf numFmtId="3" fontId="8" fillId="0" borderId="27" xfId="0" applyNumberFormat="1" applyFont="1" applyBorder="1" applyAlignment="1">
      <alignment horizontal="justify" vertical="center" wrapText="1"/>
    </xf>
    <xf numFmtId="0" fontId="26" fillId="7" borderId="27" xfId="0" applyFont="1" applyFill="1" applyBorder="1" applyAlignment="1">
      <alignment horizontal="justify" vertical="center" wrapText="1"/>
    </xf>
    <xf numFmtId="1" fontId="8" fillId="0" borderId="6" xfId="0" applyNumberFormat="1" applyFont="1" applyBorder="1" applyAlignment="1">
      <alignment vertical="center" wrapText="1"/>
    </xf>
    <xf numFmtId="1" fontId="8" fillId="0" borderId="18" xfId="0" applyNumberFormat="1" applyFont="1" applyBorder="1" applyAlignment="1">
      <alignment vertical="center" wrapText="1"/>
    </xf>
    <xf numFmtId="0" fontId="8" fillId="0" borderId="67"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66"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5" xfId="0" applyFont="1" applyBorder="1" applyAlignment="1">
      <alignment horizontal="justify" vertical="center" wrapText="1"/>
    </xf>
    <xf numFmtId="9" fontId="8" fillId="0" borderId="53" xfId="12" applyFont="1" applyBorder="1" applyAlignment="1">
      <alignment horizontal="center" vertical="center" wrapText="1"/>
    </xf>
    <xf numFmtId="9" fontId="8" fillId="0" borderId="55" xfId="12" applyFont="1" applyBorder="1" applyAlignment="1">
      <alignment horizontal="center" vertical="center" wrapText="1"/>
    </xf>
    <xf numFmtId="43" fontId="8" fillId="0" borderId="53" xfId="11" applyFont="1" applyBorder="1" applyAlignment="1">
      <alignment horizontal="center" vertical="center" wrapText="1"/>
    </xf>
    <xf numFmtId="43" fontId="8" fillId="0" borderId="55" xfId="11" applyFont="1" applyBorder="1" applyAlignment="1">
      <alignment horizontal="center" vertical="center" wrapText="1"/>
    </xf>
    <xf numFmtId="0" fontId="8" fillId="0" borderId="0" xfId="0" applyFont="1" applyAlignment="1">
      <alignment horizontal="justify" vertical="center" wrapText="1"/>
    </xf>
    <xf numFmtId="0" fontId="8" fillId="0" borderId="23" xfId="0" applyFont="1" applyBorder="1" applyAlignment="1">
      <alignment horizontal="justify" vertical="center" wrapText="1"/>
    </xf>
    <xf numFmtId="1" fontId="8" fillId="0" borderId="25" xfId="0" applyNumberFormat="1" applyFont="1" applyBorder="1" applyAlignment="1">
      <alignment horizontal="center" vertical="center" wrapText="1"/>
    </xf>
    <xf numFmtId="1" fontId="8" fillId="0" borderId="18" xfId="11" applyNumberFormat="1" applyFont="1" applyBorder="1" applyAlignment="1">
      <alignment horizontal="center" vertical="center" wrapText="1"/>
    </xf>
    <xf numFmtId="1" fontId="8" fillId="0" borderId="25" xfId="11" applyNumberFormat="1" applyFont="1" applyBorder="1" applyAlignment="1">
      <alignment horizontal="center" vertical="center" wrapText="1"/>
    </xf>
    <xf numFmtId="1" fontId="8" fillId="0" borderId="27" xfId="11" applyNumberFormat="1" applyFont="1" applyBorder="1" applyAlignment="1">
      <alignment horizontal="center" vertical="center" wrapText="1"/>
    </xf>
    <xf numFmtId="187" fontId="8" fillId="0" borderId="25" xfId="0" applyNumberFormat="1" applyFont="1" applyBorder="1" applyAlignment="1">
      <alignment horizontal="center" vertical="center"/>
    </xf>
    <xf numFmtId="1" fontId="8" fillId="0" borderId="6" xfId="11" applyNumberFormat="1" applyFont="1" applyBorder="1" applyAlignment="1">
      <alignment horizontal="center" vertical="center" wrapText="1"/>
    </xf>
    <xf numFmtId="0" fontId="8" fillId="0" borderId="6" xfId="11" applyNumberFormat="1" applyFont="1" applyBorder="1" applyAlignment="1">
      <alignment horizontal="center" vertical="center"/>
    </xf>
    <xf numFmtId="1" fontId="8" fillId="0" borderId="16" xfId="11" applyNumberFormat="1" applyFont="1" applyBorder="1" applyAlignment="1">
      <alignment horizontal="center" vertical="center" wrapText="1"/>
    </xf>
    <xf numFmtId="1" fontId="8" fillId="0" borderId="23" xfId="11" applyNumberFormat="1" applyFont="1" applyBorder="1" applyAlignment="1">
      <alignment horizontal="center" vertical="center" wrapText="1"/>
    </xf>
    <xf numFmtId="1" fontId="8" fillId="0" borderId="12" xfId="11" applyNumberFormat="1" applyFont="1" applyBorder="1" applyAlignment="1">
      <alignment horizontal="center" vertical="center" wrapText="1"/>
    </xf>
    <xf numFmtId="0" fontId="8" fillId="0" borderId="24" xfId="0" applyFont="1" applyBorder="1" applyAlignment="1">
      <alignment horizontal="justify" vertical="center" wrapText="1"/>
    </xf>
    <xf numFmtId="43" fontId="8" fillId="0" borderId="18" xfId="11" applyFont="1" applyBorder="1" applyAlignment="1">
      <alignment horizontal="center" vertical="center" wrapText="1"/>
    </xf>
    <xf numFmtId="43" fontId="8" fillId="0" borderId="25" xfId="11" applyFont="1" applyBorder="1" applyAlignment="1">
      <alignment horizontal="center" vertical="center" wrapText="1"/>
    </xf>
    <xf numFmtId="1" fontId="8" fillId="0" borderId="18" xfId="11" applyNumberFormat="1" applyFont="1" applyBorder="1" applyAlignment="1">
      <alignment horizontal="center" vertical="center"/>
    </xf>
    <xf numFmtId="1" fontId="8" fillId="0" borderId="25" xfId="11" applyNumberFormat="1" applyFont="1" applyBorder="1" applyAlignment="1">
      <alignment horizontal="center" vertical="center"/>
    </xf>
    <xf numFmtId="1" fontId="8" fillId="0" borderId="24" xfId="11" applyNumberFormat="1" applyFont="1" applyBorder="1" applyAlignment="1">
      <alignment horizontal="center" vertical="center"/>
    </xf>
    <xf numFmtId="1" fontId="8" fillId="0" borderId="13" xfId="11" applyNumberFormat="1" applyFont="1" applyBorder="1" applyAlignment="1">
      <alignment horizontal="center" vertical="center"/>
    </xf>
    <xf numFmtId="0" fontId="16" fillId="0" borderId="18" xfId="0" applyFont="1" applyFill="1" applyBorder="1" applyAlignment="1">
      <alignment horizontal="justify" vertical="center" wrapText="1"/>
    </xf>
    <xf numFmtId="0" fontId="16" fillId="0" borderId="27" xfId="0" applyFont="1" applyFill="1" applyBorder="1" applyAlignment="1">
      <alignment horizontal="justify" vertical="center" wrapText="1"/>
    </xf>
    <xf numFmtId="0" fontId="16" fillId="0" borderId="6" xfId="0" applyFont="1" applyFill="1" applyBorder="1" applyAlignment="1">
      <alignment horizontal="justify" vertical="center" wrapText="1"/>
    </xf>
    <xf numFmtId="0" fontId="16" fillId="0" borderId="12" xfId="0" applyFont="1" applyBorder="1" applyAlignment="1">
      <alignment horizontal="justify" vertical="center" wrapText="1"/>
    </xf>
    <xf numFmtId="0" fontId="7" fillId="23" borderId="20" xfId="0" applyFont="1" applyFill="1" applyBorder="1" applyAlignment="1">
      <alignment horizontal="left" vertical="center"/>
    </xf>
    <xf numFmtId="1" fontId="8" fillId="0" borderId="19"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 xfId="0" applyFont="1" applyBorder="1" applyAlignment="1">
      <alignment vertical="center"/>
    </xf>
    <xf numFmtId="43" fontId="8" fillId="0" borderId="6" xfId="11" applyFont="1" applyBorder="1" applyAlignment="1">
      <alignment horizontal="center" vertical="center"/>
    </xf>
    <xf numFmtId="0" fontId="7" fillId="25" borderId="20" xfId="0" applyFont="1" applyFill="1" applyBorder="1" applyAlignment="1">
      <alignment horizontal="left" vertical="center"/>
    </xf>
    <xf numFmtId="0" fontId="7" fillId="12" borderId="20" xfId="0" applyFont="1" applyFill="1" applyBorder="1" applyAlignment="1">
      <alignment horizontal="left" vertical="center"/>
    </xf>
    <xf numFmtId="0" fontId="8" fillId="0" borderId="6" xfId="0" applyFont="1" applyBorder="1" applyAlignment="1">
      <alignment horizontal="center" vertical="center"/>
    </xf>
    <xf numFmtId="0" fontId="8" fillId="0" borderId="35" xfId="11" applyNumberFormat="1" applyFont="1" applyBorder="1" applyAlignment="1">
      <alignment horizontal="center" vertical="center"/>
    </xf>
    <xf numFmtId="0" fontId="8" fillId="0" borderId="6" xfId="11" applyNumberFormat="1" applyFont="1" applyBorder="1" applyAlignment="1">
      <alignment vertical="center" wrapText="1"/>
    </xf>
    <xf numFmtId="0" fontId="16" fillId="0" borderId="6" xfId="0" applyFont="1" applyBorder="1" applyAlignment="1">
      <alignment horizontal="justify" vertical="center" wrapText="1"/>
    </xf>
    <xf numFmtId="9" fontId="8" fillId="0" borderId="19" xfId="12" applyFont="1" applyBorder="1" applyAlignment="1">
      <alignment horizontal="center" vertical="center" wrapText="1"/>
    </xf>
    <xf numFmtId="166" fontId="22" fillId="9" borderId="16" xfId="0" applyNumberFormat="1" applyFont="1" applyFill="1" applyBorder="1" applyAlignment="1">
      <alignment horizontal="center" vertical="center" textRotation="90" wrapText="1"/>
    </xf>
    <xf numFmtId="166" fontId="22" fillId="9" borderId="23" xfId="0" applyNumberFormat="1" applyFont="1" applyFill="1" applyBorder="1" applyAlignment="1">
      <alignment horizontal="center" vertical="center" textRotation="90" wrapText="1"/>
    </xf>
    <xf numFmtId="166" fontId="22" fillId="8" borderId="64" xfId="0" applyNumberFormat="1" applyFont="1" applyFill="1" applyBorder="1" applyAlignment="1">
      <alignment horizontal="center" vertical="center" wrapText="1"/>
    </xf>
    <xf numFmtId="166" fontId="22" fillId="8" borderId="12" xfId="0" applyNumberFormat="1" applyFont="1" applyFill="1" applyBorder="1" applyAlignment="1">
      <alignment horizontal="center" vertical="center" wrapText="1"/>
    </xf>
    <xf numFmtId="3" fontId="22" fillId="8" borderId="46" xfId="0" applyNumberFormat="1" applyFont="1" applyFill="1" applyBorder="1" applyAlignment="1">
      <alignment horizontal="center" vertical="center" wrapText="1"/>
    </xf>
    <xf numFmtId="3" fontId="22" fillId="8" borderId="27" xfId="0" applyNumberFormat="1" applyFont="1" applyFill="1" applyBorder="1" applyAlignment="1">
      <alignment horizontal="center" vertical="center" wrapText="1"/>
    </xf>
    <xf numFmtId="0" fontId="22" fillId="10" borderId="20" xfId="0" applyFont="1" applyFill="1" applyBorder="1" applyAlignment="1">
      <alignment horizontal="left" vertical="center"/>
    </xf>
    <xf numFmtId="0" fontId="7" fillId="11" borderId="20" xfId="0" applyFont="1" applyFill="1" applyBorder="1" applyAlignment="1">
      <alignment horizontal="left" vertical="center"/>
    </xf>
    <xf numFmtId="1" fontId="22" fillId="8" borderId="6" xfId="0" applyNumberFormat="1" applyFont="1" applyFill="1" applyBorder="1" applyAlignment="1">
      <alignment horizontal="center" vertical="center" wrapText="1"/>
    </xf>
    <xf numFmtId="0" fontId="22" fillId="8" borderId="6" xfId="0" applyFont="1" applyFill="1" applyBorder="1" applyAlignment="1">
      <alignment horizontal="center" vertical="center" wrapText="1"/>
    </xf>
    <xf numFmtId="3" fontId="22" fillId="9" borderId="20" xfId="0" applyNumberFormat="1"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19" xfId="0" applyFont="1" applyFill="1" applyBorder="1" applyAlignment="1">
      <alignment horizontal="center" vertical="center"/>
    </xf>
    <xf numFmtId="0" fontId="22" fillId="9" borderId="20" xfId="0" applyFont="1" applyFill="1" applyBorder="1" applyAlignment="1">
      <alignment horizontal="center" vertical="center"/>
    </xf>
    <xf numFmtId="0" fontId="22" fillId="9" borderId="16" xfId="0" applyFont="1" applyFill="1" applyBorder="1" applyAlignment="1">
      <alignment horizontal="center" vertical="center" wrapText="1"/>
    </xf>
    <xf numFmtId="0" fontId="22" fillId="9" borderId="11" xfId="0" applyFont="1" applyFill="1" applyBorder="1" applyAlignment="1">
      <alignment horizontal="center" vertical="center" wrapText="1"/>
    </xf>
    <xf numFmtId="170" fontId="22" fillId="8" borderId="6" xfId="0" applyNumberFormat="1" applyFont="1" applyFill="1" applyBorder="1" applyAlignment="1">
      <alignment horizontal="center" vertical="center" wrapText="1"/>
    </xf>
    <xf numFmtId="165" fontId="22" fillId="8" borderId="6" xfId="0" applyNumberFormat="1" applyFont="1" applyFill="1" applyBorder="1" applyAlignment="1">
      <alignment horizontal="center" vertical="center" wrapText="1"/>
    </xf>
    <xf numFmtId="0" fontId="22" fillId="8" borderId="6" xfId="0" applyFont="1" applyFill="1" applyBorder="1" applyAlignment="1">
      <alignment horizontal="justify" vertical="center" wrapText="1"/>
    </xf>
    <xf numFmtId="41" fontId="22" fillId="8" borderId="16" xfId="8" applyFont="1" applyFill="1" applyBorder="1" applyAlignment="1">
      <alignment horizontal="center" vertical="center" wrapText="1"/>
    </xf>
    <xf numFmtId="41" fontId="22" fillId="8" borderId="23" xfId="8"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9" fillId="0" borderId="0" xfId="0" applyFont="1" applyAlignment="1">
      <alignment horizontal="center" vertical="center" wrapText="1"/>
    </xf>
    <xf numFmtId="0" fontId="29" fillId="0" borderId="9" xfId="0" applyFont="1" applyBorder="1" applyAlignment="1">
      <alignment horizontal="center" vertical="center" wrapText="1"/>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28" fillId="0" borderId="0" xfId="0" applyFont="1" applyAlignment="1">
      <alignment horizontal="center" vertical="center"/>
    </xf>
    <xf numFmtId="165" fontId="28" fillId="0" borderId="0" xfId="0" applyNumberFormat="1" applyFont="1" applyAlignment="1">
      <alignment horizontal="justify" vertical="center"/>
    </xf>
    <xf numFmtId="0" fontId="28" fillId="0" borderId="0" xfId="0" applyFont="1" applyAlignment="1">
      <alignment horizontal="justify"/>
    </xf>
    <xf numFmtId="0" fontId="20" fillId="0" borderId="0" xfId="0" applyFont="1" applyAlignment="1">
      <alignment horizontal="justify"/>
    </xf>
    <xf numFmtId="164" fontId="20" fillId="0" borderId="6" xfId="0" applyNumberFormat="1" applyFont="1" applyBorder="1" applyAlignment="1" applyProtection="1">
      <alignment horizontal="center" vertical="center" wrapText="1"/>
      <protection locked="0"/>
    </xf>
    <xf numFmtId="3" fontId="20" fillId="0" borderId="7" xfId="0" applyNumberFormat="1" applyFont="1" applyBorder="1" applyAlignment="1">
      <alignment horizontal="center" vertical="center" wrapText="1"/>
    </xf>
    <xf numFmtId="0" fontId="20" fillId="0" borderId="18"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8" xfId="0" applyFont="1" applyBorder="1" applyAlignment="1">
      <alignment horizontal="justify" vertical="center" wrapText="1"/>
    </xf>
    <xf numFmtId="0" fontId="20" fillId="0" borderId="30" xfId="0" applyFont="1" applyBorder="1" applyAlignment="1">
      <alignment horizontal="justify" vertical="center" wrapText="1"/>
    </xf>
    <xf numFmtId="9" fontId="20" fillId="0" borderId="18" xfId="3" applyFont="1" applyBorder="1" applyAlignment="1">
      <alignment horizontal="center" vertical="center" wrapText="1"/>
    </xf>
    <xf numFmtId="9" fontId="20" fillId="0" borderId="30" xfId="3" applyFont="1" applyBorder="1" applyAlignment="1">
      <alignment horizontal="center" vertical="center" wrapText="1"/>
    </xf>
    <xf numFmtId="0" fontId="4" fillId="0" borderId="18" xfId="0" applyFont="1" applyBorder="1" applyAlignment="1">
      <alignment horizontal="left" vertical="center" wrapText="1"/>
    </xf>
    <xf numFmtId="0" fontId="4" fillId="0" borderId="30" xfId="0" applyFont="1" applyBorder="1" applyAlignment="1">
      <alignment horizontal="left" vertical="center" wrapText="1"/>
    </xf>
    <xf numFmtId="3" fontId="8" fillId="7" borderId="18" xfId="0" applyNumberFormat="1" applyFont="1" applyFill="1" applyBorder="1" applyAlignment="1">
      <alignment horizontal="center" vertical="center" wrapText="1"/>
    </xf>
    <xf numFmtId="3" fontId="8" fillId="7" borderId="25" xfId="0" applyNumberFormat="1" applyFont="1" applyFill="1" applyBorder="1" applyAlignment="1">
      <alignment horizontal="center" vertical="center" wrapText="1"/>
    </xf>
    <xf numFmtId="164" fontId="20" fillId="0" borderId="6" xfId="0" applyNumberFormat="1" applyFont="1" applyBorder="1" applyAlignment="1">
      <alignment horizontal="center" vertical="center" wrapText="1"/>
    </xf>
    <xf numFmtId="0" fontId="20" fillId="0" borderId="6" xfId="0" applyFont="1" applyBorder="1" applyAlignment="1">
      <alignment horizontal="justify" vertical="center" wrapText="1"/>
    </xf>
    <xf numFmtId="3" fontId="8" fillId="7" borderId="17" xfId="0" applyNumberFormat="1" applyFont="1" applyFill="1" applyBorder="1" applyAlignment="1">
      <alignment horizontal="center" vertical="center" wrapText="1"/>
    </xf>
    <xf numFmtId="3" fontId="8" fillId="7" borderId="24" xfId="0" applyNumberFormat="1" applyFont="1" applyFill="1" applyBorder="1" applyAlignment="1">
      <alignment horizontal="center" vertical="center" wrapText="1"/>
    </xf>
    <xf numFmtId="43" fontId="20" fillId="0" borderId="6" xfId="1" applyFont="1" applyFill="1" applyBorder="1" applyAlignment="1">
      <alignment horizontal="right" vertical="center" wrapText="1"/>
    </xf>
    <xf numFmtId="179" fontId="20" fillId="0" borderId="25" xfId="17"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7" borderId="0" xfId="0" applyFont="1" applyFill="1" applyAlignment="1">
      <alignment horizontal="center" vertical="center" wrapText="1"/>
    </xf>
    <xf numFmtId="0" fontId="20" fillId="0" borderId="25"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6" xfId="0" applyFont="1" applyBorder="1" applyAlignment="1">
      <alignment horizontal="center" vertical="center" wrapText="1"/>
    </xf>
    <xf numFmtId="43" fontId="20" fillId="0" borderId="6" xfId="1" applyFont="1" applyBorder="1" applyAlignment="1">
      <alignment horizontal="justify" vertical="center" wrapText="1"/>
    </xf>
    <xf numFmtId="0" fontId="20" fillId="0" borderId="19" xfId="0" applyFont="1" applyBorder="1" applyAlignment="1">
      <alignment horizontal="center" vertical="center" wrapText="1"/>
    </xf>
    <xf numFmtId="9" fontId="20" fillId="0" borderId="6" xfId="3" applyFont="1" applyBorder="1" applyAlignment="1">
      <alignment horizontal="center" vertical="center" wrapText="1"/>
    </xf>
    <xf numFmtId="0" fontId="20" fillId="0" borderId="27" xfId="0" applyFont="1" applyBorder="1" applyAlignment="1">
      <alignment horizontal="center" vertical="center" wrapText="1"/>
    </xf>
    <xf numFmtId="0" fontId="20" fillId="0" borderId="35" xfId="0" applyFont="1" applyBorder="1" applyAlignment="1">
      <alignment horizontal="justify" vertical="center" wrapText="1"/>
    </xf>
    <xf numFmtId="3" fontId="20" fillId="0" borderId="18" xfId="0" applyNumberFormat="1" applyFont="1" applyBorder="1" applyAlignment="1">
      <alignment horizontal="center" vertical="center"/>
    </xf>
    <xf numFmtId="3" fontId="20" fillId="0" borderId="25" xfId="0" applyNumberFormat="1" applyFont="1" applyBorder="1" applyAlignment="1">
      <alignment horizontal="center" vertical="center"/>
    </xf>
    <xf numFmtId="3" fontId="20" fillId="0" borderId="27" xfId="0" applyNumberFormat="1" applyFont="1" applyBorder="1" applyAlignment="1">
      <alignment horizontal="center" vertical="center"/>
    </xf>
    <xf numFmtId="164" fontId="20" fillId="0" borderId="18" xfId="0" applyNumberFormat="1" applyFont="1" applyBorder="1" applyAlignment="1">
      <alignment horizontal="center" vertical="center" wrapText="1"/>
    </xf>
    <xf numFmtId="164" fontId="20" fillId="0" borderId="25" xfId="0" applyNumberFormat="1" applyFont="1" applyBorder="1" applyAlignment="1">
      <alignment horizontal="center" vertical="center" wrapText="1"/>
    </xf>
    <xf numFmtId="164" fontId="20" fillId="0" borderId="27" xfId="0" applyNumberFormat="1" applyFont="1" applyBorder="1" applyAlignment="1">
      <alignment horizontal="center" vertical="center" wrapText="1"/>
    </xf>
    <xf numFmtId="164" fontId="20" fillId="0" borderId="18" xfId="0" applyNumberFormat="1" applyFont="1" applyBorder="1" applyAlignment="1" applyProtection="1">
      <alignment horizontal="center" vertical="center" wrapText="1"/>
      <protection locked="0"/>
    </xf>
    <xf numFmtId="164" fontId="20" fillId="0" borderId="25" xfId="0" applyNumberFormat="1" applyFont="1" applyBorder="1" applyAlignment="1" applyProtection="1">
      <alignment horizontal="center" vertical="center" wrapText="1"/>
      <protection locked="0"/>
    </xf>
    <xf numFmtId="164" fontId="20" fillId="0" borderId="27" xfId="0" applyNumberFormat="1" applyFont="1" applyBorder="1" applyAlignment="1" applyProtection="1">
      <alignment horizontal="center" vertical="center" wrapText="1"/>
      <protection locked="0"/>
    </xf>
    <xf numFmtId="3" fontId="20" fillId="0" borderId="17" xfId="0" applyNumberFormat="1" applyFont="1" applyBorder="1" applyAlignment="1">
      <alignment horizontal="center" vertical="center"/>
    </xf>
    <xf numFmtId="3" fontId="20" fillId="0" borderId="24" xfId="0" applyNumberFormat="1" applyFont="1" applyBorder="1" applyAlignment="1">
      <alignment horizontal="center" vertical="center"/>
    </xf>
    <xf numFmtId="9" fontId="20" fillId="0" borderId="27" xfId="3" applyFont="1" applyBorder="1" applyAlignment="1">
      <alignment horizontal="center" vertical="center" wrapText="1"/>
    </xf>
    <xf numFmtId="0" fontId="20" fillId="0" borderId="18" xfId="0" applyFont="1" applyBorder="1" applyAlignment="1">
      <alignment horizontal="left" vertical="center" wrapText="1"/>
    </xf>
    <xf numFmtId="0" fontId="20" fillId="0" borderId="27" xfId="0" applyFont="1" applyBorder="1" applyAlignment="1">
      <alignment horizontal="left" vertical="center" wrapText="1"/>
    </xf>
    <xf numFmtId="0" fontId="35" fillId="0" borderId="18" xfId="0" applyFont="1" applyBorder="1" applyAlignment="1">
      <alignment horizontal="left" vertical="center" wrapText="1" readingOrder="2"/>
    </xf>
    <xf numFmtId="0" fontId="35" fillId="0" borderId="27" xfId="0" applyFont="1" applyBorder="1" applyAlignment="1">
      <alignment horizontal="left" vertical="center" wrapText="1" readingOrder="2"/>
    </xf>
    <xf numFmtId="0" fontId="7" fillId="9" borderId="16" xfId="0" applyFont="1" applyFill="1" applyBorder="1" applyAlignment="1">
      <alignment horizontal="center" vertical="center" textRotation="90" wrapText="1"/>
    </xf>
    <xf numFmtId="0" fontId="7" fillId="9" borderId="12" xfId="0" applyFont="1" applyFill="1" applyBorder="1" applyAlignment="1">
      <alignment horizontal="center" vertical="center" textRotation="90" wrapText="1"/>
    </xf>
    <xf numFmtId="166" fontId="28" fillId="8" borderId="6" xfId="0" applyNumberFormat="1" applyFont="1" applyFill="1" applyBorder="1" applyAlignment="1">
      <alignment horizontal="center" vertical="center" wrapText="1"/>
    </xf>
    <xf numFmtId="3" fontId="28" fillId="8" borderId="58" xfId="0" applyNumberFormat="1" applyFont="1" applyFill="1" applyBorder="1" applyAlignment="1">
      <alignment horizontal="center" vertical="center" wrapText="1"/>
    </xf>
    <xf numFmtId="3" fontId="28" fillId="8" borderId="14" xfId="0" applyNumberFormat="1" applyFont="1" applyFill="1" applyBorder="1" applyAlignment="1">
      <alignment horizontal="center" vertical="center" wrapText="1"/>
    </xf>
    <xf numFmtId="0" fontId="20" fillId="0" borderId="27" xfId="0" applyFont="1" applyBorder="1" applyAlignment="1">
      <alignment horizontal="justify" vertical="center" wrapText="1"/>
    </xf>
    <xf numFmtId="165" fontId="28" fillId="8" borderId="18" xfId="0" applyNumberFormat="1" applyFont="1" applyFill="1" applyBorder="1" applyAlignment="1">
      <alignment horizontal="center" vertical="center" wrapText="1"/>
    </xf>
    <xf numFmtId="165" fontId="28" fillId="8" borderId="27" xfId="0" applyNumberFormat="1" applyFont="1" applyFill="1" applyBorder="1" applyAlignment="1">
      <alignment horizontal="center" vertical="center" wrapText="1"/>
    </xf>
    <xf numFmtId="0" fontId="28" fillId="8" borderId="17" xfId="0" applyFont="1" applyFill="1" applyBorder="1" applyAlignment="1">
      <alignment horizontal="center" vertical="center" wrapText="1"/>
    </xf>
    <xf numFmtId="0" fontId="28" fillId="8" borderId="24" xfId="0" applyFont="1" applyFill="1" applyBorder="1" applyAlignment="1">
      <alignment horizontal="center" vertical="center" wrapText="1"/>
    </xf>
    <xf numFmtId="3" fontId="7" fillId="9" borderId="19"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19" xfId="0" applyFont="1" applyFill="1" applyBorder="1" applyAlignment="1">
      <alignment horizontal="center" vertical="center"/>
    </xf>
    <xf numFmtId="0" fontId="7" fillId="9" borderId="20" xfId="0" applyFont="1" applyFill="1" applyBorder="1" applyAlignment="1">
      <alignment horizontal="center" vertical="center"/>
    </xf>
    <xf numFmtId="0" fontId="28" fillId="8" borderId="18" xfId="0" applyFont="1" applyFill="1" applyBorder="1" applyAlignment="1">
      <alignment horizontal="center" vertical="center" wrapText="1"/>
    </xf>
    <xf numFmtId="0" fontId="28" fillId="8" borderId="25" xfId="0" applyFont="1" applyFill="1" applyBorder="1" applyAlignment="1">
      <alignment horizontal="center" vertical="center" wrapText="1"/>
    </xf>
    <xf numFmtId="170" fontId="28" fillId="8" borderId="16" xfId="0" applyNumberFormat="1" applyFont="1" applyFill="1" applyBorder="1" applyAlignment="1">
      <alignment horizontal="center" vertical="center" wrapText="1"/>
    </xf>
    <xf numFmtId="170" fontId="28" fillId="8" borderId="23" xfId="0" applyNumberFormat="1" applyFont="1" applyFill="1" applyBorder="1" applyAlignment="1">
      <alignment horizontal="center" vertical="center" wrapText="1"/>
    </xf>
    <xf numFmtId="174" fontId="28" fillId="8" borderId="16" xfId="2" applyNumberFormat="1" applyFont="1" applyFill="1" applyBorder="1" applyAlignment="1">
      <alignment horizontal="center" vertical="center" wrapText="1"/>
    </xf>
    <xf numFmtId="174" fontId="28" fillId="8" borderId="23" xfId="2" applyNumberFormat="1" applyFont="1" applyFill="1" applyBorder="1" applyAlignment="1">
      <alignment horizontal="center" vertical="center" wrapText="1"/>
    </xf>
    <xf numFmtId="0" fontId="28" fillId="8" borderId="16" xfId="0" applyFont="1" applyFill="1" applyBorder="1" applyAlignment="1">
      <alignment horizontal="center" vertical="center" wrapText="1"/>
    </xf>
    <xf numFmtId="0" fontId="28" fillId="8" borderId="23" xfId="0" applyFont="1" applyFill="1" applyBorder="1" applyAlignment="1">
      <alignment horizontal="center" vertical="center" wrapText="1"/>
    </xf>
    <xf numFmtId="0" fontId="28" fillId="8" borderId="27"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1" fontId="28" fillId="8" borderId="15" xfId="0" applyNumberFormat="1" applyFont="1" applyFill="1" applyBorder="1" applyAlignment="1">
      <alignment horizontal="center" vertical="center" wrapText="1"/>
    </xf>
    <xf numFmtId="1" fontId="28" fillId="8" borderId="22"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5" xfId="0" applyFont="1" applyBorder="1" applyAlignment="1">
      <alignment horizontal="center" vertical="center" wrapText="1"/>
    </xf>
    <xf numFmtId="1" fontId="7" fillId="7" borderId="18" xfId="0" applyNumberFormat="1" applyFont="1" applyFill="1" applyBorder="1" applyAlignment="1">
      <alignment horizontal="center" vertical="center" wrapText="1"/>
    </xf>
    <xf numFmtId="1" fontId="7" fillId="7" borderId="27" xfId="0" applyNumberFormat="1" applyFont="1" applyFill="1" applyBorder="1" applyAlignment="1">
      <alignment horizontal="center" vertical="center" wrapText="1"/>
    </xf>
    <xf numFmtId="0" fontId="8" fillId="7" borderId="18" xfId="0" applyFont="1" applyFill="1" applyBorder="1" applyAlignment="1">
      <alignment horizontal="justify" vertical="center" wrapText="1"/>
    </xf>
    <xf numFmtId="0" fontId="8" fillId="7" borderId="27" xfId="0" applyFont="1" applyFill="1" applyBorder="1" applyAlignment="1">
      <alignment horizontal="justify" vertical="center" wrapText="1"/>
    </xf>
    <xf numFmtId="0" fontId="8" fillId="7" borderId="18" xfId="0" applyFont="1" applyFill="1" applyBorder="1" applyAlignment="1">
      <alignment horizontal="center" vertical="center" wrapText="1"/>
    </xf>
    <xf numFmtId="0" fontId="8" fillId="7" borderId="27" xfId="0" applyFont="1" applyFill="1" applyBorder="1" applyAlignment="1">
      <alignment horizontal="center" vertical="center" wrapText="1"/>
    </xf>
    <xf numFmtId="10" fontId="8" fillId="7" borderId="18" xfId="3" applyNumberFormat="1" applyFont="1" applyFill="1" applyBorder="1" applyAlignment="1">
      <alignment horizontal="center" vertical="center" wrapText="1"/>
    </xf>
    <xf numFmtId="10" fontId="8" fillId="7" borderId="27" xfId="3" applyNumberFormat="1" applyFont="1" applyFill="1" applyBorder="1" applyAlignment="1">
      <alignment horizontal="center" vertical="center" wrapText="1"/>
    </xf>
    <xf numFmtId="0" fontId="7" fillId="7" borderId="18" xfId="0" applyFont="1" applyFill="1" applyBorder="1" applyAlignment="1">
      <alignment horizontal="center" vertical="center"/>
    </xf>
    <xf numFmtId="0" fontId="7" fillId="7" borderId="27" xfId="0" applyFont="1" applyFill="1" applyBorder="1" applyAlignment="1">
      <alignment horizontal="center" vertical="center"/>
    </xf>
    <xf numFmtId="1" fontId="7" fillId="7" borderId="6" xfId="0" applyNumberFormat="1" applyFont="1" applyFill="1" applyBorder="1" applyAlignment="1">
      <alignment horizontal="center" vertical="center" wrapText="1"/>
    </xf>
    <xf numFmtId="0" fontId="8" fillId="7" borderId="6" xfId="0" applyFont="1" applyFill="1" applyBorder="1" applyAlignment="1">
      <alignment horizontal="justify" vertical="center" wrapText="1"/>
    </xf>
    <xf numFmtId="0" fontId="8" fillId="7" borderId="6" xfId="0" applyFont="1" applyFill="1" applyBorder="1" applyAlignment="1">
      <alignment horizontal="center" vertical="center" wrapText="1"/>
    </xf>
    <xf numFmtId="10" fontId="8" fillId="7" borderId="6" xfId="3" applyNumberFormat="1"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40" xfId="0" applyFont="1" applyBorder="1" applyAlignment="1">
      <alignment horizontal="left"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7" xfId="0" applyFont="1" applyBorder="1" applyAlignment="1">
      <alignment horizontal="center" vertical="center" wrapText="1"/>
    </xf>
    <xf numFmtId="0" fontId="8" fillId="7" borderId="15"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40" xfId="0" applyFont="1" applyFill="1" applyBorder="1" applyAlignment="1">
      <alignment horizontal="center" vertical="center" wrapText="1"/>
    </xf>
    <xf numFmtId="43" fontId="8" fillId="7" borderId="18" xfId="1" applyFont="1" applyFill="1" applyBorder="1" applyAlignment="1">
      <alignment horizontal="center" vertical="center" wrapText="1"/>
    </xf>
    <xf numFmtId="43" fontId="8" fillId="7" borderId="27" xfId="1" applyFont="1" applyFill="1" applyBorder="1" applyAlignment="1">
      <alignment horizontal="center" vertical="center" wrapText="1"/>
    </xf>
    <xf numFmtId="49" fontId="8" fillId="7" borderId="18" xfId="0" applyNumberFormat="1" applyFont="1" applyFill="1" applyBorder="1" applyAlignment="1">
      <alignment horizontal="center" vertical="center" wrapText="1"/>
    </xf>
    <xf numFmtId="49" fontId="8" fillId="7" borderId="27" xfId="0" applyNumberFormat="1" applyFont="1" applyFill="1" applyBorder="1" applyAlignment="1">
      <alignment horizontal="center" vertical="center" wrapText="1"/>
    </xf>
    <xf numFmtId="3" fontId="8" fillId="7" borderId="21" xfId="0" applyNumberFormat="1" applyFont="1" applyFill="1" applyBorder="1" applyAlignment="1">
      <alignment horizontal="center" vertical="center" wrapText="1"/>
    </xf>
    <xf numFmtId="3" fontId="8" fillId="7" borderId="41"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25" xfId="0" applyFont="1" applyBorder="1" applyAlignment="1">
      <alignment horizontal="center" vertical="center" wrapText="1"/>
    </xf>
    <xf numFmtId="10" fontId="8" fillId="0" borderId="18" xfId="3" applyNumberFormat="1" applyFont="1" applyBorder="1" applyAlignment="1">
      <alignment horizontal="center" vertical="center" wrapText="1"/>
    </xf>
    <xf numFmtId="10" fontId="8" fillId="0" borderId="25" xfId="3" applyNumberFormat="1" applyFont="1" applyBorder="1" applyAlignment="1">
      <alignment horizontal="center" vertical="center" wrapText="1"/>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36" xfId="0" applyFont="1" applyBorder="1" applyAlignment="1">
      <alignment horizontal="center" vertical="center"/>
    </xf>
    <xf numFmtId="14" fontId="16" fillId="0" borderId="3" xfId="0" applyNumberFormat="1" applyFont="1" applyBorder="1" applyAlignment="1">
      <alignment horizontal="center" vertical="center"/>
    </xf>
    <xf numFmtId="1" fontId="8" fillId="0" borderId="46" xfId="0" applyNumberFormat="1" applyFont="1" applyBorder="1" applyAlignment="1">
      <alignment horizontal="center" vertical="center" wrapText="1"/>
    </xf>
    <xf numFmtId="1" fontId="8" fillId="0" borderId="30" xfId="0" applyNumberFormat="1" applyFont="1" applyBorder="1" applyAlignment="1">
      <alignment horizontal="center" vertical="center" wrapText="1"/>
    </xf>
    <xf numFmtId="0" fontId="8" fillId="0" borderId="46"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16" fillId="7" borderId="3" xfId="0" applyNumberFormat="1" applyFont="1" applyFill="1" applyBorder="1" applyAlignment="1">
      <alignment horizontal="center" vertical="center"/>
    </xf>
    <xf numFmtId="0" fontId="16" fillId="7" borderId="6" xfId="0" applyNumberFormat="1" applyFont="1" applyFill="1" applyBorder="1" applyAlignment="1">
      <alignment horizontal="center" vertical="center"/>
    </xf>
    <xf numFmtId="0" fontId="16" fillId="7" borderId="36" xfId="0" applyNumberFormat="1" applyFont="1" applyFill="1" applyBorder="1" applyAlignment="1">
      <alignment horizontal="center" vertical="center"/>
    </xf>
    <xf numFmtId="3" fontId="8" fillId="0" borderId="46"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30"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8" fillId="0" borderId="30" xfId="0" applyFont="1" applyBorder="1" applyAlignment="1">
      <alignment horizontal="center" vertical="center" wrapText="1"/>
    </xf>
    <xf numFmtId="0" fontId="8" fillId="7" borderId="25" xfId="0" applyFont="1" applyFill="1" applyBorder="1" applyAlignment="1">
      <alignment horizontal="justify" vertical="center" wrapText="1"/>
    </xf>
    <xf numFmtId="10" fontId="8" fillId="7" borderId="25" xfId="3" applyNumberFormat="1" applyFont="1" applyFill="1" applyBorder="1" applyAlignment="1">
      <alignment horizontal="center" vertical="center" wrapText="1"/>
    </xf>
    <xf numFmtId="43" fontId="8" fillId="7" borderId="25" xfId="1"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41" xfId="0" applyFont="1" applyFill="1" applyBorder="1" applyAlignment="1">
      <alignment horizontal="center" vertical="center" wrapText="1"/>
    </xf>
    <xf numFmtId="3" fontId="8" fillId="0" borderId="42"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3" fontId="8" fillId="0" borderId="51" xfId="0" applyNumberFormat="1" applyFont="1" applyBorder="1" applyAlignment="1">
      <alignment horizontal="center" vertical="center" wrapText="1"/>
    </xf>
    <xf numFmtId="0" fontId="8" fillId="7" borderId="16"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3" xfId="0" applyFont="1" applyFill="1" applyBorder="1" applyAlignment="1">
      <alignment horizontal="center" vertical="center" wrapText="1"/>
    </xf>
    <xf numFmtId="3" fontId="8" fillId="12" borderId="1" xfId="7" applyNumberFormat="1" applyFont="1" applyFill="1" applyBorder="1" applyAlignment="1">
      <alignment horizontal="center" vertical="center"/>
    </xf>
    <xf numFmtId="3" fontId="8" fillId="12" borderId="2" xfId="7" applyNumberFormat="1" applyFont="1" applyFill="1" applyBorder="1" applyAlignment="1">
      <alignment horizontal="center" vertical="center"/>
    </xf>
    <xf numFmtId="3" fontId="8" fillId="12" borderId="45" xfId="7" applyNumberFormat="1" applyFont="1" applyFill="1" applyBorder="1" applyAlignment="1">
      <alignment horizontal="center" vertical="center"/>
    </xf>
    <xf numFmtId="0" fontId="7" fillId="0" borderId="27" xfId="0" applyFont="1" applyBorder="1" applyAlignment="1">
      <alignment horizontal="center" vertical="center" wrapText="1"/>
    </xf>
    <xf numFmtId="0" fontId="8" fillId="7" borderId="25" xfId="0" applyFont="1" applyFill="1" applyBorder="1" applyAlignment="1">
      <alignment horizontal="center" vertical="center" wrapText="1"/>
    </xf>
    <xf numFmtId="164" fontId="16" fillId="0" borderId="6" xfId="0" applyNumberFormat="1" applyFont="1" applyBorder="1" applyAlignment="1">
      <alignment horizontal="center" vertical="center" wrapText="1"/>
    </xf>
    <xf numFmtId="164" fontId="16" fillId="0" borderId="18" xfId="0" applyNumberFormat="1" applyFont="1" applyBorder="1" applyAlignment="1">
      <alignment horizontal="center" vertical="center" wrapText="1"/>
    </xf>
    <xf numFmtId="3" fontId="16" fillId="0" borderId="6"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1" fontId="8" fillId="7" borderId="18" xfId="0" applyNumberFormat="1" applyFont="1" applyFill="1" applyBorder="1" applyAlignment="1">
      <alignment horizontal="center" vertical="center" wrapText="1"/>
    </xf>
    <xf numFmtId="1" fontId="8" fillId="7" borderId="25" xfId="0" applyNumberFormat="1" applyFont="1" applyFill="1" applyBorder="1" applyAlignment="1">
      <alignment horizontal="center" vertical="center" wrapText="1"/>
    </xf>
    <xf numFmtId="1" fontId="8" fillId="7" borderId="27" xfId="0" applyNumberFormat="1" applyFont="1" applyFill="1" applyBorder="1" applyAlignment="1">
      <alignment horizontal="center" vertical="center" wrapText="1"/>
    </xf>
    <xf numFmtId="9" fontId="8" fillId="7" borderId="18" xfId="3" applyFont="1" applyFill="1" applyBorder="1" applyAlignment="1">
      <alignment horizontal="center" vertical="center" wrapText="1"/>
    </xf>
    <xf numFmtId="9" fontId="8" fillId="7" borderId="25" xfId="3" applyFont="1" applyFill="1" applyBorder="1" applyAlignment="1">
      <alignment horizontal="center" vertical="center" wrapText="1"/>
    </xf>
    <xf numFmtId="9" fontId="8" fillId="7" borderId="27" xfId="3" applyFont="1" applyFill="1" applyBorder="1" applyAlignment="1">
      <alignment horizontal="center" vertical="center" wrapText="1"/>
    </xf>
    <xf numFmtId="3" fontId="25" fillId="0" borderId="6" xfId="0" applyNumberFormat="1" applyFont="1" applyBorder="1" applyAlignment="1">
      <alignment horizontal="center" vertical="center"/>
    </xf>
    <xf numFmtId="3" fontId="25" fillId="0" borderId="18" xfId="0" applyNumberFormat="1" applyFont="1" applyBorder="1" applyAlignment="1">
      <alignment horizontal="center" vertical="center"/>
    </xf>
    <xf numFmtId="0" fontId="8" fillId="0" borderId="42" xfId="0" applyFont="1" applyBorder="1" applyAlignment="1">
      <alignment horizontal="left" vertical="center" wrapText="1"/>
    </xf>
    <xf numFmtId="14" fontId="16" fillId="0" borderId="18" xfId="0" applyNumberFormat="1" applyFont="1" applyBorder="1" applyAlignment="1">
      <alignment horizontal="center" vertical="center"/>
    </xf>
    <xf numFmtId="14" fontId="16" fillId="0" borderId="27" xfId="0" applyNumberFormat="1" applyFont="1" applyBorder="1" applyAlignment="1">
      <alignment horizontal="center" vertical="center"/>
    </xf>
    <xf numFmtId="3" fontId="16" fillId="0" borderId="27" xfId="0" applyNumberFormat="1" applyFont="1" applyBorder="1" applyAlignment="1">
      <alignment horizontal="center" vertical="center" wrapText="1"/>
    </xf>
    <xf numFmtId="3" fontId="25" fillId="0" borderId="27" xfId="0" applyNumberFormat="1" applyFont="1" applyBorder="1" applyAlignment="1">
      <alignment horizontal="center" vertical="center"/>
    </xf>
    <xf numFmtId="9" fontId="26" fillId="0" borderId="18" xfId="3" applyFont="1" applyBorder="1" applyAlignment="1">
      <alignment horizontal="center" vertical="center"/>
    </xf>
    <xf numFmtId="9" fontId="26" fillId="0" borderId="27" xfId="3" applyFont="1" applyBorder="1" applyAlignment="1">
      <alignment horizontal="center" vertical="center"/>
    </xf>
    <xf numFmtId="164" fontId="16" fillId="0" borderId="27" xfId="0" applyNumberFormat="1" applyFont="1" applyBorder="1" applyAlignment="1">
      <alignment horizontal="center" vertical="center" wrapText="1"/>
    </xf>
    <xf numFmtId="3" fontId="16" fillId="0" borderId="25" xfId="0" applyNumberFormat="1" applyFont="1" applyBorder="1" applyAlignment="1">
      <alignment horizontal="center" vertical="center" wrapText="1"/>
    </xf>
    <xf numFmtId="3" fontId="8" fillId="7" borderId="27" xfId="0" applyNumberFormat="1" applyFont="1" applyFill="1" applyBorder="1" applyAlignment="1">
      <alignment horizontal="center" vertical="center" wrapText="1"/>
    </xf>
    <xf numFmtId="3" fontId="25" fillId="0" borderId="25" xfId="0" applyNumberFormat="1" applyFont="1" applyBorder="1" applyAlignment="1">
      <alignment horizontal="center" vertical="center"/>
    </xf>
    <xf numFmtId="164" fontId="16" fillId="0" borderId="25" xfId="0" applyNumberFormat="1" applyFont="1" applyBorder="1" applyAlignment="1">
      <alignment horizontal="center" vertical="center" wrapText="1"/>
    </xf>
    <xf numFmtId="164" fontId="15" fillId="8" borderId="23" xfId="0" applyNumberFormat="1" applyFont="1" applyFill="1" applyBorder="1" applyAlignment="1">
      <alignment horizontal="center" vertical="center" wrapText="1"/>
    </xf>
    <xf numFmtId="164" fontId="15" fillId="8" borderId="24" xfId="0" applyNumberFormat="1" applyFont="1" applyFill="1" applyBorder="1" applyAlignment="1">
      <alignment horizontal="center" vertical="center" wrapText="1"/>
    </xf>
    <xf numFmtId="164" fontId="15" fillId="8" borderId="12" xfId="0" applyNumberFormat="1" applyFont="1" applyFill="1" applyBorder="1" applyAlignment="1">
      <alignment horizontal="center" vertical="center" wrapText="1"/>
    </xf>
    <xf numFmtId="164" fontId="15" fillId="8" borderId="13" xfId="0" applyNumberFormat="1" applyFont="1" applyFill="1" applyBorder="1" applyAlignment="1">
      <alignment horizontal="center" vertical="center" wrapText="1"/>
    </xf>
    <xf numFmtId="3" fontId="22" fillId="8" borderId="25" xfId="0" applyNumberFormat="1" applyFont="1" applyFill="1" applyBorder="1" applyAlignment="1">
      <alignment horizontal="center" vertical="center" wrapText="1"/>
    </xf>
    <xf numFmtId="0" fontId="16" fillId="0" borderId="18"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22" fillId="8" borderId="25" xfId="0" applyFont="1" applyFill="1" applyBorder="1" applyAlignment="1">
      <alignment horizontal="center" vertical="center" wrapText="1"/>
    </xf>
    <xf numFmtId="0" fontId="22" fillId="8" borderId="27" xfId="0" applyFont="1" applyFill="1" applyBorder="1" applyAlignment="1">
      <alignment horizontal="center" vertical="center" wrapText="1"/>
    </xf>
    <xf numFmtId="3" fontId="15" fillId="9" borderId="19" xfId="0" applyNumberFormat="1" applyFont="1" applyFill="1" applyBorder="1" applyAlignment="1">
      <alignment horizontal="center" vertical="center" wrapText="1"/>
    </xf>
    <xf numFmtId="3" fontId="15" fillId="9" borderId="20" xfId="0" applyNumberFormat="1" applyFont="1" applyFill="1" applyBorder="1" applyAlignment="1">
      <alignment horizontal="center" vertical="center" wrapText="1"/>
    </xf>
    <xf numFmtId="0" fontId="15" fillId="9" borderId="19" xfId="0" applyFont="1" applyFill="1" applyBorder="1" applyAlignment="1">
      <alignment horizontal="center" vertical="center"/>
    </xf>
    <xf numFmtId="0" fontId="15" fillId="9" borderId="20" xfId="0" applyFont="1" applyFill="1" applyBorder="1" applyAlignment="1">
      <alignment horizontal="center" vertical="center"/>
    </xf>
    <xf numFmtId="0" fontId="15" fillId="9" borderId="19"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16" xfId="0" applyFont="1" applyFill="1" applyBorder="1" applyAlignment="1">
      <alignment horizontal="center" vertical="center" textRotation="90" wrapText="1"/>
    </xf>
    <xf numFmtId="0" fontId="15" fillId="9" borderId="12" xfId="0" applyFont="1" applyFill="1" applyBorder="1" applyAlignment="1">
      <alignment horizontal="center" vertical="center" textRotation="90" wrapText="1"/>
    </xf>
    <xf numFmtId="0" fontId="15" fillId="8" borderId="23"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23" fillId="8" borderId="25" xfId="0" applyFont="1" applyFill="1" applyBorder="1" applyAlignment="1">
      <alignment horizontal="center" vertical="center" wrapText="1"/>
    </xf>
    <xf numFmtId="0" fontId="23" fillId="8" borderId="27"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35" xfId="0" applyFont="1" applyBorder="1" applyAlignment="1">
      <alignment horizontal="center" vertical="center"/>
    </xf>
    <xf numFmtId="0" fontId="22" fillId="8"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16" fillId="0" borderId="18" xfId="0" applyFont="1" applyBorder="1" applyAlignment="1">
      <alignment horizontal="center" vertical="center"/>
    </xf>
    <xf numFmtId="0" fontId="16" fillId="0" borderId="25" xfId="0" applyFont="1" applyBorder="1" applyAlignment="1">
      <alignment horizontal="center" vertical="center"/>
    </xf>
    <xf numFmtId="0" fontId="16" fillId="0" borderId="27" xfId="0" applyFont="1" applyBorder="1" applyAlignment="1">
      <alignment horizontal="center" vertical="center"/>
    </xf>
    <xf numFmtId="166" fontId="16" fillId="0" borderId="18" xfId="0" applyNumberFormat="1" applyFont="1" applyFill="1" applyBorder="1" applyAlignment="1">
      <alignment horizontal="center" vertical="center"/>
    </xf>
    <xf numFmtId="166" fontId="16" fillId="0" borderId="25" xfId="0" applyNumberFormat="1" applyFont="1" applyFill="1" applyBorder="1" applyAlignment="1">
      <alignment horizontal="center" vertical="center"/>
    </xf>
    <xf numFmtId="166" fontId="16" fillId="0" borderId="27" xfId="0" applyNumberFormat="1" applyFont="1" applyFill="1" applyBorder="1" applyAlignment="1">
      <alignment horizontal="center" vertical="center"/>
    </xf>
    <xf numFmtId="14" fontId="16" fillId="0" borderId="25" xfId="0" applyNumberFormat="1" applyFont="1" applyBorder="1" applyAlignment="1">
      <alignment horizontal="center" vertical="center"/>
    </xf>
    <xf numFmtId="166" fontId="16" fillId="0" borderId="6" xfId="0" applyNumberFormat="1" applyFont="1" applyFill="1" applyBorder="1" applyAlignment="1">
      <alignment horizontal="center" vertical="center" wrapText="1"/>
    </xf>
    <xf numFmtId="0" fontId="26" fillId="0" borderId="6" xfId="0" applyFont="1" applyBorder="1" applyAlignment="1">
      <alignment horizontal="center" vertical="center"/>
    </xf>
    <xf numFmtId="43" fontId="16" fillId="7" borderId="25" xfId="1" applyFont="1" applyFill="1" applyBorder="1" applyAlignment="1">
      <alignment horizontal="center" vertical="center"/>
    </xf>
    <xf numFmtId="43" fontId="16" fillId="7" borderId="27" xfId="1" applyFont="1" applyFill="1" applyBorder="1" applyAlignment="1">
      <alignment horizontal="center" vertical="center"/>
    </xf>
    <xf numFmtId="184" fontId="16" fillId="7" borderId="25" xfId="19" applyFont="1" applyFill="1" applyBorder="1" applyAlignment="1">
      <alignment horizontal="justify" vertical="center" wrapText="1"/>
    </xf>
    <xf numFmtId="184" fontId="16" fillId="7" borderId="27" xfId="19" applyFont="1" applyFill="1" applyBorder="1" applyAlignment="1">
      <alignment horizontal="justify" vertical="center" wrapText="1"/>
    </xf>
    <xf numFmtId="184" fontId="16" fillId="7" borderId="23" xfId="19" applyFont="1" applyFill="1" applyBorder="1" applyAlignment="1">
      <alignment horizontal="justify" vertical="center" wrapText="1"/>
    </xf>
    <xf numFmtId="184" fontId="16" fillId="7" borderId="12" xfId="19" applyFont="1" applyFill="1" applyBorder="1" applyAlignment="1">
      <alignment horizontal="justify" vertical="center" wrapText="1"/>
    </xf>
    <xf numFmtId="0" fontId="16" fillId="0" borderId="35" xfId="0" applyFont="1" applyFill="1" applyBorder="1" applyAlignment="1">
      <alignment horizontal="center" vertical="center"/>
    </xf>
    <xf numFmtId="0" fontId="26" fillId="0" borderId="35" xfId="0" applyFont="1" applyFill="1" applyBorder="1" applyAlignment="1">
      <alignment horizontal="center" vertical="center"/>
    </xf>
    <xf numFmtId="0" fontId="16" fillId="0" borderId="6" xfId="0" applyFont="1" applyFill="1" applyBorder="1" applyAlignment="1">
      <alignment horizontal="center" vertical="center"/>
    </xf>
    <xf numFmtId="0" fontId="26" fillId="0" borderId="6" xfId="0" applyFont="1" applyFill="1" applyBorder="1" applyAlignment="1">
      <alignment horizontal="center" vertical="center"/>
    </xf>
    <xf numFmtId="3" fontId="16" fillId="0" borderId="25" xfId="19" applyNumberFormat="1" applyFont="1" applyBorder="1" applyAlignment="1">
      <alignment horizontal="center" vertical="center"/>
    </xf>
    <xf numFmtId="3" fontId="16" fillId="0" borderId="27" xfId="19" applyNumberFormat="1" applyFont="1" applyBorder="1" applyAlignment="1">
      <alignment horizontal="center" vertical="center"/>
    </xf>
    <xf numFmtId="3" fontId="16" fillId="7" borderId="25" xfId="19" applyNumberFormat="1" applyFont="1" applyFill="1" applyBorder="1" applyAlignment="1">
      <alignment horizontal="center" vertical="center"/>
    </xf>
    <xf numFmtId="3" fontId="16" fillId="7" borderId="27" xfId="19" applyNumberFormat="1" applyFont="1" applyFill="1" applyBorder="1" applyAlignment="1">
      <alignment horizontal="center" vertical="center"/>
    </xf>
    <xf numFmtId="184" fontId="16" fillId="7" borderId="25" xfId="19" applyFont="1" applyFill="1" applyBorder="1" applyAlignment="1">
      <alignment horizontal="center" vertical="center"/>
    </xf>
    <xf numFmtId="184" fontId="16" fillId="7" borderId="27" xfId="19" applyFont="1" applyFill="1" applyBorder="1" applyAlignment="1">
      <alignment horizontal="center" vertical="center"/>
    </xf>
    <xf numFmtId="49" fontId="16" fillId="0" borderId="25" xfId="19" applyNumberFormat="1" applyFont="1" applyFill="1" applyBorder="1" applyAlignment="1">
      <alignment horizontal="center" vertical="center" wrapText="1"/>
    </xf>
    <xf numFmtId="49" fontId="16" fillId="0" borderId="27" xfId="19" applyNumberFormat="1" applyFont="1" applyFill="1" applyBorder="1" applyAlignment="1">
      <alignment horizontal="center" vertical="center" wrapText="1"/>
    </xf>
    <xf numFmtId="9" fontId="13" fillId="7" borderId="25" xfId="3" applyFont="1" applyFill="1" applyBorder="1" applyAlignment="1">
      <alignment horizontal="center" vertical="center"/>
    </xf>
    <xf numFmtId="9" fontId="13" fillId="7" borderId="27" xfId="3" applyFont="1" applyFill="1" applyBorder="1" applyAlignment="1">
      <alignment horizontal="center" vertical="center"/>
    </xf>
    <xf numFmtId="3" fontId="16" fillId="0" borderId="6" xfId="0" applyNumberFormat="1" applyFont="1" applyBorder="1" applyAlignment="1">
      <alignment horizontal="center" vertical="center"/>
    </xf>
    <xf numFmtId="3" fontId="26" fillId="0" borderId="6" xfId="0" applyNumberFormat="1" applyFont="1" applyBorder="1" applyAlignment="1">
      <alignment horizontal="center" vertical="center"/>
    </xf>
    <xf numFmtId="3" fontId="16" fillId="0" borderId="18" xfId="0" applyNumberFormat="1" applyFont="1" applyBorder="1" applyAlignment="1">
      <alignment horizontal="center" vertical="center"/>
    </xf>
    <xf numFmtId="3" fontId="16" fillId="0" borderId="25" xfId="0" applyNumberFormat="1" applyFont="1" applyBorder="1" applyAlignment="1">
      <alignment horizontal="center" vertical="center"/>
    </xf>
    <xf numFmtId="3" fontId="16" fillId="0" borderId="27" xfId="0" applyNumberFormat="1" applyFont="1" applyBorder="1" applyAlignment="1">
      <alignment horizontal="center" vertical="center"/>
    </xf>
    <xf numFmtId="184" fontId="16" fillId="7" borderId="6" xfId="19" applyFont="1" applyFill="1" applyBorder="1" applyAlignment="1">
      <alignment horizontal="justify" vertical="center" wrapText="1"/>
    </xf>
    <xf numFmtId="3" fontId="16" fillId="0" borderId="35" xfId="0" applyNumberFormat="1" applyFont="1" applyBorder="1" applyAlignment="1">
      <alignment horizontal="center" vertical="center"/>
    </xf>
    <xf numFmtId="3" fontId="26" fillId="0" borderId="35" xfId="0" applyNumberFormat="1" applyFont="1" applyBorder="1" applyAlignment="1">
      <alignment horizontal="center" vertical="center"/>
    </xf>
    <xf numFmtId="184" fontId="16" fillId="7" borderId="24" xfId="19" applyFont="1" applyFill="1" applyBorder="1" applyAlignment="1">
      <alignment horizontal="center" vertical="center"/>
    </xf>
    <xf numFmtId="9" fontId="13" fillId="7" borderId="6" xfId="3" applyFont="1" applyFill="1" applyBorder="1" applyAlignment="1">
      <alignment horizontal="center" vertical="center"/>
    </xf>
    <xf numFmtId="43" fontId="16" fillId="7" borderId="6" xfId="1" applyFont="1" applyFill="1" applyBorder="1" applyAlignment="1">
      <alignment horizontal="center" vertical="center"/>
    </xf>
    <xf numFmtId="3" fontId="16" fillId="7" borderId="6" xfId="19" applyNumberFormat="1" applyFont="1" applyFill="1" applyBorder="1" applyAlignment="1">
      <alignment horizontal="center" vertical="center"/>
    </xf>
    <xf numFmtId="3" fontId="16" fillId="7" borderId="18" xfId="19" applyNumberFormat="1" applyFont="1" applyFill="1" applyBorder="1" applyAlignment="1">
      <alignment horizontal="center" vertical="center"/>
    </xf>
    <xf numFmtId="184" fontId="16" fillId="7" borderId="18" xfId="19" applyFont="1" applyFill="1" applyBorder="1" applyAlignment="1">
      <alignment horizontal="justify" vertical="center" wrapText="1"/>
    </xf>
    <xf numFmtId="9" fontId="13" fillId="7" borderId="18" xfId="3" applyFont="1" applyFill="1" applyBorder="1" applyAlignment="1">
      <alignment horizontal="center" vertical="center"/>
    </xf>
    <xf numFmtId="0" fontId="16" fillId="0" borderId="6" xfId="0" applyFont="1" applyBorder="1" applyAlignment="1">
      <alignment horizontal="center"/>
    </xf>
    <xf numFmtId="184" fontId="16" fillId="7" borderId="18" xfId="19" applyFont="1" applyFill="1" applyBorder="1" applyAlignment="1">
      <alignment horizontal="left" vertical="center" wrapText="1"/>
    </xf>
    <xf numFmtId="184" fontId="16" fillId="7" borderId="25" xfId="19" applyFont="1" applyFill="1" applyBorder="1" applyAlignment="1">
      <alignment horizontal="left" vertical="center" wrapText="1"/>
    </xf>
    <xf numFmtId="184" fontId="16" fillId="7" borderId="27" xfId="19" applyFont="1" applyFill="1" applyBorder="1" applyAlignment="1">
      <alignment horizontal="left" vertical="center" wrapText="1"/>
    </xf>
    <xf numFmtId="186" fontId="16" fillId="7" borderId="18" xfId="19" applyNumberFormat="1" applyFont="1" applyFill="1" applyBorder="1" applyAlignment="1">
      <alignment horizontal="center" vertical="center"/>
    </xf>
    <xf numFmtId="186" fontId="16" fillId="7" borderId="25" xfId="19" applyNumberFormat="1" applyFont="1" applyFill="1" applyBorder="1" applyAlignment="1">
      <alignment horizontal="center" vertical="center"/>
    </xf>
    <xf numFmtId="186" fontId="16" fillId="7" borderId="27" xfId="19" applyNumberFormat="1" applyFont="1" applyFill="1" applyBorder="1" applyAlignment="1">
      <alignment horizontal="center" vertical="center"/>
    </xf>
    <xf numFmtId="0" fontId="26" fillId="0" borderId="6" xfId="0" applyFont="1" applyBorder="1" applyAlignment="1">
      <alignment horizontal="center" vertical="center" wrapText="1"/>
    </xf>
    <xf numFmtId="0" fontId="26" fillId="0" borderId="18" xfId="0" applyFont="1" applyBorder="1" applyAlignment="1">
      <alignment horizontal="center" vertical="center" wrapText="1"/>
    </xf>
    <xf numFmtId="0" fontId="16" fillId="7" borderId="23" xfId="0" applyFont="1" applyFill="1" applyBorder="1" applyAlignment="1">
      <alignment horizontal="center" vertical="center" wrapText="1"/>
    </xf>
    <xf numFmtId="3" fontId="16" fillId="0" borderId="6" xfId="0" applyNumberFormat="1" applyFont="1" applyBorder="1" applyAlignment="1">
      <alignment vertical="center"/>
    </xf>
    <xf numFmtId="3" fontId="26" fillId="0" borderId="6" xfId="0" applyNumberFormat="1" applyFont="1" applyBorder="1" applyAlignment="1">
      <alignment vertical="center"/>
    </xf>
    <xf numFmtId="3" fontId="26" fillId="0" borderId="18" xfId="0" applyNumberFormat="1" applyFont="1" applyBorder="1" applyAlignment="1">
      <alignment vertical="center"/>
    </xf>
    <xf numFmtId="14" fontId="26" fillId="0" borderId="18" xfId="0" applyNumberFormat="1" applyFont="1" applyBorder="1" applyAlignment="1">
      <alignment horizontal="center" vertical="center"/>
    </xf>
    <xf numFmtId="14" fontId="26" fillId="0" borderId="25" xfId="0" applyNumberFormat="1" applyFont="1" applyBorder="1" applyAlignment="1">
      <alignment horizontal="center" vertical="center"/>
    </xf>
    <xf numFmtId="3" fontId="16" fillId="0" borderId="35" xfId="0" applyNumberFormat="1" applyFont="1" applyBorder="1" applyAlignment="1">
      <alignment vertical="center"/>
    </xf>
    <xf numFmtId="3" fontId="26" fillId="0" borderId="35" xfId="0" applyNumberFormat="1" applyFont="1" applyBorder="1" applyAlignment="1">
      <alignment vertical="center"/>
    </xf>
    <xf numFmtId="3" fontId="26" fillId="0" borderId="17" xfId="0" applyNumberFormat="1" applyFont="1" applyBorder="1" applyAlignment="1">
      <alignment vertical="center"/>
    </xf>
    <xf numFmtId="43" fontId="16" fillId="7" borderId="18" xfId="1" applyFont="1" applyFill="1" applyBorder="1" applyAlignment="1">
      <alignment horizontal="center" vertical="center"/>
    </xf>
    <xf numFmtId="184" fontId="16" fillId="7" borderId="19" xfId="19" applyFont="1" applyFill="1" applyBorder="1" applyAlignment="1">
      <alignment horizontal="justify" vertical="center" wrapText="1"/>
    </xf>
    <xf numFmtId="184" fontId="16" fillId="7" borderId="16" xfId="19" applyFont="1" applyFill="1" applyBorder="1" applyAlignment="1">
      <alignment horizontal="justify" vertical="center" wrapText="1"/>
    </xf>
    <xf numFmtId="1" fontId="22" fillId="7" borderId="16" xfId="19" applyNumberFormat="1" applyFont="1" applyFill="1" applyBorder="1" applyAlignment="1">
      <alignment horizontal="center" vertical="center" wrapText="1"/>
    </xf>
    <xf numFmtId="1" fontId="22" fillId="7" borderId="11" xfId="19" applyNumberFormat="1" applyFont="1" applyFill="1" applyBorder="1" applyAlignment="1">
      <alignment horizontal="center" vertical="center" wrapText="1"/>
    </xf>
    <xf numFmtId="1" fontId="22" fillId="7" borderId="23" xfId="19" applyNumberFormat="1" applyFont="1" applyFill="1" applyBorder="1" applyAlignment="1">
      <alignment horizontal="center" vertical="center" wrapText="1"/>
    </xf>
    <xf numFmtId="1" fontId="22" fillId="7" borderId="0" xfId="19" applyNumberFormat="1" applyFont="1" applyFill="1" applyBorder="1" applyAlignment="1">
      <alignment horizontal="center" vertical="center" wrapText="1"/>
    </xf>
    <xf numFmtId="1" fontId="22" fillId="7" borderId="12" xfId="19" applyNumberFormat="1" applyFont="1" applyFill="1" applyBorder="1" applyAlignment="1">
      <alignment horizontal="center" vertical="center" wrapText="1"/>
    </xf>
    <xf numFmtId="1" fontId="22" fillId="7" borderId="9" xfId="19" applyNumberFormat="1" applyFont="1" applyFill="1" applyBorder="1" applyAlignment="1">
      <alignment horizontal="center" vertical="center" wrapText="1"/>
    </xf>
    <xf numFmtId="184" fontId="16" fillId="7" borderId="18" xfId="19" applyFont="1" applyFill="1" applyBorder="1" applyAlignment="1">
      <alignment horizontal="center" vertical="center" wrapText="1"/>
    </xf>
    <xf numFmtId="184" fontId="16" fillId="7" borderId="25" xfId="19" applyFont="1" applyFill="1" applyBorder="1" applyAlignment="1">
      <alignment horizontal="center" vertical="center" wrapText="1"/>
    </xf>
    <xf numFmtId="184" fontId="16" fillId="7" borderId="27" xfId="19" applyFont="1" applyFill="1" applyBorder="1" applyAlignment="1">
      <alignment horizontal="center" vertical="center" wrapText="1"/>
    </xf>
    <xf numFmtId="184" fontId="16" fillId="7" borderId="18" xfId="19" applyFont="1" applyFill="1" applyBorder="1" applyAlignment="1">
      <alignment horizontal="center" vertical="center" wrapText="1" shrinkToFit="1"/>
    </xf>
    <xf numFmtId="184" fontId="16" fillId="7" borderId="25" xfId="19" applyFont="1" applyFill="1" applyBorder="1" applyAlignment="1">
      <alignment horizontal="center" vertical="center" wrapText="1" shrinkToFit="1"/>
    </xf>
    <xf numFmtId="184" fontId="16" fillId="7" borderId="27" xfId="19" applyFont="1" applyFill="1" applyBorder="1" applyAlignment="1">
      <alignment horizontal="center" vertical="center" wrapText="1" shrinkToFit="1"/>
    </xf>
    <xf numFmtId="184" fontId="16" fillId="7" borderId="24" xfId="19" applyFont="1" applyFill="1" applyBorder="1" applyAlignment="1">
      <alignment horizontal="center" vertical="center" wrapText="1"/>
    </xf>
    <xf numFmtId="3" fontId="16" fillId="0" borderId="18" xfId="19" applyNumberFormat="1" applyFont="1" applyBorder="1" applyAlignment="1">
      <alignment horizontal="center" vertical="center"/>
    </xf>
    <xf numFmtId="184" fontId="16" fillId="0" borderId="18" xfId="19" applyFont="1" applyBorder="1" applyAlignment="1">
      <alignment horizontal="left" vertical="center" wrapText="1"/>
    </xf>
    <xf numFmtId="184" fontId="16" fillId="0" borderId="27" xfId="19" applyFont="1" applyBorder="1" applyAlignment="1">
      <alignment horizontal="left" vertical="center" wrapText="1"/>
    </xf>
    <xf numFmtId="184" fontId="16" fillId="0" borderId="18" xfId="19" applyFont="1" applyFill="1" applyBorder="1" applyAlignment="1">
      <alignment horizontal="left" vertical="center" wrapText="1"/>
    </xf>
    <xf numFmtId="184" fontId="16" fillId="0" borderId="27" xfId="19" applyFont="1" applyFill="1" applyBorder="1" applyAlignment="1">
      <alignment horizontal="left" vertical="center" wrapText="1"/>
    </xf>
    <xf numFmtId="9" fontId="13" fillId="0" borderId="6" xfId="3" applyFont="1" applyFill="1" applyBorder="1" applyAlignment="1">
      <alignment horizontal="center" vertical="center"/>
    </xf>
    <xf numFmtId="14" fontId="26" fillId="0" borderId="27" xfId="0" applyNumberFormat="1" applyFont="1" applyBorder="1" applyAlignment="1">
      <alignment horizontal="center" vertical="center"/>
    </xf>
    <xf numFmtId="3" fontId="16" fillId="0" borderId="6" xfId="19" applyNumberFormat="1" applyFont="1" applyBorder="1" applyAlignment="1">
      <alignment horizontal="center" vertical="center"/>
    </xf>
    <xf numFmtId="184" fontId="16" fillId="0" borderId="6" xfId="19" applyFont="1" applyBorder="1" applyAlignment="1">
      <alignment horizontal="justify" vertical="center" wrapText="1"/>
    </xf>
    <xf numFmtId="184" fontId="16" fillId="0" borderId="6" xfId="19" applyFont="1" applyFill="1" applyBorder="1" applyAlignment="1">
      <alignment horizontal="justify" vertical="center" wrapText="1"/>
    </xf>
    <xf numFmtId="184" fontId="16" fillId="0" borderId="25" xfId="19" applyFont="1" applyBorder="1" applyAlignment="1">
      <alignment horizontal="left" vertical="center" wrapText="1"/>
    </xf>
    <xf numFmtId="4" fontId="16" fillId="0" borderId="18" xfId="19" applyNumberFormat="1" applyFont="1" applyBorder="1" applyAlignment="1">
      <alignment horizontal="center" vertical="center"/>
    </xf>
    <xf numFmtId="4" fontId="16" fillId="0" borderId="25" xfId="19" applyNumberFormat="1" applyFont="1" applyBorder="1" applyAlignment="1">
      <alignment horizontal="center" vertical="center"/>
    </xf>
    <xf numFmtId="4" fontId="16" fillId="0" borderId="27" xfId="19" applyNumberFormat="1" applyFont="1" applyBorder="1" applyAlignment="1">
      <alignment horizontal="center" vertical="center"/>
    </xf>
    <xf numFmtId="184" fontId="16" fillId="0" borderId="25" xfId="19" applyFont="1" applyFill="1" applyBorder="1" applyAlignment="1">
      <alignment horizontal="left" vertical="center" wrapText="1"/>
    </xf>
    <xf numFmtId="9" fontId="16" fillId="0" borderId="6" xfId="19" applyNumberFormat="1" applyFont="1" applyFill="1" applyBorder="1" applyAlignment="1">
      <alignment horizontal="justify" vertical="center" wrapText="1"/>
    </xf>
    <xf numFmtId="3" fontId="16" fillId="0" borderId="19" xfId="19" applyNumberFormat="1" applyFont="1" applyBorder="1" applyAlignment="1">
      <alignment horizontal="center" vertical="center"/>
    </xf>
    <xf numFmtId="0" fontId="16" fillId="0" borderId="6" xfId="0" applyFont="1" applyBorder="1" applyAlignment="1">
      <alignment horizontal="center" vertical="center" wrapText="1"/>
    </xf>
    <xf numFmtId="3" fontId="16" fillId="0" borderId="6" xfId="19" applyNumberFormat="1" applyFont="1" applyFill="1" applyBorder="1" applyAlignment="1">
      <alignment horizontal="center" vertical="center"/>
    </xf>
    <xf numFmtId="3" fontId="16" fillId="0" borderId="18" xfId="0" applyNumberFormat="1" applyFont="1" applyBorder="1" applyAlignment="1">
      <alignment horizontal="justify" vertical="center"/>
    </xf>
    <xf numFmtId="3" fontId="16" fillId="0" borderId="25" xfId="0" applyNumberFormat="1" applyFont="1" applyBorder="1" applyAlignment="1">
      <alignment horizontal="justify" vertical="center"/>
    </xf>
    <xf numFmtId="3" fontId="16" fillId="0" borderId="27" xfId="0" applyNumberFormat="1" applyFont="1" applyBorder="1" applyAlignment="1">
      <alignment horizontal="justify" vertical="center"/>
    </xf>
    <xf numFmtId="3" fontId="16" fillId="0" borderId="17" xfId="0" applyNumberFormat="1" applyFont="1" applyBorder="1" applyAlignment="1">
      <alignment horizontal="center" vertical="center"/>
    </xf>
    <xf numFmtId="3" fontId="16" fillId="0" borderId="24" xfId="0" applyNumberFormat="1" applyFont="1" applyBorder="1" applyAlignment="1">
      <alignment horizontal="center" vertical="center"/>
    </xf>
    <xf numFmtId="3" fontId="16" fillId="0" borderId="13" xfId="0" applyNumberFormat="1" applyFont="1" applyBorder="1" applyAlignment="1">
      <alignment horizontal="center" vertical="center"/>
    </xf>
    <xf numFmtId="1" fontId="22" fillId="7" borderId="6" xfId="19" applyNumberFormat="1" applyFont="1" applyFill="1" applyBorder="1" applyAlignment="1">
      <alignment horizontal="center" vertical="center" wrapText="1"/>
    </xf>
    <xf numFmtId="43" fontId="16" fillId="0" borderId="18" xfId="1" applyFont="1" applyFill="1" applyBorder="1" applyAlignment="1">
      <alignment horizontal="center" vertical="center"/>
    </xf>
    <xf numFmtId="43" fontId="16" fillId="0" borderId="25" xfId="1" applyFont="1" applyFill="1" applyBorder="1" applyAlignment="1">
      <alignment horizontal="center" vertical="center"/>
    </xf>
    <xf numFmtId="43" fontId="16" fillId="0" borderId="27" xfId="1" applyFont="1" applyFill="1" applyBorder="1" applyAlignment="1">
      <alignment horizontal="center" vertical="center"/>
    </xf>
    <xf numFmtId="0" fontId="16" fillId="0" borderId="18" xfId="0" applyFont="1" applyFill="1" applyBorder="1" applyAlignment="1">
      <alignment horizontal="left" vertical="center" wrapText="1"/>
    </xf>
    <xf numFmtId="0" fontId="16" fillId="0" borderId="27" xfId="0" applyFont="1" applyFill="1" applyBorder="1" applyAlignment="1">
      <alignment horizontal="left" vertical="center" wrapText="1"/>
    </xf>
    <xf numFmtId="1" fontId="16" fillId="7" borderId="6" xfId="20" applyNumberFormat="1" applyFont="1" applyFill="1" applyBorder="1" applyAlignment="1">
      <alignment horizontal="center" vertical="center" wrapText="1"/>
    </xf>
    <xf numFmtId="9" fontId="13" fillId="7" borderId="18" xfId="3" applyNumberFormat="1" applyFont="1" applyFill="1" applyBorder="1" applyAlignment="1">
      <alignment horizontal="center" vertical="center"/>
    </xf>
    <xf numFmtId="9" fontId="13" fillId="7" borderId="27" xfId="3" applyNumberFormat="1" applyFont="1" applyFill="1" applyBorder="1" applyAlignment="1">
      <alignment horizontal="center" vertical="center"/>
    </xf>
    <xf numFmtId="3" fontId="16" fillId="0" borderId="16" xfId="0" applyNumberFormat="1" applyFont="1" applyBorder="1" applyAlignment="1">
      <alignment horizontal="center" vertical="center"/>
    </xf>
    <xf numFmtId="3" fontId="26" fillId="0" borderId="23" xfId="0" applyNumberFormat="1" applyFont="1" applyBorder="1" applyAlignment="1">
      <alignment horizontal="center" vertical="center"/>
    </xf>
    <xf numFmtId="3" fontId="26" fillId="0" borderId="18" xfId="0" applyNumberFormat="1" applyFont="1" applyBorder="1" applyAlignment="1">
      <alignment horizontal="center" vertical="center"/>
    </xf>
    <xf numFmtId="3" fontId="26" fillId="0" borderId="25" xfId="0" applyNumberFormat="1" applyFont="1" applyBorder="1" applyAlignment="1">
      <alignment horizontal="center" vertical="center"/>
    </xf>
    <xf numFmtId="3" fontId="26" fillId="0" borderId="27" xfId="0" applyNumberFormat="1" applyFont="1" applyBorder="1" applyAlignment="1">
      <alignment horizontal="center" vertical="center"/>
    </xf>
    <xf numFmtId="9" fontId="13" fillId="7" borderId="6" xfId="3" applyNumberFormat="1" applyFont="1" applyFill="1" applyBorder="1" applyAlignment="1">
      <alignment horizontal="center" vertical="center"/>
    </xf>
    <xf numFmtId="3" fontId="16" fillId="7" borderId="17" xfId="0" applyNumberFormat="1" applyFont="1" applyFill="1" applyBorder="1" applyAlignment="1">
      <alignment horizontal="center" vertical="center"/>
    </xf>
    <xf numFmtId="3" fontId="26" fillId="7" borderId="24" xfId="0" applyNumberFormat="1" applyFont="1" applyFill="1" applyBorder="1" applyAlignment="1">
      <alignment horizontal="center" vertical="center"/>
    </xf>
    <xf numFmtId="3" fontId="26" fillId="7" borderId="13" xfId="0" applyNumberFormat="1" applyFont="1" applyFill="1" applyBorder="1" applyAlignment="1">
      <alignment horizontal="center" vertical="center"/>
    </xf>
    <xf numFmtId="3" fontId="26" fillId="0" borderId="24" xfId="0" applyNumberFormat="1" applyFont="1" applyBorder="1" applyAlignment="1">
      <alignment horizontal="center" vertical="center"/>
    </xf>
    <xf numFmtId="3" fontId="26" fillId="0" borderId="13" xfId="0" applyNumberFormat="1" applyFont="1" applyBorder="1" applyAlignment="1">
      <alignment horizontal="center" vertical="center"/>
    </xf>
    <xf numFmtId="49" fontId="16" fillId="0" borderId="18" xfId="19" applyNumberFormat="1" applyFont="1" applyFill="1" applyBorder="1" applyAlignment="1">
      <alignment horizontal="center" vertical="center" wrapText="1"/>
    </xf>
    <xf numFmtId="3" fontId="16" fillId="7" borderId="6" xfId="19" applyNumberFormat="1" applyFont="1" applyFill="1" applyBorder="1" applyAlignment="1">
      <alignment horizontal="center" vertical="center" wrapText="1"/>
    </xf>
    <xf numFmtId="1" fontId="16" fillId="0" borderId="6" xfId="19" applyNumberFormat="1" applyFont="1" applyBorder="1" applyAlignment="1">
      <alignment horizontal="center" vertical="center"/>
    </xf>
    <xf numFmtId="9" fontId="13" fillId="7" borderId="6" xfId="3" applyFont="1" applyFill="1" applyBorder="1" applyAlignment="1">
      <alignment horizontal="center" vertical="center" wrapText="1"/>
    </xf>
    <xf numFmtId="1" fontId="16" fillId="7" borderId="6" xfId="19" applyNumberFormat="1" applyFont="1" applyFill="1" applyBorder="1" applyAlignment="1">
      <alignment horizontal="center" vertical="center"/>
    </xf>
    <xf numFmtId="9" fontId="13" fillId="7" borderId="6" xfId="3" applyNumberFormat="1" applyFont="1" applyFill="1" applyBorder="1" applyAlignment="1">
      <alignment horizontal="center" vertical="center" wrapText="1"/>
    </xf>
    <xf numFmtId="3" fontId="26" fillId="0" borderId="12" xfId="0" applyNumberFormat="1" applyFont="1" applyBorder="1" applyAlignment="1">
      <alignment horizontal="center" vertical="center"/>
    </xf>
    <xf numFmtId="43" fontId="16" fillId="7" borderId="18" xfId="1" applyFont="1" applyFill="1" applyBorder="1" applyAlignment="1">
      <alignment horizontal="center" vertical="center" wrapText="1"/>
    </xf>
    <xf numFmtId="43" fontId="16" fillId="7" borderId="25" xfId="1" applyFont="1" applyFill="1" applyBorder="1" applyAlignment="1">
      <alignment horizontal="center" vertical="center" wrapText="1"/>
    </xf>
    <xf numFmtId="43" fontId="16" fillId="7" borderId="27" xfId="1" applyFont="1" applyFill="1" applyBorder="1" applyAlignment="1">
      <alignment horizontal="center" vertical="center" wrapText="1"/>
    </xf>
    <xf numFmtId="9" fontId="0" fillId="0" borderId="6" xfId="3" applyNumberFormat="1" applyFont="1" applyBorder="1" applyAlignment="1">
      <alignment horizontal="center" vertical="center" wrapText="1"/>
    </xf>
    <xf numFmtId="49" fontId="16" fillId="0" borderId="24" xfId="19" applyNumberFormat="1" applyFont="1" applyFill="1" applyBorder="1" applyAlignment="1">
      <alignment horizontal="center" vertical="center" wrapText="1"/>
    </xf>
    <xf numFmtId="49" fontId="16" fillId="0" borderId="13" xfId="19" applyNumberFormat="1" applyFont="1" applyFill="1" applyBorder="1" applyAlignment="1">
      <alignment horizontal="center" vertical="center" wrapText="1"/>
    </xf>
    <xf numFmtId="0" fontId="26" fillId="0" borderId="6" xfId="0" applyFont="1" applyBorder="1" applyAlignment="1">
      <alignment horizontal="justify" vertical="center" wrapText="1"/>
    </xf>
    <xf numFmtId="1" fontId="16" fillId="7" borderId="18" xfId="20" applyNumberFormat="1" applyFont="1" applyFill="1" applyBorder="1" applyAlignment="1">
      <alignment horizontal="center" vertical="center" wrapText="1"/>
    </xf>
    <xf numFmtId="1" fontId="16" fillId="7" borderId="25" xfId="20" applyNumberFormat="1" applyFont="1" applyFill="1" applyBorder="1" applyAlignment="1">
      <alignment horizontal="center" vertical="center" wrapText="1"/>
    </xf>
    <xf numFmtId="1" fontId="16" fillId="7" borderId="27" xfId="20" applyNumberFormat="1" applyFont="1" applyFill="1" applyBorder="1" applyAlignment="1">
      <alignment horizontal="center" vertical="center" wrapText="1"/>
    </xf>
    <xf numFmtId="1" fontId="16" fillId="7" borderId="18" xfId="19" applyNumberFormat="1" applyFont="1" applyFill="1" applyBorder="1" applyAlignment="1">
      <alignment horizontal="center" vertical="center"/>
    </xf>
    <xf numFmtId="1" fontId="16" fillId="7" borderId="25" xfId="19" applyNumberFormat="1" applyFont="1" applyFill="1" applyBorder="1" applyAlignment="1">
      <alignment horizontal="center" vertical="center"/>
    </xf>
    <xf numFmtId="1" fontId="16" fillId="7" borderId="27" xfId="19" applyNumberFormat="1" applyFont="1" applyFill="1" applyBorder="1" applyAlignment="1">
      <alignment horizontal="center" vertical="center"/>
    </xf>
    <xf numFmtId="9" fontId="16" fillId="7" borderId="18" xfId="3" applyFont="1" applyFill="1" applyBorder="1" applyAlignment="1">
      <alignment horizontal="center" vertical="center" wrapText="1"/>
    </xf>
    <xf numFmtId="9" fontId="16" fillId="7" borderId="25" xfId="3" applyFont="1" applyFill="1" applyBorder="1" applyAlignment="1">
      <alignment horizontal="center" vertical="center" wrapText="1"/>
    </xf>
    <xf numFmtId="9" fontId="16" fillId="7" borderId="27" xfId="3" applyFont="1" applyFill="1" applyBorder="1" applyAlignment="1">
      <alignment horizontal="center" vertical="center" wrapText="1"/>
    </xf>
    <xf numFmtId="184" fontId="16" fillId="0" borderId="16" xfId="19" applyFont="1" applyFill="1" applyBorder="1" applyAlignment="1">
      <alignment horizontal="justify" vertical="center" wrapText="1"/>
    </xf>
    <xf numFmtId="184" fontId="16" fillId="0" borderId="12" xfId="19" applyFont="1" applyFill="1" applyBorder="1" applyAlignment="1">
      <alignment horizontal="justify" vertical="center" wrapText="1"/>
    </xf>
    <xf numFmtId="3" fontId="16" fillId="0" borderId="16" xfId="0" applyNumberFormat="1" applyFont="1" applyBorder="1" applyAlignment="1">
      <alignment horizontal="center" vertical="center" wrapText="1"/>
    </xf>
    <xf numFmtId="3" fontId="16" fillId="0" borderId="23" xfId="0" applyNumberFormat="1" applyFont="1" applyBorder="1" applyAlignment="1">
      <alignment horizontal="center" vertical="center" wrapText="1"/>
    </xf>
    <xf numFmtId="3" fontId="26" fillId="0" borderId="23" xfId="0" applyNumberFormat="1" applyFont="1" applyBorder="1" applyAlignment="1">
      <alignment horizontal="center" vertical="center" wrapText="1"/>
    </xf>
    <xf numFmtId="3" fontId="26" fillId="0" borderId="12" xfId="0" applyNumberFormat="1" applyFont="1" applyBorder="1" applyAlignment="1">
      <alignment horizontal="center" vertical="center" wrapText="1"/>
    </xf>
    <xf numFmtId="166" fontId="16" fillId="0" borderId="18" xfId="0" applyNumberFormat="1" applyFont="1" applyFill="1" applyBorder="1" applyAlignment="1">
      <alignment horizontal="center" vertical="center" wrapText="1"/>
    </xf>
    <xf numFmtId="166" fontId="16" fillId="0" borderId="25" xfId="0" applyNumberFormat="1" applyFont="1" applyFill="1" applyBorder="1" applyAlignment="1">
      <alignment horizontal="center" vertical="center" wrapText="1"/>
    </xf>
    <xf numFmtId="0" fontId="26" fillId="0" borderId="25" xfId="0" applyFont="1" applyBorder="1" applyAlignment="1">
      <alignment horizontal="center" vertical="center"/>
    </xf>
    <xf numFmtId="0" fontId="26" fillId="0" borderId="27" xfId="0" applyFont="1" applyBorder="1" applyAlignment="1">
      <alignment horizontal="center" vertical="center"/>
    </xf>
    <xf numFmtId="10" fontId="16" fillId="7" borderId="18" xfId="3" applyNumberFormat="1" applyFont="1" applyFill="1" applyBorder="1" applyAlignment="1">
      <alignment horizontal="center" vertical="center" wrapText="1"/>
    </xf>
    <xf numFmtId="10" fontId="16" fillId="7" borderId="25" xfId="3" applyNumberFormat="1" applyFont="1" applyFill="1" applyBorder="1" applyAlignment="1">
      <alignment horizontal="center" vertical="center" wrapText="1"/>
    </xf>
    <xf numFmtId="10" fontId="16" fillId="7" borderId="27" xfId="3" applyNumberFormat="1" applyFont="1" applyFill="1" applyBorder="1" applyAlignment="1">
      <alignment horizontal="center" vertical="center" wrapText="1"/>
    </xf>
    <xf numFmtId="49" fontId="16" fillId="0" borderId="17" xfId="19" applyNumberFormat="1" applyFont="1" applyFill="1" applyBorder="1" applyAlignment="1">
      <alignment horizontal="center" vertical="center" wrapText="1"/>
    </xf>
    <xf numFmtId="10" fontId="16" fillId="7" borderId="6" xfId="3" applyNumberFormat="1" applyFont="1" applyFill="1" applyBorder="1" applyAlignment="1">
      <alignment horizontal="center" vertical="center" wrapText="1"/>
    </xf>
    <xf numFmtId="0" fontId="16" fillId="7" borderId="0" xfId="0" applyFont="1" applyFill="1" applyAlignment="1">
      <alignment horizontal="center" vertical="center" wrapText="1"/>
    </xf>
    <xf numFmtId="185" fontId="16" fillId="7" borderId="6" xfId="19" applyNumberFormat="1" applyFont="1" applyFill="1" applyBorder="1" applyAlignment="1">
      <alignment horizontal="center" vertical="center"/>
    </xf>
    <xf numFmtId="9" fontId="16" fillId="7" borderId="6" xfId="3" applyFont="1" applyFill="1" applyBorder="1" applyAlignment="1">
      <alignment horizontal="center" vertical="center" wrapText="1"/>
    </xf>
    <xf numFmtId="3" fontId="16" fillId="7" borderId="18" xfId="19" applyNumberFormat="1" applyFont="1" applyFill="1" applyBorder="1" applyAlignment="1">
      <alignment horizontal="center" vertical="center" wrapText="1"/>
    </xf>
    <xf numFmtId="3" fontId="16" fillId="7" borderId="25" xfId="19" applyNumberFormat="1" applyFont="1" applyFill="1" applyBorder="1" applyAlignment="1">
      <alignment horizontal="center" vertical="center" wrapText="1"/>
    </xf>
    <xf numFmtId="3" fontId="16" fillId="7" borderId="27" xfId="19" applyNumberFormat="1" applyFont="1" applyFill="1" applyBorder="1" applyAlignment="1">
      <alignment horizontal="center" vertical="center" wrapText="1"/>
    </xf>
    <xf numFmtId="184" fontId="16" fillId="0" borderId="18" xfId="19" applyFont="1" applyFill="1" applyBorder="1" applyAlignment="1">
      <alignment horizontal="center" vertical="center" wrapText="1"/>
    </xf>
    <xf numFmtId="184" fontId="16" fillId="0" borderId="25" xfId="19" applyFont="1" applyFill="1" applyBorder="1" applyAlignment="1">
      <alignment horizontal="center" vertical="center" wrapText="1"/>
    </xf>
    <xf numFmtId="184" fontId="16" fillId="0" borderId="27" xfId="19" applyFont="1" applyFill="1" applyBorder="1" applyAlignment="1">
      <alignment horizontal="center" vertical="center" wrapText="1"/>
    </xf>
    <xf numFmtId="3" fontId="16" fillId="0" borderId="6" xfId="0" applyNumberFormat="1" applyFont="1" applyBorder="1" applyAlignment="1">
      <alignment horizontal="justify" vertical="center"/>
    </xf>
    <xf numFmtId="3" fontId="26" fillId="0" borderId="6" xfId="0" applyNumberFormat="1" applyFont="1" applyBorder="1" applyAlignment="1">
      <alignment horizontal="justify" vertical="center"/>
    </xf>
    <xf numFmtId="3" fontId="26" fillId="0" borderId="25" xfId="0" applyNumberFormat="1" applyFont="1" applyBorder="1" applyAlignment="1">
      <alignment horizontal="justify" vertical="center"/>
    </xf>
    <xf numFmtId="3" fontId="26" fillId="0" borderId="27" xfId="0" applyNumberFormat="1" applyFont="1" applyBorder="1" applyAlignment="1">
      <alignment horizontal="justify" vertical="center"/>
    </xf>
    <xf numFmtId="3" fontId="26" fillId="0" borderId="18" xfId="0" applyNumberFormat="1" applyFont="1" applyBorder="1" applyAlignment="1">
      <alignment horizontal="justify" vertical="center"/>
    </xf>
    <xf numFmtId="3" fontId="26" fillId="7" borderId="18" xfId="0" applyNumberFormat="1" applyFont="1" applyFill="1" applyBorder="1" applyAlignment="1">
      <alignment horizontal="justify" vertical="center"/>
    </xf>
    <xf numFmtId="3" fontId="26" fillId="7" borderId="25" xfId="0" applyNumberFormat="1" applyFont="1" applyFill="1" applyBorder="1" applyAlignment="1">
      <alignment horizontal="justify" vertical="center"/>
    </xf>
    <xf numFmtId="3" fontId="26" fillId="7" borderId="27" xfId="0" applyNumberFormat="1" applyFont="1" applyFill="1" applyBorder="1" applyAlignment="1">
      <alignment horizontal="justify" vertical="center"/>
    </xf>
    <xf numFmtId="3" fontId="26" fillId="7" borderId="18" xfId="0" applyNumberFormat="1" applyFont="1" applyFill="1" applyBorder="1" applyAlignment="1">
      <alignment horizontal="justify" vertical="center" wrapText="1"/>
    </xf>
    <xf numFmtId="3" fontId="26" fillId="7" borderId="25" xfId="0" applyNumberFormat="1" applyFont="1" applyFill="1" applyBorder="1" applyAlignment="1">
      <alignment horizontal="justify" vertical="center" wrapText="1"/>
    </xf>
    <xf numFmtId="3" fontId="26" fillId="7" borderId="27" xfId="0" applyNumberFormat="1" applyFont="1" applyFill="1" applyBorder="1" applyAlignment="1">
      <alignment horizontal="justify" vertical="center" wrapText="1"/>
    </xf>
    <xf numFmtId="3" fontId="7" fillId="8" borderId="7" xfId="0" applyNumberFormat="1" applyFont="1" applyFill="1" applyBorder="1" applyAlignment="1">
      <alignment horizontal="center" vertical="center" wrapText="1"/>
    </xf>
    <xf numFmtId="1" fontId="7" fillId="7" borderId="17" xfId="0" applyNumberFormat="1" applyFont="1" applyFill="1" applyBorder="1" applyAlignment="1">
      <alignment horizontal="center" vertical="center" wrapText="1"/>
    </xf>
    <xf numFmtId="1" fontId="7" fillId="7" borderId="24" xfId="0" applyNumberFormat="1" applyFont="1" applyFill="1" applyBorder="1" applyAlignment="1">
      <alignment horizontal="center" vertical="center" wrapText="1"/>
    </xf>
    <xf numFmtId="1" fontId="7" fillId="7" borderId="13" xfId="0" applyNumberFormat="1"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22" fillId="7" borderId="6" xfId="0" applyFont="1" applyFill="1" applyBorder="1" applyAlignment="1">
      <alignment horizontal="center" vertical="center" wrapText="1"/>
    </xf>
    <xf numFmtId="184" fontId="16" fillId="7" borderId="11" xfId="19" applyFont="1" applyFill="1" applyBorder="1" applyAlignment="1">
      <alignment horizontal="justify" vertical="center" wrapText="1"/>
    </xf>
    <xf numFmtId="184" fontId="16" fillId="7" borderId="0" xfId="19" applyFont="1" applyFill="1" applyBorder="1" applyAlignment="1">
      <alignment horizontal="justify" vertical="center" wrapText="1"/>
    </xf>
    <xf numFmtId="49" fontId="16" fillId="0" borderId="6" xfId="19" applyNumberFormat="1" applyFont="1" applyFill="1" applyBorder="1" applyAlignment="1">
      <alignment horizontal="center" vertical="center" wrapText="1"/>
    </xf>
    <xf numFmtId="165" fontId="7" fillId="8" borderId="6" xfId="0" applyNumberFormat="1" applyFont="1" applyFill="1" applyBorder="1" applyAlignment="1">
      <alignment horizontal="center" vertical="center" wrapText="1"/>
    </xf>
    <xf numFmtId="0" fontId="7" fillId="8" borderId="6" xfId="0" applyFont="1" applyFill="1" applyBorder="1" applyAlignment="1">
      <alignment horizontal="center" vertical="center" wrapText="1"/>
    </xf>
    <xf numFmtId="165" fontId="7" fillId="8" borderId="16" xfId="0" applyNumberFormat="1" applyFont="1" applyFill="1" applyBorder="1" applyAlignment="1">
      <alignment horizontal="center" vertical="center" wrapText="1"/>
    </xf>
    <xf numFmtId="165" fontId="7" fillId="8" borderId="12" xfId="0" applyNumberFormat="1" applyFont="1" applyFill="1" applyBorder="1" applyAlignment="1">
      <alignment horizontal="center" vertical="center" wrapText="1"/>
    </xf>
    <xf numFmtId="165" fontId="7" fillId="8" borderId="18" xfId="0" applyNumberFormat="1" applyFont="1" applyFill="1" applyBorder="1" applyAlignment="1">
      <alignment horizontal="center" vertical="center" wrapText="1"/>
    </xf>
    <xf numFmtId="165" fontId="7" fillId="8" borderId="27" xfId="0" applyNumberFormat="1" applyFont="1" applyFill="1" applyBorder="1" applyAlignment="1">
      <alignment horizontal="center" vertical="center" wrapText="1"/>
    </xf>
    <xf numFmtId="170" fontId="7" fillId="8" borderId="6"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35" xfId="0" applyFont="1" applyBorder="1" applyAlignment="1">
      <alignment horizontal="center" vertical="center"/>
    </xf>
    <xf numFmtId="3" fontId="30" fillId="9" borderId="19" xfId="0" applyNumberFormat="1" applyFont="1" applyFill="1" applyBorder="1" applyAlignment="1">
      <alignment horizontal="center" vertical="center" wrapText="1"/>
    </xf>
    <xf numFmtId="3" fontId="30" fillId="9" borderId="20" xfId="0" applyNumberFormat="1" applyFont="1" applyFill="1" applyBorder="1" applyAlignment="1">
      <alignment horizontal="center" vertical="center" wrapText="1"/>
    </xf>
    <xf numFmtId="0" fontId="30" fillId="9" borderId="19"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30" fillId="9" borderId="19" xfId="0" applyFont="1" applyFill="1" applyBorder="1" applyAlignment="1">
      <alignment horizontal="center" vertical="center"/>
    </xf>
    <xf numFmtId="0" fontId="30" fillId="9" borderId="20" xfId="0" applyFont="1" applyFill="1" applyBorder="1" applyAlignment="1">
      <alignment horizontal="center" vertical="center"/>
    </xf>
    <xf numFmtId="0" fontId="30" fillId="9" borderId="16" xfId="0" applyFont="1" applyFill="1" applyBorder="1" applyAlignment="1">
      <alignment horizontal="center" vertical="center" textRotation="90" wrapText="1"/>
    </xf>
    <xf numFmtId="0" fontId="30" fillId="9" borderId="12" xfId="0" applyFont="1" applyFill="1" applyBorder="1" applyAlignment="1">
      <alignment horizontal="center" vertical="center" textRotation="90" wrapText="1"/>
    </xf>
    <xf numFmtId="1" fontId="7" fillId="8" borderId="39"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35" xfId="0" applyFont="1" applyBorder="1" applyAlignment="1">
      <alignment horizontal="center" vertical="center" wrapText="1"/>
    </xf>
    <xf numFmtId="0" fontId="13" fillId="7" borderId="0" xfId="0" applyFont="1" applyFill="1" applyAlignment="1">
      <alignment horizontal="center" vertical="center"/>
    </xf>
    <xf numFmtId="3" fontId="13" fillId="7" borderId="18" xfId="0" applyNumberFormat="1" applyFont="1" applyFill="1" applyBorder="1" applyAlignment="1">
      <alignment horizontal="center" vertical="center" wrapText="1"/>
    </xf>
    <xf numFmtId="3" fontId="13" fillId="7" borderId="25" xfId="0" applyNumberFormat="1" applyFont="1" applyFill="1" applyBorder="1" applyAlignment="1">
      <alignment horizontal="center" vertical="center" wrapText="1"/>
    </xf>
    <xf numFmtId="3" fontId="13" fillId="7" borderId="27" xfId="0" applyNumberFormat="1" applyFont="1" applyFill="1" applyBorder="1" applyAlignment="1">
      <alignment horizontal="center" vertical="center" wrapText="1"/>
    </xf>
    <xf numFmtId="164" fontId="13" fillId="7" borderId="18" xfId="0" applyNumberFormat="1" applyFont="1" applyFill="1" applyBorder="1" applyAlignment="1">
      <alignment horizontal="center" vertical="center" wrapText="1"/>
    </xf>
    <xf numFmtId="164" fontId="13" fillId="7" borderId="25" xfId="0" applyNumberFormat="1" applyFont="1" applyFill="1" applyBorder="1" applyAlignment="1">
      <alignment horizontal="center" vertical="center" wrapText="1"/>
    </xf>
    <xf numFmtId="164" fontId="13" fillId="7" borderId="27" xfId="0" applyNumberFormat="1" applyFont="1" applyFill="1" applyBorder="1" applyAlignment="1">
      <alignment horizontal="center" vertical="center" wrapText="1"/>
    </xf>
    <xf numFmtId="3" fontId="13" fillId="7" borderId="18" xfId="0" applyNumberFormat="1" applyFont="1" applyFill="1" applyBorder="1" applyAlignment="1">
      <alignment horizontal="left" vertical="center" wrapText="1"/>
    </xf>
    <xf numFmtId="3" fontId="13" fillId="7" borderId="25" xfId="0" applyNumberFormat="1" applyFont="1" applyFill="1" applyBorder="1" applyAlignment="1">
      <alignment horizontal="left" vertical="center" wrapText="1"/>
    </xf>
    <xf numFmtId="3" fontId="13" fillId="7" borderId="27" xfId="0" applyNumberFormat="1" applyFont="1" applyFill="1" applyBorder="1" applyAlignment="1">
      <alignment horizontal="left" vertical="center" wrapText="1"/>
    </xf>
    <xf numFmtId="171" fontId="13" fillId="7" borderId="18" xfId="0" applyNumberFormat="1" applyFont="1" applyFill="1" applyBorder="1" applyAlignment="1">
      <alignment horizontal="center" vertical="center" wrapText="1"/>
    </xf>
    <xf numFmtId="171" fontId="13" fillId="7" borderId="25" xfId="0" applyNumberFormat="1" applyFont="1" applyFill="1" applyBorder="1" applyAlignment="1">
      <alignment horizontal="center" vertical="center" wrapText="1"/>
    </xf>
    <xf numFmtId="171" fontId="13" fillId="7" borderId="27" xfId="0" applyNumberFormat="1" applyFont="1" applyFill="1" applyBorder="1" applyAlignment="1">
      <alignment horizontal="center" vertical="center" wrapText="1"/>
    </xf>
    <xf numFmtId="171" fontId="16" fillId="7" borderId="18" xfId="0" applyNumberFormat="1" applyFont="1" applyFill="1" applyBorder="1" applyAlignment="1">
      <alignment horizontal="center" vertical="center" wrapText="1"/>
    </xf>
    <xf numFmtId="171" fontId="16" fillId="7" borderId="25" xfId="0" applyNumberFormat="1" applyFont="1" applyFill="1" applyBorder="1" applyAlignment="1">
      <alignment horizontal="center" vertical="center" wrapText="1"/>
    </xf>
    <xf numFmtId="171" fontId="16" fillId="7" borderId="27" xfId="0" applyNumberFormat="1" applyFont="1" applyFill="1" applyBorder="1" applyAlignment="1">
      <alignment horizontal="center" vertical="center" wrapText="1"/>
    </xf>
    <xf numFmtId="9" fontId="13" fillId="7" borderId="18" xfId="3" applyFont="1" applyFill="1" applyBorder="1" applyAlignment="1">
      <alignment horizontal="center" vertical="center" wrapText="1"/>
    </xf>
    <xf numFmtId="9" fontId="13" fillId="7" borderId="25" xfId="3" applyFont="1" applyFill="1" applyBorder="1" applyAlignment="1">
      <alignment horizontal="center" vertical="center" wrapText="1"/>
    </xf>
    <xf numFmtId="9" fontId="13" fillId="7" borderId="27" xfId="3" applyFont="1" applyFill="1" applyBorder="1" applyAlignment="1">
      <alignment horizontal="center" vertical="center" wrapText="1"/>
    </xf>
    <xf numFmtId="0" fontId="13" fillId="0" borderId="18" xfId="0" applyFont="1" applyBorder="1" applyAlignment="1">
      <alignment horizontal="justify" vertical="center" wrapText="1"/>
    </xf>
    <xf numFmtId="0" fontId="13" fillId="0" borderId="25" xfId="0" applyFont="1" applyBorder="1" applyAlignment="1">
      <alignment horizontal="justify" vertical="center" wrapText="1"/>
    </xf>
    <xf numFmtId="0" fontId="13" fillId="0" borderId="27" xfId="0" applyFont="1" applyBorder="1" applyAlignment="1">
      <alignment horizontal="justify" vertical="center" wrapText="1"/>
    </xf>
    <xf numFmtId="0" fontId="13" fillId="7" borderId="18"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3" fillId="7" borderId="18" xfId="0" applyFont="1" applyFill="1" applyBorder="1" applyAlignment="1">
      <alignment horizontal="justify" vertical="center" wrapText="1"/>
    </xf>
    <xf numFmtId="0" fontId="13" fillId="7" borderId="25" xfId="0" applyFont="1" applyFill="1" applyBorder="1" applyAlignment="1">
      <alignment horizontal="justify" vertical="center" wrapText="1"/>
    </xf>
    <xf numFmtId="0" fontId="13" fillId="7" borderId="27" xfId="0" applyFont="1" applyFill="1" applyBorder="1" applyAlignment="1">
      <alignment horizontal="justify" vertical="center" wrapText="1"/>
    </xf>
    <xf numFmtId="4" fontId="13" fillId="7" borderId="18" xfId="0" applyNumberFormat="1" applyFont="1" applyFill="1" applyBorder="1" applyAlignment="1">
      <alignment horizontal="right" vertical="center" wrapText="1"/>
    </xf>
    <xf numFmtId="4" fontId="13" fillId="7" borderId="25" xfId="0" applyNumberFormat="1" applyFont="1" applyFill="1" applyBorder="1" applyAlignment="1">
      <alignment horizontal="right" vertical="center" wrapText="1"/>
    </xf>
    <xf numFmtId="4" fontId="13" fillId="7" borderId="27" xfId="0" applyNumberFormat="1" applyFont="1" applyFill="1" applyBorder="1" applyAlignment="1">
      <alignment horizontal="right" vertical="center" wrapText="1"/>
    </xf>
    <xf numFmtId="0" fontId="13" fillId="0" borderId="6" xfId="0" applyFont="1" applyBorder="1" applyAlignment="1">
      <alignment horizontal="justify" vertical="center" wrapText="1"/>
    </xf>
    <xf numFmtId="0" fontId="12" fillId="12" borderId="19" xfId="0" applyFont="1" applyFill="1" applyBorder="1" applyAlignment="1">
      <alignment horizontal="left" vertical="center" wrapText="1"/>
    </xf>
    <xf numFmtId="0" fontId="12" fillId="12" borderId="20" xfId="0" applyFont="1" applyFill="1" applyBorder="1" applyAlignment="1">
      <alignment horizontal="left" vertical="center" wrapText="1"/>
    </xf>
    <xf numFmtId="0" fontId="13" fillId="7" borderId="16" xfId="0" applyFont="1" applyFill="1" applyBorder="1" applyAlignment="1">
      <alignment horizontal="center" vertical="center" textRotation="90" wrapText="1"/>
    </xf>
    <xf numFmtId="0" fontId="13" fillId="7" borderId="17" xfId="0" applyFont="1" applyFill="1" applyBorder="1" applyAlignment="1">
      <alignment horizontal="center" vertical="center" textRotation="90" wrapText="1"/>
    </xf>
    <xf numFmtId="0" fontId="13" fillId="7" borderId="23" xfId="0" applyFont="1" applyFill="1" applyBorder="1" applyAlignment="1">
      <alignment horizontal="center" vertical="center" textRotation="90" wrapText="1"/>
    </xf>
    <xf numFmtId="0" fontId="13" fillId="7" borderId="24" xfId="0" applyFont="1" applyFill="1" applyBorder="1" applyAlignment="1">
      <alignment horizontal="center" vertical="center" textRotation="90" wrapText="1"/>
    </xf>
    <xf numFmtId="0" fontId="13" fillId="7" borderId="12" xfId="0" applyFont="1" applyFill="1" applyBorder="1" applyAlignment="1">
      <alignment horizontal="center" vertical="center" textRotation="90" wrapText="1"/>
    </xf>
    <xf numFmtId="0" fontId="13" fillId="7" borderId="13" xfId="0" applyFont="1" applyFill="1" applyBorder="1" applyAlignment="1">
      <alignment horizontal="center" vertical="center" textRotation="90" wrapText="1"/>
    </xf>
    <xf numFmtId="0" fontId="13" fillId="7" borderId="12" xfId="0" applyFont="1" applyFill="1" applyBorder="1" applyAlignment="1">
      <alignment horizontal="justify" vertical="center" wrapText="1"/>
    </xf>
    <xf numFmtId="0" fontId="13" fillId="7" borderId="24" xfId="0" applyFont="1" applyFill="1" applyBorder="1" applyAlignment="1">
      <alignment horizontal="center" vertical="center" wrapText="1"/>
    </xf>
    <xf numFmtId="0" fontId="12" fillId="16" borderId="19" xfId="0" applyFont="1" applyFill="1" applyBorder="1" applyAlignment="1">
      <alignment horizontal="left" vertical="center" wrapText="1"/>
    </xf>
    <xf numFmtId="0" fontId="12" fillId="16" borderId="20" xfId="0" applyFont="1" applyFill="1" applyBorder="1" applyAlignment="1">
      <alignment horizontal="left" vertical="center" wrapText="1"/>
    </xf>
    <xf numFmtId="0" fontId="13" fillId="7" borderId="18" xfId="0" applyFont="1" applyFill="1" applyBorder="1" applyAlignment="1">
      <alignment horizontal="left" vertical="center" wrapText="1"/>
    </xf>
    <xf numFmtId="0" fontId="13" fillId="7" borderId="27" xfId="0" applyFont="1" applyFill="1" applyBorder="1" applyAlignment="1">
      <alignment horizontal="left" vertical="center" wrapText="1"/>
    </xf>
    <xf numFmtId="0" fontId="13" fillId="7" borderId="6" xfId="0" applyFont="1" applyFill="1" applyBorder="1" applyAlignment="1">
      <alignment horizontal="justify" vertical="center" wrapText="1"/>
    </xf>
    <xf numFmtId="4" fontId="13" fillId="7" borderId="6" xfId="0" applyNumberFormat="1" applyFont="1" applyFill="1" applyBorder="1" applyAlignment="1">
      <alignment horizontal="right" vertical="center" wrapText="1"/>
    </xf>
    <xf numFmtId="1" fontId="13" fillId="7" borderId="6" xfId="0" applyNumberFormat="1" applyFont="1" applyFill="1" applyBorder="1" applyAlignment="1">
      <alignment horizontal="center" vertical="center" wrapText="1"/>
    </xf>
    <xf numFmtId="9" fontId="13" fillId="7" borderId="18" xfId="0" applyNumberFormat="1" applyFont="1" applyFill="1" applyBorder="1" applyAlignment="1">
      <alignment horizontal="center" vertical="center" wrapText="1"/>
    </xf>
    <xf numFmtId="9" fontId="13" fillId="7" borderId="25" xfId="0" applyNumberFormat="1" applyFont="1" applyFill="1" applyBorder="1" applyAlignment="1">
      <alignment horizontal="center" vertical="center" wrapText="1"/>
    </xf>
    <xf numFmtId="9" fontId="13" fillId="7" borderId="27" xfId="0" applyNumberFormat="1" applyFont="1" applyFill="1" applyBorder="1" applyAlignment="1">
      <alignment horizontal="center" vertical="center" wrapText="1"/>
    </xf>
    <xf numFmtId="0" fontId="13" fillId="7" borderId="16" xfId="0" applyFont="1" applyFill="1" applyBorder="1" applyAlignment="1">
      <alignment horizontal="left" vertical="center" wrapText="1"/>
    </xf>
    <xf numFmtId="0" fontId="13" fillId="7" borderId="12" xfId="0" applyFont="1" applyFill="1" applyBorder="1" applyAlignment="1">
      <alignment horizontal="left" vertical="center" wrapText="1"/>
    </xf>
    <xf numFmtId="4" fontId="13" fillId="7" borderId="18" xfId="0" applyNumberFormat="1" applyFont="1" applyFill="1" applyBorder="1" applyAlignment="1">
      <alignment horizontal="center" vertical="center" wrapText="1"/>
    </xf>
    <xf numFmtId="4" fontId="13" fillId="7" borderId="25" xfId="0" applyNumberFormat="1" applyFont="1" applyFill="1" applyBorder="1" applyAlignment="1">
      <alignment horizontal="center" vertical="center" wrapText="1"/>
    </xf>
    <xf numFmtId="4" fontId="13" fillId="7" borderId="27" xfId="0" applyNumberFormat="1" applyFont="1" applyFill="1" applyBorder="1" applyAlignment="1">
      <alignment horizontal="center" vertical="center" wrapText="1"/>
    </xf>
    <xf numFmtId="0" fontId="13" fillId="0" borderId="16" xfId="0" applyFont="1" applyBorder="1" applyAlignment="1">
      <alignment horizontal="justify" vertical="center" wrapText="1"/>
    </xf>
    <xf numFmtId="0" fontId="13" fillId="7" borderId="13" xfId="0" applyFont="1" applyFill="1" applyBorder="1" applyAlignment="1">
      <alignment horizontal="center" vertical="center" wrapText="1"/>
    </xf>
    <xf numFmtId="0" fontId="28" fillId="10" borderId="19" xfId="0" applyFont="1" applyFill="1" applyBorder="1" applyAlignment="1">
      <alignment horizontal="left" vertical="center" wrapText="1"/>
    </xf>
    <xf numFmtId="0" fontId="28" fillId="10" borderId="20" xfId="0" applyFont="1" applyFill="1" applyBorder="1" applyAlignment="1">
      <alignment horizontal="left" vertical="center" wrapText="1"/>
    </xf>
    <xf numFmtId="0" fontId="28" fillId="10" borderId="20" xfId="0" applyFont="1" applyFill="1" applyBorder="1" applyAlignment="1">
      <alignment horizontal="center" vertical="center" wrapText="1"/>
    </xf>
    <xf numFmtId="0" fontId="28" fillId="10" borderId="29" xfId="0" applyFont="1" applyFill="1" applyBorder="1" applyAlignment="1">
      <alignment horizontal="center" vertical="center" wrapText="1"/>
    </xf>
    <xf numFmtId="0" fontId="28" fillId="16" borderId="19" xfId="0" applyFont="1" applyFill="1" applyBorder="1" applyAlignment="1">
      <alignment horizontal="left" vertical="center" wrapText="1"/>
    </xf>
    <xf numFmtId="0" fontId="28" fillId="16" borderId="20" xfId="0" applyFont="1" applyFill="1" applyBorder="1" applyAlignment="1">
      <alignment horizontal="left" vertical="center" wrapText="1"/>
    </xf>
    <xf numFmtId="0" fontId="28" fillId="16" borderId="20" xfId="0" applyFont="1" applyFill="1" applyBorder="1" applyAlignment="1">
      <alignment horizontal="center" vertical="center" wrapText="1"/>
    </xf>
    <xf numFmtId="0" fontId="28" fillId="16" borderId="29" xfId="0" applyFont="1" applyFill="1" applyBorder="1" applyAlignment="1">
      <alignment horizontal="center" vertical="center" wrapText="1"/>
    </xf>
    <xf numFmtId="0" fontId="28" fillId="12" borderId="19" xfId="0" applyFont="1" applyFill="1" applyBorder="1" applyAlignment="1">
      <alignment horizontal="left" vertical="center" wrapText="1"/>
    </xf>
    <xf numFmtId="0" fontId="28" fillId="12" borderId="20" xfId="0" applyFont="1" applyFill="1" applyBorder="1" applyAlignment="1">
      <alignment horizontal="left" vertical="center" wrapText="1"/>
    </xf>
    <xf numFmtId="0" fontId="20" fillId="12" borderId="20" xfId="0" applyFont="1" applyFill="1" applyBorder="1" applyAlignment="1">
      <alignment horizontal="center" vertical="center" wrapText="1"/>
    </xf>
    <xf numFmtId="0" fontId="20" fillId="12" borderId="29" xfId="0" applyFont="1" applyFill="1" applyBorder="1" applyAlignment="1">
      <alignment horizontal="center" vertical="center" wrapText="1"/>
    </xf>
    <xf numFmtId="0" fontId="23" fillId="9" borderId="19" xfId="0" applyFont="1" applyFill="1" applyBorder="1" applyAlignment="1">
      <alignment horizontal="center" vertical="center"/>
    </xf>
    <xf numFmtId="0" fontId="23" fillId="9" borderId="20" xfId="0" applyFont="1" applyFill="1" applyBorder="1" applyAlignment="1">
      <alignment horizontal="center" vertical="center"/>
    </xf>
    <xf numFmtId="0" fontId="23" fillId="9"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9" borderId="16" xfId="0" applyFont="1" applyFill="1" applyBorder="1" applyAlignment="1">
      <alignment horizontal="center" vertical="center" textRotation="90" wrapText="1"/>
    </xf>
    <xf numFmtId="0" fontId="23" fillId="9" borderId="12" xfId="0" applyFont="1" applyFill="1" applyBorder="1" applyAlignment="1">
      <alignment horizontal="center" vertical="center" textRotation="90" wrapText="1"/>
    </xf>
    <xf numFmtId="164" fontId="27" fillId="8" borderId="16" xfId="0" applyNumberFormat="1" applyFont="1" applyFill="1" applyBorder="1" applyAlignment="1">
      <alignment horizontal="center" vertical="center" wrapText="1"/>
    </xf>
    <xf numFmtId="164" fontId="27" fillId="8" borderId="12" xfId="0" applyNumberFormat="1" applyFont="1" applyFill="1" applyBorder="1" applyAlignment="1">
      <alignment horizontal="center" vertical="center" wrapText="1"/>
    </xf>
    <xf numFmtId="3" fontId="27" fillId="8" borderId="7" xfId="0" applyNumberFormat="1" applyFont="1" applyFill="1" applyBorder="1" applyAlignment="1">
      <alignment horizontal="center" vertical="center" wrapText="1"/>
    </xf>
    <xf numFmtId="0" fontId="27" fillId="8" borderId="6" xfId="0" applyFont="1" applyFill="1" applyBorder="1" applyAlignment="1">
      <alignment horizontal="center" vertical="center" wrapText="1"/>
    </xf>
    <xf numFmtId="41" fontId="27" fillId="8" borderId="11" xfId="8" applyFont="1" applyFill="1" applyBorder="1" applyAlignment="1">
      <alignment horizontal="center" vertical="center" wrapText="1"/>
    </xf>
    <xf numFmtId="41" fontId="27" fillId="8" borderId="9" xfId="8" applyFont="1" applyFill="1" applyBorder="1" applyAlignment="1">
      <alignment horizontal="center" vertical="center" wrapText="1"/>
    </xf>
    <xf numFmtId="1" fontId="27" fillId="8" borderId="6" xfId="0" applyNumberFormat="1" applyFont="1" applyFill="1" applyBorder="1" applyAlignment="1">
      <alignment horizontal="center" vertical="center" wrapText="1"/>
    </xf>
    <xf numFmtId="3" fontId="23" fillId="9" borderId="19" xfId="0" applyNumberFormat="1" applyFont="1" applyFill="1" applyBorder="1" applyAlignment="1">
      <alignment horizontal="center" vertical="center" wrapText="1"/>
    </xf>
    <xf numFmtId="3" fontId="23" fillId="9" borderId="20" xfId="0" applyNumberFormat="1" applyFont="1" applyFill="1" applyBorder="1" applyAlignment="1">
      <alignment horizontal="center" vertical="center" wrapText="1"/>
    </xf>
    <xf numFmtId="170" fontId="27" fillId="8" borderId="6" xfId="0" applyNumberFormat="1" applyFont="1" applyFill="1" applyBorder="1" applyAlignment="1">
      <alignment horizontal="center" vertical="center" wrapText="1"/>
    </xf>
    <xf numFmtId="2" fontId="27" fillId="8" borderId="6" xfId="0" applyNumberFormat="1" applyFont="1" applyFill="1" applyBorder="1" applyAlignment="1">
      <alignment horizontal="center" vertical="center" wrapText="1"/>
    </xf>
    <xf numFmtId="0" fontId="11" fillId="0" borderId="5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3" xfId="0" applyFont="1" applyBorder="1" applyAlignment="1">
      <alignment horizontal="center" vertical="center" wrapText="1"/>
    </xf>
    <xf numFmtId="0" fontId="28" fillId="0" borderId="39"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35" xfId="0" applyFont="1" applyBorder="1" applyAlignment="1">
      <alignment horizontal="center" vertical="center"/>
    </xf>
    <xf numFmtId="0" fontId="28" fillId="0" borderId="29" xfId="0" applyFont="1" applyBorder="1" applyAlignment="1">
      <alignment horizontal="center" vertical="center"/>
    </xf>
    <xf numFmtId="1" fontId="27" fillId="8" borderId="15" xfId="0" applyNumberFormat="1" applyFont="1" applyFill="1" applyBorder="1" applyAlignment="1">
      <alignment horizontal="center" vertical="center" wrapText="1"/>
    </xf>
    <xf numFmtId="1" fontId="27" fillId="8" borderId="22" xfId="0" applyNumberFormat="1"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1" xfId="0" applyFont="1" applyFill="1" applyBorder="1" applyAlignment="1">
      <alignment horizontal="center" vertical="center" wrapText="1"/>
    </xf>
    <xf numFmtId="0" fontId="27" fillId="8" borderId="23" xfId="0" applyFont="1" applyFill="1" applyBorder="1" applyAlignment="1">
      <alignment horizontal="center" vertical="center" wrapText="1"/>
    </xf>
    <xf numFmtId="0" fontId="27" fillId="8" borderId="0" xfId="0" applyFont="1" applyFill="1" applyAlignment="1">
      <alignment horizontal="center" vertical="center" wrapText="1"/>
    </xf>
    <xf numFmtId="0" fontId="28" fillId="0" borderId="0" xfId="0" applyFont="1" applyAlignment="1">
      <alignment horizontal="left"/>
    </xf>
    <xf numFmtId="1" fontId="20" fillId="7" borderId="18" xfId="0" applyNumberFormat="1" applyFont="1" applyFill="1" applyBorder="1" applyAlignment="1">
      <alignment vertical="center" wrapText="1"/>
    </xf>
    <xf numFmtId="1" fontId="20" fillId="7" borderId="25" xfId="0" applyNumberFormat="1" applyFont="1" applyFill="1" applyBorder="1" applyAlignment="1">
      <alignment vertical="center" wrapText="1"/>
    </xf>
    <xf numFmtId="167" fontId="20" fillId="7" borderId="18" xfId="1" applyNumberFormat="1" applyFont="1" applyFill="1" applyBorder="1" applyAlignment="1">
      <alignment horizontal="center" vertical="center" wrapText="1"/>
    </xf>
    <xf numFmtId="167" fontId="20" fillId="7" borderId="25" xfId="1" applyNumberFormat="1" applyFont="1" applyFill="1" applyBorder="1" applyAlignment="1">
      <alignment horizontal="center" vertical="center" wrapText="1"/>
    </xf>
    <xf numFmtId="14" fontId="20" fillId="7" borderId="18" xfId="0" applyNumberFormat="1" applyFont="1" applyFill="1" applyBorder="1" applyAlignment="1">
      <alignment horizontal="center" vertical="center" wrapText="1"/>
    </xf>
    <xf numFmtId="14" fontId="20" fillId="7" borderId="25" xfId="0" applyNumberFormat="1" applyFont="1" applyFill="1" applyBorder="1" applyAlignment="1">
      <alignment horizontal="center" vertical="center" wrapText="1"/>
    </xf>
    <xf numFmtId="3" fontId="4" fillId="7" borderId="21" xfId="0" applyNumberFormat="1" applyFont="1" applyFill="1" applyBorder="1" applyAlignment="1">
      <alignment horizontal="justify" vertical="center" wrapText="1"/>
    </xf>
    <xf numFmtId="3" fontId="4" fillId="7" borderId="26" xfId="0" applyNumberFormat="1" applyFont="1" applyFill="1" applyBorder="1" applyAlignment="1">
      <alignment horizontal="justify" vertical="center" wrapText="1"/>
    </xf>
    <xf numFmtId="3" fontId="20" fillId="7" borderId="26" xfId="0" applyNumberFormat="1" applyFont="1" applyFill="1" applyBorder="1" applyAlignment="1">
      <alignment horizontal="justify" vertical="center" wrapText="1"/>
    </xf>
    <xf numFmtId="0" fontId="20" fillId="0" borderId="53" xfId="0" applyFont="1" applyFill="1" applyBorder="1" applyAlignment="1">
      <alignment horizontal="justify" vertical="center" wrapText="1"/>
    </xf>
    <xf numFmtId="167" fontId="20" fillId="7" borderId="17" xfId="1" applyNumberFormat="1" applyFont="1" applyFill="1" applyBorder="1" applyAlignment="1">
      <alignment vertical="center" wrapText="1"/>
    </xf>
    <xf numFmtId="167" fontId="20" fillId="7" borderId="24" xfId="1" applyNumberFormat="1" applyFont="1" applyFill="1" applyBorder="1" applyAlignment="1">
      <alignment vertical="center" wrapText="1"/>
    </xf>
    <xf numFmtId="0" fontId="20" fillId="0" borderId="23" xfId="0" applyFont="1" applyFill="1" applyBorder="1" applyAlignment="1">
      <alignment horizontal="justify" vertical="center" wrapText="1"/>
    </xf>
    <xf numFmtId="43" fontId="20" fillId="0" borderId="12" xfId="1" applyFont="1" applyFill="1" applyBorder="1" applyAlignment="1">
      <alignment horizontal="center" vertical="center" wrapText="1"/>
    </xf>
    <xf numFmtId="43" fontId="20" fillId="0" borderId="19" xfId="1" applyFont="1" applyFill="1" applyBorder="1" applyAlignment="1">
      <alignment horizontal="center" vertical="center" wrapText="1"/>
    </xf>
    <xf numFmtId="1" fontId="8" fillId="0" borderId="56" xfId="0" applyNumberFormat="1" applyFont="1" applyFill="1" applyBorder="1" applyAlignment="1">
      <alignment horizontal="center" vertical="center" wrapText="1"/>
    </xf>
    <xf numFmtId="1" fontId="8" fillId="0" borderId="53" xfId="0" applyNumberFormat="1"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7" borderId="18"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0" fillId="7" borderId="18" xfId="0" applyFont="1" applyFill="1" applyBorder="1" applyAlignment="1">
      <alignment horizontal="justify" vertical="center" wrapText="1"/>
    </xf>
    <xf numFmtId="0" fontId="20" fillId="7" borderId="25" xfId="0" applyFont="1" applyFill="1" applyBorder="1" applyAlignment="1">
      <alignment horizontal="justify" vertical="center" wrapText="1"/>
    </xf>
    <xf numFmtId="9" fontId="20" fillId="7" borderId="18" xfId="0" applyNumberFormat="1" applyFont="1" applyFill="1" applyBorder="1" applyAlignment="1">
      <alignment horizontal="center" vertical="center" wrapText="1"/>
    </xf>
    <xf numFmtId="9" fontId="20" fillId="7" borderId="25" xfId="0" applyNumberFormat="1" applyFont="1" applyFill="1" applyBorder="1" applyAlignment="1">
      <alignment horizontal="center" vertical="center" wrapText="1"/>
    </xf>
    <xf numFmtId="43" fontId="20" fillId="7" borderId="18" xfId="1" applyFont="1" applyFill="1" applyBorder="1" applyAlignment="1">
      <alignment horizontal="center" vertical="center" wrapText="1"/>
    </xf>
    <xf numFmtId="43" fontId="20" fillId="7" borderId="25" xfId="1" applyFont="1" applyFill="1" applyBorder="1" applyAlignment="1">
      <alignment horizontal="center" vertical="center" wrapText="1"/>
    </xf>
    <xf numFmtId="3" fontId="20" fillId="7" borderId="16" xfId="0" applyNumberFormat="1" applyFont="1" applyFill="1" applyBorder="1" applyAlignment="1">
      <alignment horizontal="justify" vertical="center" wrapText="1"/>
    </xf>
    <xf numFmtId="3" fontId="20" fillId="7" borderId="23" xfId="0" applyNumberFormat="1" applyFont="1" applyFill="1" applyBorder="1" applyAlignment="1">
      <alignment horizontal="justify" vertical="center" wrapText="1"/>
    </xf>
    <xf numFmtId="3" fontId="20" fillId="7" borderId="25" xfId="0" applyNumberFormat="1" applyFont="1" applyFill="1" applyBorder="1" applyAlignment="1">
      <alignment horizontal="justify" vertical="center" wrapText="1"/>
    </xf>
    <xf numFmtId="0" fontId="20" fillId="0" borderId="16" xfId="0" applyFont="1" applyBorder="1" applyAlignment="1">
      <alignment horizontal="center"/>
    </xf>
    <xf numFmtId="0" fontId="20" fillId="0" borderId="11" xfId="0" applyFont="1" applyBorder="1" applyAlignment="1">
      <alignment horizontal="center"/>
    </xf>
    <xf numFmtId="0" fontId="20" fillId="0" borderId="17" xfId="0" applyFont="1" applyBorder="1" applyAlignment="1">
      <alignment horizontal="center"/>
    </xf>
    <xf numFmtId="0" fontId="20" fillId="0" borderId="23" xfId="0" applyFont="1" applyBorder="1" applyAlignment="1">
      <alignment horizontal="center"/>
    </xf>
    <xf numFmtId="0" fontId="20" fillId="0" borderId="0" xfId="0" applyFont="1" applyAlignment="1">
      <alignment horizontal="center"/>
    </xf>
    <xf numFmtId="0" fontId="20" fillId="0" borderId="24" xfId="0" applyFont="1" applyBorder="1" applyAlignment="1">
      <alignment horizontal="center"/>
    </xf>
    <xf numFmtId="0" fontId="20" fillId="7" borderId="16" xfId="0" applyFont="1" applyFill="1" applyBorder="1" applyAlignment="1">
      <alignment horizontal="justify" vertical="center" wrapText="1"/>
    </xf>
    <xf numFmtId="0" fontId="20" fillId="7" borderId="12" xfId="0" applyFont="1" applyFill="1" applyBorder="1" applyAlignment="1">
      <alignment horizontal="justify" vertical="center" wrapText="1"/>
    </xf>
    <xf numFmtId="43" fontId="20" fillId="0" borderId="6" xfId="1" applyFont="1" applyBorder="1" applyAlignment="1">
      <alignment horizontal="center" vertical="center" wrapText="1"/>
    </xf>
    <xf numFmtId="1" fontId="20" fillId="7" borderId="6" xfId="0" applyNumberFormat="1" applyFont="1" applyFill="1" applyBorder="1" applyAlignment="1">
      <alignment horizontal="center" vertical="center" wrapText="1"/>
    </xf>
    <xf numFmtId="1" fontId="20" fillId="7" borderId="18" xfId="0" applyNumberFormat="1" applyFont="1" applyFill="1" applyBorder="1" applyAlignment="1">
      <alignment horizontal="center" vertical="center" wrapText="1"/>
    </xf>
    <xf numFmtId="1" fontId="20" fillId="7" borderId="25" xfId="0" applyNumberFormat="1" applyFont="1" applyFill="1" applyBorder="1" applyAlignment="1">
      <alignment horizontal="center" vertical="center" wrapText="1"/>
    </xf>
    <xf numFmtId="1" fontId="20" fillId="7" borderId="27" xfId="0" applyNumberFormat="1" applyFont="1" applyFill="1" applyBorder="1" applyAlignment="1">
      <alignment horizontal="center" vertical="center" wrapText="1"/>
    </xf>
    <xf numFmtId="167" fontId="20" fillId="7" borderId="27" xfId="1" applyNumberFormat="1" applyFont="1" applyFill="1" applyBorder="1" applyAlignment="1">
      <alignment horizontal="center" vertical="center" wrapText="1"/>
    </xf>
    <xf numFmtId="14" fontId="20" fillId="7" borderId="27" xfId="0" applyNumberFormat="1" applyFont="1" applyFill="1" applyBorder="1" applyAlignment="1">
      <alignment horizontal="center" vertical="center" wrapText="1"/>
    </xf>
    <xf numFmtId="3" fontId="20" fillId="7" borderId="41" xfId="0" applyNumberFormat="1" applyFont="1" applyFill="1" applyBorder="1" applyAlignment="1">
      <alignment horizontal="justify" vertical="center" wrapText="1"/>
    </xf>
    <xf numFmtId="0" fontId="20" fillId="7" borderId="27" xfId="0" applyFont="1" applyFill="1" applyBorder="1" applyAlignment="1">
      <alignment horizontal="justify" vertical="center" wrapText="1"/>
    </xf>
    <xf numFmtId="3" fontId="20" fillId="7" borderId="18" xfId="0" applyNumberFormat="1" applyFont="1" applyFill="1" applyBorder="1" applyAlignment="1">
      <alignment horizontal="justify" vertical="center" wrapText="1"/>
    </xf>
    <xf numFmtId="3" fontId="20" fillId="7" borderId="27" xfId="0" applyNumberFormat="1" applyFont="1" applyFill="1" applyBorder="1" applyAlignment="1">
      <alignment horizontal="justify" vertical="center" wrapText="1"/>
    </xf>
    <xf numFmtId="0" fontId="20" fillId="7" borderId="27" xfId="0" applyFont="1" applyFill="1" applyBorder="1" applyAlignment="1">
      <alignment horizontal="center" vertical="center" wrapText="1"/>
    </xf>
    <xf numFmtId="0" fontId="20" fillId="7" borderId="16"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0" fillId="7" borderId="13" xfId="0" applyFont="1" applyFill="1" applyBorder="1" applyAlignment="1">
      <alignment horizontal="center" vertical="center" wrapText="1"/>
    </xf>
    <xf numFmtId="9" fontId="20" fillId="7" borderId="27" xfId="0" applyNumberFormat="1" applyFont="1" applyFill="1" applyBorder="1" applyAlignment="1">
      <alignment horizontal="center" vertical="center" wrapText="1"/>
    </xf>
    <xf numFmtId="43" fontId="20" fillId="0" borderId="18" xfId="1" applyFont="1" applyBorder="1" applyAlignment="1">
      <alignment horizontal="center" vertical="center" wrapText="1"/>
    </xf>
    <xf numFmtId="43" fontId="20" fillId="0" borderId="25" xfId="1" applyFont="1" applyBorder="1" applyAlignment="1">
      <alignment horizontal="center" vertical="center" wrapText="1"/>
    </xf>
    <xf numFmtId="43" fontId="20" fillId="0" borderId="27" xfId="1" applyFont="1" applyBorder="1" applyAlignment="1">
      <alignment horizontal="center" vertical="center" wrapText="1"/>
    </xf>
    <xf numFmtId="43" fontId="20" fillId="7" borderId="6" xfId="1" applyFont="1" applyFill="1" applyBorder="1" applyAlignment="1">
      <alignment horizontal="center" vertical="center" wrapText="1"/>
    </xf>
    <xf numFmtId="1" fontId="28" fillId="7" borderId="18" xfId="0" applyNumberFormat="1" applyFont="1" applyFill="1" applyBorder="1" applyAlignment="1">
      <alignment horizontal="center" vertical="center" wrapText="1"/>
    </xf>
    <xf numFmtId="1" fontId="28" fillId="7" borderId="25" xfId="0" applyNumberFormat="1" applyFont="1" applyFill="1" applyBorder="1" applyAlignment="1">
      <alignment horizontal="center" vertical="center" wrapText="1"/>
    </xf>
    <xf numFmtId="1" fontId="28" fillId="7" borderId="27" xfId="0" applyNumberFormat="1" applyFont="1" applyFill="1" applyBorder="1" applyAlignment="1">
      <alignment horizontal="center" vertical="center" wrapText="1"/>
    </xf>
    <xf numFmtId="0" fontId="20" fillId="7" borderId="23" xfId="0" applyFont="1" applyFill="1" applyBorder="1" applyAlignment="1">
      <alignment horizontal="justify" vertical="center" wrapText="1"/>
    </xf>
    <xf numFmtId="0" fontId="20" fillId="7" borderId="6" xfId="0" applyFont="1" applyFill="1" applyBorder="1" applyAlignment="1">
      <alignment horizontal="center" vertical="center" wrapText="1"/>
    </xf>
    <xf numFmtId="0" fontId="20" fillId="0" borderId="9" xfId="0" applyFont="1" applyBorder="1" applyAlignment="1">
      <alignment horizontal="center"/>
    </xf>
    <xf numFmtId="0" fontId="20" fillId="0" borderId="13" xfId="0" applyFont="1" applyBorder="1" applyAlignment="1">
      <alignment horizontal="center"/>
    </xf>
    <xf numFmtId="0" fontId="20" fillId="0" borderId="1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43" fontId="20" fillId="0" borderId="6" xfId="1" applyFont="1" applyFill="1" applyBorder="1" applyAlignment="1">
      <alignment horizontal="center" vertical="center" wrapText="1"/>
    </xf>
    <xf numFmtId="1" fontId="20" fillId="0" borderId="18" xfId="0" applyNumberFormat="1" applyFont="1" applyFill="1" applyBorder="1" applyAlignment="1">
      <alignment horizontal="center" vertical="center" wrapText="1"/>
    </xf>
    <xf numFmtId="1" fontId="20" fillId="0" borderId="25" xfId="0" applyNumberFormat="1" applyFont="1" applyFill="1" applyBorder="1" applyAlignment="1">
      <alignment horizontal="center" vertical="center" wrapText="1"/>
    </xf>
    <xf numFmtId="1" fontId="20" fillId="0" borderId="27"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43" fontId="20" fillId="0" borderId="53" xfId="1" applyFont="1" applyFill="1" applyBorder="1" applyAlignment="1">
      <alignment horizontal="center" vertical="center" wrapText="1"/>
    </xf>
    <xf numFmtId="1" fontId="20" fillId="0" borderId="53" xfId="0" applyNumberFormat="1" applyFont="1" applyFill="1" applyBorder="1" applyAlignment="1">
      <alignment horizontal="center" vertical="center" wrapText="1"/>
    </xf>
    <xf numFmtId="43" fontId="20" fillId="0" borderId="27" xfId="1" applyFont="1" applyFill="1" applyBorder="1" applyAlignment="1">
      <alignment horizontal="center" vertical="center" wrapText="1"/>
    </xf>
    <xf numFmtId="167" fontId="20" fillId="7" borderId="17" xfId="1" applyNumberFormat="1" applyFont="1" applyFill="1" applyBorder="1" applyAlignment="1">
      <alignment horizontal="center" vertical="center" wrapText="1"/>
    </xf>
    <xf numFmtId="167" fontId="20" fillId="7" borderId="24" xfId="1" applyNumberFormat="1" applyFont="1" applyFill="1" applyBorder="1" applyAlignment="1">
      <alignment horizontal="center" vertical="center" wrapText="1"/>
    </xf>
    <xf numFmtId="0" fontId="20" fillId="7" borderId="16" xfId="0" applyFont="1" applyFill="1" applyBorder="1" applyAlignment="1">
      <alignment horizontal="center"/>
    </xf>
    <xf numFmtId="0" fontId="20" fillId="7" borderId="11" xfId="0" applyFont="1" applyFill="1" applyBorder="1" applyAlignment="1">
      <alignment horizontal="center"/>
    </xf>
    <xf numFmtId="0" fontId="20" fillId="7" borderId="17" xfId="0" applyFont="1" applyFill="1" applyBorder="1" applyAlignment="1">
      <alignment horizontal="center"/>
    </xf>
    <xf numFmtId="0" fontId="20" fillId="7" borderId="23" xfId="0" applyFont="1" applyFill="1" applyBorder="1" applyAlignment="1">
      <alignment horizontal="center"/>
    </xf>
    <xf numFmtId="0" fontId="20" fillId="7" borderId="0" xfId="0" applyFont="1" applyFill="1" applyAlignment="1">
      <alignment horizontal="center"/>
    </xf>
    <xf numFmtId="0" fontId="20" fillId="7" borderId="24" xfId="0" applyFont="1" applyFill="1" applyBorder="1" applyAlignment="1">
      <alignment horizontal="center"/>
    </xf>
    <xf numFmtId="9" fontId="20" fillId="7" borderId="53" xfId="0" applyNumberFormat="1" applyFont="1" applyFill="1" applyBorder="1" applyAlignment="1">
      <alignment horizontal="center" vertical="center" wrapText="1"/>
    </xf>
    <xf numFmtId="3" fontId="20" fillId="0" borderId="12" xfId="0" applyNumberFormat="1" applyFont="1" applyFill="1" applyBorder="1" applyAlignment="1">
      <alignment horizontal="justify" vertical="center" wrapText="1"/>
    </xf>
    <xf numFmtId="3" fontId="20" fillId="0" borderId="19" xfId="0" applyNumberFormat="1" applyFont="1" applyFill="1" applyBorder="1" applyAlignment="1">
      <alignment horizontal="justify" vertical="center" wrapText="1"/>
    </xf>
    <xf numFmtId="1" fontId="20" fillId="0" borderId="24" xfId="0" applyNumberFormat="1" applyFont="1" applyFill="1" applyBorder="1" applyAlignment="1">
      <alignment horizontal="center" vertical="center" wrapText="1"/>
    </xf>
    <xf numFmtId="0" fontId="20" fillId="7" borderId="6" xfId="0" applyFont="1" applyFill="1" applyBorder="1" applyAlignment="1">
      <alignment horizontal="justify" vertical="center" wrapText="1"/>
    </xf>
    <xf numFmtId="3" fontId="20" fillId="7" borderId="19" xfId="0" applyNumberFormat="1" applyFont="1" applyFill="1" applyBorder="1" applyAlignment="1">
      <alignment horizontal="justify" vertical="center" wrapText="1"/>
    </xf>
    <xf numFmtId="3" fontId="20" fillId="7" borderId="6" xfId="0" applyNumberFormat="1" applyFont="1" applyFill="1" applyBorder="1" applyAlignment="1">
      <alignment horizontal="justify" vertical="center" wrapText="1"/>
    </xf>
    <xf numFmtId="1" fontId="20" fillId="0" borderId="54" xfId="0" applyNumberFormat="1" applyFont="1" applyFill="1" applyBorder="1" applyAlignment="1">
      <alignment horizontal="center" vertical="center" wrapText="1"/>
    </xf>
    <xf numFmtId="1" fontId="20" fillId="0" borderId="70" xfId="0" applyNumberFormat="1" applyFont="1" applyFill="1" applyBorder="1" applyAlignment="1">
      <alignment horizontal="center" vertical="center" wrapText="1"/>
    </xf>
    <xf numFmtId="0" fontId="20" fillId="0" borderId="55" xfId="0" applyFont="1" applyFill="1" applyBorder="1" applyAlignment="1">
      <alignment horizontal="center" vertical="center" wrapText="1"/>
    </xf>
    <xf numFmtId="1" fontId="44" fillId="7" borderId="18" xfId="0" applyNumberFormat="1" applyFont="1" applyFill="1" applyBorder="1" applyAlignment="1">
      <alignment horizontal="center" vertical="center" wrapText="1"/>
    </xf>
    <xf numFmtId="1" fontId="44" fillId="7" borderId="25" xfId="0" applyNumberFormat="1" applyFont="1" applyFill="1" applyBorder="1" applyAlignment="1">
      <alignment horizontal="center" vertical="center" wrapText="1"/>
    </xf>
    <xf numFmtId="1" fontId="44" fillId="7" borderId="27" xfId="0" applyNumberFormat="1" applyFont="1" applyFill="1" applyBorder="1" applyAlignment="1">
      <alignment horizontal="center" vertical="center" wrapText="1"/>
    </xf>
    <xf numFmtId="43" fontId="20" fillId="0" borderId="24" xfId="1" applyFont="1" applyBorder="1" applyAlignment="1">
      <alignment horizontal="center" vertical="center" wrapText="1"/>
    </xf>
    <xf numFmtId="167" fontId="20" fillId="0" borderId="24" xfId="1" applyNumberFormat="1" applyFont="1" applyFill="1" applyBorder="1" applyAlignment="1">
      <alignment horizontal="center" vertical="center" wrapText="1"/>
    </xf>
    <xf numFmtId="167" fontId="20" fillId="0" borderId="25" xfId="1" applyNumberFormat="1" applyFont="1" applyFill="1" applyBorder="1" applyAlignment="1">
      <alignment horizontal="center" vertical="center" wrapText="1"/>
    </xf>
    <xf numFmtId="167" fontId="20" fillId="0" borderId="13" xfId="1" applyNumberFormat="1" applyFont="1" applyFill="1" applyBorder="1" applyAlignment="1">
      <alignment horizontal="center" vertical="center" wrapText="1"/>
    </xf>
    <xf numFmtId="0" fontId="20" fillId="0" borderId="60" xfId="0" applyFont="1" applyFill="1" applyBorder="1" applyAlignment="1">
      <alignment horizontal="justify" vertical="center" wrapText="1"/>
    </xf>
    <xf numFmtId="0" fontId="28" fillId="7" borderId="16"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8" fillId="7" borderId="17" xfId="0" applyFont="1" applyFill="1" applyBorder="1" applyAlignment="1">
      <alignment horizontal="center" vertical="center" wrapText="1"/>
    </xf>
    <xf numFmtId="0" fontId="28" fillId="7" borderId="23" xfId="0" applyFont="1" applyFill="1" applyBorder="1" applyAlignment="1">
      <alignment horizontal="center" vertical="center" wrapText="1"/>
    </xf>
    <xf numFmtId="0" fontId="28" fillId="7" borderId="0" xfId="0" applyFont="1" applyFill="1" applyAlignment="1">
      <alignment horizontal="center" vertical="center" wrapText="1"/>
    </xf>
    <xf numFmtId="0" fontId="28" fillId="7" borderId="24" xfId="0" applyFont="1" applyFill="1" applyBorder="1" applyAlignment="1">
      <alignment horizontal="center" vertical="center" wrapText="1"/>
    </xf>
    <xf numFmtId="0" fontId="28" fillId="7" borderId="12" xfId="0" applyFont="1" applyFill="1" applyBorder="1" applyAlignment="1">
      <alignment horizontal="center" vertical="center" wrapText="1"/>
    </xf>
    <xf numFmtId="0" fontId="28" fillId="7" borderId="9" xfId="0" applyFont="1" applyFill="1" applyBorder="1" applyAlignment="1">
      <alignment horizontal="center" vertical="center" wrapText="1"/>
    </xf>
    <xf numFmtId="0" fontId="28" fillId="7" borderId="13" xfId="0" applyFont="1" applyFill="1" applyBorder="1" applyAlignment="1">
      <alignment horizontal="center" vertical="center" wrapText="1"/>
    </xf>
    <xf numFmtId="0" fontId="20" fillId="0" borderId="17" xfId="0" applyFont="1" applyBorder="1" applyAlignment="1">
      <alignment horizontal="center" vertical="center" wrapText="1"/>
    </xf>
    <xf numFmtId="0" fontId="20" fillId="0" borderId="24" xfId="0" applyFont="1" applyBorder="1" applyAlignment="1">
      <alignment horizontal="center" vertical="center" wrapText="1"/>
    </xf>
    <xf numFmtId="1" fontId="20" fillId="7" borderId="53" xfId="0" applyNumberFormat="1" applyFont="1" applyFill="1" applyBorder="1" applyAlignment="1">
      <alignment horizontal="center" vertical="center" wrapText="1"/>
    </xf>
    <xf numFmtId="0" fontId="20" fillId="7" borderId="53" xfId="0" applyFont="1" applyFill="1" applyBorder="1" applyAlignment="1">
      <alignment horizontal="center" vertical="center" wrapText="1"/>
    </xf>
    <xf numFmtId="0" fontId="20" fillId="7" borderId="19" xfId="0" applyFont="1" applyFill="1" applyBorder="1" applyAlignment="1">
      <alignment horizontal="justify" vertical="center" wrapText="1"/>
    </xf>
    <xf numFmtId="0" fontId="20" fillId="0" borderId="53" xfId="0" applyFont="1" applyBorder="1" applyAlignment="1">
      <alignment horizontal="center" vertical="center" wrapText="1"/>
    </xf>
    <xf numFmtId="0" fontId="20" fillId="7" borderId="17" xfId="0" applyFont="1" applyFill="1" applyBorder="1" applyAlignment="1">
      <alignment horizontal="justify" vertical="center" wrapText="1"/>
    </xf>
    <xf numFmtId="0" fontId="20" fillId="7" borderId="24" xfId="0" applyFont="1" applyFill="1" applyBorder="1" applyAlignment="1">
      <alignment horizontal="justify" vertical="center" wrapText="1"/>
    </xf>
    <xf numFmtId="0" fontId="20" fillId="0" borderId="27" xfId="0" applyFont="1" applyFill="1" applyBorder="1" applyAlignment="1">
      <alignment horizontal="center" vertical="center" wrapText="1"/>
    </xf>
    <xf numFmtId="43" fontId="20" fillId="0" borderId="18" xfId="1" applyFont="1" applyBorder="1" applyAlignment="1">
      <alignment horizontal="center" vertical="center"/>
    </xf>
    <xf numFmtId="43" fontId="20" fillId="0" borderId="25" xfId="1" applyFont="1" applyBorder="1" applyAlignment="1">
      <alignment horizontal="center" vertical="center"/>
    </xf>
    <xf numFmtId="167" fontId="20" fillId="0" borderId="18" xfId="1" applyNumberFormat="1" applyFont="1" applyBorder="1" applyAlignment="1">
      <alignment horizontal="center" vertical="center" wrapText="1"/>
    </xf>
    <xf numFmtId="167" fontId="20" fillId="0" borderId="25" xfId="1" applyNumberFormat="1" applyFont="1" applyBorder="1" applyAlignment="1">
      <alignment horizontal="center" vertical="center" wrapText="1"/>
    </xf>
    <xf numFmtId="167" fontId="20" fillId="0" borderId="27" xfId="1" applyNumberFormat="1" applyFont="1" applyBorder="1" applyAlignment="1">
      <alignment horizontal="center" vertical="center" wrapText="1"/>
    </xf>
    <xf numFmtId="3" fontId="20" fillId="7" borderId="18" xfId="0" applyNumberFormat="1" applyFont="1" applyFill="1" applyBorder="1" applyAlignment="1">
      <alignment horizontal="center" vertical="center" wrapText="1"/>
    </xf>
    <xf numFmtId="3" fontId="20" fillId="7" borderId="25" xfId="0" applyNumberFormat="1" applyFont="1" applyFill="1" applyBorder="1" applyAlignment="1">
      <alignment horizontal="center" vertical="center" wrapText="1"/>
    </xf>
    <xf numFmtId="3" fontId="20" fillId="7" borderId="27" xfId="0" applyNumberFormat="1" applyFont="1" applyFill="1" applyBorder="1" applyAlignment="1">
      <alignment horizontal="center" vertical="center" wrapText="1"/>
    </xf>
    <xf numFmtId="167" fontId="20" fillId="0" borderId="24" xfId="1" applyNumberFormat="1" applyFont="1" applyBorder="1" applyAlignment="1">
      <alignment horizontal="center" vertical="center" wrapText="1"/>
    </xf>
    <xf numFmtId="3" fontId="28" fillId="8" borderId="21" xfId="0" applyNumberFormat="1" applyFont="1" applyFill="1" applyBorder="1" applyAlignment="1">
      <alignment horizontal="center" vertical="center" wrapText="1"/>
    </xf>
    <xf numFmtId="3" fontId="28" fillId="8" borderId="26" xfId="0" applyNumberFormat="1" applyFont="1" applyFill="1" applyBorder="1" applyAlignment="1">
      <alignment horizontal="center" vertical="center" wrapText="1"/>
    </xf>
    <xf numFmtId="1" fontId="28" fillId="7" borderId="10" xfId="0" applyNumberFormat="1" applyFont="1" applyFill="1" applyBorder="1" applyAlignment="1">
      <alignment horizontal="center" vertical="center" wrapText="1"/>
    </xf>
    <xf numFmtId="1" fontId="28" fillId="7" borderId="11" xfId="0" applyNumberFormat="1" applyFont="1" applyFill="1" applyBorder="1" applyAlignment="1">
      <alignment horizontal="center" vertical="center" wrapText="1"/>
    </xf>
    <xf numFmtId="1" fontId="28" fillId="7" borderId="17" xfId="0" applyNumberFormat="1" applyFont="1" applyFill="1" applyBorder="1" applyAlignment="1">
      <alignment horizontal="center" vertical="center" wrapText="1"/>
    </xf>
    <xf numFmtId="1" fontId="28" fillId="7" borderId="5" xfId="0" applyNumberFormat="1" applyFont="1" applyFill="1" applyBorder="1" applyAlignment="1">
      <alignment horizontal="center" vertical="center" wrapText="1"/>
    </xf>
    <xf numFmtId="1" fontId="28" fillId="7" borderId="0" xfId="0" applyNumberFormat="1" applyFont="1" applyFill="1" applyAlignment="1">
      <alignment horizontal="center" vertical="center" wrapText="1"/>
    </xf>
    <xf numFmtId="1" fontId="28" fillId="7" borderId="24" xfId="0" applyNumberFormat="1"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9" xfId="0" applyFont="1" applyFill="1" applyBorder="1" applyAlignment="1">
      <alignment horizontal="center" vertical="center" wrapText="1"/>
    </xf>
    <xf numFmtId="165" fontId="28" fillId="8" borderId="16" xfId="0" applyNumberFormat="1" applyFont="1" applyFill="1" applyBorder="1" applyAlignment="1">
      <alignment horizontal="center" vertical="center" wrapText="1"/>
    </xf>
    <xf numFmtId="165" fontId="28" fillId="8" borderId="23" xfId="0" applyNumberFormat="1" applyFont="1" applyFill="1" applyBorder="1" applyAlignment="1">
      <alignment horizontal="center" vertical="center" wrapText="1"/>
    </xf>
    <xf numFmtId="1" fontId="28" fillId="8" borderId="18" xfId="0" applyNumberFormat="1" applyFont="1" applyFill="1" applyBorder="1" applyAlignment="1">
      <alignment horizontal="center" vertical="center" wrapText="1"/>
    </xf>
    <xf numFmtId="1" fontId="28" fillId="8" borderId="25" xfId="0" applyNumberFormat="1" applyFont="1" applyFill="1" applyBorder="1" applyAlignment="1">
      <alignment horizontal="center" vertical="center" wrapText="1"/>
    </xf>
    <xf numFmtId="3" fontId="7" fillId="9" borderId="6" xfId="0" applyNumberFormat="1" applyFont="1" applyFill="1" applyBorder="1" applyAlignment="1">
      <alignment horizontal="center" vertical="center" wrapText="1"/>
    </xf>
    <xf numFmtId="43" fontId="28" fillId="8" borderId="16" xfId="1" applyFont="1" applyFill="1" applyBorder="1" applyAlignment="1">
      <alignment horizontal="center" vertical="center" wrapText="1"/>
    </xf>
    <xf numFmtId="43" fontId="28" fillId="8" borderId="23" xfId="1" applyFont="1" applyFill="1" applyBorder="1" applyAlignment="1">
      <alignment horizontal="center" vertical="center" wrapText="1"/>
    </xf>
    <xf numFmtId="0" fontId="28" fillId="8" borderId="18" xfId="0" applyFont="1" applyFill="1" applyBorder="1" applyAlignment="1">
      <alignment horizontal="justify" vertical="center" wrapText="1"/>
    </xf>
    <xf numFmtId="0" fontId="28" fillId="8" borderId="25" xfId="0" applyFont="1" applyFill="1" applyBorder="1" applyAlignment="1">
      <alignment horizontal="justify" vertical="center" wrapText="1"/>
    </xf>
    <xf numFmtId="0" fontId="12" fillId="7" borderId="0" xfId="0" applyFont="1" applyFill="1" applyAlignment="1">
      <alignment horizontal="center" vertical="center"/>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166" fontId="13" fillId="0" borderId="18" xfId="0" applyNumberFormat="1" applyFont="1" applyBorder="1" applyAlignment="1">
      <alignment horizontal="center" vertical="center"/>
    </xf>
    <xf numFmtId="166" fontId="13" fillId="0" borderId="25" xfId="0" applyNumberFormat="1" applyFont="1" applyBorder="1" applyAlignment="1">
      <alignment horizontal="center" vertical="center"/>
    </xf>
    <xf numFmtId="166" fontId="13" fillId="0" borderId="27" xfId="0" applyNumberFormat="1" applyFont="1" applyBorder="1" applyAlignment="1">
      <alignment horizontal="center" vertical="center"/>
    </xf>
    <xf numFmtId="0" fontId="13" fillId="0" borderId="18"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1" fontId="13" fillId="0" borderId="6" xfId="0" applyNumberFormat="1" applyFont="1" applyBorder="1" applyAlignment="1">
      <alignment horizontal="center" vertical="center"/>
    </xf>
    <xf numFmtId="0" fontId="13" fillId="0" borderId="6" xfId="0" applyFont="1" applyBorder="1" applyAlignment="1">
      <alignment horizontal="center" vertical="center"/>
    </xf>
    <xf numFmtId="0" fontId="13" fillId="7" borderId="18" xfId="0" applyFont="1" applyFill="1" applyBorder="1" applyAlignment="1">
      <alignment horizontal="center" vertical="center"/>
    </xf>
    <xf numFmtId="0" fontId="13" fillId="7" borderId="25" xfId="0" applyFont="1" applyFill="1" applyBorder="1" applyAlignment="1">
      <alignment horizontal="center" vertical="center"/>
    </xf>
    <xf numFmtId="0" fontId="13" fillId="7" borderId="27" xfId="0" applyFont="1" applyFill="1" applyBorder="1" applyAlignment="1">
      <alignment horizontal="center" vertical="center"/>
    </xf>
    <xf numFmtId="43" fontId="13" fillId="7" borderId="18" xfId="1" applyFont="1" applyFill="1" applyBorder="1" applyAlignment="1">
      <alignment horizontal="center" vertical="center"/>
    </xf>
    <xf numFmtId="43" fontId="13" fillId="7" borderId="25" xfId="1" applyFont="1" applyFill="1" applyBorder="1" applyAlignment="1">
      <alignment horizontal="center" vertical="center"/>
    </xf>
    <xf numFmtId="43" fontId="13" fillId="7" borderId="27" xfId="1" applyFont="1" applyFill="1" applyBorder="1" applyAlignment="1">
      <alignment horizontal="center" vertical="center"/>
    </xf>
    <xf numFmtId="0" fontId="13" fillId="7" borderId="25" xfId="0" applyFont="1" applyFill="1" applyBorder="1" applyAlignment="1">
      <alignment horizontal="left" vertical="center" wrapText="1"/>
    </xf>
    <xf numFmtId="0" fontId="13" fillId="0" borderId="18" xfId="0" applyFont="1" applyBorder="1" applyAlignment="1">
      <alignment horizontal="center" vertical="center" textRotation="92"/>
    </xf>
    <xf numFmtId="0" fontId="13" fillId="0" borderId="27" xfId="0" applyFont="1" applyBorder="1" applyAlignment="1">
      <alignment horizontal="center" vertical="center" textRotation="92"/>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2" fillId="12" borderId="19" xfId="0" applyFont="1" applyFill="1" applyBorder="1" applyAlignment="1">
      <alignment horizontal="left" vertical="center"/>
    </xf>
    <xf numFmtId="0" fontId="12" fillId="12" borderId="20" xfId="0" applyFont="1" applyFill="1" applyBorder="1" applyAlignment="1">
      <alignment horizontal="left" vertical="center"/>
    </xf>
    <xf numFmtId="0" fontId="12" fillId="12" borderId="35" xfId="0" applyFont="1" applyFill="1" applyBorder="1" applyAlignment="1">
      <alignment horizontal="left" vertical="center"/>
    </xf>
    <xf numFmtId="0" fontId="13" fillId="0" borderId="18" xfId="0" applyFont="1" applyBorder="1" applyAlignment="1">
      <alignment horizontal="center" vertical="center" textRotation="4"/>
    </xf>
    <xf numFmtId="0" fontId="13" fillId="0" borderId="25" xfId="0" applyFont="1" applyBorder="1" applyAlignment="1">
      <alignment horizontal="center" vertical="center" textRotation="4"/>
    </xf>
    <xf numFmtId="10" fontId="13" fillId="7" borderId="18" xfId="0" applyNumberFormat="1" applyFont="1" applyFill="1" applyBorder="1" applyAlignment="1">
      <alignment horizontal="center" vertical="center"/>
    </xf>
    <xf numFmtId="10" fontId="13" fillId="7" borderId="25" xfId="0" applyNumberFormat="1" applyFont="1" applyFill="1" applyBorder="1" applyAlignment="1">
      <alignment horizontal="center" vertical="center"/>
    </xf>
    <xf numFmtId="43" fontId="13" fillId="7" borderId="18" xfId="1" applyFont="1" applyFill="1" applyBorder="1" applyAlignment="1">
      <alignment horizontal="right" vertical="center"/>
    </xf>
    <xf numFmtId="43" fontId="13" fillId="7" borderId="25" xfId="1" applyFont="1" applyFill="1" applyBorder="1" applyAlignment="1">
      <alignment horizontal="right" vertical="center"/>
    </xf>
    <xf numFmtId="1" fontId="13" fillId="7" borderId="18" xfId="0" applyNumberFormat="1" applyFont="1" applyFill="1" applyBorder="1" applyAlignment="1">
      <alignment horizontal="center" vertical="center"/>
    </xf>
    <xf numFmtId="1" fontId="13" fillId="7" borderId="25" xfId="0" applyNumberFormat="1" applyFont="1" applyFill="1" applyBorder="1" applyAlignment="1">
      <alignment horizontal="center" vertical="center"/>
    </xf>
    <xf numFmtId="0" fontId="13" fillId="0" borderId="18" xfId="0" applyFont="1" applyBorder="1" applyAlignment="1">
      <alignment horizontal="center" vertical="center" textRotation="3"/>
    </xf>
    <xf numFmtId="0" fontId="13" fillId="0" borderId="25" xfId="0" applyFont="1" applyBorder="1" applyAlignment="1">
      <alignment horizontal="center" vertical="center" textRotation="3"/>
    </xf>
    <xf numFmtId="0" fontId="13" fillId="0" borderId="27" xfId="0" applyFont="1" applyBorder="1" applyAlignment="1">
      <alignment horizontal="center" vertical="center" textRotation="3"/>
    </xf>
    <xf numFmtId="0" fontId="19" fillId="0" borderId="18"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7" xfId="0" applyFont="1" applyBorder="1" applyAlignment="1">
      <alignment horizontal="center" vertical="center" wrapText="1"/>
    </xf>
    <xf numFmtId="10" fontId="13" fillId="7" borderId="27" xfId="0" applyNumberFormat="1" applyFont="1" applyFill="1" applyBorder="1" applyAlignment="1">
      <alignment horizontal="center" vertical="center"/>
    </xf>
    <xf numFmtId="10" fontId="13" fillId="7" borderId="6"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13" fillId="0" borderId="25" xfId="0" applyFont="1" applyBorder="1" applyAlignment="1">
      <alignment horizontal="left" vertical="center" wrapText="1"/>
    </xf>
    <xf numFmtId="0" fontId="13" fillId="0" borderId="27" xfId="0" applyFont="1" applyBorder="1" applyAlignment="1">
      <alignment horizontal="left" vertical="center" wrapText="1"/>
    </xf>
    <xf numFmtId="10" fontId="13" fillId="0" borderId="6" xfId="0" applyNumberFormat="1" applyFont="1" applyBorder="1" applyAlignment="1">
      <alignment horizontal="center" vertical="center"/>
    </xf>
    <xf numFmtId="43" fontId="13" fillId="0" borderId="6" xfId="1" applyFont="1" applyBorder="1" applyAlignment="1">
      <alignment horizontal="center" vertical="center"/>
    </xf>
    <xf numFmtId="0" fontId="16" fillId="7" borderId="18" xfId="0" applyFont="1" applyFill="1" applyBorder="1" applyAlignment="1">
      <alignment horizontal="justify" vertical="center" wrapText="1"/>
    </xf>
    <xf numFmtId="0" fontId="16" fillId="7" borderId="25" xfId="0" applyFont="1" applyFill="1" applyBorder="1" applyAlignment="1">
      <alignment horizontal="justify" vertical="center" wrapText="1"/>
    </xf>
    <xf numFmtId="0" fontId="16" fillId="7" borderId="27" xfId="0" applyFont="1" applyFill="1" applyBorder="1" applyAlignment="1">
      <alignment horizontal="justify" vertical="center" wrapText="1"/>
    </xf>
    <xf numFmtId="1" fontId="13" fillId="0" borderId="11" xfId="0" applyNumberFormat="1" applyFont="1" applyBorder="1" applyAlignment="1">
      <alignment horizontal="center" vertical="center"/>
    </xf>
    <xf numFmtId="1" fontId="13" fillId="0" borderId="17" xfId="0" applyNumberFormat="1" applyFont="1" applyBorder="1" applyAlignment="1">
      <alignment horizontal="center" vertical="center"/>
    </xf>
    <xf numFmtId="1" fontId="13" fillId="0" borderId="0" xfId="0" applyNumberFormat="1" applyFont="1" applyAlignment="1">
      <alignment horizontal="center" vertical="center"/>
    </xf>
    <xf numFmtId="1" fontId="13" fillId="0" borderId="24" xfId="0" applyNumberFormat="1" applyFont="1" applyBorder="1" applyAlignment="1">
      <alignment horizontal="center" vertical="center"/>
    </xf>
    <xf numFmtId="1" fontId="13" fillId="0" borderId="9" xfId="0" applyNumberFormat="1" applyFont="1" applyBorder="1" applyAlignment="1">
      <alignment horizontal="center" vertical="center"/>
    </xf>
    <xf numFmtId="1" fontId="13" fillId="0" borderId="13" xfId="0" applyNumberFormat="1" applyFont="1" applyBorder="1" applyAlignment="1">
      <alignment horizontal="center" vertical="center"/>
    </xf>
    <xf numFmtId="166" fontId="13" fillId="7" borderId="18" xfId="0" applyNumberFormat="1" applyFont="1" applyFill="1" applyBorder="1" applyAlignment="1">
      <alignment horizontal="center" vertical="center" wrapText="1"/>
    </xf>
    <xf numFmtId="166" fontId="13" fillId="7" borderId="25" xfId="0" applyNumberFormat="1" applyFont="1" applyFill="1" applyBorder="1" applyAlignment="1">
      <alignment horizontal="center" vertical="center" wrapText="1"/>
    </xf>
    <xf numFmtId="10" fontId="13" fillId="0" borderId="18" xfId="0" applyNumberFormat="1" applyFont="1" applyBorder="1" applyAlignment="1">
      <alignment horizontal="center" vertical="center"/>
    </xf>
    <xf numFmtId="10" fontId="13" fillId="0" borderId="27" xfId="0" applyNumberFormat="1" applyFont="1" applyBorder="1" applyAlignment="1">
      <alignment horizontal="center" vertical="center"/>
    </xf>
    <xf numFmtId="166" fontId="13" fillId="7" borderId="27" xfId="0" applyNumberFormat="1" applyFont="1" applyFill="1" applyBorder="1" applyAlignment="1">
      <alignment horizontal="center" vertical="center" wrapText="1"/>
    </xf>
    <xf numFmtId="43" fontId="13" fillId="0" borderId="18" xfId="1" applyFont="1" applyBorder="1" applyAlignment="1">
      <alignment horizontal="center" vertical="center"/>
    </xf>
    <xf numFmtId="43" fontId="13" fillId="0" borderId="25" xfId="1" applyFont="1" applyBorder="1" applyAlignment="1">
      <alignment horizontal="center" vertical="center"/>
    </xf>
    <xf numFmtId="43" fontId="13" fillId="0" borderId="27" xfId="1" applyFont="1" applyBorder="1" applyAlignment="1">
      <alignment horizontal="center" vertical="center"/>
    </xf>
    <xf numFmtId="166" fontId="13" fillId="7" borderId="6" xfId="0" applyNumberFormat="1" applyFont="1" applyFill="1" applyBorder="1" applyAlignment="1">
      <alignment horizontal="center" vertical="center" wrapText="1"/>
    </xf>
    <xf numFmtId="3" fontId="13" fillId="7" borderId="6" xfId="0" applyNumberFormat="1" applyFont="1" applyFill="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1" fontId="13" fillId="7" borderId="18" xfId="0" applyNumberFormat="1" applyFont="1" applyFill="1" applyBorder="1" applyAlignment="1">
      <alignment horizontal="center" vertical="center" wrapText="1"/>
    </xf>
    <xf numFmtId="1" fontId="13" fillId="7" borderId="27" xfId="0" applyNumberFormat="1" applyFont="1" applyFill="1" applyBorder="1" applyAlignment="1">
      <alignment horizontal="center" vertical="center" wrapText="1"/>
    </xf>
    <xf numFmtId="0" fontId="17" fillId="0" borderId="18" xfId="0" applyFont="1" applyBorder="1" applyAlignment="1">
      <alignment horizontal="justify" vertical="center" wrapText="1"/>
    </xf>
    <xf numFmtId="0" fontId="17" fillId="0" borderId="27" xfId="0" applyFont="1" applyBorder="1" applyAlignment="1">
      <alignment horizontal="justify" vertical="center" wrapText="1"/>
    </xf>
    <xf numFmtId="1" fontId="13" fillId="7" borderId="18" xfId="0" applyNumberFormat="1" applyFont="1" applyFill="1" applyBorder="1" applyAlignment="1">
      <alignment horizontal="center" vertical="center" wrapText="1" readingOrder="2"/>
    </xf>
    <xf numFmtId="1" fontId="13" fillId="7" borderId="27" xfId="0" applyNumberFormat="1" applyFont="1" applyFill="1" applyBorder="1" applyAlignment="1">
      <alignment horizontal="center" vertical="center" wrapText="1" readingOrder="2"/>
    </xf>
    <xf numFmtId="0" fontId="12" fillId="12" borderId="35" xfId="0" applyFont="1" applyFill="1" applyBorder="1" applyAlignment="1">
      <alignment horizontal="left" vertical="center" wrapText="1"/>
    </xf>
    <xf numFmtId="0" fontId="13" fillId="7" borderId="6" xfId="0" applyFont="1" applyFill="1" applyBorder="1" applyAlignment="1">
      <alignment horizontal="center" vertical="center" wrapText="1"/>
    </xf>
    <xf numFmtId="43" fontId="13" fillId="7" borderId="18" xfId="1" applyFont="1" applyFill="1" applyBorder="1" applyAlignment="1">
      <alignment horizontal="center" vertical="center" wrapText="1"/>
    </xf>
    <xf numFmtId="43" fontId="13" fillId="7" borderId="27" xfId="1" applyFont="1" applyFill="1" applyBorder="1" applyAlignment="1">
      <alignment horizontal="center" vertical="center" wrapText="1"/>
    </xf>
    <xf numFmtId="1" fontId="13" fillId="7" borderId="6" xfId="0" applyNumberFormat="1" applyFont="1" applyFill="1" applyBorder="1" applyAlignment="1">
      <alignment horizontal="center" vertical="center" wrapText="1" readingOrder="2"/>
    </xf>
    <xf numFmtId="10" fontId="13" fillId="7" borderId="18" xfId="0" applyNumberFormat="1" applyFont="1" applyFill="1" applyBorder="1" applyAlignment="1">
      <alignment horizontal="center" vertical="center" wrapText="1"/>
    </xf>
    <xf numFmtId="10" fontId="13" fillId="7" borderId="27" xfId="0" applyNumberFormat="1" applyFont="1" applyFill="1" applyBorder="1" applyAlignment="1">
      <alignment horizontal="center" vertical="center" wrapText="1"/>
    </xf>
    <xf numFmtId="43" fontId="13" fillId="7" borderId="6" xfId="1" applyFont="1" applyFill="1" applyBorder="1" applyAlignment="1">
      <alignment horizontal="center" vertical="center" wrapText="1"/>
    </xf>
    <xf numFmtId="166" fontId="12" fillId="8" borderId="16" xfId="0" applyNumberFormat="1" applyFont="1" applyFill="1" applyBorder="1" applyAlignment="1">
      <alignment horizontal="center" vertical="center" wrapText="1"/>
    </xf>
    <xf numFmtId="166" fontId="12" fillId="8" borderId="23" xfId="0" applyNumberFormat="1" applyFont="1" applyFill="1" applyBorder="1" applyAlignment="1">
      <alignment horizontal="center" vertical="center" wrapText="1"/>
    </xf>
    <xf numFmtId="3" fontId="12" fillId="8" borderId="18" xfId="0" applyNumberFormat="1" applyFont="1" applyFill="1" applyBorder="1" applyAlignment="1">
      <alignment horizontal="center" vertical="center" wrapText="1"/>
    </xf>
    <xf numFmtId="3" fontId="12" fillId="8" borderId="25" xfId="0" applyNumberFormat="1" applyFont="1" applyFill="1" applyBorder="1" applyAlignment="1">
      <alignment horizontal="center" vertical="center" wrapText="1"/>
    </xf>
    <xf numFmtId="1" fontId="12" fillId="10" borderId="20" xfId="0" applyNumberFormat="1" applyFont="1" applyFill="1" applyBorder="1" applyAlignment="1">
      <alignment horizontal="left" vertical="center" wrapText="1"/>
    </xf>
    <xf numFmtId="1" fontId="12" fillId="10" borderId="11" xfId="0" applyNumberFormat="1" applyFont="1" applyFill="1" applyBorder="1" applyAlignment="1">
      <alignment horizontal="left" vertical="center" wrapText="1"/>
    </xf>
    <xf numFmtId="1" fontId="12" fillId="7" borderId="11" xfId="0" applyNumberFormat="1" applyFont="1" applyFill="1" applyBorder="1" applyAlignment="1">
      <alignment horizontal="center" vertical="center" wrapText="1"/>
    </xf>
    <xf numFmtId="1" fontId="12" fillId="7" borderId="0" xfId="0" applyNumberFormat="1" applyFont="1" applyFill="1" applyAlignment="1">
      <alignment horizontal="center" vertical="center" wrapText="1"/>
    </xf>
    <xf numFmtId="0" fontId="12" fillId="7" borderId="11"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24"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7" borderId="12" xfId="0" applyFont="1" applyFill="1" applyBorder="1" applyAlignment="1">
      <alignment horizontal="center" vertical="center" wrapText="1"/>
    </xf>
    <xf numFmtId="165" fontId="12" fillId="8" borderId="18" xfId="0" applyNumberFormat="1" applyFont="1" applyFill="1" applyBorder="1" applyAlignment="1">
      <alignment horizontal="center" vertical="center" wrapText="1"/>
    </xf>
    <xf numFmtId="165" fontId="12" fillId="8" borderId="25" xfId="0" applyNumberFormat="1"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8" borderId="25" xfId="0" applyFont="1" applyFill="1" applyBorder="1" applyAlignment="1">
      <alignment horizontal="center" vertical="center" wrapText="1"/>
    </xf>
    <xf numFmtId="3" fontId="15" fillId="9" borderId="6" xfId="0" applyNumberFormat="1"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35" xfId="0" applyFont="1" applyFill="1" applyBorder="1" applyAlignment="1">
      <alignment horizontal="center" vertical="center"/>
    </xf>
    <xf numFmtId="10" fontId="12" fillId="8" borderId="16" xfId="0" applyNumberFormat="1" applyFont="1" applyFill="1" applyBorder="1" applyAlignment="1">
      <alignment horizontal="center" vertical="center" wrapText="1"/>
    </xf>
    <xf numFmtId="10" fontId="12" fillId="8" borderId="23" xfId="0" applyNumberFormat="1" applyFont="1" applyFill="1" applyBorder="1" applyAlignment="1">
      <alignment horizontal="center" vertical="center" wrapText="1"/>
    </xf>
    <xf numFmtId="165" fontId="12" fillId="8" borderId="16" xfId="0" applyNumberFormat="1" applyFont="1" applyFill="1" applyBorder="1" applyAlignment="1">
      <alignment horizontal="center" vertical="center" wrapText="1"/>
    </xf>
    <xf numFmtId="165" fontId="12" fillId="8" borderId="23" xfId="0" applyNumberFormat="1" applyFont="1" applyFill="1" applyBorder="1" applyAlignment="1">
      <alignment horizontal="center" vertical="center" wrapText="1"/>
    </xf>
    <xf numFmtId="0" fontId="12" fillId="8" borderId="16" xfId="0" applyFont="1" applyFill="1" applyBorder="1" applyAlignment="1">
      <alignment horizontal="justify" vertical="center" wrapText="1"/>
    </xf>
    <xf numFmtId="0" fontId="12" fillId="8" borderId="23" xfId="0" applyFont="1" applyFill="1" applyBorder="1" applyAlignment="1">
      <alignment horizontal="justify" vertical="center" wrapText="1"/>
    </xf>
    <xf numFmtId="0" fontId="12" fillId="8" borderId="16"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1" fillId="0" borderId="0" xfId="0" applyFont="1" applyAlignment="1">
      <alignment horizontal="center" vertical="center"/>
    </xf>
    <xf numFmtId="0" fontId="11" fillId="0" borderId="24"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1" fontId="12" fillId="8" borderId="17" xfId="0" applyNumberFormat="1" applyFont="1" applyFill="1" applyBorder="1" applyAlignment="1">
      <alignment horizontal="center" vertical="center" wrapText="1"/>
    </xf>
    <xf numFmtId="1" fontId="12" fillId="8" borderId="24" xfId="0" applyNumberFormat="1"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35" fillId="26" borderId="18"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0" borderId="16" xfId="0" applyFont="1" applyBorder="1" applyAlignment="1">
      <alignment horizontal="left" vertical="center" wrapText="1"/>
    </xf>
    <xf numFmtId="0" fontId="35" fillId="0" borderId="80" xfId="0" applyFont="1" applyBorder="1" applyAlignment="1">
      <alignment horizontal="left"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167" fontId="8" fillId="7" borderId="6" xfId="0" applyNumberFormat="1" applyFont="1" applyFill="1" applyBorder="1" applyAlignment="1">
      <alignment horizontal="center" vertical="center"/>
    </xf>
    <xf numFmtId="167" fontId="8" fillId="7" borderId="18" xfId="0" applyNumberFormat="1" applyFont="1" applyFill="1" applyBorder="1" applyAlignment="1">
      <alignment horizontal="center" vertical="center"/>
    </xf>
    <xf numFmtId="14" fontId="20" fillId="7" borderId="6" xfId="0" applyNumberFormat="1" applyFont="1" applyFill="1" applyBorder="1" applyAlignment="1">
      <alignment horizontal="center" vertical="center"/>
    </xf>
    <xf numFmtId="0" fontId="20" fillId="7" borderId="6" xfId="0" applyFont="1" applyFill="1" applyBorder="1" applyAlignment="1">
      <alignment horizontal="center" vertical="center"/>
    </xf>
    <xf numFmtId="0" fontId="20" fillId="7" borderId="18" xfId="0" applyFont="1" applyFill="1" applyBorder="1" applyAlignment="1">
      <alignment horizontal="center" vertical="center"/>
    </xf>
    <xf numFmtId="14" fontId="20" fillId="7" borderId="18" xfId="0" applyNumberFormat="1" applyFont="1" applyFill="1" applyBorder="1" applyAlignment="1">
      <alignment horizontal="center" vertical="center"/>
    </xf>
    <xf numFmtId="14" fontId="20" fillId="7" borderId="25" xfId="0" applyNumberFormat="1" applyFont="1" applyFill="1" applyBorder="1" applyAlignment="1">
      <alignment horizontal="center" vertical="center"/>
    </xf>
    <xf numFmtId="49" fontId="8" fillId="7" borderId="6" xfId="0" applyNumberFormat="1" applyFont="1" applyFill="1" applyBorder="1" applyAlignment="1">
      <alignment horizontal="center" vertical="center"/>
    </xf>
    <xf numFmtId="49" fontId="8" fillId="7" borderId="18" xfId="0" applyNumberFormat="1" applyFont="1" applyFill="1" applyBorder="1" applyAlignment="1">
      <alignment horizontal="center" vertical="center"/>
    </xf>
    <xf numFmtId="49" fontId="20" fillId="7" borderId="18" xfId="0" applyNumberFormat="1" applyFont="1" applyFill="1" applyBorder="1" applyAlignment="1">
      <alignment horizontal="center" vertical="center"/>
    </xf>
    <xf numFmtId="49" fontId="20" fillId="7" borderId="25" xfId="0" applyNumberFormat="1" applyFont="1" applyFill="1" applyBorder="1" applyAlignment="1">
      <alignment horizontal="center" vertical="center"/>
    </xf>
    <xf numFmtId="167" fontId="8" fillId="7" borderId="17" xfId="0" applyNumberFormat="1" applyFont="1" applyFill="1" applyBorder="1" applyAlignment="1">
      <alignment horizontal="center" vertical="center"/>
    </xf>
    <xf numFmtId="9" fontId="20" fillId="7" borderId="18" xfId="13" applyFont="1" applyFill="1" applyBorder="1" applyAlignment="1">
      <alignment horizontal="center" vertical="center" wrapText="1"/>
    </xf>
    <xf numFmtId="9" fontId="20" fillId="7" borderId="25" xfId="13" applyFont="1" applyFill="1" applyBorder="1" applyAlignment="1">
      <alignment horizontal="center" vertical="center" wrapText="1"/>
    </xf>
    <xf numFmtId="3" fontId="20" fillId="7" borderId="6" xfId="0" applyNumberFormat="1" applyFont="1" applyFill="1" applyBorder="1" applyAlignment="1">
      <alignment horizontal="center" vertical="center" wrapText="1"/>
    </xf>
    <xf numFmtId="0" fontId="35" fillId="26" borderId="6" xfId="0" applyFont="1" applyFill="1" applyBorder="1" applyAlignment="1">
      <alignment horizontal="justify" vertical="center" wrapText="1"/>
    </xf>
    <xf numFmtId="0" fontId="35" fillId="26" borderId="27" xfId="0" applyFont="1" applyFill="1" applyBorder="1" applyAlignment="1">
      <alignment horizontal="left" vertical="center" wrapText="1"/>
    </xf>
    <xf numFmtId="1" fontId="28" fillId="12" borderId="6" xfId="0" applyNumberFormat="1" applyFont="1" applyFill="1" applyBorder="1" applyAlignment="1">
      <alignment horizontal="left" vertical="center" wrapText="1"/>
    </xf>
    <xf numFmtId="0" fontId="28" fillId="7" borderId="6" xfId="0" applyFont="1" applyFill="1" applyBorder="1" applyAlignment="1">
      <alignment horizontal="center" vertical="center"/>
    </xf>
    <xf numFmtId="0" fontId="28" fillId="7" borderId="18" xfId="0" applyFont="1" applyFill="1" applyBorder="1" applyAlignment="1">
      <alignment horizontal="center" vertical="center"/>
    </xf>
    <xf numFmtId="0" fontId="10" fillId="7" borderId="23" xfId="0" applyFont="1" applyFill="1" applyBorder="1" applyAlignment="1">
      <alignment horizontal="center" vertical="center" wrapText="1"/>
    </xf>
    <xf numFmtId="1" fontId="28" fillId="7" borderId="16" xfId="0" applyNumberFormat="1" applyFont="1" applyFill="1" applyBorder="1" applyAlignment="1">
      <alignment horizontal="center" vertical="center"/>
    </xf>
    <xf numFmtId="1" fontId="28" fillId="7" borderId="23" xfId="0" applyNumberFormat="1" applyFont="1" applyFill="1" applyBorder="1" applyAlignment="1">
      <alignment horizontal="center" vertical="center"/>
    </xf>
    <xf numFmtId="1" fontId="28" fillId="7" borderId="80" xfId="0" applyNumberFormat="1" applyFont="1" applyFill="1" applyBorder="1" applyAlignment="1">
      <alignment horizontal="center" vertical="center"/>
    </xf>
    <xf numFmtId="1" fontId="28" fillId="7" borderId="17" xfId="0" applyNumberFormat="1" applyFont="1" applyFill="1" applyBorder="1" applyAlignment="1">
      <alignment horizontal="center" vertical="center"/>
    </xf>
    <xf numFmtId="1" fontId="28" fillId="7" borderId="24" xfId="0" applyNumberFormat="1" applyFont="1" applyFill="1" applyBorder="1" applyAlignment="1">
      <alignment horizontal="center" vertical="center"/>
    </xf>
    <xf numFmtId="1" fontId="28" fillId="7" borderId="81" xfId="0" applyNumberFormat="1" applyFont="1" applyFill="1" applyBorder="1" applyAlignment="1">
      <alignment horizontal="center" vertical="center"/>
    </xf>
    <xf numFmtId="1" fontId="28" fillId="12" borderId="20" xfId="0" applyNumberFormat="1" applyFont="1" applyFill="1" applyBorder="1" applyAlignment="1">
      <alignment horizontal="left" vertical="center" wrapText="1"/>
    </xf>
    <xf numFmtId="1" fontId="28" fillId="12" borderId="18" xfId="0" applyNumberFormat="1" applyFont="1" applyFill="1" applyBorder="1" applyAlignment="1">
      <alignment horizontal="left" vertical="center" wrapText="1"/>
    </xf>
    <xf numFmtId="167" fontId="8" fillId="0" borderId="6" xfId="0" applyNumberFormat="1" applyFont="1" applyBorder="1" applyAlignment="1">
      <alignment horizontal="center" vertical="center"/>
    </xf>
    <xf numFmtId="166" fontId="20" fillId="7" borderId="6" xfId="0" applyNumberFormat="1" applyFont="1" applyFill="1" applyBorder="1" applyAlignment="1">
      <alignment horizontal="center" vertical="center" wrapText="1"/>
    </xf>
    <xf numFmtId="49" fontId="8" fillId="0" borderId="6" xfId="0" applyNumberFormat="1" applyFont="1" applyBorder="1" applyAlignment="1">
      <alignment horizontal="center" vertical="center"/>
    </xf>
    <xf numFmtId="3" fontId="20" fillId="0" borderId="6" xfId="0" applyNumberFormat="1" applyFont="1" applyBorder="1" applyAlignment="1">
      <alignment horizontal="center" vertical="center"/>
    </xf>
    <xf numFmtId="9" fontId="20" fillId="7" borderId="6" xfId="13" applyFont="1" applyFill="1" applyBorder="1" applyAlignment="1">
      <alignment horizontal="center" vertical="center" wrapText="1"/>
    </xf>
    <xf numFmtId="167" fontId="8" fillId="0" borderId="35" xfId="0" applyNumberFormat="1" applyFont="1" applyBorder="1" applyAlignment="1">
      <alignment horizontal="center" vertical="center"/>
    </xf>
    <xf numFmtId="0" fontId="20" fillId="7" borderId="20" xfId="0" applyFont="1" applyFill="1" applyBorder="1" applyAlignment="1">
      <alignment horizontal="center" vertical="center" wrapText="1"/>
    </xf>
    <xf numFmtId="0" fontId="20" fillId="7" borderId="35" xfId="0" applyFont="1" applyFill="1" applyBorder="1" applyAlignment="1">
      <alignment horizontal="center" vertical="center" wrapText="1"/>
    </xf>
    <xf numFmtId="0" fontId="20" fillId="7" borderId="83" xfId="0" applyFont="1" applyFill="1" applyBorder="1" applyAlignment="1">
      <alignment horizontal="center" vertical="center" wrapText="1"/>
    </xf>
    <xf numFmtId="0" fontId="20" fillId="7" borderId="84" xfId="0" applyFont="1" applyFill="1" applyBorder="1" applyAlignment="1">
      <alignment horizontal="center" vertical="center" wrapText="1"/>
    </xf>
    <xf numFmtId="1" fontId="28" fillId="7" borderId="16" xfId="0" applyNumberFormat="1" applyFont="1" applyFill="1" applyBorder="1" applyAlignment="1">
      <alignment horizontal="center" vertical="top"/>
    </xf>
    <xf numFmtId="1" fontId="28" fillId="7" borderId="23" xfId="0" applyNumberFormat="1" applyFont="1" applyFill="1" applyBorder="1" applyAlignment="1">
      <alignment horizontal="center" vertical="top"/>
    </xf>
    <xf numFmtId="1" fontId="28" fillId="7" borderId="12" xfId="0" applyNumberFormat="1" applyFont="1" applyFill="1" applyBorder="1" applyAlignment="1">
      <alignment horizontal="center" vertical="top"/>
    </xf>
    <xf numFmtId="1" fontId="28" fillId="7" borderId="19" xfId="0" applyNumberFormat="1" applyFont="1" applyFill="1" applyBorder="1" applyAlignment="1">
      <alignment horizontal="center" vertical="center" wrapText="1"/>
    </xf>
    <xf numFmtId="1" fontId="28" fillId="7" borderId="35" xfId="0" applyNumberFormat="1" applyFont="1" applyFill="1" applyBorder="1" applyAlignment="1">
      <alignment horizontal="center" vertical="center"/>
    </xf>
    <xf numFmtId="164" fontId="28" fillId="8" borderId="16" xfId="0" applyNumberFormat="1" applyFont="1" applyFill="1" applyBorder="1" applyAlignment="1">
      <alignment horizontal="center" vertical="center" wrapText="1"/>
    </xf>
    <xf numFmtId="164" fontId="28" fillId="8" borderId="12" xfId="0" applyNumberFormat="1" applyFont="1" applyFill="1" applyBorder="1" applyAlignment="1">
      <alignment horizontal="center" vertical="center" wrapText="1"/>
    </xf>
    <xf numFmtId="3" fontId="28" fillId="8" borderId="6" xfId="0" applyNumberFormat="1" applyFont="1" applyFill="1" applyBorder="1" applyAlignment="1">
      <alignment horizontal="center" vertical="center" wrapText="1"/>
    </xf>
    <xf numFmtId="0" fontId="28" fillId="8" borderId="6" xfId="0" applyFont="1" applyFill="1" applyBorder="1" applyAlignment="1">
      <alignment horizontal="center" vertical="center" wrapText="1"/>
    </xf>
    <xf numFmtId="0" fontId="28" fillId="8" borderId="12" xfId="0" applyFont="1" applyFill="1" applyBorder="1" applyAlignment="1">
      <alignment horizontal="center" vertical="center" wrapText="1"/>
    </xf>
    <xf numFmtId="0" fontId="28" fillId="0" borderId="16" xfId="0" applyFont="1" applyBorder="1" applyAlignment="1">
      <alignment horizontal="center" vertical="center"/>
    </xf>
    <xf numFmtId="0" fontId="31" fillId="0" borderId="18"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1" fontId="7" fillId="7" borderId="19" xfId="0" applyNumberFormat="1" applyFont="1" applyFill="1" applyBorder="1" applyAlignment="1" applyProtection="1">
      <alignment horizontal="center" vertical="center"/>
    </xf>
    <xf numFmtId="1" fontId="7" fillId="7" borderId="20" xfId="0" applyNumberFormat="1" applyFont="1" applyFill="1" applyBorder="1" applyAlignment="1" applyProtection="1">
      <alignment horizontal="center" vertical="center"/>
    </xf>
    <xf numFmtId="1" fontId="7" fillId="7" borderId="35" xfId="0" applyNumberFormat="1" applyFont="1" applyFill="1" applyBorder="1" applyAlignment="1" applyProtection="1">
      <alignment horizontal="center" vertical="center"/>
    </xf>
    <xf numFmtId="0" fontId="7" fillId="0" borderId="0" xfId="0" applyFont="1" applyAlignment="1" applyProtection="1">
      <alignment horizontal="left" wrapText="1"/>
    </xf>
    <xf numFmtId="1" fontId="31" fillId="0" borderId="18" xfId="0" applyNumberFormat="1" applyFont="1" applyBorder="1" applyAlignment="1" applyProtection="1">
      <alignment horizontal="center" vertical="center"/>
    </xf>
    <xf numFmtId="1" fontId="31" fillId="0" borderId="27" xfId="0" applyNumberFormat="1" applyFont="1" applyBorder="1" applyAlignment="1" applyProtection="1">
      <alignment horizontal="center" vertical="center"/>
    </xf>
    <xf numFmtId="0" fontId="31" fillId="0" borderId="18" xfId="0" applyFont="1" applyBorder="1" applyAlignment="1" applyProtection="1">
      <alignment horizontal="center" vertical="center"/>
    </xf>
    <xf numFmtId="0" fontId="31" fillId="0" borderId="27" xfId="0" applyFont="1" applyBorder="1" applyAlignment="1" applyProtection="1">
      <alignment horizontal="center" vertical="center"/>
    </xf>
    <xf numFmtId="14" fontId="31" fillId="0" borderId="18" xfId="0" applyNumberFormat="1" applyFont="1" applyFill="1" applyBorder="1" applyAlignment="1" applyProtection="1">
      <alignment horizontal="center" vertical="center"/>
    </xf>
    <xf numFmtId="14" fontId="31" fillId="0" borderId="27" xfId="0" applyNumberFormat="1" applyFont="1" applyFill="1" applyBorder="1" applyAlignment="1" applyProtection="1">
      <alignment horizontal="center" vertical="center"/>
    </xf>
    <xf numFmtId="1" fontId="8" fillId="7" borderId="18" xfId="0" applyNumberFormat="1" applyFont="1" applyFill="1" applyBorder="1" applyAlignment="1" applyProtection="1">
      <alignment horizontal="center" vertical="center"/>
    </xf>
    <xf numFmtId="1" fontId="8" fillId="7" borderId="27" xfId="0" applyNumberFormat="1" applyFont="1" applyFill="1" applyBorder="1" applyAlignment="1" applyProtection="1">
      <alignment horizontal="center" vertical="center"/>
    </xf>
    <xf numFmtId="0" fontId="8" fillId="7" borderId="18" xfId="0" applyFont="1" applyFill="1" applyBorder="1" applyAlignment="1" applyProtection="1">
      <alignment horizontal="center" vertical="center"/>
    </xf>
    <xf numFmtId="0" fontId="8" fillId="7" borderId="27" xfId="0" applyFont="1" applyFill="1" applyBorder="1" applyAlignment="1" applyProtection="1">
      <alignment horizontal="center" vertical="center"/>
    </xf>
    <xf numFmtId="0" fontId="8" fillId="7" borderId="18" xfId="0" applyFont="1" applyFill="1" applyBorder="1" applyAlignment="1" applyProtection="1">
      <alignment horizontal="center" vertical="center" wrapText="1"/>
    </xf>
    <xf numFmtId="0" fontId="8" fillId="7" borderId="27" xfId="0" applyFont="1" applyFill="1" applyBorder="1" applyAlignment="1" applyProtection="1">
      <alignment horizontal="center" vertical="center" wrapText="1"/>
    </xf>
    <xf numFmtId="9" fontId="8" fillId="7" borderId="18" xfId="12" applyFont="1" applyFill="1" applyBorder="1" applyAlignment="1" applyProtection="1">
      <alignment horizontal="center" vertical="center"/>
    </xf>
    <xf numFmtId="9" fontId="8" fillId="7" borderId="27" xfId="12" applyFont="1" applyFill="1" applyBorder="1" applyAlignment="1" applyProtection="1">
      <alignment horizontal="center" vertical="center"/>
    </xf>
    <xf numFmtId="43" fontId="8" fillId="7" borderId="18" xfId="11" applyFont="1" applyFill="1" applyBorder="1" applyAlignment="1" applyProtection="1">
      <alignment horizontal="center" vertical="center"/>
    </xf>
    <xf numFmtId="43" fontId="8" fillId="7" borderId="27" xfId="11" applyFont="1" applyFill="1" applyBorder="1" applyAlignment="1" applyProtection="1">
      <alignment horizontal="center" vertical="center"/>
    </xf>
    <xf numFmtId="0" fontId="8" fillId="7" borderId="18" xfId="0" applyFont="1" applyFill="1" applyBorder="1" applyAlignment="1" applyProtection="1">
      <alignment horizontal="left" vertical="center" wrapText="1"/>
    </xf>
    <xf numFmtId="0" fontId="8" fillId="7" borderId="27" xfId="0" applyFont="1" applyFill="1" applyBorder="1" applyAlignment="1" applyProtection="1">
      <alignment horizontal="left" vertical="center" wrapText="1"/>
    </xf>
    <xf numFmtId="14" fontId="31" fillId="0" borderId="25" xfId="0" applyNumberFormat="1" applyFont="1" applyFill="1" applyBorder="1" applyAlignment="1" applyProtection="1">
      <alignment horizontal="center" vertical="center"/>
    </xf>
    <xf numFmtId="0" fontId="31" fillId="0" borderId="25" xfId="0" applyFont="1" applyFill="1" applyBorder="1" applyAlignment="1" applyProtection="1">
      <alignment horizontal="center" vertical="center" wrapText="1"/>
    </xf>
    <xf numFmtId="1" fontId="7" fillId="7" borderId="6" xfId="0" applyNumberFormat="1"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0" fontId="8" fillId="7" borderId="11" xfId="0" applyFont="1" applyFill="1" applyBorder="1" applyAlignment="1" applyProtection="1">
      <alignment horizontal="center"/>
    </xf>
    <xf numFmtId="0" fontId="8" fillId="7" borderId="17" xfId="0" applyFont="1" applyFill="1" applyBorder="1" applyAlignment="1" applyProtection="1">
      <alignment horizontal="center"/>
    </xf>
    <xf numFmtId="0" fontId="8" fillId="7" borderId="9" xfId="0" applyFont="1" applyFill="1" applyBorder="1" applyAlignment="1" applyProtection="1">
      <alignment horizontal="center"/>
    </xf>
    <xf numFmtId="0" fontId="8" fillId="7" borderId="13" xfId="0" applyFont="1" applyFill="1" applyBorder="1" applyAlignment="1" applyProtection="1">
      <alignment horizontal="center"/>
    </xf>
    <xf numFmtId="0" fontId="8" fillId="0" borderId="18"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7" borderId="25" xfId="0" applyFont="1" applyFill="1" applyBorder="1" applyAlignment="1" applyProtection="1">
      <alignment horizontal="center" vertical="center"/>
    </xf>
    <xf numFmtId="0" fontId="8" fillId="7" borderId="23" xfId="0" applyFont="1" applyFill="1" applyBorder="1" applyAlignment="1" applyProtection="1">
      <alignment horizontal="center" vertical="center"/>
    </xf>
    <xf numFmtId="14" fontId="31" fillId="0" borderId="18" xfId="0" applyNumberFormat="1" applyFont="1" applyFill="1" applyBorder="1" applyAlignment="1" applyProtection="1">
      <alignment horizontal="center" vertical="center" wrapText="1"/>
    </xf>
    <xf numFmtId="14" fontId="31" fillId="0" borderId="25" xfId="0" applyNumberFormat="1" applyFont="1" applyFill="1" applyBorder="1" applyAlignment="1" applyProtection="1">
      <alignment horizontal="center" vertical="center" wrapText="1"/>
    </xf>
    <xf numFmtId="14" fontId="31" fillId="0" borderId="27" xfId="0" applyNumberFormat="1" applyFont="1" applyFill="1" applyBorder="1" applyAlignment="1" applyProtection="1">
      <alignment horizontal="center" vertical="center" wrapText="1"/>
    </xf>
    <xf numFmtId="0" fontId="8" fillId="7" borderId="6" xfId="0" applyFont="1" applyFill="1" applyBorder="1" applyAlignment="1" applyProtection="1">
      <alignment horizontal="left" vertical="center" wrapText="1"/>
    </xf>
    <xf numFmtId="43" fontId="8" fillId="7" borderId="25" xfId="11" applyFont="1" applyFill="1" applyBorder="1" applyAlignment="1" applyProtection="1">
      <alignment horizontal="center" vertical="center"/>
    </xf>
    <xf numFmtId="0" fontId="8" fillId="7" borderId="18" xfId="0" applyFont="1" applyFill="1" applyBorder="1" applyAlignment="1" applyProtection="1">
      <alignment horizontal="justify" vertical="center" wrapText="1"/>
    </xf>
    <xf numFmtId="0" fontId="8" fillId="7" borderId="25" xfId="0" applyFont="1" applyFill="1" applyBorder="1" applyAlignment="1" applyProtection="1">
      <alignment horizontal="justify" vertical="center" wrapText="1"/>
    </xf>
    <xf numFmtId="0" fontId="8" fillId="7" borderId="27" xfId="0" applyFont="1" applyFill="1" applyBorder="1" applyAlignment="1" applyProtection="1">
      <alignment horizontal="justify" vertical="center" wrapText="1"/>
    </xf>
    <xf numFmtId="43" fontId="8" fillId="0" borderId="18" xfId="11" applyFont="1" applyFill="1" applyBorder="1" applyAlignment="1" applyProtection="1">
      <alignment horizontal="center" vertical="center" wrapText="1"/>
    </xf>
    <xf numFmtId="43" fontId="8" fillId="0" borderId="27" xfId="11" applyFont="1" applyFill="1" applyBorder="1" applyAlignment="1" applyProtection="1">
      <alignment horizontal="center" vertical="center" wrapText="1"/>
    </xf>
    <xf numFmtId="1" fontId="8" fillId="7" borderId="6" xfId="0" applyNumberFormat="1" applyFont="1" applyFill="1" applyBorder="1" applyAlignment="1" applyProtection="1">
      <alignment horizontal="center" vertical="center" wrapText="1"/>
    </xf>
    <xf numFmtId="14" fontId="8" fillId="0" borderId="18" xfId="0" applyNumberFormat="1" applyFont="1" applyFill="1" applyBorder="1" applyAlignment="1" applyProtection="1">
      <alignment horizontal="center" vertical="center"/>
    </xf>
    <xf numFmtId="14" fontId="8" fillId="0" borderId="25" xfId="0" applyNumberFormat="1"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5" xfId="0" applyFont="1" applyBorder="1" applyAlignment="1" applyProtection="1">
      <alignment horizontal="center" vertical="center"/>
    </xf>
    <xf numFmtId="0" fontId="8" fillId="7" borderId="25" xfId="0" applyFont="1" applyFill="1" applyBorder="1" applyAlignment="1" applyProtection="1">
      <alignment horizontal="center" vertical="center" wrapText="1"/>
    </xf>
    <xf numFmtId="9" fontId="8" fillId="7" borderId="25" xfId="12" applyFont="1" applyFill="1" applyBorder="1" applyAlignment="1" applyProtection="1">
      <alignment horizontal="center" vertical="center"/>
    </xf>
    <xf numFmtId="14" fontId="31" fillId="0" borderId="18" xfId="0" applyNumberFormat="1" applyFont="1" applyFill="1" applyBorder="1" applyAlignment="1" applyProtection="1">
      <alignment horizontal="right" vertical="center" wrapText="1"/>
    </xf>
    <xf numFmtId="14" fontId="31" fillId="0" borderId="25" xfId="0" applyNumberFormat="1" applyFont="1" applyFill="1" applyBorder="1" applyAlignment="1" applyProtection="1">
      <alignment horizontal="right" vertical="center" wrapText="1"/>
    </xf>
    <xf numFmtId="14" fontId="31" fillId="0" borderId="27" xfId="0" applyNumberFormat="1" applyFont="1" applyFill="1" applyBorder="1" applyAlignment="1" applyProtection="1">
      <alignment horizontal="right" vertical="center" wrapText="1"/>
    </xf>
    <xf numFmtId="0" fontId="8" fillId="0" borderId="6" xfId="0" applyFont="1" applyBorder="1" applyAlignment="1" applyProtection="1">
      <alignment horizontal="justify" vertical="center" wrapText="1"/>
    </xf>
    <xf numFmtId="0" fontId="8" fillId="7" borderId="13" xfId="0" applyFont="1" applyFill="1" applyBorder="1" applyAlignment="1" applyProtection="1">
      <alignment horizontal="center" vertical="center"/>
    </xf>
    <xf numFmtId="0" fontId="8" fillId="7" borderId="6" xfId="0" applyFont="1" applyFill="1" applyBorder="1" applyAlignment="1" applyProtection="1">
      <alignment horizontal="center" vertical="center" wrapText="1"/>
    </xf>
    <xf numFmtId="0" fontId="8" fillId="7" borderId="6" xfId="0" applyFont="1" applyFill="1" applyBorder="1" applyAlignment="1" applyProtection="1">
      <alignment horizontal="justify" vertical="center" wrapText="1"/>
    </xf>
    <xf numFmtId="9" fontId="8" fillId="7" borderId="6" xfId="12" applyFont="1" applyFill="1" applyBorder="1" applyAlignment="1" applyProtection="1">
      <alignment horizontal="center" vertical="center" wrapText="1"/>
    </xf>
    <xf numFmtId="43" fontId="8" fillId="7" borderId="6" xfId="11" applyFont="1" applyFill="1" applyBorder="1" applyAlignment="1" applyProtection="1">
      <alignment vertical="center" wrapText="1"/>
    </xf>
    <xf numFmtId="0" fontId="8" fillId="7" borderId="6" xfId="0" applyFont="1" applyFill="1" applyBorder="1" applyAlignment="1" applyProtection="1">
      <alignment vertical="center" wrapText="1"/>
    </xf>
    <xf numFmtId="0" fontId="8" fillId="7" borderId="16" xfId="0" applyFont="1" applyFill="1" applyBorder="1" applyAlignment="1" applyProtection="1">
      <alignment horizontal="center" vertical="center"/>
    </xf>
    <xf numFmtId="0" fontId="8" fillId="7" borderId="11" xfId="0" applyFont="1" applyFill="1" applyBorder="1" applyAlignment="1" applyProtection="1">
      <alignment horizontal="center" vertical="center"/>
    </xf>
    <xf numFmtId="0" fontId="8" fillId="7" borderId="17"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8" fillId="7" borderId="24" xfId="0" applyFont="1" applyFill="1" applyBorder="1" applyAlignment="1" applyProtection="1">
      <alignment horizontal="center" vertical="center"/>
    </xf>
    <xf numFmtId="0" fontId="8" fillId="7" borderId="12" xfId="0" applyFont="1" applyFill="1" applyBorder="1" applyAlignment="1" applyProtection="1">
      <alignment horizontal="center" vertical="center"/>
    </xf>
    <xf numFmtId="0" fontId="8" fillId="7" borderId="9" xfId="0" applyFont="1" applyFill="1" applyBorder="1" applyAlignment="1" applyProtection="1">
      <alignment horizontal="center" vertical="center"/>
    </xf>
    <xf numFmtId="0" fontId="8" fillId="0" borderId="6" xfId="0" applyFont="1" applyBorder="1" applyAlignment="1" applyProtection="1">
      <alignment horizontal="center" vertical="center" wrapText="1"/>
    </xf>
    <xf numFmtId="3" fontId="8" fillId="0" borderId="6" xfId="0" applyNumberFormat="1" applyFont="1" applyBorder="1" applyAlignment="1" applyProtection="1">
      <alignment horizontal="center" vertical="center" wrapText="1"/>
    </xf>
    <xf numFmtId="43" fontId="8" fillId="0" borderId="18" xfId="11" applyFont="1" applyFill="1" applyBorder="1" applyAlignment="1" applyProtection="1">
      <alignment horizontal="center" vertical="center"/>
    </xf>
    <xf numFmtId="43" fontId="8" fillId="0" borderId="27" xfId="11" applyFont="1" applyFill="1" applyBorder="1" applyAlignment="1" applyProtection="1">
      <alignment horizontal="center" vertical="center"/>
    </xf>
    <xf numFmtId="43" fontId="8" fillId="7" borderId="25" xfId="11" applyFont="1" applyFill="1" applyBorder="1" applyAlignment="1" applyProtection="1">
      <alignment horizontal="center" vertical="center" wrapText="1"/>
    </xf>
    <xf numFmtId="0" fontId="8" fillId="0" borderId="18" xfId="0" applyFont="1" applyBorder="1" applyAlignment="1" applyProtection="1">
      <alignment horizontal="left" vertical="center" wrapText="1"/>
    </xf>
    <xf numFmtId="0" fontId="8" fillId="0" borderId="27" xfId="0" applyFont="1" applyBorder="1" applyAlignment="1" applyProtection="1">
      <alignment horizontal="left" vertical="center" wrapText="1"/>
    </xf>
    <xf numFmtId="3" fontId="8" fillId="0" borderId="18" xfId="0" applyNumberFormat="1" applyFont="1" applyBorder="1" applyAlignment="1" applyProtection="1">
      <alignment horizontal="center" vertical="center"/>
    </xf>
    <xf numFmtId="3" fontId="8" fillId="0" borderId="27" xfId="0" applyNumberFormat="1" applyFont="1" applyBorder="1" applyAlignment="1" applyProtection="1">
      <alignment horizontal="center" vertical="center"/>
    </xf>
    <xf numFmtId="1" fontId="31" fillId="0" borderId="6" xfId="0" applyNumberFormat="1"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1" fontId="8" fillId="0" borderId="6" xfId="0" applyNumberFormat="1" applyFont="1" applyBorder="1" applyAlignment="1" applyProtection="1">
      <alignment horizontal="center" vertical="center" wrapText="1"/>
    </xf>
    <xf numFmtId="1" fontId="8" fillId="0" borderId="6" xfId="0" applyNumberFormat="1" applyFont="1" applyBorder="1" applyAlignment="1" applyProtection="1">
      <alignment horizontal="center" vertical="center"/>
    </xf>
    <xf numFmtId="0" fontId="8" fillId="0" borderId="6" xfId="0" applyFont="1" applyBorder="1" applyAlignment="1" applyProtection="1">
      <alignment horizontal="center" vertical="center"/>
    </xf>
    <xf numFmtId="9" fontId="8" fillId="0" borderId="18" xfId="12" applyFont="1" applyBorder="1" applyAlignment="1" applyProtection="1">
      <alignment horizontal="center" vertical="center" wrapText="1"/>
    </xf>
    <xf numFmtId="9" fontId="8" fillId="0" borderId="25" xfId="12" applyFont="1" applyBorder="1" applyAlignment="1" applyProtection="1">
      <alignment horizontal="center" vertical="center" wrapText="1"/>
    </xf>
    <xf numFmtId="9" fontId="8" fillId="0" borderId="27" xfId="12" applyFont="1" applyBorder="1" applyAlignment="1" applyProtection="1">
      <alignment horizontal="center" vertical="center" wrapText="1"/>
    </xf>
    <xf numFmtId="43" fontId="8" fillId="0" borderId="6" xfId="11" applyFont="1" applyBorder="1" applyAlignment="1" applyProtection="1">
      <alignment horizontal="center" vertical="center"/>
    </xf>
    <xf numFmtId="0" fontId="8" fillId="0" borderId="6" xfId="0" applyFont="1" applyBorder="1" applyAlignment="1" applyProtection="1">
      <alignment horizontal="left" vertical="center" wrapText="1"/>
    </xf>
    <xf numFmtId="0" fontId="8" fillId="0" borderId="18" xfId="0" applyFont="1" applyBorder="1" applyAlignment="1" applyProtection="1">
      <alignment horizontal="justify" vertical="center" wrapText="1"/>
    </xf>
    <xf numFmtId="0" fontId="8" fillId="0" borderId="27" xfId="0" applyFont="1" applyBorder="1" applyAlignment="1" applyProtection="1">
      <alignment horizontal="justify" vertical="center" wrapText="1"/>
    </xf>
    <xf numFmtId="43" fontId="8" fillId="0" borderId="55" xfId="11" applyFont="1" applyFill="1" applyBorder="1" applyAlignment="1" applyProtection="1">
      <alignment horizontal="center" vertical="center"/>
    </xf>
    <xf numFmtId="43" fontId="8" fillId="0" borderId="56" xfId="11" applyFont="1" applyFill="1" applyBorder="1" applyAlignment="1" applyProtection="1">
      <alignment horizontal="center" vertical="center"/>
    </xf>
    <xf numFmtId="1" fontId="8" fillId="0" borderId="55" xfId="0" applyNumberFormat="1" applyFont="1" applyBorder="1" applyAlignment="1" applyProtection="1">
      <alignment horizontal="center" vertical="center" wrapText="1"/>
    </xf>
    <xf numFmtId="1" fontId="8" fillId="0" borderId="56" xfId="0" applyNumberFormat="1" applyFont="1" applyBorder="1" applyAlignment="1" applyProtection="1">
      <alignment horizontal="center" vertical="center" wrapText="1"/>
    </xf>
    <xf numFmtId="0" fontId="8" fillId="0" borderId="55" xfId="0" applyFont="1" applyBorder="1" applyAlignment="1" applyProtection="1">
      <alignment horizontal="left" vertical="center" wrapText="1"/>
    </xf>
    <xf numFmtId="0" fontId="8" fillId="0" borderId="56"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7" borderId="25" xfId="0" applyFont="1" applyFill="1" applyBorder="1" applyAlignment="1" applyProtection="1">
      <alignment horizontal="left" vertical="center" wrapText="1"/>
    </xf>
    <xf numFmtId="3" fontId="8" fillId="0" borderId="25" xfId="0" applyNumberFormat="1" applyFont="1" applyBorder="1" applyAlignment="1" applyProtection="1">
      <alignment horizontal="center" vertical="center"/>
    </xf>
    <xf numFmtId="9" fontId="8" fillId="7" borderId="18" xfId="12" applyFont="1" applyFill="1" applyBorder="1" applyAlignment="1" applyProtection="1">
      <alignment horizontal="center" vertical="center" wrapText="1"/>
    </xf>
    <xf numFmtId="9" fontId="8" fillId="7" borderId="25" xfId="12" applyFont="1" applyFill="1" applyBorder="1" applyAlignment="1" applyProtection="1">
      <alignment horizontal="center" vertical="center" wrapText="1"/>
    </xf>
    <xf numFmtId="9" fontId="8" fillId="7" borderId="27" xfId="12" applyFont="1" applyFill="1" applyBorder="1" applyAlignment="1" applyProtection="1">
      <alignment horizontal="center" vertical="center" wrapText="1"/>
    </xf>
    <xf numFmtId="0" fontId="8" fillId="0" borderId="23" xfId="0" applyFont="1" applyBorder="1" applyAlignment="1" applyProtection="1">
      <alignment horizontal="left" vertical="center" wrapText="1"/>
    </xf>
    <xf numFmtId="1" fontId="7" fillId="7" borderId="6" xfId="0" applyNumberFormat="1" applyFont="1" applyFill="1" applyBorder="1" applyAlignment="1" applyProtection="1">
      <alignment horizontal="center" vertical="center" wrapText="1"/>
    </xf>
    <xf numFmtId="0" fontId="7" fillId="7" borderId="25" xfId="0" applyFont="1" applyFill="1" applyBorder="1" applyAlignment="1" applyProtection="1">
      <alignment horizontal="center" vertical="center"/>
    </xf>
    <xf numFmtId="0" fontId="7" fillId="7" borderId="27" xfId="0" applyFont="1" applyFill="1" applyBorder="1" applyAlignment="1" applyProtection="1">
      <alignment horizontal="center" vertical="center"/>
    </xf>
    <xf numFmtId="43" fontId="8" fillId="7" borderId="18" xfId="11" applyFont="1" applyFill="1" applyBorder="1" applyAlignment="1" applyProtection="1">
      <alignment horizontal="center" vertical="center" wrapText="1"/>
    </xf>
    <xf numFmtId="43" fontId="8" fillId="7" borderId="27" xfId="11" applyFont="1" applyFill="1" applyBorder="1" applyAlignment="1" applyProtection="1">
      <alignment horizontal="center" vertical="center" wrapText="1"/>
    </xf>
    <xf numFmtId="0" fontId="8" fillId="7" borderId="17" xfId="0" applyFont="1" applyFill="1" applyBorder="1" applyAlignment="1" applyProtection="1">
      <alignment horizontal="center" vertical="center" wrapText="1"/>
    </xf>
    <xf numFmtId="0" fontId="8" fillId="7" borderId="24"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wrapText="1"/>
    </xf>
    <xf numFmtId="1" fontId="31" fillId="0" borderId="6" xfId="0" applyNumberFormat="1" applyFont="1" applyBorder="1" applyAlignment="1" applyProtection="1">
      <alignment horizontal="center" vertical="center"/>
    </xf>
    <xf numFmtId="0" fontId="31" fillId="0" borderId="6" xfId="0" applyFont="1" applyBorder="1" applyAlignment="1" applyProtection="1">
      <alignment horizontal="center" vertical="center"/>
    </xf>
    <xf numFmtId="14" fontId="8" fillId="0" borderId="18" xfId="0" applyNumberFormat="1" applyFont="1" applyFill="1" applyBorder="1" applyAlignment="1" applyProtection="1">
      <alignment horizontal="center" vertical="center" wrapText="1"/>
    </xf>
    <xf numFmtId="14" fontId="8" fillId="0" borderId="25" xfId="0" applyNumberFormat="1" applyFont="1" applyFill="1" applyBorder="1" applyAlignment="1" applyProtection="1">
      <alignment horizontal="center" vertical="center" wrapText="1"/>
    </xf>
    <xf numFmtId="14" fontId="8" fillId="0" borderId="27" xfId="0" applyNumberFormat="1" applyFont="1" applyFill="1" applyBorder="1" applyAlignment="1" applyProtection="1">
      <alignment horizontal="center" vertical="center" wrapText="1"/>
    </xf>
    <xf numFmtId="1" fontId="8" fillId="7" borderId="6" xfId="0" applyNumberFormat="1"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1" fontId="8" fillId="7" borderId="25" xfId="0" applyNumberFormat="1" applyFont="1" applyFill="1" applyBorder="1" applyAlignment="1" applyProtection="1">
      <alignment horizontal="center" vertical="center"/>
    </xf>
    <xf numFmtId="0" fontId="8" fillId="7" borderId="17" xfId="0" applyFont="1" applyFill="1" applyBorder="1" applyAlignment="1" applyProtection="1">
      <alignment horizontal="left" vertical="center"/>
    </xf>
    <xf numFmtId="0" fontId="8" fillId="7" borderId="24" xfId="0" applyFont="1" applyFill="1" applyBorder="1" applyAlignment="1" applyProtection="1">
      <alignment horizontal="left" vertical="center"/>
    </xf>
    <xf numFmtId="0" fontId="8" fillId="7" borderId="13" xfId="0" applyFont="1" applyFill="1" applyBorder="1" applyAlignment="1" applyProtection="1">
      <alignment horizontal="left" vertical="center"/>
    </xf>
    <xf numFmtId="0" fontId="31" fillId="0" borderId="25" xfId="0" applyFont="1" applyFill="1" applyBorder="1" applyAlignment="1" applyProtection="1">
      <alignment horizontal="center" vertical="center"/>
    </xf>
    <xf numFmtId="0" fontId="8" fillId="0" borderId="23" xfId="0" applyFont="1" applyBorder="1" applyAlignment="1" applyProtection="1">
      <alignment horizontal="justify" vertical="center" wrapText="1"/>
    </xf>
    <xf numFmtId="43" fontId="8" fillId="0" borderId="53" xfId="11" applyFont="1" applyFill="1" applyBorder="1" applyAlignment="1" applyProtection="1">
      <alignment horizontal="center" vertical="center" wrapText="1"/>
    </xf>
    <xf numFmtId="0" fontId="8" fillId="7" borderId="53" xfId="0" applyFont="1" applyFill="1" applyBorder="1" applyAlignment="1" applyProtection="1">
      <alignment horizontal="center" vertical="center"/>
    </xf>
    <xf numFmtId="0" fontId="8" fillId="7" borderId="53" xfId="0" applyFont="1" applyFill="1" applyBorder="1" applyAlignment="1" applyProtection="1">
      <alignment horizontal="left" vertical="center"/>
    </xf>
    <xf numFmtId="1" fontId="8" fillId="0" borderId="18" xfId="0" applyNumberFormat="1" applyFont="1" applyBorder="1" applyAlignment="1" applyProtection="1">
      <alignment horizontal="center" vertical="center" wrapText="1"/>
    </xf>
    <xf numFmtId="1" fontId="8" fillId="0" borderId="27" xfId="0" applyNumberFormat="1"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24" xfId="0" applyFont="1" applyBorder="1" applyAlignment="1" applyProtection="1">
      <alignment horizontal="center" vertical="center" wrapText="1"/>
    </xf>
    <xf numFmtId="10" fontId="31" fillId="0" borderId="18" xfId="0" applyNumberFormat="1" applyFont="1" applyBorder="1" applyAlignment="1" applyProtection="1">
      <alignment horizontal="center" vertical="center"/>
    </xf>
    <xf numFmtId="10" fontId="31" fillId="0" borderId="27" xfId="0" applyNumberFormat="1" applyFont="1" applyBorder="1" applyAlignment="1" applyProtection="1">
      <alignment horizontal="center" vertical="center"/>
    </xf>
    <xf numFmtId="1" fontId="8" fillId="0" borderId="25" xfId="0" applyNumberFormat="1" applyFont="1" applyBorder="1" applyAlignment="1" applyProtection="1">
      <alignment horizontal="center" vertical="center"/>
    </xf>
    <xf numFmtId="1" fontId="31" fillId="0" borderId="25" xfId="0" applyNumberFormat="1" applyFont="1" applyBorder="1" applyAlignment="1" applyProtection="1">
      <alignment horizontal="center" vertical="center"/>
    </xf>
    <xf numFmtId="0" fontId="31" fillId="0" borderId="25" xfId="0" applyFont="1" applyBorder="1" applyAlignment="1" applyProtection="1">
      <alignment horizontal="center" vertical="center"/>
    </xf>
    <xf numFmtId="9" fontId="8" fillId="7" borderId="53" xfId="12" applyFont="1" applyFill="1" applyBorder="1" applyAlignment="1" applyProtection="1">
      <alignment horizontal="center" vertical="center"/>
    </xf>
    <xf numFmtId="43" fontId="8" fillId="7" borderId="24" xfId="11" applyFont="1" applyFill="1" applyBorder="1" applyAlignment="1" applyProtection="1">
      <alignment horizontal="center" vertical="center"/>
    </xf>
    <xf numFmtId="0" fontId="8" fillId="7" borderId="23" xfId="0" applyFont="1" applyFill="1" applyBorder="1" applyAlignment="1" applyProtection="1">
      <alignment horizontal="justify" vertical="center" wrapText="1"/>
    </xf>
    <xf numFmtId="0" fontId="8" fillId="7" borderId="53" xfId="0" applyFont="1" applyFill="1" applyBorder="1" applyAlignment="1" applyProtection="1">
      <alignment horizontal="left" vertical="center" wrapText="1"/>
    </xf>
    <xf numFmtId="9" fontId="8" fillId="7" borderId="57" xfId="12" applyFont="1" applyFill="1" applyBorder="1" applyAlignment="1" applyProtection="1">
      <alignment horizontal="center" vertical="center"/>
    </xf>
    <xf numFmtId="3" fontId="8" fillId="0" borderId="6" xfId="0" applyNumberFormat="1" applyFont="1" applyBorder="1" applyAlignment="1" applyProtection="1">
      <alignment horizontal="center" vertical="center"/>
    </xf>
    <xf numFmtId="0" fontId="8" fillId="7" borderId="16" xfId="0" applyFont="1" applyFill="1" applyBorder="1" applyAlignment="1" applyProtection="1">
      <alignment horizontal="justify" vertical="center" wrapText="1"/>
    </xf>
    <xf numFmtId="0" fontId="8" fillId="0" borderId="18"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8" fillId="0" borderId="25" xfId="0" applyFont="1" applyBorder="1" applyAlignment="1" applyProtection="1">
      <alignment horizontal="left" vertical="center" wrapText="1"/>
    </xf>
    <xf numFmtId="3" fontId="8" fillId="0" borderId="18" xfId="0" applyNumberFormat="1" applyFont="1" applyBorder="1" applyAlignment="1" applyProtection="1">
      <alignment horizontal="center" vertical="center" wrapText="1"/>
    </xf>
    <xf numFmtId="3" fontId="8" fillId="0" borderId="25" xfId="0" applyNumberFormat="1" applyFont="1" applyBorder="1" applyAlignment="1" applyProtection="1">
      <alignment horizontal="center" vertical="center" wrapText="1"/>
    </xf>
    <xf numFmtId="3" fontId="8" fillId="0" borderId="27" xfId="0" applyNumberFormat="1" applyFont="1" applyBorder="1" applyAlignment="1" applyProtection="1">
      <alignment horizontal="center" vertical="center" wrapText="1"/>
    </xf>
    <xf numFmtId="10" fontId="8" fillId="0" borderId="18" xfId="12" applyNumberFormat="1" applyFont="1" applyBorder="1" applyAlignment="1" applyProtection="1">
      <alignment horizontal="center" vertical="center" wrapText="1"/>
    </xf>
    <xf numFmtId="10" fontId="8" fillId="0" borderId="25" xfId="12" applyNumberFormat="1" applyFont="1" applyBorder="1" applyAlignment="1" applyProtection="1">
      <alignment horizontal="center" vertical="center" wrapText="1"/>
    </xf>
    <xf numFmtId="10" fontId="8" fillId="0" borderId="27" xfId="12" applyNumberFormat="1" applyFont="1" applyBorder="1" applyAlignment="1" applyProtection="1">
      <alignment horizontal="center" vertical="center" wrapText="1"/>
    </xf>
    <xf numFmtId="0" fontId="8" fillId="0" borderId="25" xfId="0" applyFont="1" applyBorder="1" applyAlignment="1" applyProtection="1">
      <alignment horizontal="justify" vertical="center" wrapText="1"/>
    </xf>
    <xf numFmtId="10" fontId="8" fillId="0" borderId="18" xfId="12" applyNumberFormat="1" applyFont="1" applyBorder="1" applyAlignment="1" applyProtection="1">
      <alignment horizontal="center" vertical="center"/>
    </xf>
    <xf numFmtId="10" fontId="8" fillId="0" borderId="25" xfId="12" applyNumberFormat="1" applyFont="1" applyBorder="1" applyAlignment="1" applyProtection="1">
      <alignment horizontal="center" vertical="center"/>
    </xf>
    <xf numFmtId="10" fontId="8" fillId="0" borderId="27" xfId="12" applyNumberFormat="1" applyFont="1" applyBorder="1" applyAlignment="1" applyProtection="1">
      <alignment horizontal="center" vertical="center"/>
    </xf>
    <xf numFmtId="0" fontId="8" fillId="0" borderId="18" xfId="0" applyFont="1" applyBorder="1" applyAlignment="1" applyProtection="1">
      <alignment vertical="center" wrapText="1"/>
    </xf>
    <xf numFmtId="0" fontId="8" fillId="0" borderId="27" xfId="0" applyFont="1" applyBorder="1" applyAlignment="1" applyProtection="1">
      <alignment vertical="center" wrapText="1"/>
    </xf>
    <xf numFmtId="1" fontId="8" fillId="0" borderId="18" xfId="0" applyNumberFormat="1" applyFont="1" applyBorder="1" applyAlignment="1" applyProtection="1">
      <alignment horizontal="center" vertical="center"/>
    </xf>
    <xf numFmtId="1" fontId="8" fillId="0" borderId="27" xfId="0" applyNumberFormat="1" applyFont="1" applyBorder="1" applyAlignment="1" applyProtection="1">
      <alignment horizontal="center" vertical="center"/>
    </xf>
    <xf numFmtId="43" fontId="8" fillId="0" borderId="25" xfId="11" applyFont="1" applyBorder="1" applyAlignment="1" applyProtection="1">
      <alignment horizontal="center" vertical="center"/>
    </xf>
    <xf numFmtId="0" fontId="8" fillId="0" borderId="0" xfId="0" applyFont="1" applyAlignment="1" applyProtection="1">
      <alignment horizontal="center"/>
    </xf>
    <xf numFmtId="0" fontId="8" fillId="0" borderId="24" xfId="0" applyFont="1" applyBorder="1" applyAlignment="1" applyProtection="1">
      <alignment horizontal="center"/>
    </xf>
    <xf numFmtId="0" fontId="8" fillId="0" borderId="18" xfId="0" applyFont="1" applyBorder="1" applyAlignment="1" applyProtection="1">
      <alignment horizontal="left" vertical="center"/>
    </xf>
    <xf numFmtId="0" fontId="8" fillId="0" borderId="27" xfId="0" applyFont="1" applyBorder="1" applyAlignment="1" applyProtection="1">
      <alignment horizontal="left" vertical="center"/>
    </xf>
    <xf numFmtId="0" fontId="8" fillId="0" borderId="25" xfId="0" applyFont="1" applyFill="1" applyBorder="1" applyAlignment="1" applyProtection="1">
      <alignment horizontal="center" vertical="center" wrapText="1"/>
    </xf>
    <xf numFmtId="0" fontId="8" fillId="7" borderId="18" xfId="0" applyFont="1" applyFill="1" applyBorder="1" applyAlignment="1" applyProtection="1">
      <alignment horizontal="left" vertical="center"/>
    </xf>
    <xf numFmtId="0" fontId="8" fillId="7" borderId="27" xfId="0" applyFont="1" applyFill="1" applyBorder="1" applyAlignment="1" applyProtection="1">
      <alignment horizontal="left" vertical="center"/>
    </xf>
    <xf numFmtId="0" fontId="8" fillId="7" borderId="16" xfId="0" applyFont="1" applyFill="1" applyBorder="1" applyAlignment="1" applyProtection="1">
      <alignment horizontal="left" vertical="center" wrapText="1"/>
    </xf>
    <xf numFmtId="0" fontId="8" fillId="7" borderId="12" xfId="0" applyFont="1" applyFill="1" applyBorder="1" applyAlignment="1" applyProtection="1">
      <alignment horizontal="left" vertical="center" wrapText="1"/>
    </xf>
    <xf numFmtId="0" fontId="8" fillId="0" borderId="53" xfId="0" applyFont="1" applyBorder="1" applyAlignment="1" applyProtection="1">
      <alignment horizontal="left" vertical="center" wrapText="1"/>
    </xf>
    <xf numFmtId="1" fontId="8" fillId="7" borderId="17" xfId="0" applyNumberFormat="1" applyFont="1" applyFill="1" applyBorder="1" applyAlignment="1" applyProtection="1">
      <alignment horizontal="center" vertical="center"/>
    </xf>
    <xf numFmtId="1" fontId="8" fillId="7" borderId="24" xfId="0" applyNumberFormat="1" applyFont="1" applyFill="1" applyBorder="1" applyAlignment="1" applyProtection="1">
      <alignment horizontal="center" vertical="center"/>
    </xf>
    <xf numFmtId="1" fontId="8" fillId="7" borderId="13" xfId="0" applyNumberFormat="1" applyFont="1" applyFill="1" applyBorder="1" applyAlignment="1" applyProtection="1">
      <alignment horizontal="center" vertical="center"/>
    </xf>
    <xf numFmtId="9" fontId="8" fillId="7" borderId="6" xfId="12" applyFont="1" applyFill="1" applyBorder="1" applyAlignment="1" applyProtection="1">
      <alignment horizontal="center" vertical="center"/>
    </xf>
    <xf numFmtId="43" fontId="8" fillId="7" borderId="6" xfId="11" applyFont="1" applyFill="1" applyBorder="1" applyAlignment="1" applyProtection="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1" fontId="8" fillId="7" borderId="16" xfId="0" applyNumberFormat="1" applyFont="1" applyFill="1" applyBorder="1" applyAlignment="1" applyProtection="1">
      <alignment horizontal="center" vertical="center" wrapText="1"/>
    </xf>
    <xf numFmtId="1" fontId="8" fillId="7" borderId="11" xfId="0" applyNumberFormat="1" applyFont="1" applyFill="1" applyBorder="1" applyAlignment="1" applyProtection="1">
      <alignment horizontal="center" vertical="center" wrapText="1"/>
    </xf>
    <xf numFmtId="1" fontId="8" fillId="7" borderId="17" xfId="0" applyNumberFormat="1" applyFont="1" applyFill="1" applyBorder="1" applyAlignment="1" applyProtection="1">
      <alignment horizontal="center" vertical="center" wrapText="1"/>
    </xf>
    <xf numFmtId="1" fontId="8" fillId="7" borderId="23" xfId="0" applyNumberFormat="1" applyFont="1" applyFill="1" applyBorder="1" applyAlignment="1" applyProtection="1">
      <alignment horizontal="center" vertical="center" wrapText="1"/>
    </xf>
    <xf numFmtId="1" fontId="8" fillId="7" borderId="0" xfId="0" applyNumberFormat="1" applyFont="1" applyFill="1" applyBorder="1" applyAlignment="1" applyProtection="1">
      <alignment horizontal="center" vertical="center" wrapText="1"/>
    </xf>
    <xf numFmtId="1" fontId="8" fillId="7" borderId="24" xfId="0" applyNumberFormat="1" applyFont="1" applyFill="1" applyBorder="1" applyAlignment="1" applyProtection="1">
      <alignment horizontal="center" vertical="center" wrapText="1"/>
    </xf>
    <xf numFmtId="1" fontId="8" fillId="7" borderId="12" xfId="0" applyNumberFormat="1" applyFont="1" applyFill="1" applyBorder="1" applyAlignment="1" applyProtection="1">
      <alignment horizontal="center" vertical="center" wrapText="1"/>
    </xf>
    <xf numFmtId="1" fontId="8" fillId="7" borderId="9" xfId="0" applyNumberFormat="1" applyFont="1" applyFill="1" applyBorder="1" applyAlignment="1" applyProtection="1">
      <alignment horizontal="center" vertical="center" wrapText="1"/>
    </xf>
    <xf numFmtId="1" fontId="8" fillId="7" borderId="13" xfId="0" applyNumberFormat="1" applyFont="1" applyFill="1" applyBorder="1" applyAlignment="1" applyProtection="1">
      <alignment horizontal="center" vertical="center" wrapText="1"/>
    </xf>
    <xf numFmtId="0" fontId="8" fillId="7" borderId="16" xfId="0" applyFont="1" applyFill="1" applyBorder="1" applyAlignment="1" applyProtection="1">
      <alignment horizontal="center" vertical="center" wrapText="1"/>
    </xf>
    <xf numFmtId="0" fontId="8" fillId="7" borderId="11" xfId="0" applyFont="1" applyFill="1" applyBorder="1" applyAlignment="1" applyProtection="1">
      <alignment horizontal="center" vertical="center" wrapText="1"/>
    </xf>
    <xf numFmtId="0" fontId="8" fillId="7" borderId="23" xfId="0" applyFont="1" applyFill="1" applyBorder="1" applyAlignment="1" applyProtection="1">
      <alignment horizontal="center" vertical="center" wrapText="1"/>
    </xf>
    <xf numFmtId="0" fontId="8" fillId="7" borderId="0" xfId="0" applyFont="1" applyFill="1" applyBorder="1" applyAlignment="1" applyProtection="1">
      <alignment horizontal="center" vertical="center" wrapText="1"/>
    </xf>
    <xf numFmtId="0" fontId="8" fillId="7" borderId="12" xfId="0" applyFont="1" applyFill="1" applyBorder="1" applyAlignment="1" applyProtection="1">
      <alignment horizontal="center" vertical="center" wrapText="1"/>
    </xf>
    <xf numFmtId="0" fontId="8" fillId="7" borderId="9"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24" xfId="0" applyFont="1" applyBorder="1" applyAlignment="1" applyProtection="1">
      <alignment horizontal="center" vertical="center"/>
    </xf>
    <xf numFmtId="10" fontId="8" fillId="7" borderId="18" xfId="3" applyNumberFormat="1" applyFont="1" applyFill="1" applyBorder="1" applyAlignment="1" applyProtection="1">
      <alignment horizontal="center" vertical="center"/>
    </xf>
    <xf numFmtId="10" fontId="8" fillId="7" borderId="25" xfId="3" applyNumberFormat="1" applyFont="1" applyFill="1" applyBorder="1" applyAlignment="1" applyProtection="1">
      <alignment horizontal="center" vertical="center"/>
    </xf>
    <xf numFmtId="10" fontId="8" fillId="7" borderId="27" xfId="3" applyNumberFormat="1" applyFont="1" applyFill="1" applyBorder="1" applyAlignment="1" applyProtection="1">
      <alignment horizontal="center" vertical="center"/>
    </xf>
    <xf numFmtId="0" fontId="8" fillId="7" borderId="57" xfId="0" applyFont="1" applyFill="1" applyBorder="1" applyAlignment="1" applyProtection="1">
      <alignment horizontal="left" vertical="center" wrapText="1"/>
    </xf>
    <xf numFmtId="10" fontId="8" fillId="7" borderId="6" xfId="3" applyNumberFormat="1" applyFont="1" applyFill="1" applyBorder="1" applyAlignment="1" applyProtection="1">
      <alignment horizontal="center" vertical="center"/>
    </xf>
    <xf numFmtId="0" fontId="8" fillId="7" borderId="18" xfId="0" applyFont="1" applyFill="1" applyBorder="1" applyAlignment="1" applyProtection="1">
      <alignment vertical="center" wrapText="1"/>
    </xf>
    <xf numFmtId="0" fontId="8" fillId="7" borderId="27" xfId="0" applyFont="1" applyFill="1" applyBorder="1" applyAlignment="1" applyProtection="1">
      <alignment vertical="center" wrapText="1"/>
    </xf>
    <xf numFmtId="175" fontId="8" fillId="7" borderId="18" xfId="0" applyNumberFormat="1" applyFont="1" applyFill="1" applyBorder="1" applyAlignment="1" applyProtection="1">
      <alignment horizontal="center" vertical="center" wrapText="1"/>
    </xf>
    <xf numFmtId="175" fontId="8" fillId="7" borderId="25" xfId="0" applyNumberFormat="1" applyFont="1" applyFill="1" applyBorder="1" applyAlignment="1" applyProtection="1">
      <alignment horizontal="center" vertical="center" wrapText="1"/>
    </xf>
    <xf numFmtId="175" fontId="8" fillId="7" borderId="27" xfId="0" applyNumberFormat="1" applyFont="1" applyFill="1" applyBorder="1" applyAlignment="1" applyProtection="1">
      <alignment horizontal="center" vertical="center" wrapText="1"/>
    </xf>
    <xf numFmtId="0" fontId="8" fillId="0" borderId="53" xfId="0" applyFont="1" applyBorder="1" applyAlignment="1" applyProtection="1">
      <alignment horizontal="justify" vertical="center" wrapText="1"/>
    </xf>
    <xf numFmtId="14" fontId="8" fillId="0" borderId="27" xfId="0" applyNumberFormat="1" applyFont="1" applyFill="1" applyBorder="1" applyAlignment="1" applyProtection="1">
      <alignment horizontal="center" vertical="center"/>
    </xf>
    <xf numFmtId="175" fontId="8" fillId="7" borderId="18" xfId="0" applyNumberFormat="1" applyFont="1" applyFill="1" applyBorder="1" applyAlignment="1" applyProtection="1">
      <alignment horizontal="center" vertical="center"/>
    </xf>
    <xf numFmtId="175" fontId="8" fillId="7" borderId="25" xfId="0" applyNumberFormat="1" applyFont="1" applyFill="1" applyBorder="1" applyAlignment="1" applyProtection="1">
      <alignment horizontal="center" vertical="center"/>
    </xf>
    <xf numFmtId="175" fontId="8" fillId="7" borderId="27" xfId="0" applyNumberFormat="1" applyFont="1" applyFill="1" applyBorder="1" applyAlignment="1" applyProtection="1">
      <alignment horizontal="center" vertical="center"/>
    </xf>
    <xf numFmtId="41" fontId="8" fillId="0" borderId="53" xfId="0" applyNumberFormat="1" applyFont="1" applyBorder="1" applyAlignment="1" applyProtection="1">
      <alignment horizontal="left" vertical="center"/>
    </xf>
    <xf numFmtId="0" fontId="8" fillId="0" borderId="53" xfId="0" applyFont="1" applyBorder="1" applyAlignment="1" applyProtection="1">
      <alignment horizontal="justify" vertical="center"/>
    </xf>
    <xf numFmtId="4" fontId="8" fillId="0" borderId="53" xfId="11" applyNumberFormat="1" applyFont="1" applyFill="1" applyBorder="1" applyAlignment="1" applyProtection="1">
      <alignment horizontal="right" vertical="center"/>
    </xf>
    <xf numFmtId="164" fontId="30" fillId="8" borderId="16" xfId="0" applyNumberFormat="1" applyFont="1" applyFill="1" applyBorder="1" applyAlignment="1" applyProtection="1">
      <alignment horizontal="center" vertical="center" wrapText="1"/>
    </xf>
    <xf numFmtId="164" fontId="30" fillId="8" borderId="12" xfId="0" applyNumberFormat="1" applyFont="1" applyFill="1" applyBorder="1" applyAlignment="1" applyProtection="1">
      <alignment horizontal="center" vertical="center" wrapText="1"/>
    </xf>
    <xf numFmtId="3" fontId="7" fillId="8" borderId="18" xfId="0" applyNumberFormat="1" applyFont="1" applyFill="1" applyBorder="1" applyAlignment="1" applyProtection="1">
      <alignment horizontal="center" vertical="center" wrapText="1"/>
    </xf>
    <xf numFmtId="3" fontId="7" fillId="8" borderId="27" xfId="0" applyNumberFormat="1" applyFont="1" applyFill="1" applyBorder="1" applyAlignment="1" applyProtection="1">
      <alignment horizontal="center" vertical="center" wrapText="1"/>
    </xf>
    <xf numFmtId="0" fontId="7" fillId="8" borderId="6" xfId="0" applyFont="1" applyFill="1" applyBorder="1" applyAlignment="1" applyProtection="1">
      <alignment horizontal="center" vertical="center" wrapText="1"/>
    </xf>
    <xf numFmtId="3" fontId="30" fillId="9" borderId="20" xfId="0" applyNumberFormat="1" applyFont="1" applyFill="1" applyBorder="1" applyAlignment="1" applyProtection="1">
      <alignment horizontal="center" vertical="center" wrapText="1"/>
    </xf>
    <xf numFmtId="0" fontId="30" fillId="9" borderId="19" xfId="0" applyFont="1" applyFill="1" applyBorder="1" applyAlignment="1" applyProtection="1">
      <alignment horizontal="center" vertical="center" wrapText="1"/>
    </xf>
    <xf numFmtId="0" fontId="30" fillId="9" borderId="20" xfId="0" applyFont="1" applyFill="1" applyBorder="1" applyAlignment="1" applyProtection="1">
      <alignment horizontal="center" vertical="center" wrapText="1"/>
    </xf>
    <xf numFmtId="0" fontId="30" fillId="9" borderId="19" xfId="0" applyFont="1" applyFill="1" applyBorder="1" applyAlignment="1" applyProtection="1">
      <alignment horizontal="center" vertical="center"/>
    </xf>
    <xf numFmtId="0" fontId="30" fillId="9" borderId="20" xfId="0" applyFont="1" applyFill="1" applyBorder="1" applyAlignment="1" applyProtection="1">
      <alignment horizontal="center" vertical="center"/>
    </xf>
    <xf numFmtId="0" fontId="30" fillId="9" borderId="6" xfId="0" applyFont="1" applyFill="1" applyBorder="1" applyAlignment="1" applyProtection="1">
      <alignment horizontal="center" vertical="center" wrapText="1"/>
    </xf>
    <xf numFmtId="0" fontId="30" fillId="9" borderId="16" xfId="0" applyFont="1" applyFill="1" applyBorder="1" applyAlignment="1" applyProtection="1">
      <alignment horizontal="center" vertical="center" textRotation="90"/>
    </xf>
    <xf numFmtId="0" fontId="30" fillId="9" borderId="12" xfId="0" applyFont="1" applyFill="1" applyBorder="1" applyAlignment="1" applyProtection="1">
      <alignment horizontal="center" vertical="center" textRotation="90"/>
    </xf>
    <xf numFmtId="170" fontId="7" fillId="8" borderId="6" xfId="0" applyNumberFormat="1" applyFont="1" applyFill="1" applyBorder="1" applyAlignment="1" applyProtection="1">
      <alignment horizontal="center" vertical="center" wrapText="1"/>
    </xf>
    <xf numFmtId="1" fontId="7" fillId="8" borderId="6" xfId="0" applyNumberFormat="1" applyFont="1" applyFill="1" applyBorder="1" applyAlignment="1" applyProtection="1">
      <alignment horizontal="center" vertical="center" wrapText="1"/>
    </xf>
    <xf numFmtId="0" fontId="7" fillId="8" borderId="16" xfId="0" applyFont="1" applyFill="1" applyBorder="1" applyAlignment="1" applyProtection="1">
      <alignment horizontal="center" vertical="center" wrapText="1"/>
    </xf>
    <xf numFmtId="0" fontId="7" fillId="8" borderId="23" xfId="0" applyFont="1" applyFill="1" applyBorder="1" applyAlignment="1" applyProtection="1">
      <alignment horizontal="center" vertical="center" wrapText="1"/>
    </xf>
    <xf numFmtId="0" fontId="29" fillId="0" borderId="0" xfId="0" applyFont="1" applyAlignment="1" applyProtection="1">
      <alignment horizontal="center" vertical="center" wrapText="1"/>
    </xf>
    <xf numFmtId="0" fontId="29" fillId="0" borderId="9" xfId="0" applyFont="1" applyBorder="1" applyAlignment="1" applyProtection="1">
      <alignment horizontal="center"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6" xfId="0" applyFont="1" applyBorder="1" applyAlignment="1" applyProtection="1">
      <alignment horizontal="center" vertical="center"/>
    </xf>
    <xf numFmtId="0" fontId="16" fillId="0" borderId="16" xfId="0" applyFont="1" applyBorder="1" applyAlignment="1">
      <alignment horizontal="left" vertical="center" wrapText="1"/>
    </xf>
    <xf numFmtId="0" fontId="16" fillId="0" borderId="12" xfId="0" applyFont="1" applyBorder="1" applyAlignment="1">
      <alignment horizontal="left" vertical="center" wrapText="1"/>
    </xf>
    <xf numFmtId="0" fontId="12" fillId="0" borderId="6" xfId="0" applyFont="1" applyBorder="1" applyAlignment="1">
      <alignment horizontal="center" vertical="center" wrapText="1"/>
    </xf>
    <xf numFmtId="0" fontId="12" fillId="0" borderId="27" xfId="0" applyFont="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left" wrapText="1"/>
    </xf>
    <xf numFmtId="0" fontId="34" fillId="0" borderId="18"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16" xfId="0" applyFont="1" applyBorder="1" applyAlignment="1">
      <alignment horizontal="left" vertical="center" wrapText="1"/>
    </xf>
    <xf numFmtId="0" fontId="34" fillId="0" borderId="12" xfId="0" applyFont="1" applyBorder="1" applyAlignment="1">
      <alignment horizontal="left" vertical="center" wrapText="1"/>
    </xf>
    <xf numFmtId="0" fontId="13" fillId="0" borderId="60" xfId="0" applyFont="1" applyBorder="1" applyAlignment="1">
      <alignment horizontal="center" vertical="center" wrapText="1"/>
    </xf>
    <xf numFmtId="0" fontId="13" fillId="0" borderId="6" xfId="0" applyFont="1" applyBorder="1" applyAlignment="1">
      <alignment horizontal="center" vertical="center" wrapText="1"/>
    </xf>
    <xf numFmtId="0" fontId="34" fillId="0" borderId="54" xfId="0" applyFont="1" applyBorder="1" applyAlignment="1">
      <alignment horizontal="center" vertical="center" wrapText="1"/>
    </xf>
    <xf numFmtId="175" fontId="13" fillId="0" borderId="18" xfId="3" applyNumberFormat="1" applyFont="1" applyBorder="1" applyAlignment="1">
      <alignment horizontal="center" vertical="center"/>
    </xf>
    <xf numFmtId="175" fontId="13" fillId="0" borderId="27" xfId="3" applyNumberFormat="1" applyFont="1" applyBorder="1" applyAlignment="1">
      <alignment horizontal="center" vertical="center"/>
    </xf>
    <xf numFmtId="0" fontId="13" fillId="0" borderId="25" xfId="0" applyFont="1" applyFill="1" applyBorder="1" applyAlignment="1">
      <alignment horizontal="center"/>
    </xf>
    <xf numFmtId="0" fontId="13" fillId="0" borderId="27" xfId="0" applyFont="1" applyFill="1" applyBorder="1" applyAlignment="1">
      <alignment horizontal="center"/>
    </xf>
    <xf numFmtId="0" fontId="13" fillId="0" borderId="25" xfId="0" applyFont="1" applyFill="1" applyBorder="1" applyAlignment="1">
      <alignment horizontal="center" vertical="center"/>
    </xf>
    <xf numFmtId="0" fontId="13" fillId="0" borderId="27" xfId="0" applyFont="1" applyFill="1" applyBorder="1" applyAlignment="1">
      <alignment horizontal="center" vertical="center"/>
    </xf>
    <xf numFmtId="14" fontId="16" fillId="0" borderId="6" xfId="0" applyNumberFormat="1" applyFont="1" applyBorder="1" applyAlignment="1">
      <alignment horizontal="center" vertical="center"/>
    </xf>
    <xf numFmtId="0" fontId="13" fillId="0" borderId="18" xfId="0" applyFont="1" applyFill="1" applyBorder="1" applyAlignment="1">
      <alignment horizont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3" xfId="0" applyFont="1" applyFill="1" applyBorder="1" applyAlignment="1">
      <alignment horizontal="center" vertical="center"/>
    </xf>
    <xf numFmtId="177" fontId="13" fillId="0" borderId="24" xfId="0" applyNumberFormat="1" applyFont="1" applyBorder="1" applyAlignment="1">
      <alignment horizontal="center" vertical="center" wrapText="1"/>
    </xf>
    <xf numFmtId="177" fontId="13" fillId="0" borderId="13" xfId="0" applyNumberFormat="1" applyFont="1" applyBorder="1" applyAlignment="1">
      <alignment horizontal="center" vertical="center" wrapText="1"/>
    </xf>
    <xf numFmtId="0" fontId="34" fillId="0" borderId="25" xfId="0" applyFont="1" applyBorder="1" applyAlignment="1">
      <alignment horizontal="justify" vertical="center" wrapText="1"/>
    </xf>
    <xf numFmtId="0" fontId="34" fillId="0" borderId="27" xfId="0" applyFont="1" applyBorder="1" applyAlignment="1">
      <alignment horizontal="justify" vertical="center" wrapText="1"/>
    </xf>
    <xf numFmtId="175" fontId="13" fillId="0" borderId="25" xfId="3" applyNumberFormat="1" applyFont="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18" xfId="0" applyFont="1" applyBorder="1" applyAlignment="1">
      <alignment horizontal="justify" vertical="center" wrapText="1"/>
    </xf>
    <xf numFmtId="1" fontId="34" fillId="0" borderId="16" xfId="0" applyNumberFormat="1" applyFont="1" applyBorder="1" applyAlignment="1">
      <alignment horizontal="center" vertical="center" wrapText="1"/>
    </xf>
    <xf numFmtId="1" fontId="34" fillId="0" borderId="23" xfId="0" applyNumberFormat="1" applyFont="1" applyBorder="1" applyAlignment="1">
      <alignment horizontal="center" vertical="center" wrapText="1"/>
    </xf>
    <xf numFmtId="0" fontId="34" fillId="7" borderId="18" xfId="0" applyFont="1" applyFill="1" applyBorder="1" applyAlignment="1">
      <alignment horizontal="center" vertical="center" wrapText="1"/>
    </xf>
    <xf numFmtId="0" fontId="34" fillId="7" borderId="25" xfId="0"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27" xfId="0" applyFont="1" applyBorder="1" applyAlignment="1">
      <alignment horizontal="left" vertical="center" wrapText="1"/>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7" borderId="18" xfId="0" applyFont="1" applyFill="1" applyBorder="1" applyAlignment="1">
      <alignment horizontal="center" vertical="center"/>
    </xf>
    <xf numFmtId="0" fontId="16" fillId="7" borderId="25" xfId="0" applyFont="1" applyFill="1" applyBorder="1" applyAlignment="1">
      <alignment horizontal="center" vertical="center"/>
    </xf>
    <xf numFmtId="0" fontId="16" fillId="7" borderId="27" xfId="0" applyFont="1" applyFill="1" applyBorder="1" applyAlignment="1">
      <alignment horizontal="center" vertical="center"/>
    </xf>
    <xf numFmtId="0" fontId="34" fillId="7" borderId="18" xfId="0" applyFont="1" applyFill="1" applyBorder="1" applyAlignment="1">
      <alignment horizontal="justify" vertical="center" wrapText="1"/>
    </xf>
    <xf numFmtId="0" fontId="34" fillId="7" borderId="25" xfId="0" applyFont="1" applyFill="1" applyBorder="1" applyAlignment="1">
      <alignment horizontal="justify" vertical="center" wrapText="1"/>
    </xf>
    <xf numFmtId="0" fontId="34" fillId="7" borderId="27" xfId="0" applyFont="1" applyFill="1" applyBorder="1" applyAlignment="1">
      <alignment horizontal="justify" vertical="center" wrapText="1"/>
    </xf>
    <xf numFmtId="43" fontId="34" fillId="7" borderId="6" xfId="1" applyFont="1" applyFill="1" applyBorder="1" applyAlignment="1">
      <alignment horizontal="center" vertical="center" wrapText="1"/>
    </xf>
    <xf numFmtId="43" fontId="34" fillId="0" borderId="6" xfId="1" applyFont="1" applyBorder="1" applyAlignment="1">
      <alignment horizontal="justify" vertical="center" wrapText="1"/>
    </xf>
    <xf numFmtId="167" fontId="16" fillId="7" borderId="17" xfId="6" applyNumberFormat="1" applyFont="1" applyFill="1" applyBorder="1" applyAlignment="1">
      <alignment horizontal="center" vertical="center"/>
    </xf>
    <xf numFmtId="167" fontId="16" fillId="7" borderId="24" xfId="6" applyNumberFormat="1" applyFont="1" applyFill="1" applyBorder="1" applyAlignment="1">
      <alignment horizontal="center" vertical="center"/>
    </xf>
    <xf numFmtId="167" fontId="16" fillId="7" borderId="13" xfId="6" applyNumberFormat="1" applyFont="1" applyFill="1" applyBorder="1" applyAlignment="1">
      <alignment horizontal="center" vertical="center"/>
    </xf>
    <xf numFmtId="0" fontId="34" fillId="0" borderId="17"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13" xfId="0" applyFont="1" applyBorder="1" applyAlignment="1">
      <alignment horizontal="center" vertical="center" wrapText="1"/>
    </xf>
    <xf numFmtId="177" fontId="13" fillId="7" borderId="25" xfId="0" applyNumberFormat="1" applyFont="1" applyFill="1" applyBorder="1" applyAlignment="1">
      <alignment horizontal="center" vertical="center" wrapText="1"/>
    </xf>
    <xf numFmtId="177" fontId="13" fillId="7" borderId="27" xfId="0" applyNumberFormat="1" applyFont="1" applyFill="1" applyBorder="1" applyAlignment="1">
      <alignment horizontal="center" vertical="center" wrapText="1"/>
    </xf>
    <xf numFmtId="43" fontId="13" fillId="7" borderId="6" xfId="1" applyFont="1" applyFill="1" applyBorder="1" applyAlignment="1">
      <alignment horizontal="center" vertical="center"/>
    </xf>
    <xf numFmtId="3" fontId="16" fillId="0" borderId="18" xfId="0" applyNumberFormat="1" applyFont="1" applyFill="1" applyBorder="1" applyAlignment="1">
      <alignment horizontal="center" vertical="center"/>
    </xf>
    <xf numFmtId="3" fontId="16" fillId="0" borderId="25" xfId="0" applyNumberFormat="1" applyFont="1" applyFill="1" applyBorder="1" applyAlignment="1">
      <alignment horizontal="center" vertical="center"/>
    </xf>
    <xf numFmtId="3" fontId="16" fillId="0" borderId="27" xfId="0" applyNumberFormat="1" applyFont="1" applyFill="1" applyBorder="1" applyAlignment="1">
      <alignment horizontal="center" vertical="center"/>
    </xf>
    <xf numFmtId="167" fontId="16" fillId="0" borderId="18" xfId="0" applyNumberFormat="1" applyFont="1" applyFill="1" applyBorder="1" applyAlignment="1">
      <alignment horizontal="center" vertical="center"/>
    </xf>
    <xf numFmtId="167" fontId="16" fillId="0" borderId="25" xfId="0" applyNumberFormat="1" applyFont="1" applyFill="1" applyBorder="1" applyAlignment="1">
      <alignment horizontal="center" vertical="center"/>
    </xf>
    <xf numFmtId="167" fontId="16" fillId="0" borderId="27" xfId="0" applyNumberFormat="1" applyFont="1" applyFill="1" applyBorder="1" applyAlignment="1">
      <alignment horizontal="center" vertical="center"/>
    </xf>
    <xf numFmtId="167" fontId="16" fillId="0" borderId="18" xfId="6" applyNumberFormat="1" applyFont="1" applyFill="1" applyBorder="1" applyAlignment="1">
      <alignment horizontal="center" vertical="center"/>
    </xf>
    <xf numFmtId="167" fontId="16" fillId="0" borderId="25" xfId="6" applyNumberFormat="1" applyFont="1" applyFill="1" applyBorder="1" applyAlignment="1">
      <alignment horizontal="center" vertical="center"/>
    </xf>
    <xf numFmtId="167" fontId="16" fillId="0" borderId="27" xfId="6" applyNumberFormat="1" applyFont="1" applyFill="1" applyBorder="1" applyAlignment="1">
      <alignment horizontal="center" vertical="center"/>
    </xf>
    <xf numFmtId="167" fontId="16" fillId="0" borderId="17" xfId="0" applyNumberFormat="1" applyFont="1" applyFill="1" applyBorder="1" applyAlignment="1">
      <alignment horizontal="center" vertical="center"/>
    </xf>
    <xf numFmtId="167" fontId="16" fillId="0" borderId="24" xfId="0" applyNumberFormat="1" applyFont="1" applyFill="1" applyBorder="1" applyAlignment="1">
      <alignment horizontal="center" vertical="center"/>
    </xf>
    <xf numFmtId="167" fontId="16" fillId="0" borderId="13" xfId="0" applyNumberFormat="1" applyFont="1" applyFill="1" applyBorder="1" applyAlignment="1">
      <alignment horizontal="center" vertical="center"/>
    </xf>
    <xf numFmtId="43" fontId="34" fillId="0" borderId="6" xfId="1" applyFont="1" applyBorder="1" applyAlignment="1">
      <alignment horizontal="center" vertical="center" wrapText="1"/>
    </xf>
    <xf numFmtId="14" fontId="16" fillId="0" borderId="18" xfId="0" applyNumberFormat="1" applyFont="1" applyBorder="1" applyAlignment="1">
      <alignment horizontal="center" vertical="center" wrapText="1"/>
    </xf>
    <xf numFmtId="14" fontId="16" fillId="0" borderId="25" xfId="0" applyNumberFormat="1" applyFont="1" applyBorder="1" applyAlignment="1">
      <alignment horizontal="center" vertical="center" wrapText="1"/>
    </xf>
    <xf numFmtId="14" fontId="16" fillId="0" borderId="27" xfId="0" applyNumberFormat="1" applyFont="1" applyBorder="1" applyAlignment="1">
      <alignment horizontal="center" vertical="center" wrapText="1"/>
    </xf>
    <xf numFmtId="1" fontId="13" fillId="7" borderId="6" xfId="4" applyNumberFormat="1" applyFont="1" applyFill="1" applyBorder="1" applyAlignment="1">
      <alignment horizontal="center" vertical="center" wrapText="1"/>
    </xf>
    <xf numFmtId="176" fontId="13" fillId="7" borderId="18" xfId="0" applyNumberFormat="1" applyFont="1" applyFill="1" applyBorder="1" applyAlignment="1">
      <alignment horizontal="center" vertical="center" wrapText="1"/>
    </xf>
    <xf numFmtId="176" fontId="13" fillId="7" borderId="25" xfId="0" applyNumberFormat="1" applyFont="1" applyFill="1" applyBorder="1" applyAlignment="1">
      <alignment horizontal="center" vertical="center" wrapText="1"/>
    </xf>
    <xf numFmtId="176" fontId="13" fillId="7" borderId="27" xfId="0" applyNumberFormat="1" applyFont="1" applyFill="1" applyBorder="1" applyAlignment="1">
      <alignment horizontal="center" vertical="center" wrapText="1"/>
    </xf>
    <xf numFmtId="177" fontId="13" fillId="7" borderId="18" xfId="0" applyNumberFormat="1"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8" xfId="15" applyFont="1" applyBorder="1" applyAlignment="1">
      <alignment horizontal="justify" vertical="center" wrapText="1"/>
    </xf>
    <xf numFmtId="0" fontId="16" fillId="0" borderId="25" xfId="15" applyFont="1" applyBorder="1" applyAlignment="1">
      <alignment horizontal="justify" vertical="center" wrapText="1"/>
    </xf>
    <xf numFmtId="0" fontId="16" fillId="0" borderId="27" xfId="15" applyFont="1" applyBorder="1" applyAlignment="1">
      <alignment horizontal="justify" vertical="center" wrapText="1"/>
    </xf>
    <xf numFmtId="0" fontId="16" fillId="0" borderId="13" xfId="0" applyFont="1" applyFill="1" applyBorder="1" applyAlignment="1">
      <alignment horizontal="center" vertical="center" wrapText="1"/>
    </xf>
    <xf numFmtId="0" fontId="16" fillId="0" borderId="6" xfId="15" applyFont="1" applyBorder="1" applyAlignment="1">
      <alignment horizontal="justify" vertical="center" wrapText="1"/>
    </xf>
    <xf numFmtId="1" fontId="16" fillId="7" borderId="6" xfId="0" applyNumberFormat="1" applyFont="1" applyFill="1" applyBorder="1" applyAlignment="1">
      <alignment horizontal="center" vertical="center" wrapText="1"/>
    </xf>
    <xf numFmtId="0" fontId="34" fillId="7" borderId="6" xfId="0" applyFont="1" applyFill="1" applyBorder="1" applyAlignment="1">
      <alignment horizontal="justify" vertical="center" wrapText="1"/>
    </xf>
    <xf numFmtId="1" fontId="16" fillId="7" borderId="27" xfId="0" applyNumberFormat="1" applyFont="1" applyFill="1" applyBorder="1" applyAlignment="1">
      <alignment horizontal="center" vertical="center" wrapText="1"/>
    </xf>
    <xf numFmtId="3" fontId="16" fillId="0" borderId="18" xfId="6" applyNumberFormat="1" applyFont="1" applyFill="1" applyBorder="1" applyAlignment="1">
      <alignment horizontal="center" vertical="center"/>
    </xf>
    <xf numFmtId="3" fontId="16" fillId="0" borderId="27" xfId="6" applyNumberFormat="1" applyFont="1" applyFill="1" applyBorder="1" applyAlignment="1">
      <alignment horizontal="center" vertical="center"/>
    </xf>
    <xf numFmtId="3" fontId="16" fillId="0" borderId="17" xfId="6" applyNumberFormat="1" applyFont="1" applyFill="1" applyBorder="1" applyAlignment="1">
      <alignment horizontal="center" vertical="center"/>
    </xf>
    <xf numFmtId="3" fontId="16" fillId="0" borderId="13" xfId="6" applyNumberFormat="1" applyFont="1" applyFill="1" applyBorder="1" applyAlignment="1">
      <alignment horizontal="center" vertical="center"/>
    </xf>
    <xf numFmtId="0" fontId="34" fillId="0" borderId="35" xfId="0" applyFont="1" applyBorder="1" applyAlignment="1">
      <alignment horizontal="center" vertical="center" wrapText="1"/>
    </xf>
    <xf numFmtId="1" fontId="13" fillId="7" borderId="6" xfId="16" applyNumberFormat="1" applyFont="1" applyFill="1" applyBorder="1" applyAlignment="1">
      <alignment horizontal="center" vertical="center" wrapText="1"/>
    </xf>
    <xf numFmtId="0" fontId="13" fillId="0" borderId="35" xfId="0" applyFont="1" applyFill="1" applyBorder="1" applyAlignment="1">
      <alignment horizontal="center" vertical="center"/>
    </xf>
    <xf numFmtId="0" fontId="13" fillId="0" borderId="6" xfId="0" applyFont="1" applyFill="1" applyBorder="1" applyAlignment="1">
      <alignment horizontal="center" vertical="center"/>
    </xf>
    <xf numFmtId="43" fontId="34" fillId="0" borderId="6" xfId="1" applyFont="1" applyFill="1" applyBorder="1" applyAlignment="1">
      <alignment horizontal="center" vertical="center" wrapText="1"/>
    </xf>
    <xf numFmtId="14" fontId="16" fillId="0" borderId="16" xfId="0" applyNumberFormat="1" applyFont="1" applyBorder="1" applyAlignment="1">
      <alignment horizontal="center" vertical="center"/>
    </xf>
    <xf numFmtId="14" fontId="16" fillId="0" borderId="23" xfId="0" applyNumberFormat="1" applyFont="1" applyBorder="1" applyAlignment="1">
      <alignment horizontal="center" vertical="center"/>
    </xf>
    <xf numFmtId="177" fontId="13" fillId="0" borderId="6" xfId="2" applyNumberFormat="1" applyFont="1" applyFill="1" applyBorder="1" applyAlignment="1">
      <alignment horizontal="center" vertical="center"/>
    </xf>
    <xf numFmtId="177" fontId="13" fillId="0" borderId="18" xfId="2" applyNumberFormat="1" applyFont="1" applyFill="1" applyBorder="1" applyAlignment="1">
      <alignment horizontal="center" vertical="center"/>
    </xf>
    <xf numFmtId="177" fontId="13" fillId="0" borderId="6" xfId="0" applyNumberFormat="1" applyFont="1" applyFill="1" applyBorder="1" applyAlignment="1">
      <alignment horizontal="center" vertical="center"/>
    </xf>
    <xf numFmtId="177" fontId="13" fillId="0" borderId="35" xfId="2" applyNumberFormat="1" applyFont="1" applyFill="1" applyBorder="1" applyAlignment="1">
      <alignment horizontal="center" vertical="center"/>
    </xf>
    <xf numFmtId="177" fontId="13" fillId="0" borderId="17" xfId="2" applyNumberFormat="1" applyFont="1" applyFill="1" applyBorder="1" applyAlignment="1">
      <alignment horizontal="center" vertical="center"/>
    </xf>
    <xf numFmtId="43" fontId="16" fillId="7" borderId="18" xfId="5" applyFont="1" applyFill="1" applyBorder="1" applyAlignment="1">
      <alignment horizontal="justify" vertical="center" wrapText="1"/>
    </xf>
    <xf numFmtId="43" fontId="16" fillId="7" borderId="25" xfId="5" applyFont="1" applyFill="1" applyBorder="1" applyAlignment="1">
      <alignment horizontal="justify" vertical="center" wrapText="1"/>
    </xf>
    <xf numFmtId="10" fontId="13" fillId="0" borderId="18" xfId="3" applyNumberFormat="1" applyFont="1" applyBorder="1" applyAlignment="1">
      <alignment horizontal="center" vertical="center"/>
    </xf>
    <xf numFmtId="10" fontId="13" fillId="0" borderId="25" xfId="3" applyNumberFormat="1" applyFont="1" applyBorder="1" applyAlignment="1">
      <alignment horizontal="center" vertical="center"/>
    </xf>
    <xf numFmtId="10" fontId="13" fillId="0" borderId="27" xfId="3" applyNumberFormat="1" applyFont="1" applyBorder="1" applyAlignment="1">
      <alignment horizontal="center" vertical="center"/>
    </xf>
    <xf numFmtId="14" fontId="16" fillId="7" borderId="27" xfId="0" applyNumberFormat="1" applyFont="1" applyFill="1" applyBorder="1" applyAlignment="1">
      <alignment horizontal="center" vertical="center"/>
    </xf>
    <xf numFmtId="0" fontId="16" fillId="7" borderId="6" xfId="0" applyFont="1" applyFill="1" applyBorder="1" applyAlignment="1">
      <alignment horizontal="center" vertical="center"/>
    </xf>
    <xf numFmtId="49" fontId="16" fillId="7" borderId="18" xfId="15" applyNumberFormat="1" applyFont="1" applyFill="1" applyBorder="1" applyAlignment="1">
      <alignment horizontal="center" vertical="center" wrapText="1"/>
    </xf>
    <xf numFmtId="49" fontId="16" fillId="7" borderId="25" xfId="15" applyNumberFormat="1" applyFont="1" applyFill="1" applyBorder="1" applyAlignment="1">
      <alignment horizontal="center" vertical="center" wrapText="1"/>
    </xf>
    <xf numFmtId="0" fontId="16" fillId="7" borderId="17" xfId="0" applyFont="1" applyFill="1" applyBorder="1" applyAlignment="1">
      <alignment horizontal="center" vertical="center"/>
    </xf>
    <xf numFmtId="0" fontId="16" fillId="7" borderId="24" xfId="0" applyFont="1" applyFill="1" applyBorder="1" applyAlignment="1">
      <alignment horizontal="center" vertical="center"/>
    </xf>
    <xf numFmtId="1" fontId="16" fillId="7" borderId="18" xfId="0" applyNumberFormat="1" applyFont="1" applyFill="1" applyBorder="1" applyAlignment="1">
      <alignment horizontal="center" vertical="center"/>
    </xf>
    <xf numFmtId="1" fontId="16" fillId="7" borderId="25" xfId="0" applyNumberFormat="1" applyFont="1" applyFill="1" applyBorder="1" applyAlignment="1">
      <alignment horizontal="center" vertical="center"/>
    </xf>
    <xf numFmtId="10" fontId="13" fillId="7" borderId="18" xfId="3" applyNumberFormat="1" applyFont="1" applyFill="1" applyBorder="1" applyAlignment="1">
      <alignment horizontal="center" vertical="center"/>
    </xf>
    <xf numFmtId="10" fontId="13" fillId="7" borderId="25" xfId="3" applyNumberFormat="1" applyFont="1" applyFill="1" applyBorder="1" applyAlignment="1">
      <alignment horizontal="center" vertical="center"/>
    </xf>
    <xf numFmtId="0" fontId="13" fillId="0" borderId="24" xfId="0" applyFont="1" applyBorder="1" applyAlignment="1">
      <alignment horizontal="justify" vertical="center" wrapText="1"/>
    </xf>
    <xf numFmtId="0" fontId="13" fillId="0" borderId="13" xfId="0" applyFont="1" applyBorder="1" applyAlignment="1">
      <alignment horizontal="justify" vertical="center" wrapText="1"/>
    </xf>
    <xf numFmtId="0" fontId="34" fillId="0" borderId="6" xfId="0" applyFont="1" applyBorder="1" applyAlignment="1">
      <alignment horizontal="justify" vertical="center" wrapText="1"/>
    </xf>
    <xf numFmtId="178" fontId="16" fillId="0" borderId="6" xfId="0" applyNumberFormat="1" applyFont="1" applyBorder="1" applyAlignment="1">
      <alignment horizontal="center" vertical="center"/>
    </xf>
    <xf numFmtId="167" fontId="16" fillId="7" borderId="35" xfId="6" applyNumberFormat="1" applyFont="1" applyFill="1" applyBorder="1" applyAlignment="1">
      <alignment horizontal="center" vertical="center"/>
    </xf>
    <xf numFmtId="167" fontId="16" fillId="7" borderId="6" xfId="6" applyNumberFormat="1" applyFont="1" applyFill="1" applyBorder="1" applyAlignment="1">
      <alignment horizontal="center" vertical="center"/>
    </xf>
    <xf numFmtId="1" fontId="16" fillId="7" borderId="6" xfId="0" applyNumberFormat="1" applyFont="1" applyFill="1" applyBorder="1" applyAlignment="1">
      <alignment horizontal="center" vertical="center"/>
    </xf>
    <xf numFmtId="0" fontId="34" fillId="7" borderId="11" xfId="0" applyFont="1" applyFill="1" applyBorder="1" applyAlignment="1">
      <alignment horizontal="justify" vertical="center" wrapText="1"/>
    </xf>
    <xf numFmtId="0" fontId="34" fillId="7" borderId="0" xfId="0" applyFont="1" applyFill="1" applyAlignment="1">
      <alignment horizontal="justify" vertical="center" wrapText="1"/>
    </xf>
    <xf numFmtId="0" fontId="34" fillId="7" borderId="9" xfId="0" applyFont="1" applyFill="1" applyBorder="1" applyAlignment="1">
      <alignment horizontal="justify" vertical="center" wrapText="1"/>
    </xf>
    <xf numFmtId="0" fontId="34" fillId="7" borderId="19" xfId="0" applyFont="1" applyFill="1" applyBorder="1" applyAlignment="1">
      <alignment horizontal="justify" vertical="center" wrapText="1"/>
    </xf>
    <xf numFmtId="0" fontId="13" fillId="0" borderId="17" xfId="0" applyFont="1" applyBorder="1" applyAlignment="1">
      <alignment horizontal="justify" vertical="center" wrapText="1"/>
    </xf>
    <xf numFmtId="0" fontId="34" fillId="0" borderId="17" xfId="0" applyFont="1" applyBorder="1" applyAlignment="1">
      <alignment horizontal="justify" vertical="center" wrapText="1"/>
    </xf>
    <xf numFmtId="0" fontId="34" fillId="0" borderId="24" xfId="0" applyFont="1" applyBorder="1" applyAlignment="1">
      <alignment horizontal="justify" vertical="center" wrapText="1"/>
    </xf>
    <xf numFmtId="176" fontId="13" fillId="7" borderId="6" xfId="0" applyNumberFormat="1" applyFont="1" applyFill="1" applyBorder="1" applyAlignment="1">
      <alignment horizontal="center" vertical="center" wrapText="1"/>
    </xf>
    <xf numFmtId="177" fontId="13" fillId="0" borderId="18" xfId="0" applyNumberFormat="1" applyFont="1" applyBorder="1" applyAlignment="1">
      <alignment horizontal="center" vertical="center" wrapText="1"/>
    </xf>
    <xf numFmtId="177" fontId="13" fillId="0" borderId="25" xfId="0" applyNumberFormat="1" applyFont="1" applyBorder="1" applyAlignment="1">
      <alignment horizontal="center" vertical="center" wrapText="1"/>
    </xf>
    <xf numFmtId="177" fontId="13" fillId="0" borderId="27" xfId="0" applyNumberFormat="1" applyFont="1" applyBorder="1" applyAlignment="1">
      <alignment horizontal="center" vertical="center" wrapText="1"/>
    </xf>
    <xf numFmtId="0" fontId="13" fillId="7" borderId="6" xfId="0" applyFont="1" applyFill="1" applyBorder="1" applyAlignment="1">
      <alignment horizontal="center" vertical="center"/>
    </xf>
    <xf numFmtId="178" fontId="16" fillId="0" borderId="25" xfId="0" applyNumberFormat="1" applyFont="1" applyBorder="1" applyAlignment="1">
      <alignment horizontal="center" vertical="center"/>
    </xf>
    <xf numFmtId="178" fontId="16" fillId="0" borderId="18" xfId="0" applyNumberFormat="1" applyFont="1" applyBorder="1" applyAlignment="1">
      <alignment horizontal="center" vertical="center"/>
    </xf>
    <xf numFmtId="0" fontId="13" fillId="0" borderId="23" xfId="0" applyFont="1" applyBorder="1" applyAlignment="1">
      <alignment horizontal="justify" vertical="center" wrapText="1"/>
    </xf>
    <xf numFmtId="178" fontId="16" fillId="0" borderId="24" xfId="0" applyNumberFormat="1" applyFont="1" applyBorder="1" applyAlignment="1">
      <alignment horizontal="center" vertical="center"/>
    </xf>
    <xf numFmtId="1" fontId="16" fillId="7" borderId="27" xfId="4" applyNumberFormat="1" applyFont="1" applyFill="1" applyBorder="1" applyAlignment="1">
      <alignment horizontal="center" vertical="center" wrapText="1"/>
    </xf>
    <xf numFmtId="1" fontId="16" fillId="7" borderId="18" xfId="4" applyNumberFormat="1" applyFont="1" applyFill="1" applyBorder="1" applyAlignment="1">
      <alignment horizontal="center" vertical="center" wrapText="1"/>
    </xf>
    <xf numFmtId="0" fontId="16" fillId="7" borderId="17" xfId="6" applyNumberFormat="1" applyFont="1" applyFill="1" applyBorder="1" applyAlignment="1">
      <alignment horizontal="center" vertical="center"/>
    </xf>
    <xf numFmtId="0" fontId="16" fillId="7" borderId="24" xfId="6" applyNumberFormat="1" applyFont="1" applyFill="1" applyBorder="1" applyAlignment="1">
      <alignment horizontal="center" vertical="center"/>
    </xf>
    <xf numFmtId="0" fontId="16" fillId="7" borderId="13" xfId="6" applyNumberFormat="1" applyFont="1" applyFill="1" applyBorder="1" applyAlignment="1">
      <alignment horizontal="center" vertical="center"/>
    </xf>
    <xf numFmtId="0" fontId="16" fillId="7" borderId="18" xfId="6" applyNumberFormat="1" applyFont="1" applyFill="1" applyBorder="1" applyAlignment="1">
      <alignment horizontal="center" vertical="center"/>
    </xf>
    <xf numFmtId="0" fontId="16" fillId="7" borderId="25" xfId="6" applyNumberFormat="1" applyFont="1" applyFill="1" applyBorder="1" applyAlignment="1">
      <alignment horizontal="center" vertical="center"/>
    </xf>
    <xf numFmtId="0" fontId="16" fillId="7" borderId="27" xfId="6" applyNumberFormat="1" applyFont="1" applyFill="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33" fillId="17" borderId="19" xfId="0" applyFont="1" applyFill="1" applyBorder="1" applyAlignment="1">
      <alignment horizontal="center" vertical="center" wrapText="1"/>
    </xf>
    <xf numFmtId="0" fontId="33" fillId="17" borderId="20" xfId="0" applyFont="1" applyFill="1" applyBorder="1" applyAlignment="1">
      <alignment horizontal="center" vertical="center" wrapText="1"/>
    </xf>
    <xf numFmtId="0" fontId="33" fillId="17" borderId="35" xfId="0" applyFont="1" applyFill="1" applyBorder="1" applyAlignment="1">
      <alignment horizontal="center" vertical="center" wrapText="1"/>
    </xf>
    <xf numFmtId="0" fontId="33" fillId="17" borderId="18" xfId="0" applyFont="1" applyFill="1" applyBorder="1" applyAlignment="1">
      <alignment horizontal="center" vertical="center" textRotation="90" wrapText="1"/>
    </xf>
    <xf numFmtId="0" fontId="33" fillId="17" borderId="27" xfId="0" applyFont="1" applyFill="1" applyBorder="1" applyAlignment="1">
      <alignment horizontal="center" vertical="center" textRotation="90" wrapText="1"/>
    </xf>
    <xf numFmtId="164" fontId="12" fillId="15" borderId="18" xfId="0" applyNumberFormat="1" applyFont="1" applyFill="1" applyBorder="1" applyAlignment="1">
      <alignment horizontal="center" vertical="center" wrapText="1"/>
    </xf>
    <xf numFmtId="164" fontId="12" fillId="15" borderId="27" xfId="0" applyNumberFormat="1" applyFont="1" applyFill="1" applyBorder="1" applyAlignment="1">
      <alignment horizontal="center" vertical="center" wrapText="1"/>
    </xf>
    <xf numFmtId="3" fontId="12" fillId="15" borderId="18" xfId="0" applyNumberFormat="1" applyFont="1" applyFill="1" applyBorder="1" applyAlignment="1">
      <alignment horizontal="center" vertical="center" wrapText="1"/>
    </xf>
    <xf numFmtId="3" fontId="12" fillId="15" borderId="25" xfId="0" applyNumberFormat="1" applyFont="1" applyFill="1" applyBorder="1" applyAlignment="1">
      <alignment horizontal="center" vertical="center" wrapText="1"/>
    </xf>
    <xf numFmtId="0" fontId="12" fillId="15" borderId="18" xfId="0" applyFont="1" applyFill="1" applyBorder="1" applyAlignment="1">
      <alignment horizontal="center" vertical="center" wrapText="1"/>
    </xf>
    <xf numFmtId="0" fontId="12" fillId="15" borderId="27" xfId="0" applyFont="1" applyFill="1" applyBorder="1" applyAlignment="1">
      <alignment horizontal="center" vertical="center" wrapText="1"/>
    </xf>
    <xf numFmtId="165" fontId="12" fillId="15" borderId="18" xfId="0" applyNumberFormat="1" applyFont="1" applyFill="1" applyBorder="1" applyAlignment="1">
      <alignment horizontal="center" vertical="center" wrapText="1"/>
    </xf>
    <xf numFmtId="165" fontId="12" fillId="15" borderId="27"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28" fillId="0" borderId="58" xfId="0" applyFont="1" applyBorder="1" applyAlignment="1">
      <alignment horizontal="center" vertical="center"/>
    </xf>
    <xf numFmtId="0" fontId="28"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35" xfId="0" applyFont="1" applyBorder="1" applyAlignment="1">
      <alignment horizontal="center" vertical="center"/>
    </xf>
    <xf numFmtId="14" fontId="13" fillId="0" borderId="18" xfId="0" applyNumberFormat="1" applyFont="1" applyBorder="1" applyAlignment="1">
      <alignment horizontal="center" vertical="center" wrapText="1"/>
    </xf>
    <xf numFmtId="14" fontId="13" fillId="0" borderId="25" xfId="0" applyNumberFormat="1" applyFont="1" applyBorder="1" applyAlignment="1">
      <alignment horizontal="center" vertical="center" wrapText="1"/>
    </xf>
    <xf numFmtId="3" fontId="13" fillId="0" borderId="18" xfId="0" applyNumberFormat="1" applyFont="1" applyBorder="1" applyAlignment="1">
      <alignment horizontal="justify" vertical="center" wrapText="1"/>
    </xf>
    <xf numFmtId="3" fontId="13" fillId="0" borderId="25" xfId="0" applyNumberFormat="1" applyFont="1" applyBorder="1" applyAlignment="1">
      <alignment horizontal="justify" vertical="center" wrapText="1"/>
    </xf>
    <xf numFmtId="0" fontId="18" fillId="0" borderId="6" xfId="0" applyFont="1" applyBorder="1" applyAlignment="1">
      <alignment horizontal="justify" vertical="center" wrapText="1"/>
    </xf>
    <xf numFmtId="0" fontId="18" fillId="0" borderId="18" xfId="0" applyFont="1" applyBorder="1" applyAlignment="1">
      <alignment horizontal="justify" vertical="center" wrapTex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13" fillId="0" borderId="30" xfId="0" applyFont="1" applyBorder="1" applyAlignment="1">
      <alignment horizontal="center" vertical="center" wrapText="1"/>
    </xf>
    <xf numFmtId="3" fontId="13" fillId="0" borderId="18" xfId="11" applyNumberFormat="1" applyFont="1" applyBorder="1" applyAlignment="1">
      <alignment horizontal="center" vertical="center" wrapText="1"/>
    </xf>
    <xf numFmtId="3" fontId="13" fillId="0" borderId="25" xfId="11" applyNumberFormat="1" applyFont="1" applyBorder="1" applyAlignment="1">
      <alignment horizontal="center" vertical="center" wrapText="1"/>
    </xf>
    <xf numFmtId="3" fontId="13" fillId="0" borderId="30" xfId="11" applyNumberFormat="1" applyFont="1" applyBorder="1" applyAlignment="1">
      <alignment horizontal="center" vertical="center" wrapText="1"/>
    </xf>
    <xf numFmtId="0" fontId="13" fillId="0" borderId="30" xfId="0" applyFont="1" applyBorder="1" applyAlignment="1">
      <alignment horizontal="justify" vertical="center" wrapText="1"/>
    </xf>
    <xf numFmtId="9" fontId="13" fillId="0" borderId="18" xfId="0" applyNumberFormat="1" applyFont="1" applyBorder="1" applyAlignment="1">
      <alignment horizontal="center" vertical="center" wrapText="1"/>
    </xf>
    <xf numFmtId="9" fontId="13" fillId="0" borderId="25" xfId="0" applyNumberFormat="1" applyFont="1" applyBorder="1" applyAlignment="1">
      <alignment horizontal="center" vertical="center" wrapText="1"/>
    </xf>
    <xf numFmtId="9" fontId="13" fillId="0" borderId="30" xfId="0" applyNumberFormat="1" applyFont="1" applyBorder="1" applyAlignment="1">
      <alignment horizontal="center" vertical="center" wrapText="1"/>
    </xf>
    <xf numFmtId="191" fontId="13" fillId="0" borderId="18" xfId="0" applyNumberFormat="1" applyFont="1" applyBorder="1" applyAlignment="1">
      <alignment horizontal="center" vertical="center" wrapText="1"/>
    </xf>
    <xf numFmtId="191" fontId="13" fillId="0" borderId="25" xfId="0" applyNumberFormat="1" applyFont="1" applyBorder="1" applyAlignment="1">
      <alignment horizontal="center" vertical="center" wrapText="1"/>
    </xf>
    <xf numFmtId="191" fontId="13" fillId="0" borderId="30" xfId="0" applyNumberFormat="1" applyFont="1" applyBorder="1" applyAlignment="1">
      <alignment horizontal="center" vertical="center" wrapText="1"/>
    </xf>
    <xf numFmtId="0" fontId="13" fillId="0" borderId="18" xfId="0" applyFont="1" applyBorder="1" applyAlignment="1">
      <alignment horizontal="justify" vertical="center" wrapText="1" readingOrder="2"/>
    </xf>
    <xf numFmtId="0" fontId="13" fillId="0" borderId="25" xfId="0" applyFont="1" applyBorder="1" applyAlignment="1">
      <alignment horizontal="justify" vertical="center" wrapText="1" readingOrder="2"/>
    </xf>
    <xf numFmtId="0" fontId="13" fillId="0" borderId="30" xfId="0" applyFont="1" applyBorder="1" applyAlignment="1">
      <alignment horizontal="justify" vertical="center" wrapText="1" readingOrder="2"/>
    </xf>
    <xf numFmtId="0" fontId="15" fillId="9" borderId="18" xfId="0" applyFont="1" applyFill="1" applyBorder="1" applyAlignment="1">
      <alignment horizontal="center" vertical="center" textRotation="90" wrapText="1"/>
    </xf>
    <xf numFmtId="0" fontId="15" fillId="9" borderId="27" xfId="0" applyFont="1" applyFill="1" applyBorder="1" applyAlignment="1">
      <alignment horizontal="center" vertical="center" textRotation="90" wrapText="1"/>
    </xf>
    <xf numFmtId="164" fontId="42" fillId="8" borderId="16" xfId="0" applyNumberFormat="1" applyFont="1" applyFill="1" applyBorder="1" applyAlignment="1">
      <alignment horizontal="center" vertical="center" wrapText="1"/>
    </xf>
    <xf numFmtId="164" fontId="42" fillId="8" borderId="12" xfId="0" applyNumberFormat="1" applyFont="1" applyFill="1" applyBorder="1" applyAlignment="1">
      <alignment horizontal="center" vertical="center" wrapText="1"/>
    </xf>
    <xf numFmtId="3" fontId="12" fillId="8" borderId="6" xfId="0" applyNumberFormat="1" applyFont="1" applyFill="1" applyBorder="1" applyAlignment="1">
      <alignment horizontal="center" vertical="center" wrapText="1"/>
    </xf>
    <xf numFmtId="0" fontId="12" fillId="10" borderId="19" xfId="0" applyFont="1" applyFill="1" applyBorder="1" applyAlignment="1">
      <alignment horizontal="center" vertical="center"/>
    </xf>
    <xf numFmtId="0" fontId="12" fillId="10" borderId="20" xfId="0" applyFont="1" applyFill="1" applyBorder="1" applyAlignment="1">
      <alignment horizontal="center" vertical="center"/>
    </xf>
    <xf numFmtId="0" fontId="13" fillId="7" borderId="30" xfId="0" applyFont="1" applyFill="1" applyBorder="1" applyAlignment="1">
      <alignment horizontal="center" vertical="center" wrapText="1"/>
    </xf>
    <xf numFmtId="0" fontId="27" fillId="8" borderId="18" xfId="0" applyFont="1" applyFill="1" applyBorder="1" applyAlignment="1">
      <alignment horizontal="center" vertical="center" wrapText="1"/>
    </xf>
    <xf numFmtId="0" fontId="27" fillId="8" borderId="25" xfId="0" applyFont="1" applyFill="1" applyBorder="1" applyAlignment="1">
      <alignment horizontal="center" vertical="center" wrapText="1"/>
    </xf>
    <xf numFmtId="0" fontId="42" fillId="8" borderId="16" xfId="0" applyFont="1" applyFill="1" applyBorder="1" applyAlignment="1">
      <alignment horizontal="center" vertical="center" wrapText="1"/>
    </xf>
    <xf numFmtId="0" fontId="42" fillId="8" borderId="23"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8" borderId="13" xfId="0" applyFont="1" applyFill="1" applyBorder="1" applyAlignment="1">
      <alignment horizontal="center" vertical="center" wrapText="1"/>
    </xf>
    <xf numFmtId="0" fontId="16" fillId="0" borderId="31" xfId="22" applyFont="1" applyBorder="1" applyAlignment="1">
      <alignment horizontal="center"/>
    </xf>
    <xf numFmtId="0" fontId="16" fillId="0" borderId="32" xfId="22" applyFont="1" applyBorder="1" applyAlignment="1">
      <alignment horizontal="center"/>
    </xf>
    <xf numFmtId="0" fontId="16" fillId="0" borderId="33" xfId="22" applyFont="1" applyBorder="1" applyAlignment="1">
      <alignment horizontal="center"/>
    </xf>
    <xf numFmtId="0" fontId="22" fillId="7" borderId="0" xfId="22" applyFont="1" applyFill="1" applyAlignment="1">
      <alignment horizontal="center"/>
    </xf>
    <xf numFmtId="0" fontId="16" fillId="7" borderId="0" xfId="22" applyFont="1" applyFill="1" applyAlignment="1">
      <alignment horizontal="center"/>
    </xf>
    <xf numFmtId="3" fontId="16" fillId="7" borderId="21" xfId="22" applyNumberFormat="1" applyFont="1" applyFill="1" applyBorder="1" applyAlignment="1">
      <alignment horizontal="center" vertical="center" wrapText="1"/>
    </xf>
    <xf numFmtId="3" fontId="16" fillId="7" borderId="26" xfId="22" applyNumberFormat="1" applyFont="1" applyFill="1" applyBorder="1" applyAlignment="1">
      <alignment horizontal="center" vertical="center" wrapText="1"/>
    </xf>
    <xf numFmtId="0" fontId="16" fillId="7" borderId="18" xfId="22" applyFont="1" applyFill="1" applyBorder="1" applyAlignment="1">
      <alignment horizontal="center" vertical="center" wrapText="1"/>
    </xf>
    <xf numFmtId="0" fontId="16" fillId="7" borderId="25" xfId="22" applyFont="1" applyFill="1" applyBorder="1" applyAlignment="1">
      <alignment horizontal="center" vertical="center" wrapText="1"/>
    </xf>
    <xf numFmtId="0" fontId="16" fillId="7" borderId="27" xfId="22" applyFont="1" applyFill="1" applyBorder="1" applyAlignment="1">
      <alignment horizontal="center" vertical="center" wrapText="1"/>
    </xf>
    <xf numFmtId="0" fontId="16" fillId="7" borderId="18" xfId="22" applyFont="1" applyFill="1" applyBorder="1" applyAlignment="1">
      <alignment horizontal="justify" vertical="center" wrapText="1"/>
    </xf>
    <xf numFmtId="0" fontId="16" fillId="7" borderId="25" xfId="22" applyFont="1" applyFill="1" applyBorder="1" applyAlignment="1">
      <alignment horizontal="justify" vertical="center" wrapText="1"/>
    </xf>
    <xf numFmtId="0" fontId="16" fillId="7" borderId="27" xfId="22" applyFont="1" applyFill="1" applyBorder="1" applyAlignment="1">
      <alignment horizontal="justify" vertical="center" wrapText="1"/>
    </xf>
    <xf numFmtId="9" fontId="16" fillId="7" borderId="6" xfId="12" applyFont="1" applyFill="1" applyBorder="1" applyAlignment="1">
      <alignment horizontal="center" vertical="center" wrapText="1"/>
    </xf>
    <xf numFmtId="0" fontId="16" fillId="7" borderId="6" xfId="22" applyFont="1" applyFill="1" applyBorder="1" applyAlignment="1">
      <alignment horizontal="left" vertical="center" wrapText="1"/>
    </xf>
    <xf numFmtId="9" fontId="16" fillId="7" borderId="25" xfId="12" applyFont="1" applyFill="1" applyBorder="1" applyAlignment="1">
      <alignment horizontal="center" vertical="center" wrapText="1"/>
    </xf>
    <xf numFmtId="9" fontId="16" fillId="7" borderId="27" xfId="12" applyFont="1" applyFill="1" applyBorder="1" applyAlignment="1">
      <alignment horizontal="center" vertical="center" wrapText="1"/>
    </xf>
    <xf numFmtId="0" fontId="16" fillId="7" borderId="30" xfId="22" applyFont="1" applyFill="1" applyBorder="1" applyAlignment="1">
      <alignment horizontal="center" vertical="center" wrapText="1"/>
    </xf>
    <xf numFmtId="164" fontId="16" fillId="7" borderId="18" xfId="22" applyNumberFormat="1" applyFont="1" applyFill="1" applyBorder="1" applyAlignment="1">
      <alignment horizontal="center" vertical="center" wrapText="1"/>
    </xf>
    <xf numFmtId="164" fontId="16" fillId="7" borderId="25" xfId="22" applyNumberFormat="1" applyFont="1" applyFill="1" applyBorder="1" applyAlignment="1">
      <alignment horizontal="center" vertical="center" wrapText="1"/>
    </xf>
    <xf numFmtId="14" fontId="16" fillId="0" borderId="6" xfId="11" applyNumberFormat="1" applyFont="1" applyBorder="1" applyAlignment="1">
      <alignment horizontal="center" vertical="center" wrapText="1"/>
    </xf>
    <xf numFmtId="0" fontId="16" fillId="0" borderId="6" xfId="11" applyNumberFormat="1" applyFont="1" applyBorder="1" applyAlignment="1">
      <alignment horizontal="center" vertical="center" wrapText="1"/>
    </xf>
    <xf numFmtId="3" fontId="16" fillId="7" borderId="41" xfId="22" applyNumberFormat="1" applyFont="1" applyFill="1" applyBorder="1" applyAlignment="1">
      <alignment horizontal="center" vertical="center" wrapText="1"/>
    </xf>
    <xf numFmtId="49" fontId="16" fillId="0" borderId="18" xfId="23" applyNumberFormat="1" applyFont="1" applyBorder="1" applyAlignment="1">
      <alignment horizontal="justify" vertical="center" wrapText="1"/>
    </xf>
    <xf numFmtId="49" fontId="16" fillId="0" borderId="27" xfId="23" applyNumberFormat="1" applyFont="1" applyBorder="1" applyAlignment="1">
      <alignment horizontal="justify" vertical="center" wrapText="1"/>
    </xf>
    <xf numFmtId="0" fontId="13" fillId="7" borderId="18" xfId="22" applyFont="1" applyFill="1" applyBorder="1" applyAlignment="1">
      <alignment horizontal="center" vertical="center" wrapText="1"/>
    </xf>
    <xf numFmtId="0" fontId="13" fillId="7" borderId="25" xfId="22" applyFont="1" applyFill="1" applyBorder="1" applyAlignment="1">
      <alignment horizontal="center" vertical="center" wrapText="1"/>
    </xf>
    <xf numFmtId="43" fontId="16" fillId="7" borderId="18" xfId="11" applyFont="1" applyFill="1" applyBorder="1" applyAlignment="1">
      <alignment horizontal="center" vertical="center" wrapText="1"/>
    </xf>
    <xf numFmtId="43" fontId="16" fillId="7" borderId="25" xfId="11" applyFont="1" applyFill="1" applyBorder="1" applyAlignment="1">
      <alignment horizontal="center" vertical="center" wrapText="1"/>
    </xf>
    <xf numFmtId="43" fontId="16" fillId="7" borderId="6" xfId="11" applyFont="1" applyFill="1" applyBorder="1" applyAlignment="1">
      <alignment horizontal="center" vertical="center" wrapText="1"/>
    </xf>
    <xf numFmtId="0" fontId="16" fillId="0" borderId="18" xfId="22" applyFont="1" applyBorder="1" applyAlignment="1">
      <alignment horizontal="justify" vertical="center" wrapText="1"/>
    </xf>
    <xf numFmtId="0" fontId="16" fillId="0" borderId="25" xfId="22" applyFont="1" applyBorder="1" applyAlignment="1">
      <alignment horizontal="justify" vertical="center" wrapText="1"/>
    </xf>
    <xf numFmtId="0" fontId="16" fillId="0" borderId="18" xfId="22" applyFont="1" applyBorder="1" applyAlignment="1">
      <alignment horizontal="center" vertical="center" wrapText="1"/>
    </xf>
    <xf numFmtId="0" fontId="16" fillId="0" borderId="25" xfId="22" applyFont="1" applyBorder="1" applyAlignment="1">
      <alignment horizontal="center" vertical="center" wrapText="1"/>
    </xf>
    <xf numFmtId="0" fontId="16" fillId="0" borderId="27" xfId="22" applyFont="1" applyBorder="1" applyAlignment="1">
      <alignment horizontal="center" vertical="center" wrapText="1"/>
    </xf>
    <xf numFmtId="9" fontId="16" fillId="7" borderId="18" xfId="12" applyFont="1" applyFill="1" applyBorder="1" applyAlignment="1">
      <alignment horizontal="center" vertical="center" wrapText="1"/>
    </xf>
    <xf numFmtId="0" fontId="16" fillId="7" borderId="53" xfId="22" applyFont="1" applyFill="1" applyBorder="1" applyAlignment="1">
      <alignment horizontal="left" vertical="center" wrapText="1"/>
    </xf>
    <xf numFmtId="0" fontId="16" fillId="0" borderId="18" xfId="22" applyFont="1" applyBorder="1" applyAlignment="1">
      <alignment horizontal="left" vertical="center" wrapText="1"/>
    </xf>
    <xf numFmtId="0" fontId="16" fillId="0" borderId="25" xfId="22" applyFont="1" applyBorder="1" applyAlignment="1">
      <alignment horizontal="left" vertical="center" wrapText="1"/>
    </xf>
    <xf numFmtId="0" fontId="13" fillId="0" borderId="18" xfId="22" applyFont="1" applyBorder="1" applyAlignment="1">
      <alignment horizontal="center" vertical="center" wrapText="1"/>
    </xf>
    <xf numFmtId="0" fontId="13" fillId="0" borderId="25" xfId="22" applyFont="1" applyBorder="1" applyAlignment="1">
      <alignment horizontal="center" vertical="center" wrapText="1"/>
    </xf>
    <xf numFmtId="0" fontId="13" fillId="0" borderId="27" xfId="22" applyFont="1" applyBorder="1" applyAlignment="1">
      <alignment horizontal="center" vertical="center" wrapText="1"/>
    </xf>
    <xf numFmtId="0" fontId="16" fillId="0" borderId="27" xfId="22" applyFont="1" applyBorder="1" applyAlignment="1">
      <alignment horizontal="justify" vertical="center" wrapText="1"/>
    </xf>
    <xf numFmtId="9" fontId="16" fillId="0" borderId="6" xfId="12" applyFont="1" applyBorder="1" applyAlignment="1">
      <alignment horizontal="center" vertical="center" wrapText="1"/>
    </xf>
    <xf numFmtId="164" fontId="16" fillId="7" borderId="27" xfId="22" applyNumberFormat="1" applyFont="1" applyFill="1" applyBorder="1" applyAlignment="1">
      <alignment horizontal="center" vertical="center" wrapText="1"/>
    </xf>
    <xf numFmtId="43" fontId="16" fillId="7" borderId="27" xfId="11" applyFont="1" applyFill="1" applyBorder="1" applyAlignment="1">
      <alignment horizontal="center" vertical="center" wrapText="1"/>
    </xf>
    <xf numFmtId="0" fontId="16" fillId="7" borderId="23" xfId="22" applyFont="1" applyFill="1" applyBorder="1" applyAlignment="1">
      <alignment horizontal="justify" vertical="center" wrapText="1"/>
    </xf>
    <xf numFmtId="0" fontId="16" fillId="7" borderId="12" xfId="22" applyFont="1" applyFill="1" applyBorder="1" applyAlignment="1">
      <alignment horizontal="justify" vertical="center" wrapText="1"/>
    </xf>
    <xf numFmtId="0" fontId="16" fillId="7" borderId="18" xfId="22" applyFont="1" applyFill="1" applyBorder="1" applyAlignment="1">
      <alignment horizontal="left" vertical="center" wrapText="1"/>
    </xf>
    <xf numFmtId="0" fontId="16" fillId="7" borderId="87" xfId="22" applyFont="1" applyFill="1" applyBorder="1" applyAlignment="1">
      <alignment horizontal="left" vertical="center" wrapText="1"/>
    </xf>
    <xf numFmtId="0" fontId="16" fillId="0" borderId="55" xfId="22" applyFont="1" applyBorder="1" applyAlignment="1">
      <alignment horizontal="center" vertical="center" wrapText="1"/>
    </xf>
    <xf numFmtId="0" fontId="16" fillId="0" borderId="71" xfId="22" applyFont="1" applyBorder="1" applyAlignment="1">
      <alignment horizontal="center" vertical="center" wrapText="1"/>
    </xf>
    <xf numFmtId="0" fontId="16" fillId="0" borderId="56" xfId="22" applyFont="1" applyBorder="1" applyAlignment="1">
      <alignment horizontal="center" vertical="center" wrapText="1"/>
    </xf>
    <xf numFmtId="0" fontId="16" fillId="7" borderId="53" xfId="22" applyFont="1" applyFill="1" applyBorder="1" applyAlignment="1">
      <alignment horizontal="justify" vertical="center" wrapText="1"/>
    </xf>
    <xf numFmtId="0" fontId="16" fillId="7" borderId="17" xfId="22" applyFont="1" applyFill="1" applyBorder="1" applyAlignment="1">
      <alignment horizontal="center" vertical="center" wrapText="1"/>
    </xf>
    <xf numFmtId="0" fontId="16" fillId="7" borderId="24" xfId="22" applyFont="1" applyFill="1" applyBorder="1" applyAlignment="1">
      <alignment horizontal="center" vertical="center" wrapText="1"/>
    </xf>
    <xf numFmtId="0" fontId="16" fillId="7" borderId="16" xfId="22" applyFont="1" applyFill="1" applyBorder="1" applyAlignment="1">
      <alignment horizontal="center" vertical="center"/>
    </xf>
    <xf numFmtId="0" fontId="16" fillId="7" borderId="23" xfId="22" applyFont="1" applyFill="1" applyBorder="1" applyAlignment="1">
      <alignment horizontal="center" vertical="center"/>
    </xf>
    <xf numFmtId="0" fontId="16" fillId="7" borderId="12" xfId="22" applyFont="1" applyFill="1" applyBorder="1" applyAlignment="1">
      <alignment horizontal="center" vertical="center"/>
    </xf>
    <xf numFmtId="0" fontId="13" fillId="7" borderId="27" xfId="22" applyFont="1" applyFill="1" applyBorder="1" applyAlignment="1">
      <alignment horizontal="center" vertical="center" wrapText="1"/>
    </xf>
    <xf numFmtId="0" fontId="16" fillId="7" borderId="13" xfId="22" applyFont="1" applyFill="1" applyBorder="1" applyAlignment="1">
      <alignment horizontal="center" vertical="center" wrapText="1"/>
    </xf>
    <xf numFmtId="49" fontId="16" fillId="7" borderId="18" xfId="23" quotePrefix="1" applyNumberFormat="1" applyFont="1" applyFill="1" applyBorder="1" applyAlignment="1">
      <alignment horizontal="justify" vertical="center" wrapText="1"/>
    </xf>
    <xf numFmtId="49" fontId="16" fillId="7" borderId="27" xfId="23" quotePrefix="1" applyNumberFormat="1" applyFont="1" applyFill="1" applyBorder="1" applyAlignment="1">
      <alignment horizontal="justify" vertical="center" wrapText="1"/>
    </xf>
    <xf numFmtId="0" fontId="16" fillId="0" borderId="21" xfId="11" applyNumberFormat="1" applyFont="1" applyBorder="1" applyAlignment="1">
      <alignment horizontal="center" vertical="center" wrapText="1"/>
    </xf>
    <xf numFmtId="0" fontId="16" fillId="0" borderId="26" xfId="11" applyNumberFormat="1" applyFont="1" applyBorder="1" applyAlignment="1">
      <alignment horizontal="center" vertical="center" wrapText="1"/>
    </xf>
    <xf numFmtId="0" fontId="16" fillId="0" borderId="41" xfId="11" applyNumberFormat="1" applyFont="1" applyBorder="1" applyAlignment="1">
      <alignment horizontal="center" vertical="center" wrapText="1"/>
    </xf>
    <xf numFmtId="0" fontId="16" fillId="7" borderId="27" xfId="22" applyFont="1" applyFill="1" applyBorder="1" applyAlignment="1">
      <alignment horizontal="left" vertical="center" wrapText="1"/>
    </xf>
    <xf numFmtId="14" fontId="16" fillId="0" borderId="18" xfId="11" applyNumberFormat="1" applyFont="1" applyBorder="1" applyAlignment="1">
      <alignment horizontal="center" vertical="center" wrapText="1"/>
    </xf>
    <xf numFmtId="0" fontId="16" fillId="0" borderId="25" xfId="11" applyNumberFormat="1" applyFont="1" applyBorder="1" applyAlignment="1">
      <alignment horizontal="center" vertical="center" wrapText="1"/>
    </xf>
    <xf numFmtId="0" fontId="16" fillId="0" borderId="27" xfId="11" applyNumberFormat="1" applyFont="1" applyBorder="1" applyAlignment="1">
      <alignment horizontal="center" vertical="center" wrapText="1"/>
    </xf>
    <xf numFmtId="164" fontId="16" fillId="7" borderId="6" xfId="22" applyNumberFormat="1" applyFont="1" applyFill="1" applyBorder="1" applyAlignment="1">
      <alignment horizontal="center" vertical="center" wrapText="1"/>
    </xf>
    <xf numFmtId="167" fontId="22" fillId="14" borderId="19" xfId="11" applyNumberFormat="1" applyFont="1" applyFill="1" applyBorder="1" applyAlignment="1">
      <alignment horizontal="center" vertical="center" textRotation="180" wrapText="1"/>
    </xf>
    <xf numFmtId="167" fontId="22" fillId="14" borderId="20" xfId="11" applyNumberFormat="1" applyFont="1" applyFill="1" applyBorder="1" applyAlignment="1">
      <alignment horizontal="center" vertical="center" textRotation="180" wrapText="1"/>
    </xf>
    <xf numFmtId="0" fontId="16" fillId="7" borderId="25" xfId="22" applyFont="1" applyFill="1" applyBorder="1" applyAlignment="1">
      <alignment horizontal="left" vertical="center" wrapText="1"/>
    </xf>
    <xf numFmtId="0" fontId="16" fillId="0" borderId="18" xfId="22" applyFont="1" applyBorder="1" applyAlignment="1">
      <alignment horizontal="center" vertical="center"/>
    </xf>
    <xf numFmtId="0" fontId="16" fillId="0" borderId="25" xfId="22" applyFont="1" applyBorder="1" applyAlignment="1">
      <alignment horizontal="center" vertical="center"/>
    </xf>
    <xf numFmtId="0" fontId="16" fillId="0" borderId="27" xfId="22" applyFont="1" applyBorder="1" applyAlignment="1">
      <alignment horizontal="center" vertical="center"/>
    </xf>
    <xf numFmtId="0" fontId="13" fillId="7" borderId="18" xfId="22" applyFont="1" applyFill="1" applyBorder="1" applyAlignment="1">
      <alignment horizontal="justify" vertical="center"/>
    </xf>
    <xf numFmtId="0" fontId="13" fillId="7" borderId="25" xfId="22" applyFont="1" applyFill="1" applyBorder="1" applyAlignment="1">
      <alignment horizontal="justify" vertical="center"/>
    </xf>
    <xf numFmtId="0" fontId="16" fillId="7" borderId="16" xfId="22" quotePrefix="1" applyFont="1" applyFill="1" applyBorder="1" applyAlignment="1">
      <alignment horizontal="justify" vertical="center" wrapText="1"/>
    </xf>
    <xf numFmtId="0" fontId="16" fillId="7" borderId="23" xfId="22" quotePrefix="1" applyFont="1" applyFill="1" applyBorder="1" applyAlignment="1">
      <alignment horizontal="justify" vertical="center" wrapText="1"/>
    </xf>
    <xf numFmtId="0" fontId="16" fillId="7" borderId="12" xfId="22" quotePrefix="1" applyFont="1" applyFill="1" applyBorder="1" applyAlignment="1">
      <alignment horizontal="justify" vertical="center" wrapText="1"/>
    </xf>
    <xf numFmtId="10" fontId="16" fillId="7" borderId="18" xfId="12" applyNumberFormat="1" applyFont="1" applyFill="1" applyBorder="1" applyAlignment="1">
      <alignment horizontal="center" vertical="center" wrapText="1"/>
    </xf>
    <xf numFmtId="10" fontId="16" fillId="7" borderId="25" xfId="12" applyNumberFormat="1" applyFont="1" applyFill="1" applyBorder="1" applyAlignment="1">
      <alignment horizontal="center" vertical="center" wrapText="1"/>
    </xf>
    <xf numFmtId="10" fontId="16" fillId="7" borderId="27" xfId="12" applyNumberFormat="1" applyFont="1" applyFill="1" applyBorder="1" applyAlignment="1">
      <alignment horizontal="center" vertical="center" wrapText="1"/>
    </xf>
    <xf numFmtId="0" fontId="16" fillId="7" borderId="53" xfId="22" quotePrefix="1" applyFont="1" applyFill="1" applyBorder="1" applyAlignment="1">
      <alignment horizontal="justify" vertical="center" wrapText="1"/>
    </xf>
    <xf numFmtId="0" fontId="16" fillId="7" borderId="6" xfId="22" applyFont="1" applyFill="1" applyBorder="1" applyAlignment="1">
      <alignment horizontal="center" vertical="center" wrapText="1"/>
    </xf>
    <xf numFmtId="0" fontId="22" fillId="0" borderId="53" xfId="22" applyFont="1" applyBorder="1" applyAlignment="1">
      <alignment horizontal="center" vertical="center" wrapText="1"/>
    </xf>
    <xf numFmtId="0" fontId="16" fillId="7" borderId="88" xfId="22" applyFont="1" applyFill="1" applyBorder="1" applyAlignment="1">
      <alignment horizontal="center" vertical="center" wrapText="1"/>
    </xf>
    <xf numFmtId="0" fontId="16" fillId="7" borderId="65" xfId="22" applyFont="1" applyFill="1" applyBorder="1" applyAlignment="1">
      <alignment horizontal="center" vertical="center" wrapText="1"/>
    </xf>
    <xf numFmtId="0" fontId="16" fillId="7" borderId="89" xfId="22" applyFont="1" applyFill="1" applyBorder="1" applyAlignment="1">
      <alignment horizontal="center" vertical="center" wrapText="1"/>
    </xf>
    <xf numFmtId="10" fontId="16" fillId="7" borderId="6" xfId="12" applyNumberFormat="1" applyFont="1" applyFill="1" applyBorder="1" applyAlignment="1">
      <alignment horizontal="center" vertical="center" wrapText="1"/>
    </xf>
    <xf numFmtId="0" fontId="16" fillId="7" borderId="16" xfId="22" applyFont="1" applyFill="1" applyBorder="1" applyAlignment="1">
      <alignment horizontal="justify" vertical="center" wrapText="1"/>
    </xf>
    <xf numFmtId="0" fontId="16" fillId="7" borderId="77" xfId="22" quotePrefix="1" applyFont="1" applyFill="1" applyBorder="1" applyAlignment="1">
      <alignment horizontal="justify" vertical="center" wrapText="1"/>
    </xf>
    <xf numFmtId="0" fontId="16" fillId="7" borderId="79" xfId="22" quotePrefix="1" applyFont="1" applyFill="1" applyBorder="1" applyAlignment="1">
      <alignment horizontal="justify" vertical="center" wrapText="1"/>
    </xf>
    <xf numFmtId="49" fontId="16" fillId="7" borderId="18" xfId="23" applyNumberFormat="1" applyFont="1" applyFill="1" applyBorder="1" applyAlignment="1">
      <alignment horizontal="justify" vertical="center" wrapText="1"/>
    </xf>
    <xf numFmtId="49" fontId="16" fillId="7" borderId="25" xfId="23" applyNumberFormat="1" applyFont="1" applyFill="1" applyBorder="1" applyAlignment="1">
      <alignment horizontal="justify" vertical="center" wrapText="1"/>
    </xf>
    <xf numFmtId="0" fontId="22" fillId="0" borderId="16" xfId="22" applyFont="1" applyBorder="1" applyAlignment="1">
      <alignment horizontal="center" vertical="center" wrapText="1"/>
    </xf>
    <xf numFmtId="0" fontId="22" fillId="0" borderId="11" xfId="22" applyFont="1" applyBorder="1" applyAlignment="1">
      <alignment horizontal="center" vertical="center" wrapText="1"/>
    </xf>
    <xf numFmtId="0" fontId="22" fillId="0" borderId="23" xfId="22" applyFont="1" applyBorder="1" applyAlignment="1">
      <alignment horizontal="center" vertical="center" wrapText="1"/>
    </xf>
    <xf numFmtId="0" fontId="22" fillId="0" borderId="0" xfId="22" applyFont="1" applyAlignment="1">
      <alignment horizontal="center" vertical="center" wrapText="1"/>
    </xf>
    <xf numFmtId="0" fontId="22" fillId="0" borderId="12" xfId="22" applyFont="1" applyBorder="1" applyAlignment="1">
      <alignment horizontal="center" vertical="center" wrapText="1"/>
    </xf>
    <xf numFmtId="0" fontId="22" fillId="0" borderId="9" xfId="22" applyFont="1" applyBorder="1" applyAlignment="1">
      <alignment horizontal="center" vertical="center" wrapText="1"/>
    </xf>
    <xf numFmtId="0" fontId="16" fillId="7" borderId="11" xfId="22" applyFont="1" applyFill="1" applyBorder="1" applyAlignment="1">
      <alignment horizontal="justify" vertical="center" wrapText="1"/>
    </xf>
    <xf numFmtId="0" fontId="16" fillId="7" borderId="9" xfId="22" applyFont="1" applyFill="1" applyBorder="1" applyAlignment="1">
      <alignment horizontal="justify" vertical="center" wrapText="1"/>
    </xf>
    <xf numFmtId="0" fontId="16" fillId="7" borderId="11" xfId="22" applyFont="1" applyFill="1" applyBorder="1" applyAlignment="1">
      <alignment horizontal="center" vertical="center" wrapText="1"/>
    </xf>
    <xf numFmtId="0" fontId="16" fillId="7" borderId="9" xfId="22" applyFont="1" applyFill="1" applyBorder="1" applyAlignment="1">
      <alignment horizontal="center" vertical="center" wrapText="1"/>
    </xf>
    <xf numFmtId="0" fontId="13" fillId="7" borderId="6" xfId="22" applyFont="1" applyFill="1" applyBorder="1" applyAlignment="1">
      <alignment horizontal="center" vertical="center" wrapText="1"/>
    </xf>
    <xf numFmtId="0" fontId="16" fillId="7" borderId="6" xfId="22" applyFont="1" applyFill="1" applyBorder="1" applyAlignment="1">
      <alignment horizontal="justify" vertical="center" wrapText="1"/>
    </xf>
    <xf numFmtId="49" fontId="16" fillId="7" borderId="27" xfId="23" applyNumberFormat="1" applyFont="1" applyFill="1" applyBorder="1" applyAlignment="1">
      <alignment horizontal="justify" vertical="center" wrapText="1"/>
    </xf>
    <xf numFmtId="0" fontId="16" fillId="0" borderId="27" xfId="22" applyFont="1" applyBorder="1" applyAlignment="1">
      <alignment horizontal="left" vertical="center" wrapText="1"/>
    </xf>
    <xf numFmtId="49" fontId="16" fillId="0" borderId="18" xfId="23" applyNumberFormat="1" applyFont="1" applyBorder="1" applyAlignment="1">
      <alignment horizontal="left" vertical="center" wrapText="1"/>
    </xf>
    <xf numFmtId="49" fontId="16" fillId="0" borderId="27" xfId="23" applyNumberFormat="1" applyFont="1" applyBorder="1" applyAlignment="1">
      <alignment horizontal="left" vertical="center" wrapText="1"/>
    </xf>
    <xf numFmtId="1" fontId="16" fillId="7" borderId="18" xfId="22" applyNumberFormat="1" applyFont="1" applyFill="1" applyBorder="1" applyAlignment="1">
      <alignment horizontal="center" vertical="center" wrapText="1"/>
    </xf>
    <xf numFmtId="1" fontId="16" fillId="7" borderId="25" xfId="22" applyNumberFormat="1" applyFont="1" applyFill="1" applyBorder="1" applyAlignment="1">
      <alignment horizontal="center" vertical="center" wrapText="1"/>
    </xf>
    <xf numFmtId="1" fontId="16" fillId="7" borderId="27" xfId="22" applyNumberFormat="1" applyFont="1" applyFill="1" applyBorder="1" applyAlignment="1">
      <alignment horizontal="center" vertical="center" wrapText="1"/>
    </xf>
    <xf numFmtId="187" fontId="16" fillId="7" borderId="18" xfId="22" applyNumberFormat="1" applyFont="1" applyFill="1" applyBorder="1" applyAlignment="1">
      <alignment horizontal="center" vertical="center" wrapText="1"/>
    </xf>
    <xf numFmtId="187" fontId="16" fillId="7" borderId="25" xfId="22" applyNumberFormat="1" applyFont="1" applyFill="1" applyBorder="1" applyAlignment="1">
      <alignment horizontal="center" vertical="center" wrapText="1"/>
    </xf>
    <xf numFmtId="187" fontId="16" fillId="7" borderId="27" xfId="22" applyNumberFormat="1" applyFont="1" applyFill="1" applyBorder="1" applyAlignment="1">
      <alignment horizontal="center" vertical="center" wrapText="1"/>
    </xf>
    <xf numFmtId="1" fontId="16" fillId="7" borderId="21" xfId="22" applyNumberFormat="1" applyFont="1" applyFill="1" applyBorder="1" applyAlignment="1">
      <alignment horizontal="center" vertical="center" wrapText="1"/>
    </xf>
    <xf numFmtId="1" fontId="16" fillId="7" borderId="26" xfId="22" applyNumberFormat="1" applyFont="1" applyFill="1" applyBorder="1" applyAlignment="1">
      <alignment horizontal="center" vertical="center" wrapText="1"/>
    </xf>
    <xf numFmtId="1" fontId="16" fillId="7" borderId="41" xfId="22" applyNumberFormat="1" applyFont="1" applyFill="1" applyBorder="1" applyAlignment="1">
      <alignment horizontal="center" vertical="center" wrapText="1"/>
    </xf>
    <xf numFmtId="0" fontId="16" fillId="0" borderId="57" xfId="22" applyFont="1" applyBorder="1" applyAlignment="1">
      <alignment horizontal="center" vertical="center" wrapText="1"/>
    </xf>
    <xf numFmtId="0" fontId="16" fillId="0" borderId="87" xfId="22" applyFont="1" applyBorder="1" applyAlignment="1">
      <alignment horizontal="center" vertical="center" wrapText="1"/>
    </xf>
    <xf numFmtId="0" fontId="16" fillId="0" borderId="53" xfId="22" applyFont="1" applyBorder="1" applyAlignment="1">
      <alignment horizontal="left" vertical="center" wrapText="1"/>
    </xf>
    <xf numFmtId="0" fontId="16" fillId="7" borderId="53" xfId="22" applyFont="1" applyFill="1" applyBorder="1" applyAlignment="1">
      <alignment horizontal="center" vertical="center" wrapText="1"/>
    </xf>
    <xf numFmtId="0" fontId="16" fillId="7" borderId="60" xfId="22" applyFont="1" applyFill="1" applyBorder="1" applyAlignment="1">
      <alignment horizontal="center" vertical="center" wrapText="1"/>
    </xf>
    <xf numFmtId="49" fontId="16" fillId="7" borderId="16" xfId="23" applyNumberFormat="1" applyFont="1" applyFill="1" applyBorder="1" applyAlignment="1">
      <alignment horizontal="justify" vertical="center" wrapText="1"/>
    </xf>
    <xf numFmtId="49" fontId="16" fillId="7" borderId="12" xfId="23" applyNumberFormat="1" applyFont="1" applyFill="1" applyBorder="1" applyAlignment="1">
      <alignment horizontal="justify" vertical="center" wrapText="1"/>
    </xf>
    <xf numFmtId="0" fontId="16" fillId="0" borderId="18" xfId="11" applyNumberFormat="1" applyFont="1" applyBorder="1" applyAlignment="1">
      <alignment horizontal="center" vertical="center" wrapText="1"/>
    </xf>
    <xf numFmtId="164" fontId="16" fillId="0" borderId="6" xfId="22" applyNumberFormat="1" applyFont="1" applyBorder="1" applyAlignment="1">
      <alignment horizontal="center" vertical="center" wrapText="1"/>
    </xf>
    <xf numFmtId="3" fontId="16" fillId="0" borderId="21" xfId="22" applyNumberFormat="1" applyFont="1" applyBorder="1" applyAlignment="1">
      <alignment horizontal="center" vertical="center" wrapText="1"/>
    </xf>
    <xf numFmtId="3" fontId="16" fillId="0" borderId="26" xfId="22" applyNumberFormat="1" applyFont="1" applyBorder="1" applyAlignment="1">
      <alignment horizontal="center" vertical="center" wrapText="1"/>
    </xf>
    <xf numFmtId="3" fontId="16" fillId="0" borderId="41" xfId="22" applyNumberFormat="1" applyFont="1" applyBorder="1" applyAlignment="1">
      <alignment horizontal="center" vertical="center" wrapText="1"/>
    </xf>
    <xf numFmtId="49" fontId="16" fillId="7" borderId="23" xfId="23" applyNumberFormat="1" applyFont="1" applyFill="1" applyBorder="1" applyAlignment="1">
      <alignment horizontal="justify" vertical="center" wrapText="1"/>
    </xf>
    <xf numFmtId="9" fontId="16" fillId="0" borderId="25" xfId="12" applyFont="1" applyBorder="1" applyAlignment="1">
      <alignment horizontal="center" vertical="center" wrapText="1"/>
    </xf>
    <xf numFmtId="9" fontId="16" fillId="0" borderId="27" xfId="12" applyFont="1" applyBorder="1" applyAlignment="1">
      <alignment horizontal="center" vertical="center" wrapText="1"/>
    </xf>
    <xf numFmtId="49" fontId="16" fillId="0" borderId="55" xfId="23" applyNumberFormat="1" applyFont="1" applyBorder="1" applyAlignment="1">
      <alignment horizontal="justify" vertical="center" wrapText="1"/>
    </xf>
    <xf numFmtId="49" fontId="16" fillId="0" borderId="71" xfId="23" applyNumberFormat="1" applyFont="1" applyBorder="1" applyAlignment="1">
      <alignment horizontal="justify" vertical="center" wrapText="1"/>
    </xf>
    <xf numFmtId="49" fontId="16" fillId="0" borderId="56" xfId="23" applyNumberFormat="1" applyFont="1" applyBorder="1" applyAlignment="1">
      <alignment horizontal="justify" vertical="center" wrapText="1"/>
    </xf>
    <xf numFmtId="43" fontId="16" fillId="0" borderId="82" xfId="1" applyFont="1" applyBorder="1" applyAlignment="1">
      <alignment horizontal="center" vertical="center"/>
    </xf>
    <xf numFmtId="43" fontId="16" fillId="0" borderId="85" xfId="1" applyFont="1" applyBorder="1" applyAlignment="1">
      <alignment horizontal="center" vertical="center"/>
    </xf>
    <xf numFmtId="1" fontId="16" fillId="0" borderId="70" xfId="22" applyNumberFormat="1" applyFont="1" applyBorder="1" applyAlignment="1">
      <alignment horizontal="center" vertical="center" wrapText="1"/>
    </xf>
    <xf numFmtId="1" fontId="16" fillId="0" borderId="72" xfId="22" applyNumberFormat="1" applyFont="1" applyBorder="1" applyAlignment="1">
      <alignment horizontal="center" vertical="center" wrapText="1"/>
    </xf>
    <xf numFmtId="49" fontId="16" fillId="0" borderId="25" xfId="23" applyNumberFormat="1" applyFont="1" applyBorder="1" applyAlignment="1">
      <alignment horizontal="justify" vertical="center" wrapText="1"/>
    </xf>
    <xf numFmtId="0" fontId="16" fillId="0" borderId="17" xfId="22" applyFont="1" applyBorder="1" applyAlignment="1">
      <alignment horizontal="center" vertical="center" wrapText="1"/>
    </xf>
    <xf numFmtId="0" fontId="16" fillId="0" borderId="24" xfId="22" applyFont="1" applyBorder="1" applyAlignment="1">
      <alignment horizontal="center" vertical="center" wrapText="1"/>
    </xf>
    <xf numFmtId="0" fontId="16" fillId="0" borderId="13" xfId="22" applyFont="1" applyBorder="1" applyAlignment="1">
      <alignment horizontal="center" vertical="center" wrapText="1"/>
    </xf>
    <xf numFmtId="164" fontId="16" fillId="0" borderId="18" xfId="11" applyNumberFormat="1" applyFont="1" applyBorder="1" applyAlignment="1">
      <alignment horizontal="center" vertical="center" wrapText="1"/>
    </xf>
    <xf numFmtId="164" fontId="16" fillId="0" borderId="25" xfId="11" applyNumberFormat="1" applyFont="1" applyBorder="1" applyAlignment="1">
      <alignment horizontal="center" vertical="center" wrapText="1"/>
    </xf>
    <xf numFmtId="164" fontId="16" fillId="0" borderId="27" xfId="11" applyNumberFormat="1" applyFont="1" applyBorder="1" applyAlignment="1">
      <alignment horizontal="center" vertical="center" wrapText="1"/>
    </xf>
    <xf numFmtId="0" fontId="16" fillId="7" borderId="60" xfId="22" applyFont="1" applyFill="1" applyBorder="1" applyAlignment="1">
      <alignment horizontal="justify" vertical="center" wrapText="1"/>
    </xf>
    <xf numFmtId="9" fontId="16" fillId="0" borderId="53" xfId="12" applyFont="1" applyBorder="1" applyAlignment="1">
      <alignment horizontal="center" vertical="center" wrapText="1"/>
    </xf>
    <xf numFmtId="9" fontId="16" fillId="0" borderId="55" xfId="12" applyFont="1" applyBorder="1" applyAlignment="1">
      <alignment horizontal="center" vertical="center" wrapText="1"/>
    </xf>
    <xf numFmtId="43" fontId="16" fillId="7" borderId="17" xfId="11" applyFont="1" applyFill="1" applyBorder="1" applyAlignment="1">
      <alignment horizontal="center" vertical="center" wrapText="1"/>
    </xf>
    <xf numFmtId="43" fontId="16" fillId="7" borderId="24" xfId="11" applyFont="1" applyFill="1" applyBorder="1" applyAlignment="1">
      <alignment horizontal="center" vertical="center" wrapText="1"/>
    </xf>
    <xf numFmtId="0" fontId="16" fillId="0" borderId="23" xfId="22" applyFont="1" applyBorder="1" applyAlignment="1">
      <alignment horizontal="justify" vertical="center" wrapText="1"/>
    </xf>
    <xf numFmtId="49" fontId="16" fillId="0" borderId="23" xfId="23" applyNumberFormat="1" applyFont="1" applyBorder="1" applyAlignment="1">
      <alignment horizontal="justify" vertical="center" wrapText="1"/>
    </xf>
    <xf numFmtId="0" fontId="13" fillId="0" borderId="16" xfId="22" applyFont="1" applyBorder="1" applyAlignment="1">
      <alignment horizontal="center" vertical="center" wrapText="1"/>
    </xf>
    <xf numFmtId="0" fontId="13" fillId="0" borderId="23" xfId="22" applyFont="1" applyBorder="1" applyAlignment="1">
      <alignment horizontal="center" vertical="center" wrapText="1"/>
    </xf>
    <xf numFmtId="0" fontId="13" fillId="0" borderId="12" xfId="22" applyFont="1" applyBorder="1" applyAlignment="1">
      <alignment horizontal="center" vertical="center" wrapText="1"/>
    </xf>
    <xf numFmtId="0" fontId="16" fillId="0" borderId="77" xfId="11" applyNumberFormat="1" applyFont="1" applyBorder="1" applyAlignment="1">
      <alignment horizontal="center" vertical="center" wrapText="1"/>
    </xf>
    <xf numFmtId="0" fontId="16" fillId="0" borderId="78" xfId="11" applyNumberFormat="1" applyFont="1" applyBorder="1" applyAlignment="1">
      <alignment horizontal="center" vertical="center" wrapText="1"/>
    </xf>
    <xf numFmtId="0" fontId="16" fillId="0" borderId="79" xfId="11" applyNumberFormat="1" applyFont="1" applyBorder="1" applyAlignment="1">
      <alignment horizontal="center" vertical="center" wrapText="1"/>
    </xf>
    <xf numFmtId="37" fontId="16" fillId="0" borderId="18" xfId="11" applyNumberFormat="1" applyFont="1" applyBorder="1" applyAlignment="1">
      <alignment horizontal="center" vertical="center" wrapText="1"/>
    </xf>
    <xf numFmtId="37" fontId="16" fillId="0" borderId="25" xfId="11" applyNumberFormat="1" applyFont="1" applyBorder="1" applyAlignment="1">
      <alignment horizontal="center" vertical="center" wrapText="1"/>
    </xf>
    <xf numFmtId="37" fontId="16" fillId="0" borderId="27" xfId="11" applyNumberFormat="1" applyFont="1" applyBorder="1" applyAlignment="1">
      <alignment horizontal="center" vertical="center" wrapText="1"/>
    </xf>
    <xf numFmtId="0" fontId="16" fillId="7" borderId="18" xfId="22" applyFont="1" applyFill="1" applyBorder="1" applyAlignment="1">
      <alignment horizontal="justify" vertical="top" wrapText="1"/>
    </xf>
    <xf numFmtId="0" fontId="16" fillId="7" borderId="27" xfId="22" applyFont="1" applyFill="1" applyBorder="1" applyAlignment="1">
      <alignment horizontal="justify" vertical="top" wrapText="1"/>
    </xf>
    <xf numFmtId="0" fontId="16" fillId="0" borderId="6" xfId="11" applyNumberFormat="1" applyFont="1" applyBorder="1" applyAlignment="1">
      <alignment horizontal="center" vertical="center"/>
    </xf>
    <xf numFmtId="0" fontId="16" fillId="0" borderId="18" xfId="11" applyNumberFormat="1" applyFont="1" applyBorder="1" applyAlignment="1">
      <alignment horizontal="center" vertical="center"/>
    </xf>
    <xf numFmtId="0" fontId="16" fillId="0" borderId="25" xfId="11" applyNumberFormat="1" applyFont="1" applyBorder="1" applyAlignment="1">
      <alignment horizontal="center" vertical="center"/>
    </xf>
    <xf numFmtId="0" fontId="16" fillId="0" borderId="27" xfId="11" applyNumberFormat="1" applyFont="1" applyBorder="1" applyAlignment="1">
      <alignment horizontal="center" vertical="center"/>
    </xf>
    <xf numFmtId="0" fontId="16" fillId="7" borderId="18" xfId="11" applyNumberFormat="1" applyFont="1" applyFill="1" applyBorder="1" applyAlignment="1">
      <alignment horizontal="center" vertical="center" wrapText="1"/>
    </xf>
    <xf numFmtId="0" fontId="16" fillId="7" borderId="25" xfId="11" applyNumberFormat="1" applyFont="1" applyFill="1" applyBorder="1" applyAlignment="1">
      <alignment horizontal="center" vertical="center" wrapText="1"/>
    </xf>
    <xf numFmtId="0" fontId="16" fillId="7" borderId="27" xfId="11" applyNumberFormat="1" applyFont="1" applyFill="1" applyBorder="1" applyAlignment="1">
      <alignment horizontal="center" vertical="center" wrapText="1"/>
    </xf>
    <xf numFmtId="0" fontId="16" fillId="0" borderId="16" xfId="11" applyNumberFormat="1" applyFont="1" applyBorder="1" applyAlignment="1">
      <alignment horizontal="center" vertical="center"/>
    </xf>
    <xf numFmtId="0" fontId="16" fillId="0" borderId="23" xfId="11" applyNumberFormat="1" applyFont="1" applyBorder="1" applyAlignment="1">
      <alignment horizontal="center" vertical="center"/>
    </xf>
    <xf numFmtId="0" fontId="16" fillId="0" borderId="12" xfId="11" applyNumberFormat="1" applyFont="1" applyBorder="1" applyAlignment="1">
      <alignment horizontal="center" vertical="center"/>
    </xf>
    <xf numFmtId="167" fontId="16" fillId="0" borderId="18" xfId="11" applyNumberFormat="1" applyFont="1" applyBorder="1" applyAlignment="1">
      <alignment horizontal="center" vertical="center" wrapText="1"/>
    </xf>
    <xf numFmtId="167" fontId="16" fillId="0" borderId="25" xfId="11" applyNumberFormat="1" applyFont="1" applyBorder="1" applyAlignment="1">
      <alignment horizontal="center" vertical="center" wrapText="1"/>
    </xf>
    <xf numFmtId="167" fontId="16" fillId="0" borderId="27" xfId="11" applyNumberFormat="1" applyFont="1" applyBorder="1" applyAlignment="1">
      <alignment horizontal="center" vertical="center" wrapText="1"/>
    </xf>
    <xf numFmtId="0" fontId="33" fillId="9" borderId="16" xfId="0" applyFont="1" applyFill="1" applyBorder="1" applyAlignment="1">
      <alignment horizontal="center" vertical="center" textRotation="90" wrapText="1"/>
    </xf>
    <xf numFmtId="0" fontId="33" fillId="9" borderId="12" xfId="0" applyFont="1" applyFill="1" applyBorder="1" applyAlignment="1">
      <alignment horizontal="center" vertical="center" textRotation="90" wrapText="1"/>
    </xf>
    <xf numFmtId="164" fontId="33" fillId="8" borderId="16" xfId="0" applyNumberFormat="1" applyFont="1" applyFill="1" applyBorder="1" applyAlignment="1">
      <alignment horizontal="center" vertical="center" wrapText="1"/>
    </xf>
    <xf numFmtId="164" fontId="33" fillId="8" borderId="12" xfId="0" applyNumberFormat="1" applyFont="1" applyFill="1" applyBorder="1" applyAlignment="1">
      <alignment horizontal="center" vertical="center" wrapText="1"/>
    </xf>
    <xf numFmtId="164" fontId="33" fillId="8" borderId="23" xfId="0" applyNumberFormat="1" applyFont="1" applyFill="1" applyBorder="1" applyAlignment="1">
      <alignment horizontal="center" vertical="center" wrapText="1"/>
    </xf>
    <xf numFmtId="3" fontId="22" fillId="8" borderId="21" xfId="0" applyNumberFormat="1" applyFont="1" applyFill="1" applyBorder="1" applyAlignment="1">
      <alignment horizontal="center" vertical="center" wrapText="1"/>
    </xf>
    <xf numFmtId="3" fontId="22" fillId="8" borderId="26" xfId="0" applyNumberFormat="1" applyFont="1" applyFill="1" applyBorder="1" applyAlignment="1">
      <alignment horizontal="center" vertical="center" wrapText="1"/>
    </xf>
    <xf numFmtId="0" fontId="16" fillId="0" borderId="10" xfId="22" applyFont="1" applyBorder="1" applyAlignment="1">
      <alignment horizontal="center"/>
    </xf>
    <xf numFmtId="0" fontId="16" fillId="0" borderId="11" xfId="22" applyFont="1" applyBorder="1" applyAlignment="1">
      <alignment horizontal="center"/>
    </xf>
    <xf numFmtId="0" fontId="16" fillId="0" borderId="17" xfId="22" applyFont="1" applyBorder="1" applyAlignment="1">
      <alignment horizontal="center"/>
    </xf>
    <xf numFmtId="3" fontId="33" fillId="9" borderId="19" xfId="0" applyNumberFormat="1" applyFont="1" applyFill="1" applyBorder="1" applyAlignment="1">
      <alignment horizontal="center" vertical="center" wrapText="1"/>
    </xf>
    <xf numFmtId="3" fontId="33" fillId="9" borderId="20" xfId="0" applyNumberFormat="1" applyFont="1" applyFill="1" applyBorder="1" applyAlignment="1">
      <alignment horizontal="center" vertical="center" wrapText="1"/>
    </xf>
    <xf numFmtId="0" fontId="33" fillId="9" borderId="19" xfId="0" applyFont="1" applyFill="1" applyBorder="1" applyAlignment="1">
      <alignment horizontal="center" vertical="center" wrapText="1"/>
    </xf>
    <xf numFmtId="0" fontId="33" fillId="9" borderId="20" xfId="0" applyFont="1" applyFill="1" applyBorder="1" applyAlignment="1">
      <alignment horizontal="center" vertical="center" wrapText="1"/>
    </xf>
    <xf numFmtId="0" fontId="33" fillId="9" borderId="19" xfId="0" applyFont="1" applyFill="1" applyBorder="1" applyAlignment="1">
      <alignment horizontal="center" vertical="center"/>
    </xf>
    <xf numFmtId="0" fontId="33" fillId="9" borderId="20" xfId="0" applyFont="1" applyFill="1" applyBorder="1" applyAlignment="1">
      <alignment horizontal="center" vertical="center"/>
    </xf>
    <xf numFmtId="0" fontId="33" fillId="9" borderId="11" xfId="0" applyFont="1" applyFill="1" applyBorder="1" applyAlignment="1">
      <alignment horizontal="center" vertical="center" wrapText="1"/>
    </xf>
    <xf numFmtId="0" fontId="33" fillId="8" borderId="16" xfId="0" applyFont="1" applyFill="1" applyBorder="1" applyAlignment="1">
      <alignment horizontal="center" vertical="center" wrapText="1"/>
    </xf>
    <xf numFmtId="0" fontId="33" fillId="8" borderId="23"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8" xfId="0" applyFont="1" applyBorder="1" applyAlignment="1">
      <alignment horizontal="center" vertical="center"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58" xfId="0" applyFont="1" applyBorder="1" applyAlignment="1">
      <alignment horizontal="center" vertical="center"/>
    </xf>
    <xf numFmtId="0" fontId="22" fillId="0" borderId="23" xfId="0" applyFont="1" applyBorder="1" applyAlignment="1">
      <alignment horizontal="center" vertical="center"/>
    </xf>
    <xf numFmtId="0" fontId="22" fillId="0" borderId="0" xfId="0" applyFont="1" applyAlignment="1">
      <alignment horizontal="center" vertical="center"/>
    </xf>
    <xf numFmtId="0" fontId="22" fillId="0" borderId="59" xfId="0" applyFont="1" applyBorder="1" applyAlignment="1">
      <alignment horizontal="center" vertical="center"/>
    </xf>
    <xf numFmtId="3" fontId="4" fillId="0" borderId="53" xfId="0" applyNumberFormat="1" applyFont="1" applyBorder="1" applyAlignment="1">
      <alignment horizontal="center" vertical="center"/>
    </xf>
    <xf numFmtId="3" fontId="4" fillId="0" borderId="55" xfId="0" applyNumberFormat="1" applyFont="1" applyBorder="1" applyAlignment="1">
      <alignment horizontal="center" vertical="center"/>
    </xf>
    <xf numFmtId="164" fontId="4" fillId="0" borderId="53" xfId="0" applyNumberFormat="1" applyFont="1" applyBorder="1" applyAlignment="1">
      <alignment horizontal="center" vertical="center" wrapText="1"/>
    </xf>
    <xf numFmtId="164" fontId="4" fillId="0" borderId="55" xfId="0" applyNumberFormat="1" applyFont="1" applyBorder="1" applyAlignment="1">
      <alignment horizontal="center" vertical="center" wrapText="1"/>
    </xf>
    <xf numFmtId="3" fontId="4" fillId="0" borderId="90" xfId="0" applyNumberFormat="1" applyFont="1" applyBorder="1" applyAlignment="1">
      <alignment horizontal="center" vertical="center" wrapText="1"/>
    </xf>
    <xf numFmtId="3" fontId="4" fillId="0" borderId="91" xfId="0" applyNumberFormat="1" applyFont="1" applyBorder="1" applyAlignment="1">
      <alignment horizontal="center" vertical="center" wrapText="1"/>
    </xf>
    <xf numFmtId="43" fontId="4" fillId="0" borderId="53" xfId="5" applyFont="1" applyBorder="1" applyAlignment="1">
      <alignment horizontal="center" vertical="center" wrapText="1"/>
    </xf>
    <xf numFmtId="43" fontId="4" fillId="0" borderId="55" xfId="5" applyFont="1" applyBorder="1" applyAlignment="1">
      <alignment horizontal="center" vertical="center" wrapText="1"/>
    </xf>
    <xf numFmtId="0" fontId="8" fillId="7" borderId="53" xfId="0" applyFont="1" applyFill="1" applyBorder="1" applyAlignment="1">
      <alignment horizontal="center" vertical="center" wrapText="1"/>
    </xf>
    <xf numFmtId="0" fontId="8" fillId="7" borderId="55" xfId="0" applyFont="1" applyFill="1" applyBorder="1" applyAlignment="1">
      <alignment horizontal="center" vertical="center" wrapText="1"/>
    </xf>
    <xf numFmtId="3" fontId="4" fillId="0" borderId="21" xfId="0" applyNumberFormat="1" applyFont="1" applyBorder="1" applyAlignment="1">
      <alignment horizontal="center" vertical="center" wrapText="1"/>
    </xf>
    <xf numFmtId="0" fontId="10" fillId="7" borderId="0" xfId="0" applyFont="1" applyFill="1" applyBorder="1" applyAlignment="1">
      <alignment horizontal="center"/>
    </xf>
    <xf numFmtId="0" fontId="4" fillId="0" borderId="53"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53" xfId="0" applyFont="1" applyBorder="1" applyAlignment="1">
      <alignment horizontal="center" vertical="center" wrapText="1"/>
    </xf>
    <xf numFmtId="0" fontId="4" fillId="0" borderId="55" xfId="0" applyFont="1" applyBorder="1" applyAlignment="1">
      <alignment horizontal="center" vertical="center" wrapText="1"/>
    </xf>
    <xf numFmtId="10" fontId="8" fillId="0" borderId="53" xfId="4" applyNumberFormat="1" applyFont="1" applyBorder="1" applyAlignment="1">
      <alignment horizontal="center" vertical="center" wrapText="1"/>
    </xf>
    <xf numFmtId="10" fontId="8" fillId="0" borderId="55" xfId="4"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25" xfId="0" applyNumberFormat="1" applyFont="1" applyBorder="1" applyAlignment="1">
      <alignment horizontal="center" vertical="center" wrapText="1"/>
    </xf>
    <xf numFmtId="3" fontId="4" fillId="0" borderId="35" xfId="0" applyNumberFormat="1" applyFont="1" applyBorder="1" applyAlignment="1">
      <alignment horizontal="center" vertical="center"/>
    </xf>
    <xf numFmtId="3" fontId="4" fillId="0" borderId="17" xfId="0" applyNumberFormat="1" applyFont="1" applyBorder="1" applyAlignment="1">
      <alignment horizontal="center" vertical="center"/>
    </xf>
    <xf numFmtId="0" fontId="4" fillId="0" borderId="18" xfId="0" applyFont="1" applyBorder="1" applyAlignment="1">
      <alignment horizontal="justify" vertical="center" wrapText="1"/>
    </xf>
    <xf numFmtId="10" fontId="8" fillId="0" borderId="6" xfId="4" applyNumberFormat="1" applyFont="1" applyBorder="1" applyAlignment="1">
      <alignment horizontal="center" vertical="center" wrapText="1"/>
    </xf>
    <xf numFmtId="10" fontId="8" fillId="0" borderId="18" xfId="4" applyNumberFormat="1" applyFont="1" applyBorder="1" applyAlignment="1">
      <alignment horizontal="center" vertical="center" wrapText="1"/>
    </xf>
    <xf numFmtId="4" fontId="4" fillId="7" borderId="6" xfId="5" applyNumberFormat="1" applyFont="1" applyFill="1" applyBorder="1" applyAlignment="1">
      <alignment horizontal="right" vertical="center" wrapText="1"/>
    </xf>
    <xf numFmtId="4" fontId="4" fillId="7" borderId="18" xfId="5" applyNumberFormat="1" applyFont="1" applyFill="1" applyBorder="1" applyAlignment="1">
      <alignment horizontal="right" vertical="center" wrapText="1"/>
    </xf>
    <xf numFmtId="0" fontId="4" fillId="0" borderId="18" xfId="0" applyFont="1" applyBorder="1" applyAlignment="1">
      <alignment horizontal="justify" vertical="center" wrapText="1" readingOrder="2"/>
    </xf>
    <xf numFmtId="0" fontId="4" fillId="0" borderId="25" xfId="0" applyFont="1" applyBorder="1" applyAlignment="1">
      <alignment horizontal="justify" vertical="center" wrapText="1" readingOrder="2"/>
    </xf>
    <xf numFmtId="0" fontId="4" fillId="0" borderId="27" xfId="0" applyFont="1" applyBorder="1" applyAlignment="1">
      <alignment horizontal="justify" vertical="center" wrapText="1" readingOrder="2"/>
    </xf>
    <xf numFmtId="0" fontId="4" fillId="0" borderId="18" xfId="0" applyFont="1" applyBorder="1" applyAlignment="1">
      <alignment horizontal="center" vertical="center" wrapText="1"/>
    </xf>
    <xf numFmtId="3" fontId="4" fillId="0" borderId="27" xfId="0" applyNumberFormat="1" applyFont="1" applyBorder="1" applyAlignment="1">
      <alignment horizontal="center" vertical="center"/>
    </xf>
    <xf numFmtId="164" fontId="4" fillId="0" borderId="27" xfId="0"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3" fontId="9" fillId="0" borderId="26" xfId="0" applyNumberFormat="1" applyFont="1" applyBorder="1" applyAlignment="1">
      <alignment horizontal="center" vertical="center"/>
    </xf>
    <xf numFmtId="9" fontId="8" fillId="0" borderId="18" xfId="4" applyFont="1" applyBorder="1" applyAlignment="1">
      <alignment horizontal="center" vertical="center" wrapText="1"/>
    </xf>
    <xf numFmtId="9" fontId="8" fillId="0" borderId="27" xfId="4" applyFont="1" applyBorder="1" applyAlignment="1">
      <alignment horizontal="center" vertical="center" wrapText="1"/>
    </xf>
    <xf numFmtId="43" fontId="4" fillId="0" borderId="18" xfId="5" applyFont="1" applyBorder="1" applyAlignment="1">
      <alignment horizontal="center" vertical="center" wrapText="1"/>
    </xf>
    <xf numFmtId="43" fontId="4" fillId="0" borderId="27" xfId="5" applyFont="1" applyBorder="1" applyAlignment="1">
      <alignment horizontal="center" vertical="center" wrapText="1"/>
    </xf>
    <xf numFmtId="3" fontId="4" fillId="0" borderId="18" xfId="0" applyNumberFormat="1" applyFont="1" applyBorder="1" applyAlignment="1">
      <alignment horizontal="justify" vertical="center" wrapText="1"/>
    </xf>
    <xf numFmtId="3" fontId="4" fillId="0" borderId="27" xfId="0" applyNumberFormat="1" applyFont="1" applyBorder="1" applyAlignment="1">
      <alignment horizontal="justify" vertical="center" wrapText="1"/>
    </xf>
    <xf numFmtId="0" fontId="4" fillId="0" borderId="27" xfId="0" applyFont="1" applyBorder="1" applyAlignment="1">
      <alignment horizontal="center" vertical="center" wrapText="1"/>
    </xf>
    <xf numFmtId="0" fontId="4" fillId="0" borderId="27" xfId="0" applyFont="1" applyBorder="1" applyAlignment="1">
      <alignment horizontal="justify" vertical="center" wrapText="1"/>
    </xf>
    <xf numFmtId="0" fontId="4" fillId="7" borderId="18" xfId="0" applyFont="1" applyFill="1" applyBorder="1" applyAlignment="1">
      <alignment horizontal="center" vertical="center" wrapText="1"/>
    </xf>
    <xf numFmtId="0" fontId="4" fillId="7" borderId="27" xfId="0" applyFont="1" applyFill="1" applyBorder="1" applyAlignment="1">
      <alignment horizontal="center" vertical="center" wrapText="1"/>
    </xf>
    <xf numFmtId="3" fontId="13" fillId="7" borderId="18" xfId="0" applyNumberFormat="1" applyFont="1" applyFill="1" applyBorder="1" applyAlignment="1">
      <alignment horizontal="justify" vertical="center" wrapText="1"/>
    </xf>
    <xf numFmtId="3" fontId="13" fillId="7" borderId="25" xfId="0" applyNumberFormat="1" applyFont="1" applyFill="1" applyBorder="1" applyAlignment="1">
      <alignment horizontal="justify" vertical="center" wrapText="1"/>
    </xf>
    <xf numFmtId="3" fontId="13" fillId="7" borderId="27" xfId="0" applyNumberFormat="1" applyFont="1" applyFill="1" applyBorder="1" applyAlignment="1">
      <alignment horizontal="justify" vertical="center" wrapText="1"/>
    </xf>
    <xf numFmtId="0" fontId="13" fillId="7" borderId="9" xfId="0" applyFont="1" applyFill="1" applyBorder="1" applyAlignment="1">
      <alignment horizontal="center" vertical="center" wrapText="1"/>
    </xf>
    <xf numFmtId="0" fontId="36" fillId="0" borderId="0" xfId="0" applyFont="1" applyBorder="1" applyAlignment="1">
      <alignment horizontal="center" vertical="top" wrapText="1"/>
    </xf>
    <xf numFmtId="0" fontId="37" fillId="0" borderId="0" xfId="0" applyFont="1" applyAlignment="1">
      <alignment horizontal="center" vertical="top" wrapText="1"/>
    </xf>
    <xf numFmtId="1" fontId="13" fillId="7" borderId="25" xfId="0" applyNumberFormat="1" applyFont="1" applyFill="1" applyBorder="1" applyAlignment="1">
      <alignment horizontal="center" vertical="center" wrapText="1"/>
    </xf>
    <xf numFmtId="0" fontId="13" fillId="7" borderId="18" xfId="0" applyFont="1" applyFill="1" applyBorder="1" applyAlignment="1">
      <alignment horizontal="justify" vertical="top" wrapText="1"/>
    </xf>
    <xf numFmtId="0" fontId="13" fillId="7" borderId="25" xfId="0" applyFont="1" applyFill="1" applyBorder="1" applyAlignment="1">
      <alignment horizontal="justify" vertical="top" wrapText="1"/>
    </xf>
    <xf numFmtId="0" fontId="13" fillId="7" borderId="27" xfId="0" applyFont="1" applyFill="1" applyBorder="1" applyAlignment="1">
      <alignment horizontal="justify" vertical="top" wrapText="1"/>
    </xf>
    <xf numFmtId="43" fontId="13" fillId="7" borderId="25" xfId="1" applyFont="1" applyFill="1" applyBorder="1" applyAlignment="1">
      <alignment horizontal="center" vertical="center" wrapText="1"/>
    </xf>
    <xf numFmtId="0" fontId="13" fillId="7" borderId="16" xfId="0" applyFont="1" applyFill="1" applyBorder="1" applyAlignment="1">
      <alignment horizontal="justify" vertical="center" wrapText="1"/>
    </xf>
    <xf numFmtId="0" fontId="13" fillId="7" borderId="23" xfId="0" applyFont="1" applyFill="1" applyBorder="1" applyAlignment="1">
      <alignment horizontal="justify" vertical="center" wrapText="1"/>
    </xf>
    <xf numFmtId="0" fontId="13" fillId="7" borderId="19" xfId="0" applyFont="1" applyFill="1" applyBorder="1" applyAlignment="1">
      <alignment horizontal="justify" vertical="center" wrapText="1"/>
    </xf>
    <xf numFmtId="0" fontId="13" fillId="0" borderId="18" xfId="0" applyFont="1" applyBorder="1" applyAlignment="1">
      <alignment horizontal="justify" vertical="top" wrapText="1"/>
    </xf>
    <xf numFmtId="0" fontId="13" fillId="0" borderId="25" xfId="0" applyFont="1" applyBorder="1" applyAlignment="1">
      <alignment horizontal="justify" vertical="top" wrapText="1"/>
    </xf>
    <xf numFmtId="0" fontId="13" fillId="7" borderId="16" xfId="0" applyFont="1" applyFill="1" applyBorder="1" applyAlignment="1">
      <alignment horizontal="center"/>
    </xf>
    <xf numFmtId="0" fontId="13" fillId="7" borderId="23" xfId="0" applyFont="1" applyFill="1" applyBorder="1" applyAlignment="1">
      <alignment horizontal="center"/>
    </xf>
    <xf numFmtId="0" fontId="13" fillId="7" borderId="12" xfId="0" applyFont="1" applyFill="1" applyBorder="1" applyAlignment="1">
      <alignment horizontal="center"/>
    </xf>
    <xf numFmtId="166" fontId="13" fillId="7" borderId="18" xfId="0" applyNumberFormat="1" applyFont="1" applyFill="1" applyBorder="1" applyAlignment="1">
      <alignment horizontal="justify" vertical="center" wrapText="1"/>
    </xf>
    <xf numFmtId="166" fontId="13" fillId="7" borderId="25" xfId="0" applyNumberFormat="1" applyFont="1" applyFill="1" applyBorder="1" applyAlignment="1">
      <alignment horizontal="justify" vertical="center" wrapText="1"/>
    </xf>
    <xf numFmtId="0" fontId="16" fillId="7" borderId="18" xfId="0" applyFont="1" applyFill="1" applyBorder="1" applyAlignment="1">
      <alignment horizontal="center" vertical="center" wrapText="1"/>
    </xf>
    <xf numFmtId="0" fontId="16" fillId="7" borderId="27" xfId="0" applyFont="1" applyFill="1" applyBorder="1" applyAlignment="1">
      <alignment horizontal="center" vertical="center" wrapText="1"/>
    </xf>
    <xf numFmtId="3" fontId="13" fillId="7" borderId="6" xfId="0" applyNumberFormat="1" applyFont="1" applyFill="1" applyBorder="1" applyAlignment="1">
      <alignment horizontal="justify" vertical="center" wrapText="1"/>
    </xf>
    <xf numFmtId="0" fontId="13" fillId="7" borderId="0" xfId="0" applyFont="1" applyFill="1" applyAlignment="1">
      <alignment horizontal="center" vertical="center" wrapText="1"/>
    </xf>
    <xf numFmtId="0" fontId="13" fillId="7" borderId="6" xfId="0" applyFont="1" applyFill="1" applyBorder="1" applyAlignment="1">
      <alignment horizontal="center"/>
    </xf>
    <xf numFmtId="3" fontId="28" fillId="8" borderId="7" xfId="0" applyNumberFormat="1" applyFont="1" applyFill="1" applyBorder="1" applyAlignment="1">
      <alignment horizontal="center" vertical="center" wrapText="1"/>
    </xf>
    <xf numFmtId="0" fontId="28" fillId="8" borderId="6" xfId="0" applyFont="1" applyFill="1" applyBorder="1" applyAlignment="1">
      <alignment horizontal="justify" vertical="center" wrapText="1"/>
    </xf>
    <xf numFmtId="0" fontId="11" fillId="0" borderId="2" xfId="0" applyFont="1" applyBorder="1" applyAlignment="1">
      <alignment horizontal="center" vertical="center"/>
    </xf>
    <xf numFmtId="0" fontId="11" fillId="0" borderId="5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28" fillId="8" borderId="39" xfId="0" applyFont="1" applyFill="1" applyBorder="1" applyAlignment="1">
      <alignment horizontal="center" vertical="center" wrapText="1"/>
    </xf>
    <xf numFmtId="0" fontId="22" fillId="7" borderId="6" xfId="0" applyFont="1" applyFill="1" applyBorder="1" applyAlignment="1">
      <alignment horizontal="center" vertical="center"/>
    </xf>
    <xf numFmtId="0" fontId="16" fillId="0" borderId="0" xfId="0" applyFont="1" applyAlignment="1">
      <alignment horizontal="center"/>
    </xf>
    <xf numFmtId="175" fontId="16" fillId="7" borderId="18" xfId="3" applyNumberFormat="1" applyFont="1" applyFill="1" applyBorder="1" applyAlignment="1">
      <alignment horizontal="center" vertical="center" wrapText="1"/>
    </xf>
    <xf numFmtId="175" fontId="16" fillId="7" borderId="27" xfId="3" applyNumberFormat="1" applyFont="1" applyFill="1" applyBorder="1" applyAlignment="1">
      <alignment horizontal="center" vertical="center" wrapText="1"/>
    </xf>
    <xf numFmtId="43" fontId="16" fillId="0" borderId="18" xfId="1" applyFont="1" applyBorder="1" applyAlignment="1">
      <alignment horizontal="center" vertical="center" wrapText="1"/>
    </xf>
    <xf numFmtId="43" fontId="16" fillId="0" borderId="27" xfId="1" applyFont="1" applyBorder="1" applyAlignment="1">
      <alignment horizontal="center" vertical="center" wrapText="1"/>
    </xf>
    <xf numFmtId="0" fontId="16" fillId="7" borderId="16" xfId="0" applyFont="1" applyFill="1" applyBorder="1" applyAlignment="1">
      <alignment horizontal="justify" vertical="center" wrapText="1"/>
    </xf>
    <xf numFmtId="0" fontId="16" fillId="7" borderId="12" xfId="0" applyFont="1" applyFill="1" applyBorder="1" applyAlignment="1">
      <alignment horizontal="justify" vertical="center" wrapText="1"/>
    </xf>
    <xf numFmtId="0" fontId="16" fillId="7" borderId="25" xfId="0"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25" xfId="0" applyFont="1" applyBorder="1" applyAlignment="1">
      <alignment horizontal="center" vertical="center" wrapText="1"/>
    </xf>
    <xf numFmtId="41" fontId="16" fillId="0" borderId="18" xfId="8" applyFont="1" applyBorder="1" applyAlignment="1">
      <alignment horizontal="center" vertical="center" wrapText="1"/>
    </xf>
    <xf numFmtId="41" fontId="16" fillId="0" borderId="25" xfId="8" applyFont="1" applyBorder="1" applyAlignment="1">
      <alignment horizontal="center" vertical="center" wrapText="1"/>
    </xf>
    <xf numFmtId="41" fontId="16" fillId="7" borderId="18" xfId="8" applyFont="1" applyFill="1" applyBorder="1" applyAlignment="1">
      <alignment horizontal="center" vertical="center" wrapText="1"/>
    </xf>
    <xf numFmtId="41" fontId="16" fillId="7" borderId="25" xfId="8" applyFont="1" applyFill="1" applyBorder="1" applyAlignment="1">
      <alignment horizontal="center" vertical="center" wrapText="1"/>
    </xf>
    <xf numFmtId="41" fontId="16" fillId="7" borderId="18" xfId="8" applyFont="1" applyFill="1" applyBorder="1" applyAlignment="1">
      <alignment vertical="center" wrapText="1"/>
    </xf>
    <xf numFmtId="41" fontId="16" fillId="7" borderId="25" xfId="8" applyFont="1" applyFill="1" applyBorder="1" applyAlignment="1">
      <alignment vertical="center" wrapText="1"/>
    </xf>
    <xf numFmtId="49" fontId="16" fillId="7" borderId="18" xfId="0" applyNumberFormat="1" applyFont="1" applyFill="1" applyBorder="1" applyAlignment="1">
      <alignment horizontal="center" vertical="center" wrapText="1"/>
    </xf>
    <xf numFmtId="49" fontId="16" fillId="7" borderId="27" xfId="0" applyNumberFormat="1" applyFont="1" applyFill="1" applyBorder="1" applyAlignment="1">
      <alignment horizontal="center" vertical="center" wrapText="1"/>
    </xf>
    <xf numFmtId="189" fontId="16" fillId="7" borderId="18" xfId="0" applyNumberFormat="1" applyFont="1" applyFill="1" applyBorder="1" applyAlignment="1">
      <alignment horizontal="center" vertical="center" wrapText="1"/>
    </xf>
    <xf numFmtId="189" fontId="16" fillId="7" borderId="27" xfId="0" applyNumberFormat="1" applyFont="1" applyFill="1" applyBorder="1" applyAlignment="1">
      <alignment horizontal="center" vertical="center" wrapText="1"/>
    </xf>
    <xf numFmtId="41" fontId="16" fillId="7" borderId="24" xfId="8" applyFont="1" applyFill="1" applyBorder="1" applyAlignment="1">
      <alignment horizontal="center" vertical="center" wrapText="1"/>
    </xf>
    <xf numFmtId="175" fontId="16" fillId="7" borderId="25" xfId="3" applyNumberFormat="1" applyFont="1" applyFill="1" applyBorder="1" applyAlignment="1">
      <alignment horizontal="center" vertical="center" wrapText="1"/>
    </xf>
    <xf numFmtId="43" fontId="16" fillId="0" borderId="25" xfId="1" applyFont="1" applyBorder="1" applyAlignment="1">
      <alignment horizontal="center" vertical="center" wrapText="1"/>
    </xf>
    <xf numFmtId="0" fontId="22" fillId="12" borderId="6" xfId="0" applyFont="1" applyFill="1" applyBorder="1" applyAlignment="1">
      <alignment horizontal="left" vertical="center" wrapText="1"/>
    </xf>
    <xf numFmtId="41" fontId="16" fillId="0" borderId="18" xfId="8" applyFont="1" applyBorder="1" applyAlignment="1">
      <alignment vertical="center" wrapText="1"/>
    </xf>
    <xf numFmtId="41" fontId="16" fillId="0" borderId="25" xfId="8" applyFont="1" applyBorder="1" applyAlignment="1">
      <alignment vertical="center" wrapText="1"/>
    </xf>
    <xf numFmtId="0" fontId="16" fillId="7" borderId="60" xfId="0" applyFont="1" applyFill="1" applyBorder="1" applyAlignment="1">
      <alignment horizontal="justify" vertical="center" wrapText="1"/>
    </xf>
    <xf numFmtId="41" fontId="16" fillId="0" borderId="17" xfId="8" applyFont="1" applyBorder="1" applyAlignment="1">
      <alignment horizontal="center" vertical="center" wrapText="1"/>
    </xf>
    <xf numFmtId="41" fontId="16" fillId="0" borderId="24" xfId="8" applyFont="1" applyBorder="1" applyAlignment="1">
      <alignment horizontal="center" vertical="center" wrapText="1"/>
    </xf>
    <xf numFmtId="9" fontId="16" fillId="0" borderId="18" xfId="3" applyFont="1" applyBorder="1" applyAlignment="1">
      <alignment horizontal="center" vertical="center" wrapText="1"/>
    </xf>
    <xf numFmtId="9" fontId="16" fillId="0" borderId="25" xfId="3" applyFont="1" applyBorder="1" applyAlignment="1">
      <alignment horizontal="center" vertical="center" wrapText="1"/>
    </xf>
    <xf numFmtId="0" fontId="22" fillId="9" borderId="16" xfId="0" applyFont="1" applyFill="1" applyBorder="1" applyAlignment="1">
      <alignment horizontal="center" vertical="center" textRotation="90" wrapText="1"/>
    </xf>
    <xf numFmtId="0" fontId="22" fillId="9" borderId="12" xfId="0" applyFont="1" applyFill="1" applyBorder="1" applyAlignment="1">
      <alignment horizontal="center" vertical="center" textRotation="90" wrapText="1"/>
    </xf>
    <xf numFmtId="0" fontId="22" fillId="8" borderId="6" xfId="0" applyFont="1" applyFill="1" applyBorder="1" applyAlignment="1">
      <alignment horizontal="center" vertical="center" textRotation="90" wrapText="1"/>
    </xf>
    <xf numFmtId="0" fontId="22" fillId="10" borderId="19" xfId="0" applyFont="1" applyFill="1" applyBorder="1" applyAlignment="1">
      <alignment horizontal="left" vertical="center" wrapText="1"/>
    </xf>
    <xf numFmtId="0" fontId="22" fillId="10" borderId="20" xfId="0" applyFont="1" applyFill="1" applyBorder="1" applyAlignment="1">
      <alignment horizontal="left" vertical="center" wrapText="1"/>
    </xf>
    <xf numFmtId="0" fontId="22" fillId="16" borderId="19" xfId="0" applyFont="1" applyFill="1" applyBorder="1" applyAlignment="1">
      <alignment horizontal="left" vertical="center" wrapText="1"/>
    </xf>
    <xf numFmtId="0" fontId="22" fillId="16" borderId="20" xfId="0" applyFont="1" applyFill="1" applyBorder="1" applyAlignment="1">
      <alignment horizontal="left" vertical="center" wrapText="1"/>
    </xf>
    <xf numFmtId="0" fontId="22" fillId="16" borderId="35" xfId="0" applyFont="1" applyFill="1" applyBorder="1" applyAlignment="1">
      <alignment horizontal="left" vertical="center" wrapText="1"/>
    </xf>
    <xf numFmtId="0" fontId="22" fillId="12" borderId="18" xfId="0" applyFont="1" applyFill="1" applyBorder="1" applyAlignment="1">
      <alignment horizontal="left" vertical="center" wrapText="1"/>
    </xf>
    <xf numFmtId="49" fontId="16" fillId="7" borderId="25" xfId="0" applyNumberFormat="1" applyFont="1" applyFill="1" applyBorder="1" applyAlignment="1">
      <alignment horizontal="center" vertical="center" wrapText="1"/>
    </xf>
    <xf numFmtId="0" fontId="16" fillId="0" borderId="18" xfId="1" applyNumberFormat="1" applyFont="1" applyBorder="1" applyAlignment="1">
      <alignment horizontal="center" vertical="center" wrapText="1"/>
    </xf>
    <xf numFmtId="0" fontId="16" fillId="0" borderId="25" xfId="1" applyNumberFormat="1" applyFont="1" applyBorder="1" applyAlignment="1">
      <alignment horizontal="center" vertical="center" wrapText="1"/>
    </xf>
    <xf numFmtId="0" fontId="22" fillId="27" borderId="6" xfId="0" applyFont="1" applyFill="1" applyBorder="1" applyAlignment="1">
      <alignment horizontal="center" vertical="center" wrapText="1"/>
    </xf>
    <xf numFmtId="3" fontId="22" fillId="9" borderId="19" xfId="0" applyNumberFormat="1" applyFont="1" applyFill="1" applyBorder="1" applyAlignment="1">
      <alignment horizontal="center" vertical="center" wrapText="1"/>
    </xf>
    <xf numFmtId="3" fontId="22" fillId="27" borderId="6" xfId="0" applyNumberFormat="1" applyFont="1" applyFill="1" applyBorder="1" applyAlignment="1">
      <alignment horizontal="center" vertical="center" wrapText="1"/>
    </xf>
    <xf numFmtId="0" fontId="22" fillId="27" borderId="16" xfId="0" applyFont="1" applyFill="1" applyBorder="1" applyAlignment="1">
      <alignment horizontal="center" vertical="center" wrapText="1"/>
    </xf>
    <xf numFmtId="0" fontId="22" fillId="27" borderId="23" xfId="0" applyFont="1" applyFill="1" applyBorder="1" applyAlignment="1">
      <alignment horizontal="center" vertical="center" wrapText="1"/>
    </xf>
    <xf numFmtId="0" fontId="22" fillId="27" borderId="6" xfId="0" applyFont="1" applyFill="1" applyBorder="1" applyAlignment="1">
      <alignment horizontal="center" vertical="center"/>
    </xf>
    <xf numFmtId="0" fontId="22" fillId="0" borderId="6" xfId="0" applyFont="1" applyBorder="1" applyAlignment="1">
      <alignment horizontal="center" vertical="center"/>
    </xf>
    <xf numFmtId="0" fontId="22" fillId="0" borderId="6" xfId="0" applyFont="1" applyBorder="1" applyAlignment="1">
      <alignment horizontal="justify" vertical="center"/>
    </xf>
    <xf numFmtId="14" fontId="22" fillId="27" borderId="16" xfId="0" applyNumberFormat="1" applyFont="1" applyFill="1" applyBorder="1" applyAlignment="1">
      <alignment horizontal="center" vertical="center" wrapText="1"/>
    </xf>
    <xf numFmtId="14" fontId="22" fillId="27" borderId="23" xfId="0" applyNumberFormat="1" applyFont="1" applyFill="1" applyBorder="1" applyAlignment="1">
      <alignment horizontal="center" vertical="center" wrapText="1"/>
    </xf>
    <xf numFmtId="14" fontId="22" fillId="27" borderId="12" xfId="0" applyNumberFormat="1" applyFont="1" applyFill="1" applyBorder="1" applyAlignment="1">
      <alignment horizontal="center" vertical="center" wrapText="1"/>
    </xf>
    <xf numFmtId="3" fontId="22" fillId="27" borderId="18" xfId="0" applyNumberFormat="1" applyFont="1" applyFill="1" applyBorder="1" applyAlignment="1">
      <alignment horizontal="center" vertical="center" wrapText="1"/>
    </xf>
    <xf numFmtId="3" fontId="22" fillId="27" borderId="25" xfId="0" applyNumberFormat="1" applyFont="1" applyFill="1" applyBorder="1" applyAlignment="1">
      <alignment horizontal="center" vertical="center" wrapText="1"/>
    </xf>
    <xf numFmtId="9" fontId="8" fillId="7" borderId="18" xfId="12" applyFont="1" applyFill="1" applyBorder="1" applyAlignment="1">
      <alignment horizontal="center" vertical="center"/>
    </xf>
    <xf numFmtId="9" fontId="8" fillId="7" borderId="27" xfId="12" applyFont="1" applyFill="1" applyBorder="1" applyAlignment="1">
      <alignment horizontal="center" vertical="center"/>
    </xf>
    <xf numFmtId="2" fontId="8" fillId="7" borderId="18" xfId="0" applyNumberFormat="1" applyFont="1" applyFill="1" applyBorder="1" applyAlignment="1">
      <alignment horizontal="justify" vertical="center" wrapText="1"/>
    </xf>
    <xf numFmtId="2" fontId="8" fillId="7" borderId="27" xfId="0" applyNumberFormat="1" applyFont="1" applyFill="1" applyBorder="1" applyAlignment="1">
      <alignment horizontal="justify" vertical="center" wrapText="1"/>
    </xf>
    <xf numFmtId="1" fontId="22" fillId="0" borderId="6" xfId="0" applyNumberFormat="1" applyFont="1" applyBorder="1" applyAlignment="1">
      <alignment horizontal="center"/>
    </xf>
    <xf numFmtId="166" fontId="16" fillId="7" borderId="18" xfId="0" applyNumberFormat="1" applyFont="1" applyFill="1" applyBorder="1" applyAlignment="1">
      <alignment horizontal="center" vertical="center" wrapText="1"/>
    </xf>
    <xf numFmtId="166" fontId="16" fillId="7" borderId="25" xfId="0" applyNumberFormat="1" applyFont="1" applyFill="1" applyBorder="1" applyAlignment="1">
      <alignment horizontal="center" vertical="center" wrapText="1"/>
    </xf>
    <xf numFmtId="166" fontId="16" fillId="7" borderId="27" xfId="0" applyNumberFormat="1" applyFont="1" applyFill="1" applyBorder="1" applyAlignment="1">
      <alignment horizontal="center" vertical="center" wrapText="1"/>
    </xf>
    <xf numFmtId="3" fontId="16" fillId="7" borderId="18" xfId="0" applyNumberFormat="1" applyFont="1" applyFill="1" applyBorder="1" applyAlignment="1">
      <alignment horizontal="justify" vertical="center" wrapText="1"/>
    </xf>
    <xf numFmtId="3" fontId="16" fillId="7" borderId="25" xfId="0" applyNumberFormat="1" applyFont="1" applyFill="1" applyBorder="1" applyAlignment="1">
      <alignment horizontal="justify" vertical="center" wrapText="1"/>
    </xf>
    <xf numFmtId="3" fontId="16" fillId="7" borderId="27" xfId="0" applyNumberFormat="1" applyFont="1" applyFill="1" applyBorder="1" applyAlignment="1">
      <alignment horizontal="justify" vertical="center" wrapText="1"/>
    </xf>
    <xf numFmtId="9" fontId="8" fillId="7" borderId="25" xfId="12" applyFont="1" applyFill="1" applyBorder="1" applyAlignment="1">
      <alignment horizontal="center" vertical="center"/>
    </xf>
    <xf numFmtId="2" fontId="8" fillId="0" borderId="18" xfId="0" applyNumberFormat="1" applyFont="1" applyBorder="1" applyAlignment="1">
      <alignment horizontal="justify" vertical="center" wrapText="1"/>
    </xf>
    <xf numFmtId="2" fontId="8" fillId="0" borderId="25" xfId="0" applyNumberFormat="1" applyFont="1" applyBorder="1" applyAlignment="1">
      <alignment horizontal="justify" vertical="center" wrapText="1"/>
    </xf>
    <xf numFmtId="1" fontId="16" fillId="7" borderId="18" xfId="0" applyNumberFormat="1" applyFont="1" applyFill="1" applyBorder="1" applyAlignment="1">
      <alignment horizontal="center" vertical="center" wrapText="1"/>
    </xf>
    <xf numFmtId="1" fontId="16" fillId="7" borderId="25" xfId="0" applyNumberFormat="1" applyFont="1" applyFill="1" applyBorder="1" applyAlignment="1">
      <alignment horizontal="center" vertical="center" wrapText="1"/>
    </xf>
    <xf numFmtId="181" fontId="8" fillId="7" borderId="6" xfId="2" applyNumberFormat="1" applyFont="1" applyFill="1" applyBorder="1" applyAlignment="1">
      <alignment horizontal="center" vertical="center"/>
    </xf>
    <xf numFmtId="166" fontId="22" fillId="8" borderId="6" xfId="0" applyNumberFormat="1" applyFont="1" applyFill="1" applyBorder="1" applyAlignment="1">
      <alignment horizontal="center" vertical="center" wrapText="1"/>
    </xf>
    <xf numFmtId="3" fontId="22" fillId="8" borderId="6" xfId="0" applyNumberFormat="1" applyFont="1" applyFill="1" applyBorder="1" applyAlignment="1">
      <alignment horizontal="center" vertical="center" wrapText="1"/>
    </xf>
    <xf numFmtId="9" fontId="8" fillId="7" borderId="18" xfId="12" applyFont="1" applyFill="1" applyBorder="1" applyAlignment="1">
      <alignment horizontal="center" vertical="center" wrapText="1"/>
    </xf>
    <xf numFmtId="9" fontId="8" fillId="7" borderId="25" xfId="12" applyFont="1" applyFill="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22" fillId="0" borderId="24" xfId="0" applyFont="1" applyBorder="1" applyAlignment="1">
      <alignment horizontal="center" vertical="center"/>
    </xf>
  </cellXfs>
  <cellStyles count="25">
    <cellStyle name="Excel Built-in Normal" xfId="20"/>
    <cellStyle name="Excel Built-in Normal 2" xfId="23"/>
    <cellStyle name="Millares" xfId="1" builtinId="3"/>
    <cellStyle name="Millares [0] 2" xfId="9"/>
    <cellStyle name="Millares [0] 3" xfId="8"/>
    <cellStyle name="Millares 2" xfId="5"/>
    <cellStyle name="Millares 2 2" xfId="11"/>
    <cellStyle name="Millares 3 2" xfId="24"/>
    <cellStyle name="Millares 3 3" xfId="17"/>
    <cellStyle name="Millares 4" xfId="6"/>
    <cellStyle name="Moneda" xfId="2" builtinId="4"/>
    <cellStyle name="Moneda [0] 2 3" xfId="14"/>
    <cellStyle name="Moneda [0] 3" xfId="18"/>
    <cellStyle name="Moneda 2" xfId="10"/>
    <cellStyle name="Normal" xfId="0" builtinId="0"/>
    <cellStyle name="Normal 2 2" xfId="15"/>
    <cellStyle name="Normal 2 2 2" xfId="19"/>
    <cellStyle name="Normal 3 2" xfId="7"/>
    <cellStyle name="Normal 4" xfId="21"/>
    <cellStyle name="Normal 7" xfId="22"/>
    <cellStyle name="Porcentaje" xfId="3" builtinId="5"/>
    <cellStyle name="Porcentaje 2 2" xfId="4"/>
    <cellStyle name="Porcentaje 2 2 2" xfId="13"/>
    <cellStyle name="Porcentaje 2 3" xfId="12"/>
    <cellStyle name="Porcentual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388" y="176893"/>
          <a:ext cx="993321" cy="925286"/>
        </a:xfrm>
        <a:prstGeom prst="rect">
          <a:avLst/>
        </a:prstGeom>
        <a:noFill/>
        <a:ln>
          <a:noFill/>
        </a:ln>
      </xdr:spPr>
    </xdr:pic>
    <xdr:clientData/>
  </xdr:oneCellAnchor>
  <xdr:oneCellAnchor>
    <xdr:from>
      <xdr:col>1</xdr:col>
      <xdr:colOff>27213</xdr:colOff>
      <xdr:row>0</xdr:row>
      <xdr:rowOff>176893</xdr:rowOff>
    </xdr:from>
    <xdr:ext cx="993321" cy="925286"/>
    <xdr:pic>
      <xdr:nvPicPr>
        <xdr:cNvPr id="3" name="Imagen 2" descr="C:\Users\AUXPLANEACION03\Desktop\Gobernacion_del_quindio.jpg">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388" y="176893"/>
          <a:ext cx="993321" cy="92528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2</xdr:col>
      <xdr:colOff>88222</xdr:colOff>
      <xdr:row>0</xdr:row>
      <xdr:rowOff>22225</xdr:rowOff>
    </xdr:to>
    <xdr:pic>
      <xdr:nvPicPr>
        <xdr:cNvPr id="2" name="Imagen 1" descr="C:\Users\AUXPLANEACION03\Desktop\Gobernacion_del_quindio.jpg">
          <a:extLst>
            <a:ext uri="{FF2B5EF4-FFF2-40B4-BE49-F238E27FC236}">
              <a16:creationId xmlns:a16="http://schemas.microsoft.com/office/drawing/2014/main" xmlns="" id="{8C9C2E1F-9A2B-41D3-BF11-6F21FB881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715" y="0"/>
          <a:ext cx="651557" cy="22225"/>
        </a:xfrm>
        <a:prstGeom prst="rect">
          <a:avLst/>
        </a:prstGeom>
        <a:noFill/>
        <a:ln>
          <a:noFill/>
        </a:ln>
      </xdr:spPr>
    </xdr:pic>
    <xdr:clientData/>
  </xdr:twoCellAnchor>
  <xdr:twoCellAnchor editAs="oneCell">
    <xdr:from>
      <xdr:col>1</xdr:col>
      <xdr:colOff>27215</xdr:colOff>
      <xdr:row>0</xdr:row>
      <xdr:rowOff>0</xdr:rowOff>
    </xdr:from>
    <xdr:to>
      <xdr:col>2</xdr:col>
      <xdr:colOff>91190</xdr:colOff>
      <xdr:row>0</xdr:row>
      <xdr:rowOff>22225</xdr:rowOff>
    </xdr:to>
    <xdr:pic>
      <xdr:nvPicPr>
        <xdr:cNvPr id="3" name="Imagen 2" descr="C:\Users\AUXPLANEACION03\Desktop\Gobernacion_del_quindio.jpg">
          <a:extLst>
            <a:ext uri="{FF2B5EF4-FFF2-40B4-BE49-F238E27FC236}">
              <a16:creationId xmlns:a16="http://schemas.microsoft.com/office/drawing/2014/main" xmlns="" id="{F6F5FCC1-1292-48D4-95DE-F9AE45173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715" y="0"/>
          <a:ext cx="654525" cy="22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8163</xdr:colOff>
      <xdr:row>0</xdr:row>
      <xdr:rowOff>119743</xdr:rowOff>
    </xdr:from>
    <xdr:ext cx="993321" cy="925286"/>
    <xdr:pic>
      <xdr:nvPicPr>
        <xdr:cNvPr id="2" name="Imagen 1" descr="C:\Users\AUXPLANEACION03\Desktop\Gobernacion_del_quindio.jpg">
          <a:extLst>
            <a:ext uri="{FF2B5EF4-FFF2-40B4-BE49-F238E27FC236}">
              <a16:creationId xmlns="" xmlns:a16="http://schemas.microsoft.com/office/drawing/2014/main" id="{213DD458-7E92-460A-B17E-EF9F92E999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713" y="119743"/>
          <a:ext cx="993321" cy="925286"/>
        </a:xfrm>
        <a:prstGeom prst="rect">
          <a:avLst/>
        </a:prstGeom>
        <a:noFill/>
        <a:ln>
          <a:noFill/>
        </a:ln>
      </xdr:spPr>
    </xdr:pic>
    <xdr:clientData/>
  </xdr:oneCellAnchor>
  <xdr:twoCellAnchor editAs="oneCell">
    <xdr:from>
      <xdr:col>1</xdr:col>
      <xdr:colOff>27215</xdr:colOff>
      <xdr:row>0</xdr:row>
      <xdr:rowOff>204108</xdr:rowOff>
    </xdr:from>
    <xdr:to>
      <xdr:col>1</xdr:col>
      <xdr:colOff>677328</xdr:colOff>
      <xdr:row>1</xdr:row>
      <xdr:rowOff>4083</xdr:rowOff>
    </xdr:to>
    <xdr:pic>
      <xdr:nvPicPr>
        <xdr:cNvPr id="3" name="Imagen 2" descr="C:\Users\AUXPLANEACION03\Desktop\Gobernacion_del_quindio.jpg">
          <a:extLst>
            <a:ext uri="{FF2B5EF4-FFF2-40B4-BE49-F238E27FC236}">
              <a16:creationId xmlns="" xmlns:a16="http://schemas.microsoft.com/office/drawing/2014/main" id="{D672E96E-2D91-4E98-95BB-0882C88854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65" y="194583"/>
          <a:ext cx="650113" cy="0"/>
        </a:xfrm>
        <a:prstGeom prst="rect">
          <a:avLst/>
        </a:prstGeom>
        <a:noFill/>
        <a:ln>
          <a:noFill/>
        </a:ln>
      </xdr:spPr>
    </xdr:pic>
    <xdr:clientData/>
  </xdr:twoCellAnchor>
  <xdr:twoCellAnchor editAs="oneCell">
    <xdr:from>
      <xdr:col>1</xdr:col>
      <xdr:colOff>27215</xdr:colOff>
      <xdr:row>0</xdr:row>
      <xdr:rowOff>204108</xdr:rowOff>
    </xdr:from>
    <xdr:to>
      <xdr:col>1</xdr:col>
      <xdr:colOff>671267</xdr:colOff>
      <xdr:row>1</xdr:row>
      <xdr:rowOff>4083</xdr:rowOff>
    </xdr:to>
    <xdr:pic>
      <xdr:nvPicPr>
        <xdr:cNvPr id="4" name="Imagen 3" descr="C:\Users\AUXPLANEACION03\Desktop\Gobernacion_del_quindio.jpg">
          <a:extLst>
            <a:ext uri="{FF2B5EF4-FFF2-40B4-BE49-F238E27FC236}">
              <a16:creationId xmlns="" xmlns:a16="http://schemas.microsoft.com/office/drawing/2014/main" id="{2F4BB108-D3EC-47DB-89F4-9B4A885801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65" y="194583"/>
          <a:ext cx="644052" cy="0"/>
        </a:xfrm>
        <a:prstGeom prst="rect">
          <a:avLst/>
        </a:prstGeom>
        <a:noFill/>
        <a:ln>
          <a:noFill/>
        </a:ln>
      </xdr:spPr>
    </xdr:pic>
    <xdr:clientData/>
  </xdr:twoCellAnchor>
  <xdr:twoCellAnchor editAs="oneCell">
    <xdr:from>
      <xdr:col>1</xdr:col>
      <xdr:colOff>27215</xdr:colOff>
      <xdr:row>0</xdr:row>
      <xdr:rowOff>204108</xdr:rowOff>
    </xdr:from>
    <xdr:to>
      <xdr:col>1</xdr:col>
      <xdr:colOff>674235</xdr:colOff>
      <xdr:row>1</xdr:row>
      <xdr:rowOff>4083</xdr:rowOff>
    </xdr:to>
    <xdr:pic>
      <xdr:nvPicPr>
        <xdr:cNvPr id="5" name="Imagen 4" descr="C:\Users\AUXPLANEACION03\Desktop\Gobernacion_del_quindio.jpg">
          <a:extLst>
            <a:ext uri="{FF2B5EF4-FFF2-40B4-BE49-F238E27FC236}">
              <a16:creationId xmlns="" xmlns:a16="http://schemas.microsoft.com/office/drawing/2014/main" id="{4A559576-F941-40D7-816F-724462D711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65" y="194583"/>
          <a:ext cx="647020" cy="0"/>
        </a:xfrm>
        <a:prstGeom prst="rect">
          <a:avLst/>
        </a:prstGeom>
        <a:noFill/>
        <a:ln>
          <a:noFill/>
        </a:ln>
      </xdr:spPr>
    </xdr:pic>
    <xdr:clientData/>
  </xdr:twoCellAnchor>
  <xdr:oneCellAnchor>
    <xdr:from>
      <xdr:col>1</xdr:col>
      <xdr:colOff>27213</xdr:colOff>
      <xdr:row>0</xdr:row>
      <xdr:rowOff>176893</xdr:rowOff>
    </xdr:from>
    <xdr:ext cx="993321" cy="925286"/>
    <xdr:pic>
      <xdr:nvPicPr>
        <xdr:cNvPr id="6" name="Imagen 5" descr="C:\Users\AUXPLANEACION03\Desktop\Gobernacion_del_quindio.jpg">
          <a:extLst>
            <a:ext uri="{FF2B5EF4-FFF2-40B4-BE49-F238E27FC236}">
              <a16:creationId xmlns="" xmlns:a16="http://schemas.microsoft.com/office/drawing/2014/main" id="{15EFCE72-3B04-4276-B687-1071F769DE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63" y="176893"/>
          <a:ext cx="993321" cy="92528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389163</xdr:colOff>
      <xdr:row>0</xdr:row>
      <xdr:rowOff>72118</xdr:rowOff>
    </xdr:from>
    <xdr:ext cx="993321" cy="925286"/>
    <xdr:pic>
      <xdr:nvPicPr>
        <xdr:cNvPr id="2" name="Imagen 1" descr="C:\Users\AUXPLANEACION03\Desktop\Gobernacion_del_quindio.jpg">
          <a:extLst>
            <a:ext uri="{FF2B5EF4-FFF2-40B4-BE49-F238E27FC236}">
              <a16:creationId xmlns="" xmlns:a16="http://schemas.microsoft.com/office/drawing/2014/main" id="{B4211FA8-347C-4632-9AFA-BBB43469BD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163" y="72118"/>
          <a:ext cx="993321" cy="92528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484416</xdr:colOff>
      <xdr:row>0</xdr:row>
      <xdr:rowOff>231322</xdr:rowOff>
    </xdr:from>
    <xdr:to>
      <xdr:col>2</xdr:col>
      <xdr:colOff>367393</xdr:colOff>
      <xdr:row>2</xdr:row>
      <xdr:rowOff>272329</xdr:rowOff>
    </xdr:to>
    <xdr:pic>
      <xdr:nvPicPr>
        <xdr:cNvPr id="2" name="Imagen 1" descr="C:\Users\AUXPLANEACION03\Desktop\Gobernacion_del_quindio.jpg">
          <a:extLst>
            <a:ext uri="{FF2B5EF4-FFF2-40B4-BE49-F238E27FC236}">
              <a16:creationId xmlns="" xmlns:a16="http://schemas.microsoft.com/office/drawing/2014/main" id="{9AC4CE59-8FF3-4A41-9F64-3292D96C68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416" y="231322"/>
          <a:ext cx="1006927" cy="726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1</xdr:col>
      <xdr:colOff>158750</xdr:colOff>
      <xdr:row>3</xdr:row>
      <xdr:rowOff>171450</xdr:rowOff>
    </xdr:to>
    <xdr:pic>
      <xdr:nvPicPr>
        <xdr:cNvPr id="2" name="Imagen 1" descr="C:\Users\AUXPLANEACION03\Desktop\Gobernacion_del_quindio.jpg">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89353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217714</xdr:colOff>
      <xdr:row>0</xdr:row>
      <xdr:rowOff>95250</xdr:rowOff>
    </xdr:from>
    <xdr:ext cx="934811" cy="915761"/>
    <xdr:pic>
      <xdr:nvPicPr>
        <xdr:cNvPr id="2" name="Imagen 1" descr="C:\Users\AUXPLANEACION03\Desktop\Gobernacion_del_quindio.jpg">
          <a:extLst>
            <a:ext uri="{FF2B5EF4-FFF2-40B4-BE49-F238E27FC236}">
              <a16:creationId xmlns:a16="http://schemas.microsoft.com/office/drawing/2014/main" xmlns="" id="{4664D591-6C33-42BF-8513-6F4379C7DE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 y="95250"/>
          <a:ext cx="934811" cy="91576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showGridLines="0" topLeftCell="M1" zoomScale="60" zoomScaleNormal="60" workbookViewId="0">
      <pane ySplit="12" topLeftCell="A13" activePane="bottomLeft" state="frozen"/>
      <selection activeCell="J1" sqref="J1"/>
      <selection pane="bottomLeft" activeCell="M7" sqref="M7:M12"/>
    </sheetView>
  </sheetViews>
  <sheetFormatPr baseColWidth="10" defaultColWidth="11.7109375" defaultRowHeight="15" x14ac:dyDescent="0.2"/>
  <cols>
    <col min="1" max="1" width="14.85546875" style="3" customWidth="1"/>
    <col min="2" max="3" width="11.7109375" style="3"/>
    <col min="4" max="4" width="15" style="3" customWidth="1"/>
    <col min="5" max="6" width="11.7109375" style="3"/>
    <col min="7" max="7" width="16.28515625" style="3" customWidth="1"/>
    <col min="8" max="9" width="11.7109375" style="3"/>
    <col min="10" max="10" width="17.85546875" style="164" customWidth="1"/>
    <col min="11" max="11" width="32.42578125" style="164" customWidth="1"/>
    <col min="12" max="12" width="25.5703125" style="164" customWidth="1"/>
    <col min="13" max="13" width="24.28515625" style="164" customWidth="1"/>
    <col min="14" max="14" width="36.5703125" style="164" customWidth="1"/>
    <col min="15" max="15" width="31.42578125" style="164" customWidth="1"/>
    <col min="16" max="16" width="37" style="164" customWidth="1"/>
    <col min="17" max="17" width="17.7109375" style="165" customWidth="1"/>
    <col min="18" max="18" width="27.28515625" style="164" bestFit="1" customWidth="1"/>
    <col min="19" max="19" width="34.28515625" style="164" customWidth="1"/>
    <col min="20" max="20" width="37.7109375" style="164" customWidth="1"/>
    <col min="21" max="21" width="38.140625" style="164" customWidth="1"/>
    <col min="22" max="22" width="27.7109375" style="3" bestFit="1" customWidth="1"/>
    <col min="23" max="23" width="14.140625" style="3" customWidth="1"/>
    <col min="24" max="24" width="17" style="3" customWidth="1"/>
    <col min="25" max="41" width="11.7109375" style="3"/>
    <col min="42" max="42" width="17.140625" style="3" customWidth="1"/>
    <col min="43" max="43" width="23.140625" style="3" customWidth="1"/>
    <col min="44" max="16384" width="11.7109375" style="3"/>
  </cols>
  <sheetData>
    <row r="1" spans="1:44" ht="15" customHeight="1" x14ac:dyDescent="0.2">
      <c r="A1" s="2548" t="s">
        <v>0</v>
      </c>
      <c r="B1" s="2549"/>
      <c r="C1" s="2549"/>
      <c r="D1" s="2549"/>
      <c r="E1" s="2549"/>
      <c r="F1" s="2549"/>
      <c r="G1" s="2549"/>
      <c r="H1" s="2549"/>
      <c r="I1" s="2549"/>
      <c r="J1" s="2549"/>
      <c r="K1" s="2549"/>
      <c r="L1" s="2549"/>
      <c r="M1" s="2549"/>
      <c r="N1" s="2549"/>
      <c r="O1" s="2549"/>
      <c r="P1" s="2549"/>
      <c r="Q1" s="2549"/>
      <c r="R1" s="2549"/>
      <c r="S1" s="2549"/>
      <c r="T1" s="2549"/>
      <c r="U1" s="2549"/>
      <c r="V1" s="2549"/>
      <c r="W1" s="2549"/>
      <c r="X1" s="2549"/>
      <c r="Y1" s="2549"/>
      <c r="Z1" s="2549"/>
      <c r="AA1" s="2549"/>
      <c r="AB1" s="2549"/>
      <c r="AC1" s="2549"/>
      <c r="AD1" s="2549"/>
      <c r="AE1" s="2549"/>
      <c r="AF1" s="2549"/>
      <c r="AG1" s="2549"/>
      <c r="AH1" s="2549"/>
      <c r="AI1" s="2549"/>
      <c r="AJ1" s="2549"/>
      <c r="AK1" s="2549"/>
      <c r="AL1" s="2549"/>
      <c r="AM1" s="2549"/>
      <c r="AN1" s="2549"/>
      <c r="AO1" s="2549"/>
      <c r="AP1" s="1" t="s">
        <v>1</v>
      </c>
      <c r="AQ1" s="2" t="s">
        <v>2</v>
      </c>
    </row>
    <row r="2" spans="1:44" ht="16.5" customHeight="1" x14ac:dyDescent="0.2">
      <c r="A2" s="2550"/>
      <c r="B2" s="2551"/>
      <c r="C2" s="2551"/>
      <c r="D2" s="2551"/>
      <c r="E2" s="2551"/>
      <c r="F2" s="2551"/>
      <c r="G2" s="2551"/>
      <c r="H2" s="2551"/>
      <c r="I2" s="2551"/>
      <c r="J2" s="2551"/>
      <c r="K2" s="2551"/>
      <c r="L2" s="2551"/>
      <c r="M2" s="2551"/>
      <c r="N2" s="2551"/>
      <c r="O2" s="2551"/>
      <c r="P2" s="2551"/>
      <c r="Q2" s="2551"/>
      <c r="R2" s="2551"/>
      <c r="S2" s="2551"/>
      <c r="T2" s="2551"/>
      <c r="U2" s="2551"/>
      <c r="V2" s="2551"/>
      <c r="W2" s="2551"/>
      <c r="X2" s="2551"/>
      <c r="Y2" s="2551"/>
      <c r="Z2" s="2551"/>
      <c r="AA2" s="2551"/>
      <c r="AB2" s="2551"/>
      <c r="AC2" s="2551"/>
      <c r="AD2" s="2551"/>
      <c r="AE2" s="2551"/>
      <c r="AF2" s="2551"/>
      <c r="AG2" s="2551"/>
      <c r="AH2" s="2551"/>
      <c r="AI2" s="2551"/>
      <c r="AJ2" s="2551"/>
      <c r="AK2" s="2551"/>
      <c r="AL2" s="2551"/>
      <c r="AM2" s="2551"/>
      <c r="AN2" s="2551"/>
      <c r="AO2" s="2551"/>
      <c r="AP2" s="4" t="s">
        <v>3</v>
      </c>
      <c r="AQ2" s="5" t="s">
        <v>4</v>
      </c>
    </row>
    <row r="3" spans="1:44" ht="20.25" customHeight="1" x14ac:dyDescent="0.2">
      <c r="A3" s="2550"/>
      <c r="B3" s="2551"/>
      <c r="C3" s="2551"/>
      <c r="D3" s="2551"/>
      <c r="E3" s="2551"/>
      <c r="F3" s="2551"/>
      <c r="G3" s="2551"/>
      <c r="H3" s="2551"/>
      <c r="I3" s="2551"/>
      <c r="J3" s="2551"/>
      <c r="K3" s="2551"/>
      <c r="L3" s="2551"/>
      <c r="M3" s="2551"/>
      <c r="N3" s="2551"/>
      <c r="O3" s="2551"/>
      <c r="P3" s="2551"/>
      <c r="Q3" s="2551"/>
      <c r="R3" s="2551"/>
      <c r="S3" s="2551"/>
      <c r="T3" s="2551"/>
      <c r="U3" s="2551"/>
      <c r="V3" s="2551"/>
      <c r="W3" s="2551"/>
      <c r="X3" s="2551"/>
      <c r="Y3" s="2551"/>
      <c r="Z3" s="2551"/>
      <c r="AA3" s="2551"/>
      <c r="AB3" s="2551"/>
      <c r="AC3" s="2551"/>
      <c r="AD3" s="2551"/>
      <c r="AE3" s="2551"/>
      <c r="AF3" s="2551"/>
      <c r="AG3" s="2551"/>
      <c r="AH3" s="2551"/>
      <c r="AI3" s="2551"/>
      <c r="AJ3" s="2551"/>
      <c r="AK3" s="2551"/>
      <c r="AL3" s="2551"/>
      <c r="AM3" s="2551"/>
      <c r="AN3" s="2551"/>
      <c r="AO3" s="2551"/>
      <c r="AP3" s="6" t="s">
        <v>5</v>
      </c>
      <c r="AQ3" s="7" t="s">
        <v>6</v>
      </c>
    </row>
    <row r="4" spans="1:44" ht="15" customHeight="1" x14ac:dyDescent="0.2">
      <c r="A4" s="2552"/>
      <c r="B4" s="2553"/>
      <c r="C4" s="2553"/>
      <c r="D4" s="2553"/>
      <c r="E4" s="2553"/>
      <c r="F4" s="2553"/>
      <c r="G4" s="2553"/>
      <c r="H4" s="2553"/>
      <c r="I4" s="2553"/>
      <c r="J4" s="2553"/>
      <c r="K4" s="2553"/>
      <c r="L4" s="2553"/>
      <c r="M4" s="2553"/>
      <c r="N4" s="2553"/>
      <c r="O4" s="2553"/>
      <c r="P4" s="2553"/>
      <c r="Q4" s="2553"/>
      <c r="R4" s="2553"/>
      <c r="S4" s="2553"/>
      <c r="T4" s="2553"/>
      <c r="U4" s="2553"/>
      <c r="V4" s="2553"/>
      <c r="W4" s="2553"/>
      <c r="X4" s="2553"/>
      <c r="Y4" s="2553"/>
      <c r="Z4" s="2553"/>
      <c r="AA4" s="2553"/>
      <c r="AB4" s="2553"/>
      <c r="AC4" s="2553"/>
      <c r="AD4" s="2553"/>
      <c r="AE4" s="2553"/>
      <c r="AF4" s="2553"/>
      <c r="AG4" s="2553"/>
      <c r="AH4" s="2553"/>
      <c r="AI4" s="2553"/>
      <c r="AJ4" s="2553"/>
      <c r="AK4" s="2553"/>
      <c r="AL4" s="2553"/>
      <c r="AM4" s="2553"/>
      <c r="AN4" s="2553"/>
      <c r="AO4" s="2553"/>
      <c r="AP4" s="6" t="s">
        <v>7</v>
      </c>
      <c r="AQ4" s="8" t="s">
        <v>8</v>
      </c>
    </row>
    <row r="5" spans="1:44" ht="21" customHeight="1" x14ac:dyDescent="0.2">
      <c r="A5" s="2554" t="s">
        <v>9</v>
      </c>
      <c r="B5" s="2555"/>
      <c r="C5" s="2555"/>
      <c r="D5" s="2555"/>
      <c r="E5" s="2555"/>
      <c r="F5" s="2555"/>
      <c r="G5" s="2555"/>
      <c r="H5" s="2555"/>
      <c r="I5" s="2555"/>
      <c r="J5" s="2555"/>
      <c r="K5" s="2555"/>
      <c r="L5" s="2555"/>
      <c r="M5" s="2555"/>
      <c r="N5" s="2558" t="s">
        <v>10</v>
      </c>
      <c r="O5" s="2558"/>
      <c r="P5" s="2558"/>
      <c r="Q5" s="2558"/>
      <c r="R5" s="2558"/>
      <c r="S5" s="2558"/>
      <c r="T5" s="2558"/>
      <c r="U5" s="2558"/>
      <c r="V5" s="2558"/>
      <c r="W5" s="2558"/>
      <c r="X5" s="2558"/>
      <c r="Y5" s="2558"/>
      <c r="Z5" s="2558"/>
      <c r="AA5" s="2558"/>
      <c r="AB5" s="2558"/>
      <c r="AC5" s="2558"/>
      <c r="AD5" s="2558"/>
      <c r="AE5" s="2558"/>
      <c r="AF5" s="2558"/>
      <c r="AG5" s="2558"/>
      <c r="AH5" s="2558"/>
      <c r="AI5" s="2558"/>
      <c r="AJ5" s="2558"/>
      <c r="AK5" s="2558"/>
      <c r="AL5" s="2558"/>
      <c r="AM5" s="2558"/>
      <c r="AN5" s="2558"/>
      <c r="AO5" s="2558"/>
      <c r="AP5" s="2558"/>
      <c r="AQ5" s="2559"/>
    </row>
    <row r="6" spans="1:44" ht="31.5" customHeight="1" x14ac:dyDescent="0.2">
      <c r="A6" s="2556"/>
      <c r="B6" s="2557"/>
      <c r="C6" s="2557"/>
      <c r="D6" s="2557"/>
      <c r="E6" s="2557"/>
      <c r="F6" s="2557"/>
      <c r="G6" s="2557"/>
      <c r="H6" s="2557"/>
      <c r="I6" s="2557"/>
      <c r="J6" s="2557"/>
      <c r="K6" s="2557"/>
      <c r="L6" s="2557"/>
      <c r="M6" s="2557"/>
      <c r="N6" s="9"/>
      <c r="O6" s="10"/>
      <c r="P6" s="10"/>
      <c r="Q6" s="11"/>
      <c r="R6" s="10"/>
      <c r="S6" s="10"/>
      <c r="T6" s="10"/>
      <c r="U6" s="10"/>
      <c r="V6" s="12"/>
      <c r="W6" s="12"/>
      <c r="X6" s="12"/>
      <c r="Y6" s="2560" t="s">
        <v>11</v>
      </c>
      <c r="Z6" s="2557"/>
      <c r="AA6" s="2557"/>
      <c r="AB6" s="2557"/>
      <c r="AC6" s="2557"/>
      <c r="AD6" s="2557"/>
      <c r="AE6" s="2557"/>
      <c r="AF6" s="2557"/>
      <c r="AG6" s="2557"/>
      <c r="AH6" s="2557"/>
      <c r="AI6" s="2557"/>
      <c r="AJ6" s="2557"/>
      <c r="AK6" s="2557"/>
      <c r="AL6" s="2557"/>
      <c r="AM6" s="2561"/>
      <c r="AN6" s="13"/>
      <c r="AO6" s="12"/>
      <c r="AP6" s="12"/>
      <c r="AQ6" s="14"/>
    </row>
    <row r="7" spans="1:44" ht="15.75" customHeight="1" x14ac:dyDescent="0.2">
      <c r="A7" s="2562" t="s">
        <v>12</v>
      </c>
      <c r="B7" s="2546" t="s">
        <v>13</v>
      </c>
      <c r="C7" s="2544"/>
      <c r="D7" s="2544" t="s">
        <v>12</v>
      </c>
      <c r="E7" s="2546" t="s">
        <v>14</v>
      </c>
      <c r="F7" s="2544"/>
      <c r="G7" s="2544" t="s">
        <v>12</v>
      </c>
      <c r="H7" s="2546" t="s">
        <v>15</v>
      </c>
      <c r="I7" s="2544"/>
      <c r="J7" s="2544" t="s">
        <v>12</v>
      </c>
      <c r="K7" s="2546" t="s">
        <v>16</v>
      </c>
      <c r="L7" s="2532" t="s">
        <v>17</v>
      </c>
      <c r="M7" s="2532" t="s">
        <v>18</v>
      </c>
      <c r="N7" s="2532" t="s">
        <v>19</v>
      </c>
      <c r="O7" s="2532" t="s">
        <v>20</v>
      </c>
      <c r="P7" s="2532" t="s">
        <v>10</v>
      </c>
      <c r="Q7" s="2540" t="s">
        <v>21</v>
      </c>
      <c r="R7" s="2542" t="s">
        <v>22</v>
      </c>
      <c r="S7" s="2532" t="s">
        <v>23</v>
      </c>
      <c r="T7" s="2532" t="s">
        <v>24</v>
      </c>
      <c r="U7" s="2532" t="s">
        <v>25</v>
      </c>
      <c r="V7" s="2532" t="s">
        <v>22</v>
      </c>
      <c r="W7" s="15"/>
      <c r="X7" s="2532" t="s">
        <v>26</v>
      </c>
      <c r="Y7" s="2534" t="s">
        <v>27</v>
      </c>
      <c r="Z7" s="2535"/>
      <c r="AA7" s="2536" t="s">
        <v>28</v>
      </c>
      <c r="AB7" s="2537"/>
      <c r="AC7" s="2537"/>
      <c r="AD7" s="2537"/>
      <c r="AE7" s="2538" t="s">
        <v>29</v>
      </c>
      <c r="AF7" s="2539"/>
      <c r="AG7" s="2539"/>
      <c r="AH7" s="2539"/>
      <c r="AI7" s="2539"/>
      <c r="AJ7" s="2539"/>
      <c r="AK7" s="2536" t="s">
        <v>30</v>
      </c>
      <c r="AL7" s="2537"/>
      <c r="AM7" s="2537"/>
      <c r="AN7" s="2520" t="s">
        <v>31</v>
      </c>
      <c r="AO7" s="2523" t="s">
        <v>32</v>
      </c>
      <c r="AP7" s="2523" t="s">
        <v>33</v>
      </c>
      <c r="AQ7" s="2526" t="s">
        <v>34</v>
      </c>
    </row>
    <row r="8" spans="1:44" x14ac:dyDescent="0.2">
      <c r="A8" s="2563"/>
      <c r="B8" s="2547"/>
      <c r="C8" s="2545"/>
      <c r="D8" s="2545"/>
      <c r="E8" s="2547"/>
      <c r="F8" s="2545"/>
      <c r="G8" s="2545"/>
      <c r="H8" s="2547"/>
      <c r="I8" s="2545"/>
      <c r="J8" s="2545"/>
      <c r="K8" s="2547"/>
      <c r="L8" s="2533"/>
      <c r="M8" s="2533"/>
      <c r="N8" s="2533"/>
      <c r="O8" s="2533"/>
      <c r="P8" s="2533"/>
      <c r="Q8" s="2541"/>
      <c r="R8" s="2543"/>
      <c r="S8" s="2533"/>
      <c r="T8" s="2533"/>
      <c r="U8" s="2533"/>
      <c r="V8" s="2533"/>
      <c r="W8" s="2528" t="s">
        <v>12</v>
      </c>
      <c r="X8" s="2533"/>
      <c r="Y8" s="2517" t="s">
        <v>35</v>
      </c>
      <c r="Z8" s="2529" t="s">
        <v>36</v>
      </c>
      <c r="AA8" s="2517" t="s">
        <v>37</v>
      </c>
      <c r="AB8" s="2517" t="s">
        <v>38</v>
      </c>
      <c r="AC8" s="2517" t="s">
        <v>39</v>
      </c>
      <c r="AD8" s="2517" t="s">
        <v>40</v>
      </c>
      <c r="AE8" s="2517" t="s">
        <v>41</v>
      </c>
      <c r="AF8" s="2517" t="s">
        <v>42</v>
      </c>
      <c r="AG8" s="2517" t="s">
        <v>43</v>
      </c>
      <c r="AH8" s="2517" t="s">
        <v>44</v>
      </c>
      <c r="AI8" s="2517" t="s">
        <v>45</v>
      </c>
      <c r="AJ8" s="2517" t="s">
        <v>46</v>
      </c>
      <c r="AK8" s="2517" t="s">
        <v>47</v>
      </c>
      <c r="AL8" s="2517" t="s">
        <v>48</v>
      </c>
      <c r="AM8" s="2517" t="s">
        <v>49</v>
      </c>
      <c r="AN8" s="2521"/>
      <c r="AO8" s="2524"/>
      <c r="AP8" s="2524"/>
      <c r="AQ8" s="2527"/>
    </row>
    <row r="9" spans="1:44" ht="15" customHeight="1" x14ac:dyDescent="0.2">
      <c r="A9" s="2563"/>
      <c r="B9" s="2547"/>
      <c r="C9" s="2545"/>
      <c r="D9" s="2545"/>
      <c r="E9" s="2547"/>
      <c r="F9" s="2545"/>
      <c r="G9" s="2545"/>
      <c r="H9" s="2547"/>
      <c r="I9" s="2545"/>
      <c r="J9" s="2545"/>
      <c r="K9" s="2547"/>
      <c r="L9" s="2533"/>
      <c r="M9" s="2533"/>
      <c r="N9" s="2533"/>
      <c r="O9" s="2533"/>
      <c r="P9" s="2533"/>
      <c r="Q9" s="2541"/>
      <c r="R9" s="2543"/>
      <c r="S9" s="2533"/>
      <c r="T9" s="2533"/>
      <c r="U9" s="2533"/>
      <c r="V9" s="2533"/>
      <c r="W9" s="2528"/>
      <c r="X9" s="2533"/>
      <c r="Y9" s="2518"/>
      <c r="Z9" s="2530"/>
      <c r="AA9" s="2518"/>
      <c r="AB9" s="2518"/>
      <c r="AC9" s="2518"/>
      <c r="AD9" s="2518"/>
      <c r="AE9" s="2518"/>
      <c r="AF9" s="2518"/>
      <c r="AG9" s="2518"/>
      <c r="AH9" s="2518"/>
      <c r="AI9" s="2518"/>
      <c r="AJ9" s="2518"/>
      <c r="AK9" s="2518"/>
      <c r="AL9" s="2518"/>
      <c r="AM9" s="2518"/>
      <c r="AN9" s="2521"/>
      <c r="AO9" s="2524"/>
      <c r="AP9" s="2524"/>
      <c r="AQ9" s="2527"/>
    </row>
    <row r="10" spans="1:44" ht="15" customHeight="1" x14ac:dyDescent="0.2">
      <c r="A10" s="2563"/>
      <c r="B10" s="2547"/>
      <c r="C10" s="2545"/>
      <c r="D10" s="2545"/>
      <c r="E10" s="2547"/>
      <c r="F10" s="2545"/>
      <c r="G10" s="2545"/>
      <c r="H10" s="2547"/>
      <c r="I10" s="2545"/>
      <c r="J10" s="2545"/>
      <c r="K10" s="2547"/>
      <c r="L10" s="2533"/>
      <c r="M10" s="2533"/>
      <c r="N10" s="2533"/>
      <c r="O10" s="2533"/>
      <c r="P10" s="2533"/>
      <c r="Q10" s="2541"/>
      <c r="R10" s="2543"/>
      <c r="S10" s="2533"/>
      <c r="T10" s="2533"/>
      <c r="U10" s="2533"/>
      <c r="V10" s="2533"/>
      <c r="W10" s="2528"/>
      <c r="X10" s="2533"/>
      <c r="Y10" s="2518"/>
      <c r="Z10" s="2530"/>
      <c r="AA10" s="2518"/>
      <c r="AB10" s="2518"/>
      <c r="AC10" s="2518"/>
      <c r="AD10" s="2518"/>
      <c r="AE10" s="2518"/>
      <c r="AF10" s="2518"/>
      <c r="AG10" s="2518"/>
      <c r="AH10" s="2518"/>
      <c r="AI10" s="2518"/>
      <c r="AJ10" s="2518"/>
      <c r="AK10" s="2518"/>
      <c r="AL10" s="2518"/>
      <c r="AM10" s="2518"/>
      <c r="AN10" s="2521"/>
      <c r="AO10" s="2524"/>
      <c r="AP10" s="2524"/>
      <c r="AQ10" s="2527"/>
    </row>
    <row r="11" spans="1:44" ht="15" customHeight="1" x14ac:dyDescent="0.2">
      <c r="A11" s="2563"/>
      <c r="B11" s="2547"/>
      <c r="C11" s="2545"/>
      <c r="D11" s="2545"/>
      <c r="E11" s="2547"/>
      <c r="F11" s="2545"/>
      <c r="G11" s="2545"/>
      <c r="H11" s="2547"/>
      <c r="I11" s="2545"/>
      <c r="J11" s="2545"/>
      <c r="K11" s="2547"/>
      <c r="L11" s="2533"/>
      <c r="M11" s="2533"/>
      <c r="N11" s="2533"/>
      <c r="O11" s="2533"/>
      <c r="P11" s="2533"/>
      <c r="Q11" s="2541"/>
      <c r="R11" s="2543"/>
      <c r="S11" s="2533"/>
      <c r="T11" s="2533"/>
      <c r="U11" s="2533"/>
      <c r="V11" s="2533"/>
      <c r="W11" s="2528"/>
      <c r="X11" s="2533"/>
      <c r="Y11" s="2518"/>
      <c r="Z11" s="2530"/>
      <c r="AA11" s="2518"/>
      <c r="AB11" s="2518"/>
      <c r="AC11" s="2518"/>
      <c r="AD11" s="2518"/>
      <c r="AE11" s="2518"/>
      <c r="AF11" s="2518"/>
      <c r="AG11" s="2518"/>
      <c r="AH11" s="2518"/>
      <c r="AI11" s="2518"/>
      <c r="AJ11" s="2518"/>
      <c r="AK11" s="2518"/>
      <c r="AL11" s="2518"/>
      <c r="AM11" s="2518"/>
      <c r="AN11" s="2521"/>
      <c r="AO11" s="2524"/>
      <c r="AP11" s="2524"/>
      <c r="AQ11" s="2527"/>
    </row>
    <row r="12" spans="1:44" ht="62.25" customHeight="1" x14ac:dyDescent="0.2">
      <c r="A12" s="2563"/>
      <c r="B12" s="2547"/>
      <c r="C12" s="2545"/>
      <c r="D12" s="2545"/>
      <c r="E12" s="2547"/>
      <c r="F12" s="2545"/>
      <c r="G12" s="2545"/>
      <c r="H12" s="2547"/>
      <c r="I12" s="2545"/>
      <c r="J12" s="2545"/>
      <c r="K12" s="2547"/>
      <c r="L12" s="2533"/>
      <c r="M12" s="2533"/>
      <c r="N12" s="2533"/>
      <c r="O12" s="2533"/>
      <c r="P12" s="2533"/>
      <c r="Q12" s="2541"/>
      <c r="R12" s="2543"/>
      <c r="S12" s="2533"/>
      <c r="T12" s="2533"/>
      <c r="U12" s="2533"/>
      <c r="V12" s="2533"/>
      <c r="W12" s="2528"/>
      <c r="X12" s="2533"/>
      <c r="Y12" s="2519"/>
      <c r="Z12" s="2531"/>
      <c r="AA12" s="2519"/>
      <c r="AB12" s="2519"/>
      <c r="AC12" s="2519"/>
      <c r="AD12" s="2519"/>
      <c r="AE12" s="2519"/>
      <c r="AF12" s="2519"/>
      <c r="AG12" s="2519"/>
      <c r="AH12" s="2519"/>
      <c r="AI12" s="2519"/>
      <c r="AJ12" s="2519"/>
      <c r="AK12" s="2519"/>
      <c r="AL12" s="2519"/>
      <c r="AM12" s="2519"/>
      <c r="AN12" s="2522"/>
      <c r="AO12" s="2525"/>
      <c r="AP12" s="2525"/>
      <c r="AQ12" s="2527"/>
    </row>
    <row r="13" spans="1:44" ht="15.75" x14ac:dyDescent="0.2">
      <c r="A13" s="16">
        <v>5</v>
      </c>
      <c r="B13" s="17" t="s">
        <v>50</v>
      </c>
      <c r="C13" s="17"/>
      <c r="D13" s="17"/>
      <c r="E13" s="17"/>
      <c r="F13" s="17"/>
      <c r="G13" s="17"/>
      <c r="H13" s="17"/>
      <c r="I13" s="17"/>
      <c r="J13" s="18"/>
      <c r="K13" s="18"/>
      <c r="L13" s="19"/>
      <c r="M13" s="18"/>
      <c r="N13" s="18"/>
      <c r="O13" s="18"/>
      <c r="P13" s="18"/>
      <c r="Q13" s="20"/>
      <c r="R13" s="21"/>
      <c r="S13" s="18"/>
      <c r="T13" s="18"/>
      <c r="U13" s="18"/>
      <c r="V13" s="22"/>
      <c r="W13" s="23"/>
      <c r="X13" s="19"/>
      <c r="Y13" s="17"/>
      <c r="Z13" s="17"/>
      <c r="AA13" s="17"/>
      <c r="AB13" s="17"/>
      <c r="AC13" s="17"/>
      <c r="AD13" s="17"/>
      <c r="AE13" s="17"/>
      <c r="AF13" s="17"/>
      <c r="AG13" s="17"/>
      <c r="AH13" s="17"/>
      <c r="AI13" s="17"/>
      <c r="AJ13" s="17"/>
      <c r="AK13" s="17"/>
      <c r="AL13" s="17"/>
      <c r="AM13" s="17"/>
      <c r="AN13" s="17"/>
      <c r="AO13" s="24"/>
      <c r="AP13" s="24"/>
      <c r="AQ13" s="25"/>
    </row>
    <row r="14" spans="1:44" ht="15.75" x14ac:dyDescent="0.2">
      <c r="A14" s="26"/>
      <c r="B14" s="27"/>
      <c r="C14" s="28"/>
      <c r="D14" s="29">
        <v>28</v>
      </c>
      <c r="E14" s="30" t="s">
        <v>51</v>
      </c>
      <c r="F14" s="30"/>
      <c r="G14" s="30"/>
      <c r="H14" s="30"/>
      <c r="I14" s="30"/>
      <c r="J14" s="31"/>
      <c r="K14" s="31"/>
      <c r="L14" s="31"/>
      <c r="M14" s="31"/>
      <c r="N14" s="31"/>
      <c r="O14" s="31"/>
      <c r="P14" s="31"/>
      <c r="Q14" s="32"/>
      <c r="R14" s="33"/>
      <c r="S14" s="31"/>
      <c r="T14" s="31"/>
      <c r="U14" s="31"/>
      <c r="V14" s="34"/>
      <c r="W14" s="35"/>
      <c r="X14" s="36"/>
      <c r="Y14" s="30"/>
      <c r="Z14" s="30"/>
      <c r="AA14" s="30"/>
      <c r="AB14" s="30"/>
      <c r="AC14" s="30"/>
      <c r="AD14" s="30"/>
      <c r="AE14" s="30"/>
      <c r="AF14" s="30"/>
      <c r="AG14" s="30"/>
      <c r="AH14" s="30"/>
      <c r="AI14" s="30"/>
      <c r="AJ14" s="30"/>
      <c r="AK14" s="30"/>
      <c r="AL14" s="30"/>
      <c r="AM14" s="30"/>
      <c r="AN14" s="30"/>
      <c r="AO14" s="37"/>
      <c r="AP14" s="37"/>
      <c r="AQ14" s="38"/>
    </row>
    <row r="15" spans="1:44" ht="15.75" x14ac:dyDescent="0.2">
      <c r="A15" s="39"/>
      <c r="B15" s="40"/>
      <c r="C15" s="41"/>
      <c r="D15" s="42"/>
      <c r="E15" s="43"/>
      <c r="F15" s="44"/>
      <c r="G15" s="45">
        <v>89</v>
      </c>
      <c r="H15" s="46" t="s">
        <v>52</v>
      </c>
      <c r="I15" s="46"/>
      <c r="J15" s="47"/>
      <c r="K15" s="47"/>
      <c r="L15" s="47"/>
      <c r="M15" s="47"/>
      <c r="N15" s="47"/>
      <c r="O15" s="47"/>
      <c r="P15" s="47"/>
      <c r="Q15" s="48"/>
      <c r="R15" s="49"/>
      <c r="S15" s="47"/>
      <c r="T15" s="47"/>
      <c r="U15" s="47"/>
      <c r="V15" s="50"/>
      <c r="W15" s="51"/>
      <c r="X15" s="52"/>
      <c r="Y15" s="46"/>
      <c r="Z15" s="46"/>
      <c r="AA15" s="46"/>
      <c r="AB15" s="46"/>
      <c r="AC15" s="46"/>
      <c r="AD15" s="46"/>
      <c r="AE15" s="46"/>
      <c r="AF15" s="46"/>
      <c r="AG15" s="46"/>
      <c r="AH15" s="46"/>
      <c r="AI15" s="46"/>
      <c r="AJ15" s="46"/>
      <c r="AK15" s="46"/>
      <c r="AL15" s="46"/>
      <c r="AM15" s="46"/>
      <c r="AN15" s="46"/>
      <c r="AO15" s="53"/>
      <c r="AP15" s="53"/>
      <c r="AQ15" s="54"/>
    </row>
    <row r="16" spans="1:44" ht="90" x14ac:dyDescent="0.2">
      <c r="A16" s="55"/>
      <c r="B16" s="56"/>
      <c r="C16" s="57"/>
      <c r="D16" s="58"/>
      <c r="E16" s="59"/>
      <c r="F16" s="60"/>
      <c r="G16" s="61"/>
      <c r="H16" s="62"/>
      <c r="I16" s="63"/>
      <c r="J16" s="64">
        <v>282</v>
      </c>
      <c r="K16" s="65" t="s">
        <v>53</v>
      </c>
      <c r="L16" s="65" t="s">
        <v>54</v>
      </c>
      <c r="M16" s="64">
        <v>2</v>
      </c>
      <c r="N16" s="64" t="s">
        <v>55</v>
      </c>
      <c r="O16" s="66" t="s">
        <v>56</v>
      </c>
      <c r="P16" s="67" t="s">
        <v>57</v>
      </c>
      <c r="Q16" s="68">
        <f>+(V16)/R16</f>
        <v>1</v>
      </c>
      <c r="R16" s="69">
        <f>V16</f>
        <v>79103800</v>
      </c>
      <c r="S16" s="70" t="s">
        <v>58</v>
      </c>
      <c r="T16" s="70" t="s">
        <v>59</v>
      </c>
      <c r="U16" s="71" t="s">
        <v>60</v>
      </c>
      <c r="V16" s="72">
        <f>79500000-396200</f>
        <v>79103800</v>
      </c>
      <c r="W16" s="73" t="s">
        <v>61</v>
      </c>
      <c r="X16" s="74" t="s">
        <v>62</v>
      </c>
      <c r="Y16" s="75">
        <v>292684</v>
      </c>
      <c r="Z16" s="75">
        <v>282326</v>
      </c>
      <c r="AA16" s="75">
        <v>135912</v>
      </c>
      <c r="AB16" s="75">
        <v>45122</v>
      </c>
      <c r="AC16" s="75">
        <v>307101</v>
      </c>
      <c r="AD16" s="75">
        <v>86875</v>
      </c>
      <c r="AE16" s="75">
        <v>2145</v>
      </c>
      <c r="AF16" s="75">
        <v>12718</v>
      </c>
      <c r="AG16" s="75">
        <v>26</v>
      </c>
      <c r="AH16" s="75">
        <v>37</v>
      </c>
      <c r="AI16" s="75">
        <v>0</v>
      </c>
      <c r="AJ16" s="75">
        <v>0</v>
      </c>
      <c r="AK16" s="75">
        <v>53164</v>
      </c>
      <c r="AL16" s="75">
        <v>16982</v>
      </c>
      <c r="AM16" s="75">
        <v>60013</v>
      </c>
      <c r="AN16" s="75">
        <v>575010</v>
      </c>
      <c r="AO16" s="76">
        <v>43467</v>
      </c>
      <c r="AP16" s="76">
        <v>43830</v>
      </c>
      <c r="AQ16" s="77" t="s">
        <v>63</v>
      </c>
      <c r="AR16" s="78"/>
    </row>
    <row r="17" spans="1:44" ht="75" x14ac:dyDescent="0.2">
      <c r="A17" s="55"/>
      <c r="B17" s="56"/>
      <c r="C17" s="57"/>
      <c r="D17" s="58"/>
      <c r="E17" s="59"/>
      <c r="F17" s="60"/>
      <c r="G17" s="79"/>
      <c r="H17" s="80"/>
      <c r="I17" s="81"/>
      <c r="J17" s="2515">
        <v>283</v>
      </c>
      <c r="K17" s="2488" t="s">
        <v>64</v>
      </c>
      <c r="L17" s="2488" t="s">
        <v>65</v>
      </c>
      <c r="M17" s="2515">
        <v>1</v>
      </c>
      <c r="N17" s="2488" t="s">
        <v>66</v>
      </c>
      <c r="O17" s="2516" t="s">
        <v>67</v>
      </c>
      <c r="P17" s="2488" t="s">
        <v>68</v>
      </c>
      <c r="Q17" s="2513">
        <f>+(V17+V18+V19)/R17</f>
        <v>1</v>
      </c>
      <c r="R17" s="2514">
        <f>SUM(V17:V19)</f>
        <v>39300000</v>
      </c>
      <c r="S17" s="2488" t="s">
        <v>69</v>
      </c>
      <c r="T17" s="82" t="s">
        <v>70</v>
      </c>
      <c r="U17" s="71" t="s">
        <v>71</v>
      </c>
      <c r="V17" s="72">
        <f>30550000+8750000</f>
        <v>39300000</v>
      </c>
      <c r="W17" s="83">
        <v>20</v>
      </c>
      <c r="X17" s="84" t="s">
        <v>62</v>
      </c>
      <c r="Y17" s="2503">
        <v>850</v>
      </c>
      <c r="Z17" s="2503">
        <v>550</v>
      </c>
      <c r="AA17" s="2503">
        <v>400</v>
      </c>
      <c r="AB17" s="2503">
        <v>0</v>
      </c>
      <c r="AC17" s="2503">
        <v>950</v>
      </c>
      <c r="AD17" s="2503">
        <v>50</v>
      </c>
      <c r="AE17" s="2503">
        <v>0</v>
      </c>
      <c r="AF17" s="2503">
        <v>30</v>
      </c>
      <c r="AG17" s="2503">
        <v>0</v>
      </c>
      <c r="AH17" s="2503">
        <v>0</v>
      </c>
      <c r="AI17" s="2503">
        <v>0</v>
      </c>
      <c r="AJ17" s="2503">
        <v>0</v>
      </c>
      <c r="AK17" s="2503">
        <v>0</v>
      </c>
      <c r="AL17" s="2503">
        <v>0</v>
      </c>
      <c r="AM17" s="2503">
        <v>0</v>
      </c>
      <c r="AN17" s="2503">
        <v>1400</v>
      </c>
      <c r="AO17" s="2504">
        <v>43467</v>
      </c>
      <c r="AP17" s="2504">
        <v>43830</v>
      </c>
      <c r="AQ17" s="2489" t="s">
        <v>72</v>
      </c>
      <c r="AR17" s="85"/>
    </row>
    <row r="18" spans="1:44" ht="75" x14ac:dyDescent="0.2">
      <c r="A18" s="55"/>
      <c r="B18" s="56"/>
      <c r="C18" s="57"/>
      <c r="D18" s="58"/>
      <c r="E18" s="59"/>
      <c r="F18" s="60"/>
      <c r="G18" s="79"/>
      <c r="H18" s="80"/>
      <c r="I18" s="81"/>
      <c r="J18" s="2515"/>
      <c r="K18" s="2488"/>
      <c r="L18" s="2488"/>
      <c r="M18" s="2515"/>
      <c r="N18" s="2488"/>
      <c r="O18" s="2516"/>
      <c r="P18" s="2488"/>
      <c r="Q18" s="2513"/>
      <c r="R18" s="2514"/>
      <c r="S18" s="2488"/>
      <c r="T18" s="71" t="s">
        <v>73</v>
      </c>
      <c r="U18" s="71" t="s">
        <v>74</v>
      </c>
      <c r="V18" s="72">
        <f>7000000-7000000</f>
        <v>0</v>
      </c>
      <c r="W18" s="73">
        <v>20</v>
      </c>
      <c r="X18" s="74" t="s">
        <v>62</v>
      </c>
      <c r="Y18" s="2503"/>
      <c r="Z18" s="2503"/>
      <c r="AA18" s="2503"/>
      <c r="AB18" s="2503"/>
      <c r="AC18" s="2503"/>
      <c r="AD18" s="2503"/>
      <c r="AE18" s="2503"/>
      <c r="AF18" s="2503"/>
      <c r="AG18" s="2503"/>
      <c r="AH18" s="2503"/>
      <c r="AI18" s="2503"/>
      <c r="AJ18" s="2503"/>
      <c r="AK18" s="2503"/>
      <c r="AL18" s="2503"/>
      <c r="AM18" s="2503"/>
      <c r="AN18" s="2503"/>
      <c r="AO18" s="2504"/>
      <c r="AP18" s="2504"/>
      <c r="AQ18" s="2489"/>
      <c r="AR18" s="85"/>
    </row>
    <row r="19" spans="1:44" ht="60" x14ac:dyDescent="0.2">
      <c r="A19" s="55"/>
      <c r="B19" s="56"/>
      <c r="C19" s="57"/>
      <c r="D19" s="58"/>
      <c r="E19" s="59"/>
      <c r="F19" s="60"/>
      <c r="G19" s="79"/>
      <c r="H19" s="80"/>
      <c r="I19" s="81"/>
      <c r="J19" s="2515"/>
      <c r="K19" s="2488"/>
      <c r="L19" s="2488"/>
      <c r="M19" s="2515"/>
      <c r="N19" s="2488"/>
      <c r="O19" s="2516"/>
      <c r="P19" s="2488"/>
      <c r="Q19" s="2513"/>
      <c r="R19" s="2514"/>
      <c r="S19" s="2488"/>
      <c r="T19" s="71" t="s">
        <v>75</v>
      </c>
      <c r="U19" s="71" t="s">
        <v>76</v>
      </c>
      <c r="V19" s="72">
        <f>1750000-1750000</f>
        <v>0</v>
      </c>
      <c r="W19" s="73">
        <v>20</v>
      </c>
      <c r="X19" s="74" t="s">
        <v>62</v>
      </c>
      <c r="Y19" s="2503"/>
      <c r="Z19" s="2503"/>
      <c r="AA19" s="2503"/>
      <c r="AB19" s="2503"/>
      <c r="AC19" s="2503"/>
      <c r="AD19" s="2503"/>
      <c r="AE19" s="2503"/>
      <c r="AF19" s="2503"/>
      <c r="AG19" s="2503"/>
      <c r="AH19" s="2503"/>
      <c r="AI19" s="2503"/>
      <c r="AJ19" s="2503"/>
      <c r="AK19" s="2503"/>
      <c r="AL19" s="2503"/>
      <c r="AM19" s="2503"/>
      <c r="AN19" s="2503"/>
      <c r="AO19" s="2504"/>
      <c r="AP19" s="2504"/>
      <c r="AQ19" s="2489"/>
      <c r="AR19" s="85"/>
    </row>
    <row r="20" spans="1:44" ht="90" x14ac:dyDescent="0.2">
      <c r="A20" s="39"/>
      <c r="B20" s="40"/>
      <c r="C20" s="41"/>
      <c r="D20" s="86"/>
      <c r="E20" s="87"/>
      <c r="F20" s="88"/>
      <c r="G20" s="89"/>
      <c r="H20" s="90"/>
      <c r="I20" s="91"/>
      <c r="J20" s="92">
        <v>285</v>
      </c>
      <c r="K20" s="93" t="s">
        <v>77</v>
      </c>
      <c r="L20" s="71" t="s">
        <v>78</v>
      </c>
      <c r="M20" s="74">
        <v>1</v>
      </c>
      <c r="N20" s="65" t="s">
        <v>79</v>
      </c>
      <c r="O20" s="74" t="s">
        <v>80</v>
      </c>
      <c r="P20" s="71" t="s">
        <v>81</v>
      </c>
      <c r="Q20" s="94">
        <f>+V20/R20</f>
        <v>1</v>
      </c>
      <c r="R20" s="95">
        <f>V20</f>
        <v>78604667</v>
      </c>
      <c r="S20" s="93" t="s">
        <v>82</v>
      </c>
      <c r="T20" s="93" t="s">
        <v>83</v>
      </c>
      <c r="U20" s="93" t="s">
        <v>84</v>
      </c>
      <c r="V20" s="72">
        <f>89600000-10995333</f>
        <v>78604667</v>
      </c>
      <c r="W20" s="73">
        <v>20</v>
      </c>
      <c r="X20" s="74" t="s">
        <v>62</v>
      </c>
      <c r="Y20" s="96">
        <v>292684</v>
      </c>
      <c r="Z20" s="96">
        <v>282326</v>
      </c>
      <c r="AA20" s="96">
        <v>135912</v>
      </c>
      <c r="AB20" s="96">
        <v>45122</v>
      </c>
      <c r="AC20" s="96">
        <v>307101</v>
      </c>
      <c r="AD20" s="96">
        <v>86875</v>
      </c>
      <c r="AE20" s="96">
        <v>2145</v>
      </c>
      <c r="AF20" s="96">
        <v>12718</v>
      </c>
      <c r="AG20" s="96">
        <v>26</v>
      </c>
      <c r="AH20" s="96">
        <v>37</v>
      </c>
      <c r="AI20" s="96">
        <v>0</v>
      </c>
      <c r="AJ20" s="96">
        <v>0</v>
      </c>
      <c r="AK20" s="96">
        <v>53164</v>
      </c>
      <c r="AL20" s="96">
        <v>16982</v>
      </c>
      <c r="AM20" s="96">
        <v>60013</v>
      </c>
      <c r="AN20" s="96">
        <v>575010</v>
      </c>
      <c r="AO20" s="97">
        <v>43467</v>
      </c>
      <c r="AP20" s="97">
        <v>43830</v>
      </c>
      <c r="AQ20" s="98" t="s">
        <v>85</v>
      </c>
      <c r="AR20" s="78"/>
    </row>
    <row r="21" spans="1:44" ht="90" x14ac:dyDescent="0.2">
      <c r="A21" s="39"/>
      <c r="B21" s="40"/>
      <c r="C21" s="41"/>
      <c r="D21" s="86"/>
      <c r="E21" s="87"/>
      <c r="F21" s="88"/>
      <c r="G21" s="89"/>
      <c r="H21" s="90"/>
      <c r="I21" s="91"/>
      <c r="J21" s="92">
        <v>280</v>
      </c>
      <c r="K21" s="93" t="s">
        <v>86</v>
      </c>
      <c r="L21" s="71" t="s">
        <v>87</v>
      </c>
      <c r="M21" s="99">
        <v>1</v>
      </c>
      <c r="N21" s="100"/>
      <c r="O21" s="2505" t="s">
        <v>88</v>
      </c>
      <c r="P21" s="2507" t="s">
        <v>89</v>
      </c>
      <c r="Q21" s="101">
        <f>+(V21)/R21</f>
        <v>4.7634108705444855E-3</v>
      </c>
      <c r="R21" s="2510">
        <f>SUM(V21:V25)</f>
        <v>5216850000</v>
      </c>
      <c r="S21" s="2505" t="s">
        <v>90</v>
      </c>
      <c r="T21" s="71" t="s">
        <v>91</v>
      </c>
      <c r="U21" s="71" t="s">
        <v>92</v>
      </c>
      <c r="V21" s="102">
        <v>24850000</v>
      </c>
      <c r="W21" s="103">
        <v>20</v>
      </c>
      <c r="X21" s="104" t="s">
        <v>62</v>
      </c>
      <c r="Y21" s="2492">
        <v>292684</v>
      </c>
      <c r="Z21" s="2492">
        <v>282326</v>
      </c>
      <c r="AA21" s="2492">
        <v>135912</v>
      </c>
      <c r="AB21" s="2492">
        <v>45122</v>
      </c>
      <c r="AC21" s="2492">
        <v>307101</v>
      </c>
      <c r="AD21" s="2492">
        <v>86875</v>
      </c>
      <c r="AE21" s="2492">
        <v>2145</v>
      </c>
      <c r="AF21" s="2492">
        <v>12718</v>
      </c>
      <c r="AG21" s="2492">
        <v>26</v>
      </c>
      <c r="AH21" s="2492">
        <v>37</v>
      </c>
      <c r="AI21" s="2492">
        <v>0</v>
      </c>
      <c r="AJ21" s="2492">
        <v>0</v>
      </c>
      <c r="AK21" s="2492">
        <v>53164</v>
      </c>
      <c r="AL21" s="2492">
        <v>16982</v>
      </c>
      <c r="AM21" s="2492">
        <v>60013</v>
      </c>
      <c r="AN21" s="2492">
        <v>575010</v>
      </c>
      <c r="AO21" s="2495">
        <v>43101</v>
      </c>
      <c r="AP21" s="2495">
        <v>43465</v>
      </c>
      <c r="AQ21" s="98" t="s">
        <v>93</v>
      </c>
    </row>
    <row r="22" spans="1:44" ht="45" x14ac:dyDescent="0.2">
      <c r="A22" s="39"/>
      <c r="B22" s="40"/>
      <c r="C22" s="41"/>
      <c r="D22" s="86"/>
      <c r="E22" s="87"/>
      <c r="F22" s="88"/>
      <c r="G22" s="89"/>
      <c r="H22" s="90"/>
      <c r="I22" s="91"/>
      <c r="J22" s="2498">
        <v>281</v>
      </c>
      <c r="K22" s="2499" t="s">
        <v>94</v>
      </c>
      <c r="L22" s="2488" t="s">
        <v>95</v>
      </c>
      <c r="M22" s="2501">
        <v>1</v>
      </c>
      <c r="N22" s="2502" t="s">
        <v>96</v>
      </c>
      <c r="O22" s="2502"/>
      <c r="P22" s="2508"/>
      <c r="Q22" s="2486">
        <f>+(V22+V23)/R21</f>
        <v>1.6005827271246057E-2</v>
      </c>
      <c r="R22" s="2511"/>
      <c r="S22" s="2502"/>
      <c r="T22" s="2488" t="s">
        <v>97</v>
      </c>
      <c r="U22" s="71" t="s">
        <v>98</v>
      </c>
      <c r="V22" s="105">
        <f>83500000-83500000</f>
        <v>0</v>
      </c>
      <c r="W22" s="103">
        <v>20</v>
      </c>
      <c r="X22" s="104" t="s">
        <v>99</v>
      </c>
      <c r="Y22" s="2493"/>
      <c r="Z22" s="2493"/>
      <c r="AA22" s="2493"/>
      <c r="AB22" s="2493"/>
      <c r="AC22" s="2493"/>
      <c r="AD22" s="2493"/>
      <c r="AE22" s="2493"/>
      <c r="AF22" s="2493"/>
      <c r="AG22" s="2493"/>
      <c r="AH22" s="2493"/>
      <c r="AI22" s="2493"/>
      <c r="AJ22" s="2493"/>
      <c r="AK22" s="2493"/>
      <c r="AL22" s="2493"/>
      <c r="AM22" s="2493"/>
      <c r="AN22" s="2493"/>
      <c r="AO22" s="2496"/>
      <c r="AP22" s="2496"/>
      <c r="AQ22" s="2489" t="s">
        <v>100</v>
      </c>
    </row>
    <row r="23" spans="1:44" ht="30" x14ac:dyDescent="0.2">
      <c r="A23" s="39"/>
      <c r="B23" s="40"/>
      <c r="C23" s="41"/>
      <c r="D23" s="86"/>
      <c r="E23" s="87"/>
      <c r="F23" s="88"/>
      <c r="G23" s="89"/>
      <c r="H23" s="90"/>
      <c r="I23" s="91"/>
      <c r="J23" s="2498"/>
      <c r="K23" s="2500"/>
      <c r="L23" s="2488"/>
      <c r="M23" s="2501"/>
      <c r="N23" s="2502"/>
      <c r="O23" s="2502"/>
      <c r="P23" s="2508"/>
      <c r="Q23" s="2487"/>
      <c r="R23" s="2511"/>
      <c r="S23" s="2502"/>
      <c r="T23" s="2488"/>
      <c r="U23" s="71" t="s">
        <v>101</v>
      </c>
      <c r="V23" s="105">
        <f>0+83500000</f>
        <v>83500000</v>
      </c>
      <c r="W23" s="103">
        <v>20</v>
      </c>
      <c r="X23" s="104" t="s">
        <v>99</v>
      </c>
      <c r="Y23" s="2493"/>
      <c r="Z23" s="2493"/>
      <c r="AA23" s="2493"/>
      <c r="AB23" s="2493"/>
      <c r="AC23" s="2493"/>
      <c r="AD23" s="2493"/>
      <c r="AE23" s="2493"/>
      <c r="AF23" s="2493"/>
      <c r="AG23" s="2493"/>
      <c r="AH23" s="2493"/>
      <c r="AI23" s="2493"/>
      <c r="AJ23" s="2493"/>
      <c r="AK23" s="2493"/>
      <c r="AL23" s="2493"/>
      <c r="AM23" s="2493"/>
      <c r="AN23" s="2493"/>
      <c r="AO23" s="2496"/>
      <c r="AP23" s="2496"/>
      <c r="AQ23" s="2489"/>
      <c r="AR23" s="106"/>
    </row>
    <row r="24" spans="1:44" ht="60" x14ac:dyDescent="0.2">
      <c r="A24" s="39"/>
      <c r="B24" s="40"/>
      <c r="C24" s="41"/>
      <c r="D24" s="86"/>
      <c r="E24" s="87"/>
      <c r="F24" s="88"/>
      <c r="G24" s="89"/>
      <c r="H24" s="90"/>
      <c r="I24" s="91"/>
      <c r="J24" s="92">
        <v>287</v>
      </c>
      <c r="K24" s="93" t="s">
        <v>102</v>
      </c>
      <c r="L24" s="71" t="s">
        <v>103</v>
      </c>
      <c r="M24" s="99">
        <v>1</v>
      </c>
      <c r="N24" s="107"/>
      <c r="O24" s="2502"/>
      <c r="P24" s="2508"/>
      <c r="Q24" s="101">
        <f>+V24/R21</f>
        <v>2.0797991124912544E-2</v>
      </c>
      <c r="R24" s="2511"/>
      <c r="S24" s="2502"/>
      <c r="T24" s="71" t="s">
        <v>104</v>
      </c>
      <c r="U24" s="108" t="s">
        <v>105</v>
      </c>
      <c r="V24" s="102">
        <v>108500000</v>
      </c>
      <c r="W24" s="103">
        <v>20</v>
      </c>
      <c r="X24" s="104" t="s">
        <v>99</v>
      </c>
      <c r="Y24" s="2493"/>
      <c r="Z24" s="2493"/>
      <c r="AA24" s="2493"/>
      <c r="AB24" s="2493"/>
      <c r="AC24" s="2493"/>
      <c r="AD24" s="2493"/>
      <c r="AE24" s="2493"/>
      <c r="AF24" s="2493"/>
      <c r="AG24" s="2493"/>
      <c r="AH24" s="2493"/>
      <c r="AI24" s="2493"/>
      <c r="AJ24" s="2493"/>
      <c r="AK24" s="2493"/>
      <c r="AL24" s="2493"/>
      <c r="AM24" s="2493"/>
      <c r="AN24" s="2493"/>
      <c r="AO24" s="2496"/>
      <c r="AP24" s="2496"/>
      <c r="AQ24" s="98"/>
    </row>
    <row r="25" spans="1:44" ht="120.75" thickBot="1" x14ac:dyDescent="0.25">
      <c r="A25" s="109"/>
      <c r="B25" s="110"/>
      <c r="C25" s="111"/>
      <c r="D25" s="112"/>
      <c r="E25" s="113"/>
      <c r="F25" s="114"/>
      <c r="G25" s="115"/>
      <c r="H25" s="116"/>
      <c r="I25" s="117"/>
      <c r="J25" s="64">
        <v>289</v>
      </c>
      <c r="K25" s="65" t="s">
        <v>106</v>
      </c>
      <c r="L25" s="65" t="s">
        <v>107</v>
      </c>
      <c r="M25" s="118">
        <v>1</v>
      </c>
      <c r="N25" s="107"/>
      <c r="O25" s="2506"/>
      <c r="P25" s="2509"/>
      <c r="Q25" s="119">
        <f>+V25/R21</f>
        <v>0.95843277073329691</v>
      </c>
      <c r="R25" s="2512"/>
      <c r="S25" s="2506"/>
      <c r="T25" s="65" t="s">
        <v>108</v>
      </c>
      <c r="U25" s="71" t="s">
        <v>109</v>
      </c>
      <c r="V25" s="120">
        <v>5000000000</v>
      </c>
      <c r="W25" s="121">
        <v>46</v>
      </c>
      <c r="X25" s="122" t="s">
        <v>110</v>
      </c>
      <c r="Y25" s="2494"/>
      <c r="Z25" s="2494"/>
      <c r="AA25" s="2494"/>
      <c r="AB25" s="2494"/>
      <c r="AC25" s="2494"/>
      <c r="AD25" s="2494"/>
      <c r="AE25" s="2494"/>
      <c r="AF25" s="2494"/>
      <c r="AG25" s="2494"/>
      <c r="AH25" s="2494"/>
      <c r="AI25" s="2494"/>
      <c r="AJ25" s="2494"/>
      <c r="AK25" s="2494"/>
      <c r="AL25" s="2494"/>
      <c r="AM25" s="2494"/>
      <c r="AN25" s="2494"/>
      <c r="AO25" s="2497"/>
      <c r="AP25" s="2497"/>
      <c r="AQ25" s="123" t="s">
        <v>111</v>
      </c>
    </row>
    <row r="26" spans="1:44" ht="30" customHeight="1" thickBot="1" x14ac:dyDescent="0.3">
      <c r="A26" s="124" t="s">
        <v>112</v>
      </c>
      <c r="B26" s="125"/>
      <c r="C26" s="125"/>
      <c r="D26" s="125"/>
      <c r="E26" s="125"/>
      <c r="F26" s="125"/>
      <c r="G26" s="125"/>
      <c r="H26" s="125"/>
      <c r="I26" s="125"/>
      <c r="J26" s="126"/>
      <c r="K26" s="127"/>
      <c r="L26" s="128"/>
      <c r="M26" s="129"/>
      <c r="N26" s="127"/>
      <c r="O26" s="128"/>
      <c r="P26" s="128"/>
      <c r="Q26" s="130"/>
      <c r="R26" s="131">
        <f>SUM(R16:R25)</f>
        <v>5413858467</v>
      </c>
      <c r="S26" s="132"/>
      <c r="T26" s="127"/>
      <c r="U26" s="133"/>
      <c r="V26" s="134">
        <f>SUM(V16:V25)</f>
        <v>5413858467</v>
      </c>
      <c r="W26" s="135"/>
      <c r="X26" s="136"/>
      <c r="Y26" s="137"/>
      <c r="Z26" s="137"/>
      <c r="AA26" s="137"/>
      <c r="AB26" s="137"/>
      <c r="AC26" s="137"/>
      <c r="AD26" s="137"/>
      <c r="AE26" s="136"/>
      <c r="AF26" s="136"/>
      <c r="AG26" s="136"/>
      <c r="AH26" s="136"/>
      <c r="AI26" s="136"/>
      <c r="AJ26" s="136"/>
      <c r="AK26" s="136"/>
      <c r="AL26" s="136"/>
      <c r="AM26" s="136"/>
      <c r="AN26" s="136"/>
      <c r="AO26" s="138"/>
      <c r="AP26" s="138"/>
      <c r="AQ26" s="139"/>
    </row>
    <row r="27" spans="1:44" ht="15.75" x14ac:dyDescent="0.25">
      <c r="A27" s="140"/>
      <c r="B27" s="141"/>
      <c r="C27" s="141"/>
      <c r="D27" s="141"/>
      <c r="E27" s="141"/>
      <c r="F27" s="141"/>
      <c r="G27" s="141"/>
      <c r="H27" s="141"/>
      <c r="I27" s="141"/>
      <c r="J27" s="142"/>
      <c r="K27" s="143"/>
      <c r="L27" s="144"/>
      <c r="M27" s="145"/>
      <c r="N27" s="143"/>
      <c r="O27" s="144"/>
      <c r="P27" s="144"/>
      <c r="Q27" s="146"/>
      <c r="R27" s="147"/>
      <c r="S27" s="143"/>
      <c r="T27" s="143"/>
      <c r="U27" s="143"/>
      <c r="V27" s="148"/>
      <c r="W27" s="149"/>
      <c r="X27" s="149"/>
      <c r="Y27" s="150"/>
      <c r="Z27" s="150"/>
      <c r="AA27" s="150"/>
      <c r="AB27" s="150"/>
      <c r="AC27" s="150"/>
      <c r="AD27" s="150"/>
      <c r="AE27" s="149"/>
      <c r="AF27" s="149"/>
      <c r="AG27" s="149"/>
      <c r="AH27" s="149"/>
      <c r="AI27" s="149"/>
      <c r="AJ27" s="149"/>
      <c r="AK27" s="149"/>
      <c r="AL27" s="149"/>
      <c r="AM27" s="149"/>
      <c r="AN27" s="149"/>
      <c r="AO27" s="151"/>
      <c r="AP27" s="151"/>
      <c r="AQ27" s="144"/>
    </row>
    <row r="28" spans="1:44" ht="15.75" x14ac:dyDescent="0.25">
      <c r="A28" s="140"/>
      <c r="B28" s="141"/>
      <c r="C28" s="141"/>
      <c r="D28" s="141"/>
      <c r="E28" s="141"/>
      <c r="F28" s="141"/>
      <c r="G28" s="141"/>
      <c r="H28" s="141"/>
      <c r="I28" s="141"/>
      <c r="J28" s="142"/>
      <c r="K28" s="143"/>
      <c r="L28" s="144"/>
      <c r="M28" s="145"/>
      <c r="N28" s="143"/>
      <c r="O28" s="144"/>
      <c r="P28" s="144"/>
      <c r="Q28" s="146"/>
      <c r="R28" s="147"/>
      <c r="S28" s="143"/>
      <c r="T28" s="143"/>
      <c r="U28" s="143"/>
      <c r="V28" s="148"/>
      <c r="W28" s="149"/>
      <c r="X28" s="149"/>
      <c r="Y28" s="150"/>
      <c r="Z28" s="150"/>
      <c r="AA28" s="150"/>
      <c r="AB28" s="150"/>
      <c r="AC28" s="150"/>
      <c r="AD28" s="150"/>
      <c r="AE28" s="149"/>
      <c r="AF28" s="149"/>
      <c r="AG28" s="149"/>
      <c r="AH28" s="149"/>
      <c r="AI28" s="149"/>
      <c r="AJ28" s="149"/>
      <c r="AK28" s="149"/>
      <c r="AL28" s="149"/>
      <c r="AM28" s="149"/>
      <c r="AN28" s="149"/>
      <c r="AO28" s="151"/>
      <c r="AP28" s="151"/>
      <c r="AQ28" s="144"/>
    </row>
    <row r="29" spans="1:44" ht="15.75" x14ac:dyDescent="0.25">
      <c r="A29" s="140"/>
      <c r="B29" s="141"/>
      <c r="C29" s="141"/>
      <c r="D29" s="141"/>
      <c r="E29" s="141"/>
      <c r="F29" s="141"/>
      <c r="G29" s="141"/>
      <c r="H29" s="141"/>
      <c r="I29" s="141"/>
      <c r="J29" s="142"/>
      <c r="K29" s="143"/>
      <c r="L29" s="144"/>
      <c r="M29" s="145"/>
      <c r="N29" s="143"/>
      <c r="O29" s="144"/>
      <c r="P29" s="144"/>
      <c r="Q29" s="146"/>
      <c r="R29" s="147"/>
      <c r="S29" s="143"/>
      <c r="T29" s="143"/>
      <c r="U29" s="143"/>
      <c r="V29" s="148"/>
      <c r="W29" s="149"/>
      <c r="X29" s="149"/>
      <c r="Y29" s="150"/>
      <c r="Z29" s="150"/>
      <c r="AA29" s="150"/>
      <c r="AB29" s="150"/>
      <c r="AC29" s="150"/>
      <c r="AD29" s="150"/>
      <c r="AE29" s="149"/>
      <c r="AF29" s="149"/>
      <c r="AG29" s="149"/>
      <c r="AH29" s="149"/>
      <c r="AI29" s="149"/>
      <c r="AJ29" s="149"/>
      <c r="AK29" s="149"/>
      <c r="AL29" s="149"/>
      <c r="AM29" s="149"/>
      <c r="AN29" s="149"/>
      <c r="AO29" s="151"/>
      <c r="AP29" s="151"/>
      <c r="AQ29" s="144"/>
    </row>
    <row r="30" spans="1:44" ht="15.75" x14ac:dyDescent="0.25">
      <c r="A30" s="140"/>
      <c r="B30" s="141"/>
      <c r="C30" s="141"/>
      <c r="D30" s="141"/>
      <c r="E30" s="141"/>
      <c r="F30" s="141"/>
      <c r="G30" s="141"/>
      <c r="H30" s="141"/>
      <c r="I30" s="141"/>
      <c r="J30" s="142"/>
      <c r="K30" s="143"/>
      <c r="L30" s="144"/>
      <c r="M30" s="145"/>
      <c r="N30" s="143"/>
      <c r="O30" s="144"/>
      <c r="P30" s="144"/>
      <c r="Q30" s="146"/>
      <c r="R30" s="147"/>
      <c r="S30" s="143"/>
      <c r="T30" s="143"/>
      <c r="U30" s="143"/>
      <c r="V30" s="148"/>
      <c r="W30" s="149"/>
      <c r="X30" s="149"/>
      <c r="Y30" s="150"/>
      <c r="Z30" s="150"/>
      <c r="AA30" s="150"/>
      <c r="AB30" s="150"/>
      <c r="AC30" s="150"/>
      <c r="AD30" s="150"/>
      <c r="AE30" s="149"/>
      <c r="AF30" s="149"/>
      <c r="AG30" s="149"/>
      <c r="AH30" s="149"/>
      <c r="AI30" s="149"/>
      <c r="AJ30" s="149"/>
      <c r="AK30" s="149"/>
      <c r="AL30" s="149"/>
      <c r="AM30" s="149"/>
      <c r="AN30" s="149"/>
      <c r="AO30" s="151"/>
      <c r="AP30" s="151"/>
      <c r="AQ30" s="144"/>
    </row>
    <row r="31" spans="1:44" x14ac:dyDescent="0.2">
      <c r="A31" s="152"/>
      <c r="B31" s="152"/>
      <c r="C31" s="152"/>
      <c r="D31" s="152"/>
      <c r="E31" s="152"/>
      <c r="F31" s="152"/>
      <c r="G31" s="152"/>
      <c r="H31" s="152"/>
      <c r="I31" s="152"/>
      <c r="J31" s="153"/>
      <c r="K31" s="154"/>
      <c r="L31" s="153"/>
      <c r="M31" s="153"/>
      <c r="N31" s="153"/>
      <c r="O31" s="153"/>
      <c r="P31" s="154"/>
      <c r="Q31" s="155"/>
      <c r="R31" s="156"/>
      <c r="S31" s="154"/>
      <c r="T31" s="154"/>
      <c r="U31" s="154"/>
      <c r="V31" s="157"/>
      <c r="W31" s="158"/>
      <c r="X31" s="159"/>
      <c r="Y31" s="160"/>
      <c r="Z31" s="160"/>
      <c r="AA31" s="160"/>
      <c r="AB31" s="160"/>
      <c r="AC31" s="160"/>
      <c r="AD31" s="160"/>
      <c r="AE31" s="160"/>
      <c r="AF31" s="160"/>
      <c r="AG31" s="160"/>
      <c r="AH31" s="160"/>
      <c r="AI31" s="160"/>
      <c r="AJ31" s="160"/>
      <c r="AK31" s="160"/>
      <c r="AL31" s="160"/>
      <c r="AM31" s="160"/>
      <c r="AN31" s="160"/>
      <c r="AO31" s="160"/>
      <c r="AP31" s="160"/>
      <c r="AQ31" s="160"/>
    </row>
    <row r="32" spans="1:44" x14ac:dyDescent="0.2">
      <c r="A32" s="152"/>
      <c r="B32" s="152"/>
      <c r="C32" s="152"/>
      <c r="D32" s="152"/>
      <c r="E32" s="152"/>
      <c r="F32" s="152"/>
      <c r="G32" s="152"/>
      <c r="H32" s="152"/>
      <c r="I32" s="152"/>
      <c r="J32" s="153"/>
      <c r="K32" s="154"/>
      <c r="L32" s="153"/>
      <c r="M32" s="153"/>
      <c r="N32" s="153"/>
      <c r="O32" s="153"/>
      <c r="P32" s="154"/>
      <c r="Q32" s="155"/>
      <c r="R32" s="161"/>
      <c r="S32" s="154"/>
      <c r="T32" s="154"/>
      <c r="U32" s="154"/>
      <c r="V32" s="162"/>
      <c r="W32" s="158"/>
      <c r="X32" s="159"/>
      <c r="Y32" s="160"/>
      <c r="Z32" s="160"/>
      <c r="AA32" s="160"/>
      <c r="AB32" s="160"/>
      <c r="AC32" s="160"/>
      <c r="AD32" s="160"/>
      <c r="AE32" s="160"/>
      <c r="AF32" s="160"/>
      <c r="AG32" s="160"/>
      <c r="AH32" s="160"/>
      <c r="AI32" s="160"/>
      <c r="AJ32" s="160"/>
      <c r="AK32" s="160"/>
      <c r="AL32" s="160"/>
      <c r="AM32" s="160"/>
      <c r="AN32" s="160"/>
      <c r="AO32" s="160"/>
      <c r="AP32" s="160"/>
      <c r="AQ32" s="160"/>
    </row>
    <row r="33" spans="1:43" ht="15.75" x14ac:dyDescent="0.25">
      <c r="A33" s="163"/>
      <c r="B33" s="163" t="s">
        <v>113</v>
      </c>
      <c r="C33" s="163"/>
      <c r="D33" s="163"/>
      <c r="E33" s="163"/>
      <c r="F33" s="152"/>
      <c r="G33" s="152"/>
      <c r="H33" s="152"/>
      <c r="I33" s="152"/>
      <c r="J33" s="153"/>
      <c r="K33" s="154"/>
      <c r="L33" s="153"/>
      <c r="M33" s="153"/>
      <c r="N33" s="153"/>
      <c r="O33" s="153"/>
      <c r="P33" s="154"/>
      <c r="Q33" s="155"/>
      <c r="R33" s="161"/>
      <c r="S33" s="154"/>
      <c r="T33" s="154"/>
      <c r="U33" s="154"/>
      <c r="V33" s="160"/>
      <c r="W33" s="158"/>
      <c r="X33" s="159"/>
      <c r="Y33" s="160"/>
      <c r="Z33" s="160"/>
      <c r="AA33" s="160"/>
      <c r="AB33" s="160"/>
      <c r="AC33" s="160"/>
      <c r="AD33" s="160"/>
      <c r="AE33" s="160"/>
      <c r="AF33" s="160"/>
      <c r="AG33" s="160"/>
      <c r="AH33" s="160"/>
      <c r="AI33" s="160"/>
      <c r="AJ33" s="160"/>
      <c r="AK33" s="160"/>
      <c r="AL33" s="160"/>
      <c r="AM33" s="160"/>
      <c r="AN33" s="160"/>
      <c r="AO33" s="160"/>
      <c r="AP33" s="160"/>
      <c r="AQ33" s="160"/>
    </row>
    <row r="34" spans="1:43" x14ac:dyDescent="0.2">
      <c r="B34" s="3" t="s">
        <v>114</v>
      </c>
      <c r="V34" s="166"/>
    </row>
    <row r="36" spans="1:43" ht="15.75" x14ac:dyDescent="0.25">
      <c r="M36" s="2490"/>
      <c r="N36" s="2490"/>
      <c r="O36" s="2490"/>
    </row>
    <row r="37" spans="1:43" x14ac:dyDescent="0.2">
      <c r="M37" s="2491"/>
      <c r="N37" s="2491"/>
      <c r="O37" s="2491"/>
    </row>
  </sheetData>
  <sheetProtection password="A60F" sheet="1" objects="1" scenarios="1"/>
  <mergeCells count="109">
    <mergeCell ref="A1:AO4"/>
    <mergeCell ref="A5:M6"/>
    <mergeCell ref="N5:AQ5"/>
    <mergeCell ref="Y6:AM6"/>
    <mergeCell ref="A7:A12"/>
    <mergeCell ref="B7:C12"/>
    <mergeCell ref="D7:D12"/>
    <mergeCell ref="E7:F12"/>
    <mergeCell ref="G7:G12"/>
    <mergeCell ref="H7:I12"/>
    <mergeCell ref="P7:P12"/>
    <mergeCell ref="Q7:Q12"/>
    <mergeCell ref="R7:R12"/>
    <mergeCell ref="S7:S12"/>
    <mergeCell ref="T7:T12"/>
    <mergeCell ref="U7:U12"/>
    <mergeCell ref="J7:J12"/>
    <mergeCell ref="K7:K12"/>
    <mergeCell ref="L7:L12"/>
    <mergeCell ref="M7:M12"/>
    <mergeCell ref="N7:N12"/>
    <mergeCell ref="O7:O12"/>
    <mergeCell ref="AQ7:AQ12"/>
    <mergeCell ref="W8:W12"/>
    <mergeCell ref="Y8:Y12"/>
    <mergeCell ref="Z8:Z12"/>
    <mergeCell ref="AA8:AA12"/>
    <mergeCell ref="AB8:AB12"/>
    <mergeCell ref="AC8:AC12"/>
    <mergeCell ref="V7:V12"/>
    <mergeCell ref="X7:X12"/>
    <mergeCell ref="Y7:Z7"/>
    <mergeCell ref="AA7:AD7"/>
    <mergeCell ref="AE7:AJ7"/>
    <mergeCell ref="AK7:AM7"/>
    <mergeCell ref="AD8:AD12"/>
    <mergeCell ref="AE8:AE12"/>
    <mergeCell ref="AF8:AF12"/>
    <mergeCell ref="AG8:AG12"/>
    <mergeCell ref="AH8:AH12"/>
    <mergeCell ref="AI8:AI12"/>
    <mergeCell ref="AJ8:AJ12"/>
    <mergeCell ref="AK8:AK12"/>
    <mergeCell ref="AL8:AL12"/>
    <mergeCell ref="AM8:AM12"/>
    <mergeCell ref="AN7:AN12"/>
    <mergeCell ref="AO7:AO12"/>
    <mergeCell ref="AP7:AP12"/>
    <mergeCell ref="R17:R19"/>
    <mergeCell ref="S17:S19"/>
    <mergeCell ref="Y17:Y19"/>
    <mergeCell ref="Z17:Z19"/>
    <mergeCell ref="J17:J19"/>
    <mergeCell ref="K17:K19"/>
    <mergeCell ref="L17:L19"/>
    <mergeCell ref="M17:M19"/>
    <mergeCell ref="N17:N19"/>
    <mergeCell ref="O17:O19"/>
    <mergeCell ref="AM17:AM19"/>
    <mergeCell ref="AN17:AN19"/>
    <mergeCell ref="AO17:AO19"/>
    <mergeCell ref="AP17:AP19"/>
    <mergeCell ref="AQ17:AQ19"/>
    <mergeCell ref="O21:O25"/>
    <mergeCell ref="P21:P25"/>
    <mergeCell ref="R21:R25"/>
    <mergeCell ref="S21:S25"/>
    <mergeCell ref="Y21:Y25"/>
    <mergeCell ref="AG17:AG19"/>
    <mergeCell ref="AH17:AH19"/>
    <mergeCell ref="AI17:AI19"/>
    <mergeCell ref="AJ17:AJ19"/>
    <mergeCell ref="AK17:AK19"/>
    <mergeCell ref="AL17:AL19"/>
    <mergeCell ref="AA17:AA19"/>
    <mergeCell ref="AB17:AB19"/>
    <mergeCell ref="AC17:AC19"/>
    <mergeCell ref="AD17:AD19"/>
    <mergeCell ref="AE17:AE19"/>
    <mergeCell ref="AF17:AF19"/>
    <mergeCell ref="P17:P19"/>
    <mergeCell ref="Q17:Q19"/>
    <mergeCell ref="J22:J23"/>
    <mergeCell ref="K22:K23"/>
    <mergeCell ref="L22:L23"/>
    <mergeCell ref="M22:M23"/>
    <mergeCell ref="N22:N23"/>
    <mergeCell ref="AF21:AF25"/>
    <mergeCell ref="AG21:AG25"/>
    <mergeCell ref="AH21:AH25"/>
    <mergeCell ref="AI21:AI25"/>
    <mergeCell ref="Z21:Z25"/>
    <mergeCell ref="AA21:AA25"/>
    <mergeCell ref="AB21:AB25"/>
    <mergeCell ref="AC21:AC25"/>
    <mergeCell ref="AD21:AD25"/>
    <mergeCell ref="AE21:AE25"/>
    <mergeCell ref="Q22:Q23"/>
    <mergeCell ref="T22:T23"/>
    <mergeCell ref="AQ22:AQ23"/>
    <mergeCell ref="M36:O36"/>
    <mergeCell ref="M37:O37"/>
    <mergeCell ref="AL21:AL25"/>
    <mergeCell ref="AM21:AM25"/>
    <mergeCell ref="AN21:AN25"/>
    <mergeCell ref="AO21:AO25"/>
    <mergeCell ref="AP21:AP25"/>
    <mergeCell ref="AJ21:AJ25"/>
    <mergeCell ref="AK21:AK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4"/>
  <sheetViews>
    <sheetView showGridLines="0" topLeftCell="A7" zoomScale="60" zoomScaleNormal="60" workbookViewId="0">
      <selection activeCell="L20" sqref="L20:L23"/>
    </sheetView>
  </sheetViews>
  <sheetFormatPr baseColWidth="10" defaultColWidth="11.42578125" defaultRowHeight="15" x14ac:dyDescent="0.2"/>
  <cols>
    <col min="1" max="1" width="14.28515625" style="741" customWidth="1"/>
    <col min="2" max="2" width="6.140625" style="741" customWidth="1"/>
    <col min="3" max="3" width="15.140625" style="741" customWidth="1"/>
    <col min="4" max="4" width="16.28515625" style="741" customWidth="1"/>
    <col min="5" max="5" width="6.28515625" style="741" customWidth="1"/>
    <col min="6" max="6" width="12" style="741" customWidth="1"/>
    <col min="7" max="7" width="17.7109375" style="741" customWidth="1"/>
    <col min="8" max="8" width="5.7109375" style="741" customWidth="1"/>
    <col min="9" max="9" width="20.7109375" style="741" customWidth="1"/>
    <col min="10" max="10" width="20" style="741" customWidth="1"/>
    <col min="11" max="11" width="30.42578125" style="741" customWidth="1"/>
    <col min="12" max="12" width="28.42578125" style="741" customWidth="1"/>
    <col min="13" max="13" width="14.7109375" style="741" customWidth="1"/>
    <col min="14" max="14" width="40" style="1058" customWidth="1"/>
    <col min="15" max="15" width="27.5703125" style="741" customWidth="1"/>
    <col min="16" max="16" width="35" style="741" customWidth="1"/>
    <col min="17" max="17" width="14.42578125" style="741" customWidth="1"/>
    <col min="18" max="18" width="30.85546875" style="741" customWidth="1"/>
    <col min="19" max="19" width="38.42578125" style="741" customWidth="1"/>
    <col min="20" max="20" width="44" style="741" customWidth="1"/>
    <col min="21" max="21" width="37" style="741" customWidth="1"/>
    <col min="22" max="22" width="30.28515625" style="741" customWidth="1"/>
    <col min="23" max="23" width="13.5703125" style="1058" customWidth="1"/>
    <col min="24" max="24" width="24.140625" style="1062" customWidth="1"/>
    <col min="25" max="25" width="11.5703125" style="741" customWidth="1"/>
    <col min="26" max="26" width="9" style="741" customWidth="1"/>
    <col min="27" max="27" width="13.42578125" style="741" customWidth="1"/>
    <col min="28" max="30" width="8.140625" style="741" customWidth="1"/>
    <col min="31" max="32" width="8" style="741" customWidth="1"/>
    <col min="33" max="36" width="7.42578125" style="741" customWidth="1"/>
    <col min="37" max="39" width="7.5703125" style="741" customWidth="1"/>
    <col min="40" max="40" width="9" style="741" customWidth="1"/>
    <col min="41" max="41" width="15" style="741" customWidth="1"/>
    <col min="42" max="42" width="20.28515625" style="741" customWidth="1"/>
    <col min="43" max="43" width="24.42578125" style="741" customWidth="1"/>
    <col min="44" max="56" width="14.85546875" style="741" customWidth="1"/>
    <col min="57" max="16384" width="11.42578125" style="741"/>
  </cols>
  <sheetData>
    <row r="1" spans="1:63" ht="25.5" customHeight="1" x14ac:dyDescent="0.25">
      <c r="A1" s="3905" t="s">
        <v>574</v>
      </c>
      <c r="B1" s="3905"/>
      <c r="C1" s="3905"/>
      <c r="D1" s="3905"/>
      <c r="E1" s="3905"/>
      <c r="F1" s="3905"/>
      <c r="G1" s="3905"/>
      <c r="H1" s="3905"/>
      <c r="I1" s="3905"/>
      <c r="J1" s="3905"/>
      <c r="K1" s="3905"/>
      <c r="L1" s="3905"/>
      <c r="M1" s="3905"/>
      <c r="N1" s="3905"/>
      <c r="O1" s="3905"/>
      <c r="P1" s="3905"/>
      <c r="Q1" s="3905"/>
      <c r="R1" s="3905"/>
      <c r="S1" s="3905"/>
      <c r="T1" s="3905"/>
      <c r="U1" s="3905"/>
      <c r="V1" s="3905"/>
      <c r="W1" s="3905"/>
      <c r="X1" s="3905"/>
      <c r="Y1" s="3905"/>
      <c r="Z1" s="3905"/>
      <c r="AA1" s="3905"/>
      <c r="AB1" s="3905"/>
      <c r="AC1" s="3905"/>
      <c r="AD1" s="3905"/>
      <c r="AE1" s="3905"/>
      <c r="AF1" s="3905"/>
      <c r="AG1" s="3905"/>
      <c r="AH1" s="3905"/>
      <c r="AI1" s="3905"/>
      <c r="AJ1" s="3905"/>
      <c r="AK1" s="3905"/>
      <c r="AL1" s="3905"/>
      <c r="AM1" s="3905"/>
      <c r="AN1" s="3905"/>
      <c r="AP1" s="742" t="s">
        <v>1</v>
      </c>
      <c r="AQ1" s="742" t="s">
        <v>2</v>
      </c>
    </row>
    <row r="2" spans="1:63" ht="22.5" customHeight="1" x14ac:dyDescent="0.25">
      <c r="A2" s="3905"/>
      <c r="B2" s="3905"/>
      <c r="C2" s="3905"/>
      <c r="D2" s="3905"/>
      <c r="E2" s="3905"/>
      <c r="F2" s="3905"/>
      <c r="G2" s="3905"/>
      <c r="H2" s="3905"/>
      <c r="I2" s="3905"/>
      <c r="J2" s="3905"/>
      <c r="K2" s="3905"/>
      <c r="L2" s="3905"/>
      <c r="M2" s="3905"/>
      <c r="N2" s="3905"/>
      <c r="O2" s="3905"/>
      <c r="P2" s="3905"/>
      <c r="Q2" s="3905"/>
      <c r="R2" s="3905"/>
      <c r="S2" s="3905"/>
      <c r="T2" s="3905"/>
      <c r="U2" s="3905"/>
      <c r="V2" s="3905"/>
      <c r="W2" s="3905"/>
      <c r="X2" s="3905"/>
      <c r="Y2" s="3905"/>
      <c r="Z2" s="3905"/>
      <c r="AA2" s="3905"/>
      <c r="AB2" s="3905"/>
      <c r="AC2" s="3905"/>
      <c r="AD2" s="3905"/>
      <c r="AE2" s="3905"/>
      <c r="AF2" s="3905"/>
      <c r="AG2" s="3905"/>
      <c r="AH2" s="3905"/>
      <c r="AI2" s="3905"/>
      <c r="AJ2" s="3905"/>
      <c r="AK2" s="3905"/>
      <c r="AL2" s="3905"/>
      <c r="AM2" s="3905"/>
      <c r="AN2" s="3905"/>
      <c r="AP2" s="743" t="s">
        <v>3</v>
      </c>
      <c r="AQ2" s="744">
        <v>6</v>
      </c>
    </row>
    <row r="3" spans="1:63" ht="16.5" customHeight="1" x14ac:dyDescent="0.25">
      <c r="A3" s="3905"/>
      <c r="B3" s="3905"/>
      <c r="C3" s="3905"/>
      <c r="D3" s="3905"/>
      <c r="E3" s="3905"/>
      <c r="F3" s="3905"/>
      <c r="G3" s="3905"/>
      <c r="H3" s="3905"/>
      <c r="I3" s="3905"/>
      <c r="J3" s="3905"/>
      <c r="K3" s="3905"/>
      <c r="L3" s="3905"/>
      <c r="M3" s="3905"/>
      <c r="N3" s="3905"/>
      <c r="O3" s="3905"/>
      <c r="P3" s="3905"/>
      <c r="Q3" s="3905"/>
      <c r="R3" s="3905"/>
      <c r="S3" s="3905"/>
      <c r="T3" s="3905"/>
      <c r="U3" s="3905"/>
      <c r="V3" s="3905"/>
      <c r="W3" s="3905"/>
      <c r="X3" s="3905"/>
      <c r="Y3" s="3905"/>
      <c r="Z3" s="3905"/>
      <c r="AA3" s="3905"/>
      <c r="AB3" s="3905"/>
      <c r="AC3" s="3905"/>
      <c r="AD3" s="3905"/>
      <c r="AE3" s="3905"/>
      <c r="AF3" s="3905"/>
      <c r="AG3" s="3905"/>
      <c r="AH3" s="3905"/>
      <c r="AI3" s="3905"/>
      <c r="AJ3" s="3905"/>
      <c r="AK3" s="3905"/>
      <c r="AL3" s="3905"/>
      <c r="AM3" s="3905"/>
      <c r="AN3" s="3905"/>
      <c r="AP3" s="742" t="s">
        <v>5</v>
      </c>
      <c r="AQ3" s="745" t="s">
        <v>6</v>
      </c>
    </row>
    <row r="4" spans="1:63" s="746" customFormat="1" ht="30" customHeight="1" x14ac:dyDescent="0.2">
      <c r="A4" s="3906"/>
      <c r="B4" s="3906"/>
      <c r="C4" s="3906"/>
      <c r="D4" s="3906"/>
      <c r="E4" s="3906"/>
      <c r="F4" s="3906"/>
      <c r="G4" s="3906"/>
      <c r="H4" s="3906"/>
      <c r="I4" s="3906"/>
      <c r="J4" s="3906"/>
      <c r="K4" s="3906"/>
      <c r="L4" s="3906"/>
      <c r="M4" s="3906"/>
      <c r="N4" s="3906"/>
      <c r="O4" s="3906"/>
      <c r="P4" s="3906"/>
      <c r="Q4" s="3906"/>
      <c r="R4" s="3906"/>
      <c r="S4" s="3906"/>
      <c r="T4" s="3906"/>
      <c r="U4" s="3906"/>
      <c r="V4" s="3906"/>
      <c r="W4" s="3906"/>
      <c r="X4" s="3906"/>
      <c r="Y4" s="3906"/>
      <c r="Z4" s="3906"/>
      <c r="AA4" s="3906"/>
      <c r="AB4" s="3906"/>
      <c r="AC4" s="3906"/>
      <c r="AD4" s="3906"/>
      <c r="AE4" s="3906"/>
      <c r="AF4" s="3906"/>
      <c r="AG4" s="3906"/>
      <c r="AH4" s="3906"/>
      <c r="AI4" s="3906"/>
      <c r="AJ4" s="3906"/>
      <c r="AK4" s="3906"/>
      <c r="AL4" s="3906"/>
      <c r="AM4" s="3906"/>
      <c r="AN4" s="3906"/>
      <c r="AP4" s="747" t="s">
        <v>7</v>
      </c>
      <c r="AQ4" s="748" t="s">
        <v>323</v>
      </c>
    </row>
    <row r="5" spans="1:63" ht="16.5" customHeight="1" x14ac:dyDescent="0.2">
      <c r="A5" s="3907" t="s">
        <v>9</v>
      </c>
      <c r="B5" s="3908"/>
      <c r="C5" s="3908"/>
      <c r="D5" s="3908"/>
      <c r="E5" s="3908"/>
      <c r="F5" s="3908"/>
      <c r="G5" s="3908"/>
      <c r="H5" s="3908"/>
      <c r="I5" s="3908"/>
      <c r="J5" s="3908"/>
      <c r="K5" s="3908"/>
      <c r="L5" s="3909"/>
      <c r="M5" s="749"/>
      <c r="N5" s="750"/>
      <c r="O5" s="750"/>
      <c r="P5" s="3910" t="s">
        <v>10</v>
      </c>
      <c r="Q5" s="3910"/>
      <c r="R5" s="3910"/>
      <c r="S5" s="3910"/>
      <c r="T5" s="3910"/>
      <c r="U5" s="3910"/>
      <c r="V5" s="3910"/>
      <c r="W5" s="3910"/>
      <c r="X5" s="3910"/>
      <c r="Y5" s="3910"/>
      <c r="Z5" s="3910"/>
      <c r="AA5" s="3910"/>
      <c r="AB5" s="3910"/>
      <c r="AC5" s="3910"/>
      <c r="AD5" s="3910"/>
      <c r="AE5" s="3910"/>
      <c r="AF5" s="3910"/>
      <c r="AG5" s="3910"/>
      <c r="AH5" s="3910"/>
      <c r="AI5" s="3910"/>
      <c r="AJ5" s="3910"/>
      <c r="AK5" s="3910"/>
      <c r="AL5" s="3910"/>
      <c r="AM5" s="3910"/>
      <c r="AN5" s="3910"/>
      <c r="AO5" s="3910"/>
      <c r="AP5" s="3910"/>
      <c r="AQ5" s="3910"/>
    </row>
    <row r="6" spans="1:63" ht="34.5" customHeight="1" x14ac:dyDescent="0.2">
      <c r="A6" s="3902" t="s">
        <v>12</v>
      </c>
      <c r="B6" s="3892" t="s">
        <v>13</v>
      </c>
      <c r="C6" s="3892"/>
      <c r="D6" s="3892" t="s">
        <v>12</v>
      </c>
      <c r="E6" s="3892" t="s">
        <v>14</v>
      </c>
      <c r="F6" s="3892"/>
      <c r="G6" s="3892" t="s">
        <v>12</v>
      </c>
      <c r="H6" s="3892" t="s">
        <v>15</v>
      </c>
      <c r="I6" s="3892"/>
      <c r="J6" s="3892" t="s">
        <v>12</v>
      </c>
      <c r="K6" s="3892" t="s">
        <v>16</v>
      </c>
      <c r="L6" s="3892" t="s">
        <v>17</v>
      </c>
      <c r="M6" s="3903" t="s">
        <v>18</v>
      </c>
      <c r="N6" s="3892" t="s">
        <v>19</v>
      </c>
      <c r="O6" s="3892" t="s">
        <v>20</v>
      </c>
      <c r="P6" s="3892" t="s">
        <v>10</v>
      </c>
      <c r="Q6" s="3901" t="s">
        <v>21</v>
      </c>
      <c r="R6" s="3901" t="s">
        <v>22</v>
      </c>
      <c r="S6" s="3901" t="s">
        <v>23</v>
      </c>
      <c r="T6" s="3901" t="s">
        <v>24</v>
      </c>
      <c r="U6" s="3901" t="s">
        <v>25</v>
      </c>
      <c r="V6" s="751" t="s">
        <v>22</v>
      </c>
      <c r="W6" s="3902" t="s">
        <v>12</v>
      </c>
      <c r="X6" s="3892" t="s">
        <v>26</v>
      </c>
      <c r="Y6" s="3893" t="s">
        <v>27</v>
      </c>
      <c r="Z6" s="3893"/>
      <c r="AA6" s="3894" t="s">
        <v>28</v>
      </c>
      <c r="AB6" s="3895"/>
      <c r="AC6" s="3895"/>
      <c r="AD6" s="3895"/>
      <c r="AE6" s="3896" t="s">
        <v>29</v>
      </c>
      <c r="AF6" s="3897"/>
      <c r="AG6" s="3897"/>
      <c r="AH6" s="3897"/>
      <c r="AI6" s="3897"/>
      <c r="AJ6" s="3897"/>
      <c r="AK6" s="3898" t="s">
        <v>30</v>
      </c>
      <c r="AL6" s="3898"/>
      <c r="AM6" s="3898"/>
      <c r="AN6" s="3899" t="s">
        <v>31</v>
      </c>
      <c r="AO6" s="3888" t="s">
        <v>32</v>
      </c>
      <c r="AP6" s="3888" t="s">
        <v>33</v>
      </c>
      <c r="AQ6" s="3890" t="s">
        <v>34</v>
      </c>
      <c r="AR6" s="752"/>
      <c r="AS6" s="752"/>
      <c r="AT6" s="752"/>
      <c r="AU6" s="752"/>
      <c r="AV6" s="752"/>
      <c r="AW6" s="752"/>
      <c r="AX6" s="752"/>
      <c r="AY6" s="752"/>
      <c r="AZ6" s="752"/>
      <c r="BA6" s="752"/>
      <c r="BB6" s="752"/>
      <c r="BC6" s="752"/>
      <c r="BD6" s="752"/>
      <c r="BE6" s="752"/>
      <c r="BF6" s="752"/>
      <c r="BG6" s="752"/>
      <c r="BH6" s="752"/>
      <c r="BI6" s="752"/>
      <c r="BJ6" s="752"/>
      <c r="BK6" s="752"/>
    </row>
    <row r="7" spans="1:63" ht="129" customHeight="1" x14ac:dyDescent="0.2">
      <c r="A7" s="3902"/>
      <c r="B7" s="3892"/>
      <c r="C7" s="3892"/>
      <c r="D7" s="3892"/>
      <c r="E7" s="3892"/>
      <c r="F7" s="3892"/>
      <c r="G7" s="3892"/>
      <c r="H7" s="3892"/>
      <c r="I7" s="3892"/>
      <c r="J7" s="3892"/>
      <c r="K7" s="3892"/>
      <c r="L7" s="3892"/>
      <c r="M7" s="3904"/>
      <c r="N7" s="3892"/>
      <c r="O7" s="3892"/>
      <c r="P7" s="3892"/>
      <c r="Q7" s="3901"/>
      <c r="R7" s="3901"/>
      <c r="S7" s="3901"/>
      <c r="T7" s="3901"/>
      <c r="U7" s="3901"/>
      <c r="V7" s="753" t="s">
        <v>327</v>
      </c>
      <c r="W7" s="3902"/>
      <c r="X7" s="3892"/>
      <c r="Y7" s="754" t="s">
        <v>35</v>
      </c>
      <c r="Z7" s="755" t="s">
        <v>36</v>
      </c>
      <c r="AA7" s="754" t="s">
        <v>37</v>
      </c>
      <c r="AB7" s="754" t="s">
        <v>118</v>
      </c>
      <c r="AC7" s="754" t="s">
        <v>575</v>
      </c>
      <c r="AD7" s="754" t="s">
        <v>120</v>
      </c>
      <c r="AE7" s="754" t="s">
        <v>41</v>
      </c>
      <c r="AF7" s="754" t="s">
        <v>42</v>
      </c>
      <c r="AG7" s="754" t="s">
        <v>43</v>
      </c>
      <c r="AH7" s="754" t="s">
        <v>44</v>
      </c>
      <c r="AI7" s="754" t="s">
        <v>45</v>
      </c>
      <c r="AJ7" s="754" t="s">
        <v>46</v>
      </c>
      <c r="AK7" s="754" t="s">
        <v>47</v>
      </c>
      <c r="AL7" s="754" t="s">
        <v>48</v>
      </c>
      <c r="AM7" s="754" t="s">
        <v>49</v>
      </c>
      <c r="AN7" s="3900"/>
      <c r="AO7" s="3889"/>
      <c r="AP7" s="3889"/>
      <c r="AQ7" s="3891"/>
      <c r="AR7" s="752"/>
      <c r="AS7" s="752"/>
      <c r="AT7" s="752"/>
      <c r="AU7" s="752"/>
      <c r="AV7" s="752"/>
      <c r="AW7" s="752"/>
      <c r="AX7" s="752"/>
      <c r="AY7" s="752"/>
      <c r="AZ7" s="752"/>
      <c r="BA7" s="752"/>
      <c r="BB7" s="752"/>
      <c r="BC7" s="752"/>
      <c r="BD7" s="752"/>
      <c r="BE7" s="752"/>
      <c r="BF7" s="752"/>
      <c r="BG7" s="752"/>
      <c r="BH7" s="752"/>
      <c r="BI7" s="752"/>
      <c r="BJ7" s="752"/>
      <c r="BK7" s="752"/>
    </row>
    <row r="8" spans="1:63" s="765" customFormat="1" ht="28.5" customHeight="1" x14ac:dyDescent="0.25">
      <c r="A8" s="756">
        <v>3</v>
      </c>
      <c r="B8" s="757"/>
      <c r="C8" s="757" t="s">
        <v>293</v>
      </c>
      <c r="D8" s="757"/>
      <c r="E8" s="757"/>
      <c r="F8" s="757"/>
      <c r="G8" s="757"/>
      <c r="H8" s="757"/>
      <c r="I8" s="757"/>
      <c r="J8" s="757"/>
      <c r="K8" s="758"/>
      <c r="L8" s="758"/>
      <c r="M8" s="757"/>
      <c r="N8" s="759"/>
      <c r="O8" s="757"/>
      <c r="P8" s="758"/>
      <c r="Q8" s="760"/>
      <c r="R8" s="761"/>
      <c r="S8" s="758"/>
      <c r="T8" s="758"/>
      <c r="U8" s="758"/>
      <c r="V8" s="758"/>
      <c r="W8" s="759"/>
      <c r="X8" s="757"/>
      <c r="Y8" s="757"/>
      <c r="Z8" s="757"/>
      <c r="AA8" s="757"/>
      <c r="AB8" s="757"/>
      <c r="AC8" s="757"/>
      <c r="AD8" s="757"/>
      <c r="AE8" s="757"/>
      <c r="AF8" s="757"/>
      <c r="AG8" s="757"/>
      <c r="AH8" s="762"/>
      <c r="AI8" s="758"/>
      <c r="AJ8" s="763"/>
      <c r="AK8" s="763"/>
      <c r="AL8" s="763"/>
      <c r="AM8" s="763"/>
      <c r="AN8" s="763"/>
      <c r="AO8" s="763"/>
      <c r="AP8" s="763"/>
      <c r="AQ8" s="764"/>
    </row>
    <row r="9" spans="1:63" s="765" customFormat="1" ht="28.5" customHeight="1" x14ac:dyDescent="0.25">
      <c r="A9" s="766"/>
      <c r="B9" s="767"/>
      <c r="C9" s="768"/>
      <c r="D9" s="769">
        <v>5</v>
      </c>
      <c r="E9" s="770" t="s">
        <v>576</v>
      </c>
      <c r="F9" s="770"/>
      <c r="G9" s="770"/>
      <c r="H9" s="770"/>
      <c r="I9" s="770"/>
      <c r="J9" s="770"/>
      <c r="K9" s="771"/>
      <c r="L9" s="771"/>
      <c r="M9" s="770"/>
      <c r="N9" s="772"/>
      <c r="O9" s="770"/>
      <c r="P9" s="771"/>
      <c r="Q9" s="773"/>
      <c r="R9" s="774"/>
      <c r="S9" s="771"/>
      <c r="T9" s="771"/>
      <c r="U9" s="771"/>
      <c r="V9" s="771"/>
      <c r="W9" s="772"/>
      <c r="X9" s="770"/>
      <c r="Y9" s="770"/>
      <c r="Z9" s="770"/>
      <c r="AA9" s="770"/>
      <c r="AB9" s="770"/>
      <c r="AC9" s="770"/>
      <c r="AD9" s="770"/>
      <c r="AE9" s="770"/>
      <c r="AF9" s="770"/>
      <c r="AG9" s="770"/>
      <c r="AH9" s="775"/>
      <c r="AI9" s="771"/>
      <c r="AJ9" s="776"/>
      <c r="AK9" s="776"/>
      <c r="AL9" s="776"/>
      <c r="AM9" s="776"/>
      <c r="AN9" s="776"/>
      <c r="AO9" s="776"/>
      <c r="AP9" s="776"/>
      <c r="AQ9" s="777"/>
    </row>
    <row r="10" spans="1:63" s="765" customFormat="1" ht="28.5" customHeight="1" x14ac:dyDescent="0.25">
      <c r="A10" s="778"/>
      <c r="B10" s="779"/>
      <c r="C10" s="779"/>
      <c r="D10" s="780"/>
      <c r="E10" s="781"/>
      <c r="F10" s="782"/>
      <c r="G10" s="783">
        <v>16</v>
      </c>
      <c r="H10" s="784" t="s">
        <v>577</v>
      </c>
      <c r="I10" s="784"/>
      <c r="J10" s="784"/>
      <c r="K10" s="785"/>
      <c r="L10" s="785"/>
      <c r="M10" s="784"/>
      <c r="N10" s="786"/>
      <c r="O10" s="784"/>
      <c r="P10" s="785"/>
      <c r="Q10" s="787"/>
      <c r="R10" s="788"/>
      <c r="S10" s="785"/>
      <c r="T10" s="789"/>
      <c r="U10" s="789"/>
      <c r="V10" s="789"/>
      <c r="W10" s="790"/>
      <c r="X10" s="791"/>
      <c r="Y10" s="784"/>
      <c r="Z10" s="784"/>
      <c r="AA10" s="784"/>
      <c r="AB10" s="784"/>
      <c r="AC10" s="784"/>
      <c r="AD10" s="784"/>
      <c r="AE10" s="792"/>
      <c r="AF10" s="784"/>
      <c r="AG10" s="784"/>
      <c r="AH10" s="793"/>
      <c r="AI10" s="785"/>
      <c r="AJ10" s="794"/>
      <c r="AK10" s="794"/>
      <c r="AL10" s="794"/>
      <c r="AM10" s="794"/>
      <c r="AN10" s="794"/>
      <c r="AO10" s="794"/>
      <c r="AP10" s="794"/>
      <c r="AQ10" s="795"/>
    </row>
    <row r="11" spans="1:63" s="765" customFormat="1" ht="15.75" customHeight="1" x14ac:dyDescent="0.25">
      <c r="A11" s="778"/>
      <c r="B11" s="779"/>
      <c r="C11" s="779"/>
      <c r="D11" s="796"/>
      <c r="E11" s="797"/>
      <c r="F11" s="798"/>
      <c r="G11" s="799"/>
      <c r="H11" s="799"/>
      <c r="I11" s="800"/>
      <c r="J11" s="3818">
        <v>65</v>
      </c>
      <c r="K11" s="3713" t="s">
        <v>578</v>
      </c>
      <c r="L11" s="3713" t="s">
        <v>579</v>
      </c>
      <c r="M11" s="3722">
        <v>1</v>
      </c>
      <c r="N11" s="3687" t="s">
        <v>580</v>
      </c>
      <c r="O11" s="3783" t="s">
        <v>581</v>
      </c>
      <c r="P11" s="3693" t="s">
        <v>582</v>
      </c>
      <c r="Q11" s="3882">
        <f>SUM(V11:V15)/$R$11</f>
        <v>0.34333822549207033</v>
      </c>
      <c r="R11" s="3745">
        <f>SUM(V11:V23)</f>
        <v>18750985512.239998</v>
      </c>
      <c r="S11" s="3812" t="s">
        <v>583</v>
      </c>
      <c r="T11" s="3886" t="s">
        <v>584</v>
      </c>
      <c r="U11" s="3886" t="s">
        <v>585</v>
      </c>
      <c r="V11" s="3887">
        <v>2166498979</v>
      </c>
      <c r="W11" s="3765">
        <v>35</v>
      </c>
      <c r="X11" s="3885" t="s">
        <v>586</v>
      </c>
      <c r="Y11" s="3804">
        <v>20555</v>
      </c>
      <c r="Z11" s="3721">
        <v>21361</v>
      </c>
      <c r="AA11" s="3721">
        <v>30460</v>
      </c>
      <c r="AB11" s="3721">
        <v>9593</v>
      </c>
      <c r="AC11" s="3721">
        <v>1762</v>
      </c>
      <c r="AD11" s="3721">
        <v>101</v>
      </c>
      <c r="AE11" s="3721">
        <v>308</v>
      </c>
      <c r="AF11" s="3721">
        <v>277</v>
      </c>
      <c r="AG11" s="3721">
        <v>0</v>
      </c>
      <c r="AH11" s="3721">
        <v>0</v>
      </c>
      <c r="AI11" s="3721">
        <v>0</v>
      </c>
      <c r="AJ11" s="3721">
        <v>0</v>
      </c>
      <c r="AK11" s="3721">
        <v>2907</v>
      </c>
      <c r="AL11" s="3721">
        <v>2589</v>
      </c>
      <c r="AM11" s="3721">
        <v>2589</v>
      </c>
      <c r="AN11" s="3721">
        <f>+Y11+Z11</f>
        <v>41916</v>
      </c>
      <c r="AO11" s="3718">
        <v>43497</v>
      </c>
      <c r="AP11" s="3718">
        <v>43829</v>
      </c>
      <c r="AQ11" s="3840" t="s">
        <v>587</v>
      </c>
    </row>
    <row r="12" spans="1:63" s="765" customFormat="1" ht="22.5" customHeight="1" x14ac:dyDescent="0.25">
      <c r="A12" s="778"/>
      <c r="B12" s="779"/>
      <c r="C12" s="779"/>
      <c r="D12" s="796"/>
      <c r="E12" s="797"/>
      <c r="F12" s="798"/>
      <c r="G12" s="799"/>
      <c r="H12" s="799"/>
      <c r="I12" s="800"/>
      <c r="J12" s="3818"/>
      <c r="K12" s="3713"/>
      <c r="L12" s="3713"/>
      <c r="M12" s="3722"/>
      <c r="N12" s="3722"/>
      <c r="O12" s="3783"/>
      <c r="P12" s="3771"/>
      <c r="Q12" s="3883"/>
      <c r="R12" s="3745"/>
      <c r="S12" s="3812"/>
      <c r="T12" s="3886"/>
      <c r="U12" s="3886"/>
      <c r="V12" s="3887"/>
      <c r="W12" s="3766"/>
      <c r="X12" s="3885"/>
      <c r="Y12" s="3804"/>
      <c r="Z12" s="3721"/>
      <c r="AA12" s="3721"/>
      <c r="AB12" s="3721"/>
      <c r="AC12" s="3721"/>
      <c r="AD12" s="3721"/>
      <c r="AE12" s="3721"/>
      <c r="AF12" s="3721"/>
      <c r="AG12" s="3721"/>
      <c r="AH12" s="3721"/>
      <c r="AI12" s="3721"/>
      <c r="AJ12" s="3721"/>
      <c r="AK12" s="3721"/>
      <c r="AL12" s="3721"/>
      <c r="AM12" s="3721"/>
      <c r="AN12" s="3721"/>
      <c r="AO12" s="3719"/>
      <c r="AP12" s="3719"/>
      <c r="AQ12" s="3840"/>
    </row>
    <row r="13" spans="1:63" s="765" customFormat="1" ht="28.5" customHeight="1" x14ac:dyDescent="0.25">
      <c r="A13" s="778"/>
      <c r="B13" s="779"/>
      <c r="C13" s="779"/>
      <c r="D13" s="796"/>
      <c r="E13" s="797"/>
      <c r="F13" s="798"/>
      <c r="G13" s="799"/>
      <c r="H13" s="799"/>
      <c r="I13" s="800"/>
      <c r="J13" s="3818"/>
      <c r="K13" s="3713"/>
      <c r="L13" s="3713"/>
      <c r="M13" s="3722"/>
      <c r="N13" s="3722"/>
      <c r="O13" s="3783"/>
      <c r="P13" s="3771"/>
      <c r="Q13" s="3883"/>
      <c r="R13" s="3745"/>
      <c r="S13" s="3812"/>
      <c r="T13" s="3886"/>
      <c r="U13" s="3886"/>
      <c r="V13" s="801">
        <f>1142155795+241355304</f>
        <v>1383511099</v>
      </c>
      <c r="W13" s="802">
        <v>20</v>
      </c>
      <c r="X13" s="803" t="s">
        <v>62</v>
      </c>
      <c r="Y13" s="3804"/>
      <c r="Z13" s="3721"/>
      <c r="AA13" s="3721"/>
      <c r="AB13" s="3721"/>
      <c r="AC13" s="3721"/>
      <c r="AD13" s="3721"/>
      <c r="AE13" s="3721"/>
      <c r="AF13" s="3721"/>
      <c r="AG13" s="3721"/>
      <c r="AH13" s="3721"/>
      <c r="AI13" s="3721"/>
      <c r="AJ13" s="3721"/>
      <c r="AK13" s="3721"/>
      <c r="AL13" s="3721"/>
      <c r="AM13" s="3721"/>
      <c r="AN13" s="3721"/>
      <c r="AO13" s="3719"/>
      <c r="AP13" s="3719"/>
      <c r="AQ13" s="3840"/>
    </row>
    <row r="14" spans="1:63" s="765" customFormat="1" ht="28.5" customHeight="1" x14ac:dyDescent="0.25">
      <c r="A14" s="778"/>
      <c r="B14" s="779"/>
      <c r="C14" s="779"/>
      <c r="D14" s="796"/>
      <c r="E14" s="797"/>
      <c r="F14" s="798"/>
      <c r="G14" s="799"/>
      <c r="H14" s="799"/>
      <c r="I14" s="800"/>
      <c r="J14" s="3818"/>
      <c r="K14" s="3713"/>
      <c r="L14" s="3713"/>
      <c r="M14" s="3722"/>
      <c r="N14" s="3722"/>
      <c r="O14" s="3783"/>
      <c r="P14" s="3771"/>
      <c r="Q14" s="3883"/>
      <c r="R14" s="3745"/>
      <c r="S14" s="3812"/>
      <c r="T14" s="3886"/>
      <c r="U14" s="3886"/>
      <c r="V14" s="801">
        <v>43958033</v>
      </c>
      <c r="W14" s="802">
        <v>91</v>
      </c>
      <c r="X14" s="803" t="s">
        <v>588</v>
      </c>
      <c r="Y14" s="3804"/>
      <c r="Z14" s="3721"/>
      <c r="AA14" s="3721"/>
      <c r="AB14" s="3721"/>
      <c r="AC14" s="3721"/>
      <c r="AD14" s="3721"/>
      <c r="AE14" s="3721"/>
      <c r="AF14" s="3721"/>
      <c r="AG14" s="3721"/>
      <c r="AH14" s="3721"/>
      <c r="AI14" s="3721"/>
      <c r="AJ14" s="3721"/>
      <c r="AK14" s="3721"/>
      <c r="AL14" s="3721"/>
      <c r="AM14" s="3721"/>
      <c r="AN14" s="3721"/>
      <c r="AO14" s="3719"/>
      <c r="AP14" s="3719"/>
      <c r="AQ14" s="3840"/>
    </row>
    <row r="15" spans="1:63" s="765" customFormat="1" ht="31.5" customHeight="1" x14ac:dyDescent="0.25">
      <c r="A15" s="778"/>
      <c r="B15" s="779"/>
      <c r="C15" s="779"/>
      <c r="D15" s="796"/>
      <c r="E15" s="797"/>
      <c r="F15" s="798"/>
      <c r="G15" s="799"/>
      <c r="H15" s="799"/>
      <c r="I15" s="800"/>
      <c r="J15" s="3819"/>
      <c r="K15" s="3714"/>
      <c r="L15" s="3714"/>
      <c r="M15" s="3688"/>
      <c r="N15" s="3722"/>
      <c r="O15" s="3783"/>
      <c r="P15" s="3771"/>
      <c r="Q15" s="3884"/>
      <c r="R15" s="3745"/>
      <c r="S15" s="3812"/>
      <c r="T15" s="3886"/>
      <c r="U15" s="3886"/>
      <c r="V15" s="804">
        <f>2321723335+522238646</f>
        <v>2843961981</v>
      </c>
      <c r="W15" s="802">
        <v>88</v>
      </c>
      <c r="X15" s="805" t="s">
        <v>589</v>
      </c>
      <c r="Y15" s="3804"/>
      <c r="Z15" s="3721"/>
      <c r="AA15" s="3721"/>
      <c r="AB15" s="3721"/>
      <c r="AC15" s="3721"/>
      <c r="AD15" s="3721"/>
      <c r="AE15" s="3721"/>
      <c r="AF15" s="3721"/>
      <c r="AG15" s="3721"/>
      <c r="AH15" s="3721"/>
      <c r="AI15" s="3721"/>
      <c r="AJ15" s="3721"/>
      <c r="AK15" s="3721"/>
      <c r="AL15" s="3721"/>
      <c r="AM15" s="3721"/>
      <c r="AN15" s="3721"/>
      <c r="AO15" s="3719"/>
      <c r="AP15" s="3719"/>
      <c r="AQ15" s="3840"/>
    </row>
    <row r="16" spans="1:63" s="765" customFormat="1" ht="35.25" customHeight="1" x14ac:dyDescent="0.25">
      <c r="A16" s="778"/>
      <c r="B16" s="779"/>
      <c r="C16" s="779"/>
      <c r="D16" s="796"/>
      <c r="E16" s="797"/>
      <c r="F16" s="798"/>
      <c r="G16" s="799"/>
      <c r="H16" s="799"/>
      <c r="I16" s="800"/>
      <c r="J16" s="3817">
        <v>66</v>
      </c>
      <c r="K16" s="3712" t="s">
        <v>590</v>
      </c>
      <c r="L16" s="3712" t="s">
        <v>591</v>
      </c>
      <c r="M16" s="3687">
        <v>1</v>
      </c>
      <c r="N16" s="3722"/>
      <c r="O16" s="3783"/>
      <c r="P16" s="3771"/>
      <c r="Q16" s="3882">
        <f>SUM(V16:V19)/$R$11</f>
        <v>0.58733208518832547</v>
      </c>
      <c r="R16" s="3745"/>
      <c r="S16" s="3812"/>
      <c r="T16" s="3880" t="s">
        <v>592</v>
      </c>
      <c r="U16" s="3845" t="s">
        <v>593</v>
      </c>
      <c r="V16" s="806">
        <v>9000000000</v>
      </c>
      <c r="W16" s="802">
        <v>81</v>
      </c>
      <c r="X16" s="807" t="s">
        <v>594</v>
      </c>
      <c r="Y16" s="3804"/>
      <c r="Z16" s="3721"/>
      <c r="AA16" s="3721"/>
      <c r="AB16" s="3721"/>
      <c r="AC16" s="3721"/>
      <c r="AD16" s="3721"/>
      <c r="AE16" s="3721"/>
      <c r="AF16" s="3721"/>
      <c r="AG16" s="3721"/>
      <c r="AH16" s="3721"/>
      <c r="AI16" s="3721"/>
      <c r="AJ16" s="3721"/>
      <c r="AK16" s="3721"/>
      <c r="AL16" s="3721"/>
      <c r="AM16" s="3721"/>
      <c r="AN16" s="3721"/>
      <c r="AO16" s="3719"/>
      <c r="AP16" s="3719"/>
      <c r="AQ16" s="3840"/>
    </row>
    <row r="17" spans="1:43" s="765" customFormat="1" ht="40.5" customHeight="1" x14ac:dyDescent="0.25">
      <c r="A17" s="778"/>
      <c r="B17" s="779"/>
      <c r="C17" s="779"/>
      <c r="D17" s="796"/>
      <c r="E17" s="797"/>
      <c r="F17" s="798"/>
      <c r="G17" s="799"/>
      <c r="H17" s="799"/>
      <c r="I17" s="800"/>
      <c r="J17" s="3818"/>
      <c r="K17" s="3713"/>
      <c r="L17" s="3713"/>
      <c r="M17" s="3722"/>
      <c r="N17" s="3722"/>
      <c r="O17" s="3783"/>
      <c r="P17" s="3771"/>
      <c r="Q17" s="3883"/>
      <c r="R17" s="3745"/>
      <c r="S17" s="3812"/>
      <c r="T17" s="3880"/>
      <c r="U17" s="3845"/>
      <c r="V17" s="806">
        <v>150000000</v>
      </c>
      <c r="W17" s="802">
        <v>81</v>
      </c>
      <c r="X17" s="807" t="s">
        <v>595</v>
      </c>
      <c r="Y17" s="3804"/>
      <c r="Z17" s="3721"/>
      <c r="AA17" s="3721"/>
      <c r="AB17" s="3721"/>
      <c r="AC17" s="3721"/>
      <c r="AD17" s="3721"/>
      <c r="AE17" s="3721"/>
      <c r="AF17" s="3721"/>
      <c r="AG17" s="3721"/>
      <c r="AH17" s="3721"/>
      <c r="AI17" s="3721"/>
      <c r="AJ17" s="3721"/>
      <c r="AK17" s="3721"/>
      <c r="AL17" s="3721"/>
      <c r="AM17" s="3721"/>
      <c r="AN17" s="3721"/>
      <c r="AO17" s="3719"/>
      <c r="AP17" s="3719"/>
      <c r="AQ17" s="3840"/>
    </row>
    <row r="18" spans="1:43" s="765" customFormat="1" ht="57" customHeight="1" x14ac:dyDescent="0.25">
      <c r="A18" s="778"/>
      <c r="B18" s="779"/>
      <c r="C18" s="779"/>
      <c r="D18" s="796"/>
      <c r="E18" s="797"/>
      <c r="F18" s="798"/>
      <c r="G18" s="799"/>
      <c r="H18" s="799"/>
      <c r="I18" s="800"/>
      <c r="J18" s="3818"/>
      <c r="K18" s="3713"/>
      <c r="L18" s="3713"/>
      <c r="M18" s="3722"/>
      <c r="N18" s="3722"/>
      <c r="O18" s="3783"/>
      <c r="P18" s="3771"/>
      <c r="Q18" s="3883"/>
      <c r="R18" s="3745"/>
      <c r="S18" s="3812"/>
      <c r="T18" s="3880"/>
      <c r="U18" s="3845"/>
      <c r="V18" s="806">
        <v>1577857420.24</v>
      </c>
      <c r="W18" s="802">
        <v>137</v>
      </c>
      <c r="X18" s="807" t="s">
        <v>596</v>
      </c>
      <c r="Y18" s="3804"/>
      <c r="Z18" s="3721"/>
      <c r="AA18" s="3721"/>
      <c r="AB18" s="3721"/>
      <c r="AC18" s="3721"/>
      <c r="AD18" s="3721"/>
      <c r="AE18" s="3721"/>
      <c r="AF18" s="3721"/>
      <c r="AG18" s="3721"/>
      <c r="AH18" s="3721"/>
      <c r="AI18" s="3721"/>
      <c r="AJ18" s="3721"/>
      <c r="AK18" s="3721"/>
      <c r="AL18" s="3721"/>
      <c r="AM18" s="3721"/>
      <c r="AN18" s="3721"/>
      <c r="AO18" s="3719"/>
      <c r="AP18" s="3719"/>
      <c r="AQ18" s="3840"/>
    </row>
    <row r="19" spans="1:43" s="765" customFormat="1" ht="70.5" customHeight="1" x14ac:dyDescent="0.25">
      <c r="A19" s="778"/>
      <c r="B19" s="779"/>
      <c r="C19" s="779"/>
      <c r="D19" s="796"/>
      <c r="E19" s="797"/>
      <c r="F19" s="798"/>
      <c r="G19" s="799"/>
      <c r="H19" s="799"/>
      <c r="I19" s="800"/>
      <c r="J19" s="3819"/>
      <c r="K19" s="3714"/>
      <c r="L19" s="3714"/>
      <c r="M19" s="3688"/>
      <c r="N19" s="3722"/>
      <c r="O19" s="3783"/>
      <c r="P19" s="3771"/>
      <c r="Q19" s="3884"/>
      <c r="R19" s="3745"/>
      <c r="S19" s="3812"/>
      <c r="T19" s="3880"/>
      <c r="U19" s="808" t="s">
        <v>597</v>
      </c>
      <c r="V19" s="809">
        <v>285198000</v>
      </c>
      <c r="W19" s="802">
        <v>20</v>
      </c>
      <c r="X19" s="807" t="s">
        <v>62</v>
      </c>
      <c r="Y19" s="3804"/>
      <c r="Z19" s="3721"/>
      <c r="AA19" s="3721"/>
      <c r="AB19" s="3721"/>
      <c r="AC19" s="3721"/>
      <c r="AD19" s="3721"/>
      <c r="AE19" s="3721"/>
      <c r="AF19" s="3721"/>
      <c r="AG19" s="3721"/>
      <c r="AH19" s="3721"/>
      <c r="AI19" s="3721"/>
      <c r="AJ19" s="3721"/>
      <c r="AK19" s="3721"/>
      <c r="AL19" s="3721"/>
      <c r="AM19" s="3721"/>
      <c r="AN19" s="3721"/>
      <c r="AO19" s="3719"/>
      <c r="AP19" s="3719"/>
      <c r="AQ19" s="3840"/>
    </row>
    <row r="20" spans="1:43" s="811" customFormat="1" ht="48.75" customHeight="1" x14ac:dyDescent="0.25">
      <c r="A20" s="778"/>
      <c r="B20" s="779"/>
      <c r="C20" s="779"/>
      <c r="D20" s="796"/>
      <c r="E20" s="797"/>
      <c r="F20" s="798"/>
      <c r="G20" s="799"/>
      <c r="H20" s="799"/>
      <c r="I20" s="800"/>
      <c r="J20" s="3817">
        <v>67</v>
      </c>
      <c r="K20" s="3712" t="s">
        <v>598</v>
      </c>
      <c r="L20" s="3712" t="s">
        <v>599</v>
      </c>
      <c r="M20" s="3687">
        <v>1</v>
      </c>
      <c r="N20" s="3722"/>
      <c r="O20" s="3783"/>
      <c r="P20" s="3771"/>
      <c r="Q20" s="3877">
        <f>SUM(V20:V23)/$R$11</f>
        <v>6.9329689319604287E-2</v>
      </c>
      <c r="R20" s="3745"/>
      <c r="S20" s="3812"/>
      <c r="T20" s="3880" t="s">
        <v>600</v>
      </c>
      <c r="U20" s="3880" t="s">
        <v>601</v>
      </c>
      <c r="V20" s="810">
        <f>860000000-241355304</f>
        <v>618644696</v>
      </c>
      <c r="W20" s="802">
        <v>20</v>
      </c>
      <c r="X20" s="807" t="s">
        <v>62</v>
      </c>
      <c r="Y20" s="3804"/>
      <c r="Z20" s="3721"/>
      <c r="AA20" s="3721"/>
      <c r="AB20" s="3721"/>
      <c r="AC20" s="3721"/>
      <c r="AD20" s="3721"/>
      <c r="AE20" s="3721"/>
      <c r="AF20" s="3721"/>
      <c r="AG20" s="3721"/>
      <c r="AH20" s="3721"/>
      <c r="AI20" s="3721"/>
      <c r="AJ20" s="3721"/>
      <c r="AK20" s="3721"/>
      <c r="AL20" s="3721"/>
      <c r="AM20" s="3721"/>
      <c r="AN20" s="3721"/>
      <c r="AO20" s="3719"/>
      <c r="AP20" s="3719"/>
      <c r="AQ20" s="3840"/>
    </row>
    <row r="21" spans="1:43" s="811" customFormat="1" ht="48.75" customHeight="1" x14ac:dyDescent="0.25">
      <c r="A21" s="778"/>
      <c r="B21" s="779"/>
      <c r="C21" s="779"/>
      <c r="D21" s="796"/>
      <c r="E21" s="797"/>
      <c r="F21" s="798"/>
      <c r="G21" s="799"/>
      <c r="H21" s="799"/>
      <c r="I21" s="800"/>
      <c r="J21" s="3818"/>
      <c r="K21" s="3713"/>
      <c r="L21" s="3713"/>
      <c r="M21" s="3722"/>
      <c r="N21" s="3722"/>
      <c r="O21" s="3783"/>
      <c r="P21" s="3771"/>
      <c r="Q21" s="3878"/>
      <c r="R21" s="3745"/>
      <c r="S21" s="3812"/>
      <c r="T21" s="3880"/>
      <c r="U21" s="3880"/>
      <c r="V21" s="810">
        <v>241355304</v>
      </c>
      <c r="W21" s="802">
        <v>91</v>
      </c>
      <c r="X21" s="807" t="s">
        <v>588</v>
      </c>
      <c r="Y21" s="3804"/>
      <c r="Z21" s="3721"/>
      <c r="AA21" s="3721"/>
      <c r="AB21" s="3721"/>
      <c r="AC21" s="3721"/>
      <c r="AD21" s="3721"/>
      <c r="AE21" s="3721"/>
      <c r="AF21" s="3721"/>
      <c r="AG21" s="3721"/>
      <c r="AH21" s="3721"/>
      <c r="AI21" s="3721"/>
      <c r="AJ21" s="3721"/>
      <c r="AK21" s="3721"/>
      <c r="AL21" s="3721"/>
      <c r="AM21" s="3721"/>
      <c r="AN21" s="3721"/>
      <c r="AO21" s="3719"/>
      <c r="AP21" s="3719"/>
      <c r="AQ21" s="3840"/>
    </row>
    <row r="22" spans="1:43" s="811" customFormat="1" ht="41.25" customHeight="1" x14ac:dyDescent="0.25">
      <c r="A22" s="778"/>
      <c r="B22" s="779"/>
      <c r="C22" s="779"/>
      <c r="D22" s="796"/>
      <c r="E22" s="797"/>
      <c r="F22" s="798"/>
      <c r="G22" s="799"/>
      <c r="H22" s="799"/>
      <c r="I22" s="800"/>
      <c r="J22" s="3818"/>
      <c r="K22" s="3713"/>
      <c r="L22" s="3713"/>
      <c r="M22" s="3722"/>
      <c r="N22" s="3722"/>
      <c r="O22" s="3783"/>
      <c r="P22" s="3771"/>
      <c r="Q22" s="3878"/>
      <c r="R22" s="3745"/>
      <c r="S22" s="3812"/>
      <c r="T22" s="3880"/>
      <c r="U22" s="3880"/>
      <c r="V22" s="810">
        <v>200000000</v>
      </c>
      <c r="W22" s="802">
        <v>35</v>
      </c>
      <c r="X22" s="812" t="s">
        <v>586</v>
      </c>
      <c r="Y22" s="3804"/>
      <c r="Z22" s="3721"/>
      <c r="AA22" s="3721"/>
      <c r="AB22" s="3721"/>
      <c r="AC22" s="3721"/>
      <c r="AD22" s="3721"/>
      <c r="AE22" s="3721"/>
      <c r="AF22" s="3721"/>
      <c r="AG22" s="3721"/>
      <c r="AH22" s="3721"/>
      <c r="AI22" s="3721"/>
      <c r="AJ22" s="3721"/>
      <c r="AK22" s="3721"/>
      <c r="AL22" s="3721"/>
      <c r="AM22" s="3721"/>
      <c r="AN22" s="3721"/>
      <c r="AO22" s="3719"/>
      <c r="AP22" s="3719"/>
      <c r="AQ22" s="3840"/>
    </row>
    <row r="23" spans="1:43" s="765" customFormat="1" ht="39.75" customHeight="1" x14ac:dyDescent="0.25">
      <c r="A23" s="778"/>
      <c r="B23" s="779"/>
      <c r="C23" s="779"/>
      <c r="D23" s="796"/>
      <c r="E23" s="797"/>
      <c r="F23" s="798"/>
      <c r="G23" s="799"/>
      <c r="H23" s="799"/>
      <c r="I23" s="800"/>
      <c r="J23" s="3818"/>
      <c r="K23" s="3713"/>
      <c r="L23" s="3713"/>
      <c r="M23" s="3722"/>
      <c r="N23" s="3688"/>
      <c r="O23" s="3783"/>
      <c r="P23" s="3694"/>
      <c r="Q23" s="3879"/>
      <c r="R23" s="3745"/>
      <c r="S23" s="3812"/>
      <c r="T23" s="3880"/>
      <c r="U23" s="3880"/>
      <c r="V23" s="804">
        <f>0+240000000</f>
        <v>240000000</v>
      </c>
      <c r="W23" s="813">
        <v>88</v>
      </c>
      <c r="X23" s="814" t="s">
        <v>589</v>
      </c>
      <c r="Y23" s="3804"/>
      <c r="Z23" s="3721"/>
      <c r="AA23" s="3721"/>
      <c r="AB23" s="3721"/>
      <c r="AC23" s="3721"/>
      <c r="AD23" s="3721"/>
      <c r="AE23" s="3721"/>
      <c r="AF23" s="3721"/>
      <c r="AG23" s="3721"/>
      <c r="AH23" s="3721"/>
      <c r="AI23" s="3721"/>
      <c r="AJ23" s="3721"/>
      <c r="AK23" s="3721"/>
      <c r="AL23" s="3721"/>
      <c r="AM23" s="3721"/>
      <c r="AN23" s="3721"/>
      <c r="AO23" s="3881"/>
      <c r="AP23" s="3881"/>
      <c r="AQ23" s="3840"/>
    </row>
    <row r="24" spans="1:43" s="765" customFormat="1" ht="34.5" customHeight="1" x14ac:dyDescent="0.25">
      <c r="A24" s="815"/>
      <c r="B24" s="816"/>
      <c r="C24" s="816"/>
      <c r="D24" s="815"/>
      <c r="E24" s="816"/>
      <c r="F24" s="817"/>
      <c r="G24" s="818">
        <v>17</v>
      </c>
      <c r="H24" s="819" t="s">
        <v>602</v>
      </c>
      <c r="I24" s="819"/>
      <c r="J24" s="820"/>
      <c r="K24" s="785"/>
      <c r="L24" s="785"/>
      <c r="M24" s="820"/>
      <c r="N24" s="821"/>
      <c r="O24" s="820"/>
      <c r="P24" s="785"/>
      <c r="Q24" s="820"/>
      <c r="R24" s="822"/>
      <c r="S24" s="785"/>
      <c r="T24" s="789"/>
      <c r="U24" s="789"/>
      <c r="V24" s="789"/>
      <c r="W24" s="790"/>
      <c r="X24" s="791"/>
      <c r="Y24" s="820"/>
      <c r="Z24" s="820"/>
      <c r="AA24" s="820"/>
      <c r="AB24" s="820"/>
      <c r="AC24" s="820"/>
      <c r="AD24" s="820"/>
      <c r="AE24" s="820"/>
      <c r="AF24" s="820"/>
      <c r="AG24" s="820"/>
      <c r="AH24" s="820"/>
      <c r="AI24" s="820"/>
      <c r="AJ24" s="820"/>
      <c r="AK24" s="820"/>
      <c r="AL24" s="820"/>
      <c r="AM24" s="820"/>
      <c r="AN24" s="794"/>
      <c r="AO24" s="794"/>
      <c r="AP24" s="794"/>
      <c r="AQ24" s="794"/>
    </row>
    <row r="25" spans="1:43" s="765" customFormat="1" ht="49.5" customHeight="1" x14ac:dyDescent="0.25">
      <c r="A25" s="823"/>
      <c r="B25" s="824"/>
      <c r="C25" s="824"/>
      <c r="D25" s="825"/>
      <c r="E25" s="826"/>
      <c r="F25" s="826"/>
      <c r="G25" s="827"/>
      <c r="H25" s="828"/>
      <c r="I25" s="829"/>
      <c r="J25" s="3703">
        <v>68</v>
      </c>
      <c r="K25" s="3875" t="s">
        <v>603</v>
      </c>
      <c r="L25" s="3693" t="s">
        <v>604</v>
      </c>
      <c r="M25" s="3748">
        <v>4500</v>
      </c>
      <c r="N25" s="3687" t="s">
        <v>605</v>
      </c>
      <c r="O25" s="3685" t="s">
        <v>606</v>
      </c>
      <c r="P25" s="3693" t="s">
        <v>607</v>
      </c>
      <c r="Q25" s="3870">
        <f>(V25+V26)/R25</f>
        <v>1.5602656586198829E-2</v>
      </c>
      <c r="R25" s="3691">
        <f>+V25+V26+V27+V28+V31+V32+V33</f>
        <v>1602291242</v>
      </c>
      <c r="S25" s="3713" t="s">
        <v>608</v>
      </c>
      <c r="T25" s="3873" t="s">
        <v>609</v>
      </c>
      <c r="U25" s="3776" t="s">
        <v>610</v>
      </c>
      <c r="V25" s="830">
        <v>5000000</v>
      </c>
      <c r="W25" s="831">
        <v>20</v>
      </c>
      <c r="X25" s="832" t="s">
        <v>62</v>
      </c>
      <c r="Y25" s="3869"/>
      <c r="Z25" s="3721"/>
      <c r="AA25" s="3721"/>
      <c r="AB25" s="3721"/>
      <c r="AC25" s="3721"/>
      <c r="AD25" s="3721">
        <v>1762</v>
      </c>
      <c r="AE25" s="3703">
        <v>101</v>
      </c>
      <c r="AF25" s="3703">
        <v>277</v>
      </c>
      <c r="AG25" s="3721">
        <v>0</v>
      </c>
      <c r="AH25" s="3721">
        <v>0</v>
      </c>
      <c r="AI25" s="3721">
        <v>0</v>
      </c>
      <c r="AJ25" s="3721">
        <v>0</v>
      </c>
      <c r="AK25" s="3721">
        <v>2907</v>
      </c>
      <c r="AL25" s="3721">
        <v>2589</v>
      </c>
      <c r="AM25" s="3721">
        <v>2954</v>
      </c>
      <c r="AN25" s="3721">
        <v>10590</v>
      </c>
      <c r="AO25" s="3787" t="s">
        <v>611</v>
      </c>
      <c r="AP25" s="3787" t="s">
        <v>612</v>
      </c>
      <c r="AQ25" s="3840" t="s">
        <v>613</v>
      </c>
    </row>
    <row r="26" spans="1:43" s="765" customFormat="1" ht="51" customHeight="1" x14ac:dyDescent="0.25">
      <c r="A26" s="823"/>
      <c r="B26" s="824"/>
      <c r="C26" s="824"/>
      <c r="D26" s="825"/>
      <c r="E26" s="826"/>
      <c r="F26" s="826"/>
      <c r="G26" s="825"/>
      <c r="H26" s="826"/>
      <c r="I26" s="833"/>
      <c r="J26" s="3704"/>
      <c r="K26" s="3876"/>
      <c r="L26" s="3694"/>
      <c r="M26" s="3749"/>
      <c r="N26" s="3722"/>
      <c r="O26" s="3705"/>
      <c r="P26" s="3771"/>
      <c r="Q26" s="3872"/>
      <c r="R26" s="3711"/>
      <c r="S26" s="3713"/>
      <c r="T26" s="3771"/>
      <c r="U26" s="3770"/>
      <c r="V26" s="834">
        <f>0+20000000</f>
        <v>20000000</v>
      </c>
      <c r="W26" s="835">
        <v>88</v>
      </c>
      <c r="X26" s="836" t="s">
        <v>589</v>
      </c>
      <c r="Y26" s="3869"/>
      <c r="Z26" s="3721"/>
      <c r="AA26" s="3721"/>
      <c r="AB26" s="3721"/>
      <c r="AC26" s="3721"/>
      <c r="AD26" s="3721"/>
      <c r="AE26" s="3721"/>
      <c r="AF26" s="3721"/>
      <c r="AG26" s="3721"/>
      <c r="AH26" s="3721"/>
      <c r="AI26" s="3721"/>
      <c r="AJ26" s="3721"/>
      <c r="AK26" s="3721"/>
      <c r="AL26" s="3721"/>
      <c r="AM26" s="3721"/>
      <c r="AN26" s="3721"/>
      <c r="AO26" s="3788"/>
      <c r="AP26" s="3788"/>
      <c r="AQ26" s="3840"/>
    </row>
    <row r="27" spans="1:43" s="765" customFormat="1" ht="75" customHeight="1" x14ac:dyDescent="0.25">
      <c r="A27" s="3853"/>
      <c r="B27" s="3854"/>
      <c r="C27" s="3855"/>
      <c r="D27" s="3862"/>
      <c r="E27" s="3863"/>
      <c r="F27" s="3782"/>
      <c r="G27" s="3729"/>
      <c r="H27" s="3729"/>
      <c r="I27" s="3729"/>
      <c r="J27" s="837">
        <v>69</v>
      </c>
      <c r="K27" s="838" t="s">
        <v>614</v>
      </c>
      <c r="L27" s="839" t="s">
        <v>615</v>
      </c>
      <c r="M27" s="840">
        <v>1</v>
      </c>
      <c r="N27" s="3722"/>
      <c r="O27" s="3705"/>
      <c r="P27" s="3771"/>
      <c r="Q27" s="841">
        <f>+V27/R25</f>
        <v>3.1205313172397654E-3</v>
      </c>
      <c r="R27" s="3711"/>
      <c r="S27" s="3713"/>
      <c r="T27" s="3771"/>
      <c r="U27" s="842" t="s">
        <v>616</v>
      </c>
      <c r="V27" s="843">
        <v>5000000</v>
      </c>
      <c r="W27" s="844">
        <v>20</v>
      </c>
      <c r="X27" s="845" t="s">
        <v>62</v>
      </c>
      <c r="Y27" s="3721"/>
      <c r="Z27" s="3721"/>
      <c r="AA27" s="3721"/>
      <c r="AB27" s="3721"/>
      <c r="AC27" s="3721"/>
      <c r="AD27" s="3721"/>
      <c r="AE27" s="3721"/>
      <c r="AF27" s="3721"/>
      <c r="AG27" s="3721"/>
      <c r="AH27" s="3721"/>
      <c r="AI27" s="3721"/>
      <c r="AJ27" s="3721"/>
      <c r="AK27" s="3721"/>
      <c r="AL27" s="3721"/>
      <c r="AM27" s="3721"/>
      <c r="AN27" s="3721"/>
      <c r="AO27" s="3788"/>
      <c r="AP27" s="3788"/>
      <c r="AQ27" s="3840"/>
    </row>
    <row r="28" spans="1:43" s="765" customFormat="1" ht="58.5" customHeight="1" x14ac:dyDescent="0.25">
      <c r="A28" s="3856"/>
      <c r="B28" s="3857"/>
      <c r="C28" s="3858"/>
      <c r="D28" s="3864"/>
      <c r="E28" s="3865"/>
      <c r="F28" s="3783"/>
      <c r="G28" s="3729"/>
      <c r="H28" s="3729"/>
      <c r="I28" s="3729"/>
      <c r="J28" s="3868">
        <v>70</v>
      </c>
      <c r="K28" s="3712" t="s">
        <v>617</v>
      </c>
      <c r="L28" s="3730" t="s">
        <v>618</v>
      </c>
      <c r="M28" s="3685">
        <v>490</v>
      </c>
      <c r="N28" s="3722"/>
      <c r="O28" s="3705"/>
      <c r="P28" s="3771"/>
      <c r="Q28" s="3870">
        <f>+(V28+V29)/R25</f>
        <v>6.2410626344795309E-3</v>
      </c>
      <c r="R28" s="3711"/>
      <c r="S28" s="3713"/>
      <c r="T28" s="3771"/>
      <c r="U28" s="846" t="s">
        <v>619</v>
      </c>
      <c r="V28" s="843">
        <v>10000000</v>
      </c>
      <c r="W28" s="847">
        <v>20</v>
      </c>
      <c r="X28" s="848" t="s">
        <v>62</v>
      </c>
      <c r="Y28" s="3721"/>
      <c r="Z28" s="3721"/>
      <c r="AA28" s="3721"/>
      <c r="AB28" s="3721"/>
      <c r="AC28" s="3721"/>
      <c r="AD28" s="3721"/>
      <c r="AE28" s="3721"/>
      <c r="AF28" s="3721"/>
      <c r="AG28" s="3721"/>
      <c r="AH28" s="3721"/>
      <c r="AI28" s="3721"/>
      <c r="AJ28" s="3721"/>
      <c r="AK28" s="3721"/>
      <c r="AL28" s="3721"/>
      <c r="AM28" s="3721"/>
      <c r="AN28" s="3721"/>
      <c r="AO28" s="3788"/>
      <c r="AP28" s="3788"/>
      <c r="AQ28" s="3840"/>
    </row>
    <row r="29" spans="1:43" s="765" customFormat="1" ht="89.25" customHeight="1" x14ac:dyDescent="0.25">
      <c r="A29" s="3856"/>
      <c r="B29" s="3857"/>
      <c r="C29" s="3858"/>
      <c r="D29" s="3864"/>
      <c r="E29" s="3865"/>
      <c r="F29" s="3783"/>
      <c r="G29" s="3729"/>
      <c r="H29" s="3729"/>
      <c r="I29" s="3729"/>
      <c r="J29" s="3869"/>
      <c r="K29" s="3713"/>
      <c r="L29" s="3730"/>
      <c r="M29" s="3705"/>
      <c r="N29" s="3722"/>
      <c r="O29" s="3705"/>
      <c r="P29" s="3771"/>
      <c r="Q29" s="3871"/>
      <c r="R29" s="3711"/>
      <c r="S29" s="3713"/>
      <c r="T29" s="3771"/>
      <c r="U29" s="849" t="s">
        <v>620</v>
      </c>
      <c r="V29" s="850"/>
      <c r="W29" s="847"/>
      <c r="X29" s="851"/>
      <c r="Y29" s="3721"/>
      <c r="Z29" s="3721"/>
      <c r="AA29" s="3721"/>
      <c r="AB29" s="3721"/>
      <c r="AC29" s="3721"/>
      <c r="AD29" s="3721"/>
      <c r="AE29" s="3721"/>
      <c r="AF29" s="3721"/>
      <c r="AG29" s="3721"/>
      <c r="AH29" s="3721"/>
      <c r="AI29" s="3721"/>
      <c r="AJ29" s="3721"/>
      <c r="AK29" s="3721"/>
      <c r="AL29" s="3721"/>
      <c r="AM29" s="3721"/>
      <c r="AN29" s="3721"/>
      <c r="AO29" s="3788"/>
      <c r="AP29" s="3788"/>
      <c r="AQ29" s="3840"/>
    </row>
    <row r="30" spans="1:43" s="765" customFormat="1" ht="95.25" customHeight="1" x14ac:dyDescent="0.25">
      <c r="A30" s="3856"/>
      <c r="B30" s="3857"/>
      <c r="C30" s="3858"/>
      <c r="D30" s="3864"/>
      <c r="E30" s="3865"/>
      <c r="F30" s="3783"/>
      <c r="G30" s="3729"/>
      <c r="H30" s="3729"/>
      <c r="I30" s="3729"/>
      <c r="J30" s="837">
        <v>71</v>
      </c>
      <c r="K30" s="838" t="s">
        <v>621</v>
      </c>
      <c r="L30" s="838" t="s">
        <v>622</v>
      </c>
      <c r="M30" s="852">
        <v>2570</v>
      </c>
      <c r="N30" s="3722"/>
      <c r="O30" s="3705"/>
      <c r="P30" s="3771"/>
      <c r="Q30" s="841">
        <f>+V30/R25</f>
        <v>0</v>
      </c>
      <c r="R30" s="3711"/>
      <c r="S30" s="3713"/>
      <c r="T30" s="3771"/>
      <c r="U30" s="846" t="s">
        <v>623</v>
      </c>
      <c r="V30" s="853">
        <v>0</v>
      </c>
      <c r="W30" s="847"/>
      <c r="X30" s="851"/>
      <c r="Y30" s="3721"/>
      <c r="Z30" s="3721"/>
      <c r="AA30" s="3721"/>
      <c r="AB30" s="3721"/>
      <c r="AC30" s="3721"/>
      <c r="AD30" s="3721"/>
      <c r="AE30" s="3721"/>
      <c r="AF30" s="3721"/>
      <c r="AG30" s="3721">
        <v>0</v>
      </c>
      <c r="AH30" s="3721"/>
      <c r="AI30" s="3721"/>
      <c r="AJ30" s="3721"/>
      <c r="AK30" s="3721"/>
      <c r="AL30" s="3721"/>
      <c r="AM30" s="3721"/>
      <c r="AN30" s="3721"/>
      <c r="AO30" s="3788"/>
      <c r="AP30" s="3788"/>
      <c r="AQ30" s="3840"/>
    </row>
    <row r="31" spans="1:43" s="765" customFormat="1" ht="53.25" customHeight="1" x14ac:dyDescent="0.25">
      <c r="A31" s="3856"/>
      <c r="B31" s="3857"/>
      <c r="C31" s="3858"/>
      <c r="D31" s="3864"/>
      <c r="E31" s="3865"/>
      <c r="F31" s="3783"/>
      <c r="G31" s="3729"/>
      <c r="H31" s="3729"/>
      <c r="I31" s="3729"/>
      <c r="J31" s="3703">
        <v>72</v>
      </c>
      <c r="K31" s="3693" t="s">
        <v>624</v>
      </c>
      <c r="L31" s="3693" t="s">
        <v>625</v>
      </c>
      <c r="M31" s="3683">
        <v>455</v>
      </c>
      <c r="N31" s="3722"/>
      <c r="O31" s="3705"/>
      <c r="P31" s="3771"/>
      <c r="Q31" s="3874">
        <f>+(V31+V32)/R25</f>
        <v>3.388350418256858E-2</v>
      </c>
      <c r="R31" s="3711"/>
      <c r="S31" s="3713"/>
      <c r="T31" s="3771"/>
      <c r="U31" s="3769" t="s">
        <v>626</v>
      </c>
      <c r="V31" s="853">
        <v>5000000</v>
      </c>
      <c r="W31" s="847">
        <v>20</v>
      </c>
      <c r="X31" s="848" t="s">
        <v>62</v>
      </c>
      <c r="Y31" s="3721"/>
      <c r="Z31" s="3721"/>
      <c r="AA31" s="3721"/>
      <c r="AB31" s="3721"/>
      <c r="AC31" s="3721"/>
      <c r="AD31" s="3721"/>
      <c r="AE31" s="3721"/>
      <c r="AF31" s="3721"/>
      <c r="AG31" s="3721"/>
      <c r="AH31" s="3721"/>
      <c r="AI31" s="3721"/>
      <c r="AJ31" s="3721"/>
      <c r="AK31" s="3721"/>
      <c r="AL31" s="3721"/>
      <c r="AM31" s="3721"/>
      <c r="AN31" s="3721"/>
      <c r="AO31" s="3788"/>
      <c r="AP31" s="3788"/>
      <c r="AQ31" s="3840"/>
    </row>
    <row r="32" spans="1:43" s="765" customFormat="1" ht="69.75" customHeight="1" x14ac:dyDescent="0.25">
      <c r="A32" s="3856"/>
      <c r="B32" s="3857"/>
      <c r="C32" s="3858"/>
      <c r="D32" s="3864"/>
      <c r="E32" s="3865"/>
      <c r="F32" s="3783"/>
      <c r="G32" s="3729"/>
      <c r="H32" s="3729"/>
      <c r="I32" s="3729"/>
      <c r="J32" s="3704"/>
      <c r="K32" s="3694"/>
      <c r="L32" s="3694"/>
      <c r="M32" s="3684"/>
      <c r="N32" s="3722"/>
      <c r="O32" s="3705"/>
      <c r="P32" s="3771"/>
      <c r="Q32" s="3874"/>
      <c r="R32" s="3711"/>
      <c r="S32" s="854"/>
      <c r="T32" s="3771"/>
      <c r="U32" s="3770"/>
      <c r="V32" s="853">
        <v>49291242</v>
      </c>
      <c r="W32" s="847">
        <v>25</v>
      </c>
      <c r="X32" s="855" t="s">
        <v>627</v>
      </c>
      <c r="Y32" s="856"/>
      <c r="Z32" s="856"/>
      <c r="AA32" s="856"/>
      <c r="AB32" s="856"/>
      <c r="AC32" s="856"/>
      <c r="AD32" s="856"/>
      <c r="AE32" s="856"/>
      <c r="AF32" s="857"/>
      <c r="AG32" s="856"/>
      <c r="AH32" s="856"/>
      <c r="AI32" s="856"/>
      <c r="AJ32" s="856"/>
      <c r="AK32" s="856"/>
      <c r="AL32" s="856"/>
      <c r="AM32" s="856"/>
      <c r="AN32" s="856"/>
      <c r="AO32" s="858"/>
      <c r="AP32" s="858"/>
      <c r="AQ32" s="859"/>
    </row>
    <row r="33" spans="1:44" s="765" customFormat="1" ht="124.5" customHeight="1" x14ac:dyDescent="0.25">
      <c r="A33" s="3856"/>
      <c r="B33" s="3857"/>
      <c r="C33" s="3858"/>
      <c r="D33" s="3864"/>
      <c r="E33" s="3865"/>
      <c r="F33" s="3783"/>
      <c r="G33" s="3729"/>
      <c r="H33" s="3729"/>
      <c r="I33" s="3729"/>
      <c r="J33" s="860">
        <v>73</v>
      </c>
      <c r="K33" s="861" t="s">
        <v>628</v>
      </c>
      <c r="L33" s="861" t="s">
        <v>629</v>
      </c>
      <c r="M33" s="844">
        <v>1</v>
      </c>
      <c r="N33" s="3688"/>
      <c r="O33" s="3686"/>
      <c r="P33" s="3694"/>
      <c r="Q33" s="862">
        <f>+V33/R25</f>
        <v>0.94115224527951324</v>
      </c>
      <c r="R33" s="3692"/>
      <c r="S33" s="854"/>
      <c r="T33" s="3694"/>
      <c r="U33" s="863" t="s">
        <v>630</v>
      </c>
      <c r="V33" s="853">
        <v>1508000000</v>
      </c>
      <c r="W33" s="847">
        <v>25</v>
      </c>
      <c r="X33" s="855" t="s">
        <v>627</v>
      </c>
      <c r="Y33" s="856"/>
      <c r="Z33" s="856"/>
      <c r="AA33" s="856"/>
      <c r="AB33" s="856"/>
      <c r="AC33" s="856"/>
      <c r="AD33" s="856"/>
      <c r="AE33" s="856"/>
      <c r="AF33" s="857"/>
      <c r="AG33" s="856"/>
      <c r="AH33" s="856"/>
      <c r="AI33" s="856"/>
      <c r="AJ33" s="856"/>
      <c r="AK33" s="856"/>
      <c r="AL33" s="856"/>
      <c r="AM33" s="856"/>
      <c r="AN33" s="856"/>
      <c r="AO33" s="864">
        <v>43497</v>
      </c>
      <c r="AP33" s="864">
        <v>43646</v>
      </c>
      <c r="AQ33" s="865" t="s">
        <v>631</v>
      </c>
    </row>
    <row r="34" spans="1:44" s="765" customFormat="1" ht="63.75" customHeight="1" x14ac:dyDescent="0.25">
      <c r="A34" s="3856"/>
      <c r="B34" s="3857"/>
      <c r="C34" s="3858"/>
      <c r="D34" s="3864"/>
      <c r="E34" s="3865"/>
      <c r="F34" s="3783"/>
      <c r="G34" s="3729"/>
      <c r="H34" s="3729"/>
      <c r="I34" s="3729"/>
      <c r="J34" s="3741">
        <v>74</v>
      </c>
      <c r="K34" s="3710" t="s">
        <v>632</v>
      </c>
      <c r="L34" s="3729" t="s">
        <v>633</v>
      </c>
      <c r="M34" s="3790">
        <v>2232</v>
      </c>
      <c r="N34" s="3687" t="s">
        <v>634</v>
      </c>
      <c r="O34" s="3791" t="s">
        <v>635</v>
      </c>
      <c r="P34" s="3710" t="s">
        <v>636</v>
      </c>
      <c r="Q34" s="3849">
        <v>1</v>
      </c>
      <c r="R34" s="3850">
        <f>+V34+V35+V36+V37+V38+V39+V40+V41</f>
        <v>148852142900.28998</v>
      </c>
      <c r="S34" s="3710" t="s">
        <v>637</v>
      </c>
      <c r="T34" s="3710" t="s">
        <v>638</v>
      </c>
      <c r="U34" s="3769" t="s">
        <v>639</v>
      </c>
      <c r="V34" s="866">
        <v>15381000000</v>
      </c>
      <c r="W34" s="867">
        <v>25</v>
      </c>
      <c r="X34" s="855" t="s">
        <v>627</v>
      </c>
      <c r="Y34" s="3791">
        <v>20555</v>
      </c>
      <c r="Z34" s="3791">
        <v>21361</v>
      </c>
      <c r="AA34" s="3790">
        <v>30460</v>
      </c>
      <c r="AB34" s="3683">
        <v>9593</v>
      </c>
      <c r="AC34" s="3683">
        <v>1762</v>
      </c>
      <c r="AD34" s="3683">
        <v>101</v>
      </c>
      <c r="AE34" s="3683">
        <v>308</v>
      </c>
      <c r="AF34" s="3846">
        <v>277</v>
      </c>
      <c r="AG34" s="3683">
        <v>0</v>
      </c>
      <c r="AH34" s="3683">
        <v>0</v>
      </c>
      <c r="AI34" s="3683">
        <v>0</v>
      </c>
      <c r="AJ34" s="3683">
        <v>0</v>
      </c>
      <c r="AK34" s="3677">
        <v>2907</v>
      </c>
      <c r="AL34" s="3677">
        <v>2589</v>
      </c>
      <c r="AM34" s="3677">
        <v>2954</v>
      </c>
      <c r="AN34" s="3679">
        <v>41916</v>
      </c>
      <c r="AO34" s="3707">
        <v>43466</v>
      </c>
      <c r="AP34" s="3707">
        <v>43830</v>
      </c>
      <c r="AQ34" s="3671" t="s">
        <v>613</v>
      </c>
    </row>
    <row r="35" spans="1:44" s="765" customFormat="1" ht="48.75" customHeight="1" x14ac:dyDescent="0.25">
      <c r="A35" s="3856"/>
      <c r="B35" s="3857"/>
      <c r="C35" s="3858"/>
      <c r="D35" s="3864"/>
      <c r="E35" s="3865"/>
      <c r="F35" s="3783"/>
      <c r="G35" s="3729"/>
      <c r="H35" s="3729"/>
      <c r="I35" s="3729"/>
      <c r="J35" s="3741"/>
      <c r="K35" s="3710"/>
      <c r="L35" s="3729"/>
      <c r="M35" s="3790"/>
      <c r="N35" s="3851"/>
      <c r="O35" s="3791"/>
      <c r="P35" s="3710"/>
      <c r="Q35" s="3849"/>
      <c r="R35" s="3850"/>
      <c r="S35" s="3710"/>
      <c r="T35" s="3710"/>
      <c r="U35" s="3776"/>
      <c r="V35" s="810">
        <v>91137968000</v>
      </c>
      <c r="W35" s="868">
        <v>25</v>
      </c>
      <c r="X35" s="869" t="s">
        <v>627</v>
      </c>
      <c r="Y35" s="3791"/>
      <c r="Z35" s="3791"/>
      <c r="AA35" s="3790"/>
      <c r="AB35" s="3792"/>
      <c r="AC35" s="3792"/>
      <c r="AD35" s="3792"/>
      <c r="AE35" s="3792"/>
      <c r="AF35" s="3847"/>
      <c r="AG35" s="3792"/>
      <c r="AH35" s="3792"/>
      <c r="AI35" s="3792"/>
      <c r="AJ35" s="3792"/>
      <c r="AK35" s="3808"/>
      <c r="AL35" s="3808"/>
      <c r="AM35" s="3808"/>
      <c r="AN35" s="3809"/>
      <c r="AO35" s="3708"/>
      <c r="AP35" s="3708"/>
      <c r="AQ35" s="3696"/>
    </row>
    <row r="36" spans="1:44" s="765" customFormat="1" ht="37.5" customHeight="1" x14ac:dyDescent="0.25">
      <c r="A36" s="3856"/>
      <c r="B36" s="3857"/>
      <c r="C36" s="3858"/>
      <c r="D36" s="3864"/>
      <c r="E36" s="3865"/>
      <c r="F36" s="3783"/>
      <c r="G36" s="3729"/>
      <c r="H36" s="3729"/>
      <c r="I36" s="3729"/>
      <c r="J36" s="3741"/>
      <c r="K36" s="3710"/>
      <c r="L36" s="3729"/>
      <c r="M36" s="3790"/>
      <c r="N36" s="3851"/>
      <c r="O36" s="3791"/>
      <c r="P36" s="3710"/>
      <c r="Q36" s="3849"/>
      <c r="R36" s="3850"/>
      <c r="S36" s="3710"/>
      <c r="T36" s="3710"/>
      <c r="U36" s="3776"/>
      <c r="V36" s="810">
        <v>917000000</v>
      </c>
      <c r="W36" s="868">
        <v>146</v>
      </c>
      <c r="X36" s="869" t="s">
        <v>640</v>
      </c>
      <c r="Y36" s="3791"/>
      <c r="Z36" s="3791"/>
      <c r="AA36" s="3790"/>
      <c r="AB36" s="3792"/>
      <c r="AC36" s="3792"/>
      <c r="AD36" s="3792"/>
      <c r="AE36" s="3792"/>
      <c r="AF36" s="3847"/>
      <c r="AG36" s="3792"/>
      <c r="AH36" s="3792"/>
      <c r="AI36" s="3792"/>
      <c r="AJ36" s="3792"/>
      <c r="AK36" s="3808"/>
      <c r="AL36" s="3808"/>
      <c r="AM36" s="3808"/>
      <c r="AN36" s="3809"/>
      <c r="AO36" s="3708"/>
      <c r="AP36" s="3708"/>
      <c r="AQ36" s="3696"/>
    </row>
    <row r="37" spans="1:44" s="765" customFormat="1" ht="42" customHeight="1" x14ac:dyDescent="0.25">
      <c r="A37" s="3856"/>
      <c r="B37" s="3857"/>
      <c r="C37" s="3858"/>
      <c r="D37" s="3864"/>
      <c r="E37" s="3865"/>
      <c r="F37" s="3783"/>
      <c r="G37" s="3729"/>
      <c r="H37" s="3729"/>
      <c r="I37" s="3729"/>
      <c r="J37" s="3741"/>
      <c r="K37" s="3710"/>
      <c r="L37" s="3729"/>
      <c r="M37" s="3790"/>
      <c r="N37" s="3851"/>
      <c r="O37" s="3791"/>
      <c r="P37" s="3710"/>
      <c r="Q37" s="3849"/>
      <c r="R37" s="3850"/>
      <c r="S37" s="3710"/>
      <c r="T37" s="3710"/>
      <c r="U37" s="3776"/>
      <c r="V37" s="810">
        <v>18658000000</v>
      </c>
      <c r="W37" s="868">
        <v>26</v>
      </c>
      <c r="X37" s="855" t="s">
        <v>640</v>
      </c>
      <c r="Y37" s="3791"/>
      <c r="Z37" s="3791"/>
      <c r="AA37" s="3790"/>
      <c r="AB37" s="3792"/>
      <c r="AC37" s="3792"/>
      <c r="AD37" s="3792"/>
      <c r="AE37" s="3792"/>
      <c r="AF37" s="3847"/>
      <c r="AG37" s="3792"/>
      <c r="AH37" s="3792"/>
      <c r="AI37" s="3792"/>
      <c r="AJ37" s="3792"/>
      <c r="AK37" s="3808"/>
      <c r="AL37" s="3808"/>
      <c r="AM37" s="3808"/>
      <c r="AN37" s="3809"/>
      <c r="AO37" s="3708"/>
      <c r="AP37" s="3708"/>
      <c r="AQ37" s="3696"/>
    </row>
    <row r="38" spans="1:44" s="765" customFormat="1" ht="45" customHeight="1" x14ac:dyDescent="0.25">
      <c r="A38" s="3856"/>
      <c r="B38" s="3857"/>
      <c r="C38" s="3858"/>
      <c r="D38" s="3864"/>
      <c r="E38" s="3865"/>
      <c r="F38" s="3783"/>
      <c r="G38" s="3729"/>
      <c r="H38" s="3729"/>
      <c r="I38" s="3729"/>
      <c r="J38" s="3741"/>
      <c r="K38" s="3710"/>
      <c r="L38" s="3729"/>
      <c r="M38" s="3790"/>
      <c r="N38" s="3851"/>
      <c r="O38" s="3791"/>
      <c r="P38" s="3710"/>
      <c r="Q38" s="3849"/>
      <c r="R38" s="3850"/>
      <c r="S38" s="3710"/>
      <c r="T38" s="3710"/>
      <c r="U38" s="3776"/>
      <c r="V38" s="809">
        <v>742459176.28999996</v>
      </c>
      <c r="W38" s="868">
        <v>9</v>
      </c>
      <c r="X38" s="855" t="s">
        <v>641</v>
      </c>
      <c r="Y38" s="3791"/>
      <c r="Z38" s="3791"/>
      <c r="AA38" s="3790"/>
      <c r="AB38" s="3792"/>
      <c r="AC38" s="3792"/>
      <c r="AD38" s="3792"/>
      <c r="AE38" s="3792"/>
      <c r="AF38" s="3847"/>
      <c r="AG38" s="3792"/>
      <c r="AH38" s="3792"/>
      <c r="AI38" s="3792"/>
      <c r="AJ38" s="3792"/>
      <c r="AK38" s="3808"/>
      <c r="AL38" s="3808"/>
      <c r="AM38" s="3808"/>
      <c r="AN38" s="3809"/>
      <c r="AO38" s="3708"/>
      <c r="AP38" s="3708"/>
      <c r="AQ38" s="3696"/>
    </row>
    <row r="39" spans="1:44" s="765" customFormat="1" ht="37.5" customHeight="1" x14ac:dyDescent="0.25">
      <c r="A39" s="3856"/>
      <c r="B39" s="3857"/>
      <c r="C39" s="3858"/>
      <c r="D39" s="3864"/>
      <c r="E39" s="3865"/>
      <c r="F39" s="3783"/>
      <c r="G39" s="3729"/>
      <c r="H39" s="3729"/>
      <c r="I39" s="3729"/>
      <c r="J39" s="3741"/>
      <c r="K39" s="3710"/>
      <c r="L39" s="3729"/>
      <c r="M39" s="3790"/>
      <c r="N39" s="3851"/>
      <c r="O39" s="3791"/>
      <c r="P39" s="3710"/>
      <c r="Q39" s="3849"/>
      <c r="R39" s="3850"/>
      <c r="S39" s="3710"/>
      <c r="T39" s="3710"/>
      <c r="U39" s="3776"/>
      <c r="V39" s="870">
        <v>13892032000</v>
      </c>
      <c r="W39" s="868">
        <v>25</v>
      </c>
      <c r="X39" s="855" t="s">
        <v>627</v>
      </c>
      <c r="Y39" s="3791"/>
      <c r="Z39" s="3791"/>
      <c r="AA39" s="3790"/>
      <c r="AB39" s="3792"/>
      <c r="AC39" s="3792"/>
      <c r="AD39" s="3792"/>
      <c r="AE39" s="3792"/>
      <c r="AF39" s="3847"/>
      <c r="AG39" s="3792"/>
      <c r="AH39" s="3792"/>
      <c r="AI39" s="3792"/>
      <c r="AJ39" s="3792"/>
      <c r="AK39" s="3808"/>
      <c r="AL39" s="3808"/>
      <c r="AM39" s="3808"/>
      <c r="AN39" s="3809"/>
      <c r="AO39" s="3708"/>
      <c r="AP39" s="3708"/>
      <c r="AQ39" s="3696"/>
    </row>
    <row r="40" spans="1:44" s="765" customFormat="1" ht="37.5" customHeight="1" x14ac:dyDescent="0.25">
      <c r="A40" s="3856"/>
      <c r="B40" s="3857"/>
      <c r="C40" s="3858"/>
      <c r="D40" s="3864"/>
      <c r="E40" s="3865"/>
      <c r="F40" s="3783"/>
      <c r="G40" s="3729"/>
      <c r="H40" s="3729"/>
      <c r="I40" s="3729"/>
      <c r="J40" s="3741"/>
      <c r="K40" s="3710"/>
      <c r="L40" s="3729"/>
      <c r="M40" s="3790"/>
      <c r="N40" s="3851"/>
      <c r="O40" s="3791"/>
      <c r="P40" s="3710"/>
      <c r="Q40" s="3849"/>
      <c r="R40" s="3850"/>
      <c r="S40" s="3710"/>
      <c r="T40" s="3710"/>
      <c r="U40" s="3776"/>
      <c r="V40" s="871">
        <v>3503000000</v>
      </c>
      <c r="W40" s="867">
        <v>26</v>
      </c>
      <c r="X40" s="872" t="s">
        <v>640</v>
      </c>
      <c r="Y40" s="3791"/>
      <c r="Z40" s="3791"/>
      <c r="AA40" s="3790"/>
      <c r="AB40" s="3792"/>
      <c r="AC40" s="3792"/>
      <c r="AD40" s="3792"/>
      <c r="AE40" s="3792"/>
      <c r="AF40" s="3847"/>
      <c r="AG40" s="3792"/>
      <c r="AH40" s="3792"/>
      <c r="AI40" s="3792"/>
      <c r="AJ40" s="3792"/>
      <c r="AK40" s="3808"/>
      <c r="AL40" s="3808"/>
      <c r="AM40" s="3808"/>
      <c r="AN40" s="3809"/>
      <c r="AO40" s="3708"/>
      <c r="AP40" s="3708"/>
      <c r="AQ40" s="3696"/>
    </row>
    <row r="41" spans="1:44" s="765" customFormat="1" ht="38.25" customHeight="1" x14ac:dyDescent="0.25">
      <c r="A41" s="3859"/>
      <c r="B41" s="3860"/>
      <c r="C41" s="3861"/>
      <c r="D41" s="3866"/>
      <c r="E41" s="3867"/>
      <c r="F41" s="3784"/>
      <c r="G41" s="3729"/>
      <c r="H41" s="3729"/>
      <c r="I41" s="3729"/>
      <c r="J41" s="3741"/>
      <c r="K41" s="3710"/>
      <c r="L41" s="3729"/>
      <c r="M41" s="3790"/>
      <c r="N41" s="3852"/>
      <c r="O41" s="3791"/>
      <c r="P41" s="3710"/>
      <c r="Q41" s="3849"/>
      <c r="R41" s="3850"/>
      <c r="S41" s="3710"/>
      <c r="T41" s="3710"/>
      <c r="U41" s="3770"/>
      <c r="V41" s="871">
        <v>4620683724</v>
      </c>
      <c r="W41" s="873">
        <v>88</v>
      </c>
      <c r="X41" s="872" t="s">
        <v>172</v>
      </c>
      <c r="Y41" s="3791"/>
      <c r="Z41" s="3791"/>
      <c r="AA41" s="3790"/>
      <c r="AB41" s="3684"/>
      <c r="AC41" s="3684"/>
      <c r="AD41" s="3684"/>
      <c r="AE41" s="3684"/>
      <c r="AF41" s="3848"/>
      <c r="AG41" s="3684"/>
      <c r="AH41" s="3684"/>
      <c r="AI41" s="3684"/>
      <c r="AJ41" s="3684"/>
      <c r="AK41" s="3678"/>
      <c r="AL41" s="3678"/>
      <c r="AM41" s="3678"/>
      <c r="AN41" s="3680"/>
      <c r="AO41" s="3709"/>
      <c r="AP41" s="3709"/>
      <c r="AQ41" s="3672"/>
    </row>
    <row r="42" spans="1:44" s="765" customFormat="1" ht="34.5" customHeight="1" x14ac:dyDescent="0.25">
      <c r="A42" s="815"/>
      <c r="B42" s="816"/>
      <c r="C42" s="817"/>
      <c r="D42" s="874">
        <v>6</v>
      </c>
      <c r="E42" s="875" t="s">
        <v>642</v>
      </c>
      <c r="F42" s="875"/>
      <c r="G42" s="875"/>
      <c r="H42" s="875"/>
      <c r="I42" s="875"/>
      <c r="J42" s="875"/>
      <c r="K42" s="876"/>
      <c r="L42" s="771"/>
      <c r="M42" s="877"/>
      <c r="N42" s="772"/>
      <c r="O42" s="772"/>
      <c r="P42" s="771"/>
      <c r="Q42" s="878"/>
      <c r="R42" s="879"/>
      <c r="S42" s="771"/>
      <c r="T42" s="771"/>
      <c r="U42" s="771"/>
      <c r="V42" s="771"/>
      <c r="W42" s="880"/>
      <c r="X42" s="875"/>
      <c r="Y42" s="772"/>
      <c r="Z42" s="772"/>
      <c r="AA42" s="877"/>
      <c r="AB42" s="877"/>
      <c r="AC42" s="877"/>
      <c r="AD42" s="877"/>
      <c r="AE42" s="877"/>
      <c r="AF42" s="877"/>
      <c r="AG42" s="877"/>
      <c r="AH42" s="881"/>
      <c r="AI42" s="881"/>
      <c r="AJ42" s="776"/>
      <c r="AK42" s="776"/>
      <c r="AL42" s="776"/>
      <c r="AM42" s="776"/>
      <c r="AN42" s="776"/>
      <c r="AO42" s="776"/>
      <c r="AP42" s="776"/>
      <c r="AQ42" s="776"/>
      <c r="AR42" s="882"/>
    </row>
    <row r="43" spans="1:44" s="765" customFormat="1" ht="34.5" customHeight="1" x14ac:dyDescent="0.25">
      <c r="A43" s="815"/>
      <c r="B43" s="883"/>
      <c r="C43" s="883"/>
      <c r="D43" s="884"/>
      <c r="E43" s="885"/>
      <c r="F43" s="886"/>
      <c r="G43" s="887">
        <v>19</v>
      </c>
      <c r="H43" s="784" t="s">
        <v>643</v>
      </c>
      <c r="I43" s="784"/>
      <c r="J43" s="784"/>
      <c r="K43" s="785"/>
      <c r="L43" s="785"/>
      <c r="M43" s="820"/>
      <c r="N43" s="888"/>
      <c r="O43" s="820"/>
      <c r="P43" s="785"/>
      <c r="Q43" s="820"/>
      <c r="R43" s="822"/>
      <c r="S43" s="785"/>
      <c r="T43" s="785"/>
      <c r="U43" s="785"/>
      <c r="V43" s="785"/>
      <c r="W43" s="888"/>
      <c r="X43" s="784"/>
      <c r="Y43" s="820"/>
      <c r="Z43" s="820"/>
      <c r="AA43" s="820"/>
      <c r="AB43" s="820"/>
      <c r="AC43" s="820"/>
      <c r="AD43" s="820"/>
      <c r="AE43" s="820"/>
      <c r="AF43" s="820"/>
      <c r="AG43" s="820"/>
      <c r="AH43" s="820"/>
      <c r="AI43" s="820"/>
      <c r="AJ43" s="794"/>
      <c r="AK43" s="794"/>
      <c r="AL43" s="794"/>
      <c r="AM43" s="794"/>
      <c r="AN43" s="794"/>
      <c r="AO43" s="794"/>
      <c r="AP43" s="794"/>
      <c r="AQ43" s="794"/>
      <c r="AR43" s="882"/>
    </row>
    <row r="44" spans="1:44" s="765" customFormat="1" ht="120.75" customHeight="1" x14ac:dyDescent="0.25">
      <c r="A44" s="889"/>
      <c r="B44" s="890"/>
      <c r="C44" s="890"/>
      <c r="D44" s="891"/>
      <c r="E44" s="883"/>
      <c r="F44" s="892"/>
      <c r="G44" s="890"/>
      <c r="H44" s="890"/>
      <c r="I44" s="890"/>
      <c r="J44" s="860">
        <v>75</v>
      </c>
      <c r="K44" s="839" t="s">
        <v>644</v>
      </c>
      <c r="L44" s="839" t="s">
        <v>645</v>
      </c>
      <c r="M44" s="893">
        <v>36</v>
      </c>
      <c r="N44" s="894"/>
      <c r="O44" s="3722" t="s">
        <v>646</v>
      </c>
      <c r="P44" s="3713" t="s">
        <v>647</v>
      </c>
      <c r="Q44" s="895">
        <v>0</v>
      </c>
      <c r="R44" s="3711">
        <f>SUM(V44:V52)</f>
        <v>28355000</v>
      </c>
      <c r="S44" s="3713" t="s">
        <v>648</v>
      </c>
      <c r="T44" s="839" t="s">
        <v>649</v>
      </c>
      <c r="U44" s="896" t="s">
        <v>650</v>
      </c>
      <c r="V44" s="897"/>
      <c r="W44" s="898"/>
      <c r="X44" s="899"/>
      <c r="Y44" s="3705">
        <v>20555</v>
      </c>
      <c r="Z44" s="3705">
        <v>21361</v>
      </c>
      <c r="AA44" s="3705">
        <v>30460</v>
      </c>
      <c r="AB44" s="3705">
        <v>9593</v>
      </c>
      <c r="AC44" s="3705">
        <v>1762</v>
      </c>
      <c r="AD44" s="3705">
        <v>101</v>
      </c>
      <c r="AE44" s="3705">
        <v>308</v>
      </c>
      <c r="AF44" s="3705">
        <v>277</v>
      </c>
      <c r="AG44" s="3705">
        <v>0</v>
      </c>
      <c r="AH44" s="3705">
        <v>0</v>
      </c>
      <c r="AI44" s="3705">
        <v>0</v>
      </c>
      <c r="AJ44" s="3705">
        <v>0</v>
      </c>
      <c r="AK44" s="3705">
        <v>2907</v>
      </c>
      <c r="AL44" s="3705">
        <v>2589</v>
      </c>
      <c r="AM44" s="3705">
        <v>2954</v>
      </c>
      <c r="AN44" s="3705">
        <v>41916</v>
      </c>
      <c r="AO44" s="3787">
        <v>43497</v>
      </c>
      <c r="AP44" s="3787">
        <v>43631</v>
      </c>
      <c r="AQ44" s="3840" t="s">
        <v>587</v>
      </c>
      <c r="AR44" s="882"/>
    </row>
    <row r="45" spans="1:44" s="765" customFormat="1" ht="63" customHeight="1" x14ac:dyDescent="0.25">
      <c r="A45" s="889"/>
      <c r="B45" s="890"/>
      <c r="C45" s="890"/>
      <c r="D45" s="891"/>
      <c r="E45" s="883"/>
      <c r="F45" s="892"/>
      <c r="G45" s="890"/>
      <c r="H45" s="890"/>
      <c r="I45" s="890"/>
      <c r="J45" s="3703">
        <v>76</v>
      </c>
      <c r="K45" s="3687" t="s">
        <v>651</v>
      </c>
      <c r="L45" s="3841" t="s">
        <v>652</v>
      </c>
      <c r="M45" s="3748">
        <v>1200</v>
      </c>
      <c r="N45" s="894"/>
      <c r="O45" s="3722"/>
      <c r="P45" s="3812"/>
      <c r="Q45" s="3810">
        <f>+(V45+V46)/R44</f>
        <v>1</v>
      </c>
      <c r="R45" s="3811"/>
      <c r="S45" s="3713"/>
      <c r="T45" s="3843" t="s">
        <v>653</v>
      </c>
      <c r="U45" s="3845" t="s">
        <v>654</v>
      </c>
      <c r="V45" s="900">
        <v>10000000</v>
      </c>
      <c r="W45" s="901">
        <v>20</v>
      </c>
      <c r="X45" s="902" t="s">
        <v>499</v>
      </c>
      <c r="Y45" s="3738"/>
      <c r="Z45" s="3705"/>
      <c r="AA45" s="3705"/>
      <c r="AB45" s="3705"/>
      <c r="AC45" s="3705"/>
      <c r="AD45" s="3705"/>
      <c r="AE45" s="3705"/>
      <c r="AF45" s="3705"/>
      <c r="AG45" s="3705"/>
      <c r="AH45" s="3705"/>
      <c r="AI45" s="3705"/>
      <c r="AJ45" s="3705"/>
      <c r="AK45" s="3705"/>
      <c r="AL45" s="3705"/>
      <c r="AM45" s="3705"/>
      <c r="AN45" s="3705"/>
      <c r="AO45" s="3788"/>
      <c r="AP45" s="3788"/>
      <c r="AQ45" s="3840"/>
      <c r="AR45" s="882"/>
    </row>
    <row r="46" spans="1:44" s="765" customFormat="1" ht="61.5" customHeight="1" x14ac:dyDescent="0.25">
      <c r="A46" s="825"/>
      <c r="B46" s="826"/>
      <c r="C46" s="826"/>
      <c r="D46" s="891"/>
      <c r="E46" s="883"/>
      <c r="F46" s="892"/>
      <c r="G46" s="890"/>
      <c r="H46" s="890"/>
      <c r="I46" s="890"/>
      <c r="J46" s="3704"/>
      <c r="K46" s="3688"/>
      <c r="L46" s="3842"/>
      <c r="M46" s="3749"/>
      <c r="N46" s="3722" t="s">
        <v>655</v>
      </c>
      <c r="O46" s="3722"/>
      <c r="P46" s="3812"/>
      <c r="Q46" s="3810"/>
      <c r="R46" s="3811"/>
      <c r="S46" s="3713"/>
      <c r="T46" s="3844"/>
      <c r="U46" s="3845"/>
      <c r="V46" s="903">
        <f>0+18355000</f>
        <v>18355000</v>
      </c>
      <c r="W46" s="813">
        <v>88</v>
      </c>
      <c r="X46" s="814" t="s">
        <v>589</v>
      </c>
      <c r="Y46" s="3738"/>
      <c r="Z46" s="3705"/>
      <c r="AA46" s="3705"/>
      <c r="AB46" s="3705"/>
      <c r="AC46" s="3705"/>
      <c r="AD46" s="3705"/>
      <c r="AE46" s="3705"/>
      <c r="AF46" s="3705"/>
      <c r="AG46" s="3705"/>
      <c r="AH46" s="3705"/>
      <c r="AI46" s="3705"/>
      <c r="AJ46" s="3705"/>
      <c r="AK46" s="3705"/>
      <c r="AL46" s="3705"/>
      <c r="AM46" s="3705"/>
      <c r="AN46" s="3705"/>
      <c r="AO46" s="3788"/>
      <c r="AP46" s="3788"/>
      <c r="AQ46" s="3840"/>
      <c r="AR46" s="882"/>
    </row>
    <row r="47" spans="1:44" s="765" customFormat="1" ht="67.5" customHeight="1" x14ac:dyDescent="0.25">
      <c r="A47" s="825"/>
      <c r="B47" s="826"/>
      <c r="C47" s="826"/>
      <c r="D47" s="891"/>
      <c r="E47" s="883"/>
      <c r="F47" s="892"/>
      <c r="G47" s="890"/>
      <c r="H47" s="890"/>
      <c r="I47" s="890"/>
      <c r="J47" s="904">
        <v>77</v>
      </c>
      <c r="K47" s="838" t="s">
        <v>656</v>
      </c>
      <c r="L47" s="838" t="s">
        <v>657</v>
      </c>
      <c r="M47" s="840">
        <v>80</v>
      </c>
      <c r="N47" s="3722"/>
      <c r="O47" s="3722"/>
      <c r="P47" s="3713"/>
      <c r="Q47" s="905">
        <v>0</v>
      </c>
      <c r="R47" s="3711"/>
      <c r="S47" s="3713"/>
      <c r="T47" s="838" t="s">
        <v>658</v>
      </c>
      <c r="U47" s="842" t="s">
        <v>659</v>
      </c>
      <c r="V47" s="906"/>
      <c r="W47" s="907"/>
      <c r="X47" s="861"/>
      <c r="Y47" s="3705"/>
      <c r="Z47" s="3705"/>
      <c r="AA47" s="3705"/>
      <c r="AB47" s="3705"/>
      <c r="AC47" s="3705"/>
      <c r="AD47" s="3705"/>
      <c r="AE47" s="3705"/>
      <c r="AF47" s="3705"/>
      <c r="AG47" s="3705"/>
      <c r="AH47" s="3705"/>
      <c r="AI47" s="3705"/>
      <c r="AJ47" s="3705"/>
      <c r="AK47" s="3705"/>
      <c r="AL47" s="3705"/>
      <c r="AM47" s="3705"/>
      <c r="AN47" s="3705"/>
      <c r="AO47" s="3788"/>
      <c r="AP47" s="3788"/>
      <c r="AQ47" s="3840"/>
      <c r="AR47" s="882"/>
    </row>
    <row r="48" spans="1:44" s="765" customFormat="1" ht="106.5" customHeight="1" x14ac:dyDescent="0.25">
      <c r="A48" s="825"/>
      <c r="B48" s="826"/>
      <c r="C48" s="826"/>
      <c r="D48" s="891"/>
      <c r="E48" s="883"/>
      <c r="F48" s="892"/>
      <c r="G48" s="890"/>
      <c r="H48" s="890"/>
      <c r="I48" s="890"/>
      <c r="J48" s="904">
        <v>78</v>
      </c>
      <c r="K48" s="838" t="s">
        <v>660</v>
      </c>
      <c r="L48" s="838" t="s">
        <v>661</v>
      </c>
      <c r="M48" s="840">
        <v>15</v>
      </c>
      <c r="N48" s="3722"/>
      <c r="O48" s="3722"/>
      <c r="P48" s="3713"/>
      <c r="Q48" s="908">
        <v>0</v>
      </c>
      <c r="R48" s="3711"/>
      <c r="S48" s="3713"/>
      <c r="T48" s="838" t="s">
        <v>662</v>
      </c>
      <c r="U48" s="846" t="s">
        <v>663</v>
      </c>
      <c r="V48" s="909"/>
      <c r="W48" s="910"/>
      <c r="X48" s="911"/>
      <c r="Y48" s="3705"/>
      <c r="Z48" s="3705"/>
      <c r="AA48" s="3705"/>
      <c r="AB48" s="3705"/>
      <c r="AC48" s="3705"/>
      <c r="AD48" s="3705"/>
      <c r="AE48" s="3705"/>
      <c r="AF48" s="3705"/>
      <c r="AG48" s="3705"/>
      <c r="AH48" s="3705"/>
      <c r="AI48" s="3705"/>
      <c r="AJ48" s="3705"/>
      <c r="AK48" s="3705"/>
      <c r="AL48" s="3705"/>
      <c r="AM48" s="3705"/>
      <c r="AN48" s="3705"/>
      <c r="AO48" s="3788"/>
      <c r="AP48" s="3788"/>
      <c r="AQ48" s="3840"/>
      <c r="AR48" s="912"/>
    </row>
    <row r="49" spans="1:43" s="765" customFormat="1" ht="99" customHeight="1" x14ac:dyDescent="0.25">
      <c r="A49" s="825"/>
      <c r="B49" s="826"/>
      <c r="C49" s="826"/>
      <c r="D49" s="891"/>
      <c r="E49" s="883"/>
      <c r="F49" s="892"/>
      <c r="G49" s="890"/>
      <c r="H49" s="890"/>
      <c r="I49" s="890"/>
      <c r="J49" s="904">
        <v>79</v>
      </c>
      <c r="K49" s="838" t="s">
        <v>664</v>
      </c>
      <c r="L49" s="838" t="s">
        <v>665</v>
      </c>
      <c r="M49" s="840">
        <v>230</v>
      </c>
      <c r="N49" s="3722"/>
      <c r="O49" s="3722"/>
      <c r="P49" s="3713"/>
      <c r="Q49" s="908">
        <f>+V49/R44</f>
        <v>0</v>
      </c>
      <c r="R49" s="3711"/>
      <c r="S49" s="3713"/>
      <c r="T49" s="838" t="s">
        <v>666</v>
      </c>
      <c r="U49" s="846" t="s">
        <v>667</v>
      </c>
      <c r="V49" s="853"/>
      <c r="W49" s="910"/>
      <c r="X49" s="911"/>
      <c r="Y49" s="3705"/>
      <c r="Z49" s="3705"/>
      <c r="AA49" s="3705"/>
      <c r="AB49" s="3705"/>
      <c r="AC49" s="3705"/>
      <c r="AD49" s="3705"/>
      <c r="AE49" s="3705"/>
      <c r="AF49" s="3705"/>
      <c r="AG49" s="3705"/>
      <c r="AH49" s="3705"/>
      <c r="AI49" s="3705"/>
      <c r="AJ49" s="3705"/>
      <c r="AK49" s="3705"/>
      <c r="AL49" s="3705"/>
      <c r="AM49" s="3705"/>
      <c r="AN49" s="3705"/>
      <c r="AO49" s="3788"/>
      <c r="AP49" s="3788"/>
      <c r="AQ49" s="3840"/>
    </row>
    <row r="50" spans="1:43" s="765" customFormat="1" ht="79.5" customHeight="1" x14ac:dyDescent="0.25">
      <c r="A50" s="825"/>
      <c r="B50" s="826"/>
      <c r="C50" s="826"/>
      <c r="D50" s="891"/>
      <c r="E50" s="883"/>
      <c r="F50" s="892"/>
      <c r="G50" s="890"/>
      <c r="H50" s="890"/>
      <c r="I50" s="890"/>
      <c r="J50" s="904">
        <v>80</v>
      </c>
      <c r="K50" s="838" t="s">
        <v>668</v>
      </c>
      <c r="L50" s="838" t="s">
        <v>669</v>
      </c>
      <c r="M50" s="840">
        <v>4700</v>
      </c>
      <c r="N50" s="3722"/>
      <c r="O50" s="3722"/>
      <c r="P50" s="3713"/>
      <c r="Q50" s="908">
        <v>0</v>
      </c>
      <c r="R50" s="3711"/>
      <c r="S50" s="3713"/>
      <c r="T50" s="838" t="s">
        <v>670</v>
      </c>
      <c r="U50" s="846" t="s">
        <v>671</v>
      </c>
      <c r="V50" s="909"/>
      <c r="W50" s="910"/>
      <c r="X50" s="911"/>
      <c r="Y50" s="3705"/>
      <c r="Z50" s="3705"/>
      <c r="AA50" s="3705"/>
      <c r="AB50" s="3705"/>
      <c r="AC50" s="3705"/>
      <c r="AD50" s="3705"/>
      <c r="AE50" s="3705"/>
      <c r="AF50" s="3705"/>
      <c r="AG50" s="3705"/>
      <c r="AH50" s="3705"/>
      <c r="AI50" s="3705"/>
      <c r="AJ50" s="3705"/>
      <c r="AK50" s="3705"/>
      <c r="AL50" s="3705"/>
      <c r="AM50" s="3705"/>
      <c r="AN50" s="3705"/>
      <c r="AO50" s="3788"/>
      <c r="AP50" s="3788"/>
      <c r="AQ50" s="3840"/>
    </row>
    <row r="51" spans="1:43" s="765" customFormat="1" ht="123.75" customHeight="1" x14ac:dyDescent="0.25">
      <c r="A51" s="825"/>
      <c r="B51" s="826"/>
      <c r="C51" s="826"/>
      <c r="D51" s="891"/>
      <c r="E51" s="883"/>
      <c r="F51" s="892"/>
      <c r="G51" s="890"/>
      <c r="H51" s="890"/>
      <c r="I51" s="890"/>
      <c r="J51" s="904">
        <v>81</v>
      </c>
      <c r="K51" s="838" t="s">
        <v>672</v>
      </c>
      <c r="L51" s="838" t="s">
        <v>673</v>
      </c>
      <c r="M51" s="840">
        <v>41</v>
      </c>
      <c r="N51" s="3722"/>
      <c r="O51" s="3722"/>
      <c r="P51" s="3713"/>
      <c r="Q51" s="908">
        <v>0</v>
      </c>
      <c r="R51" s="3711"/>
      <c r="S51" s="3713"/>
      <c r="T51" s="838" t="s">
        <v>649</v>
      </c>
      <c r="U51" s="846" t="s">
        <v>674</v>
      </c>
      <c r="V51" s="909"/>
      <c r="W51" s="910"/>
      <c r="X51" s="911"/>
      <c r="Y51" s="3705"/>
      <c r="Z51" s="3705"/>
      <c r="AA51" s="3705"/>
      <c r="AB51" s="3705"/>
      <c r="AC51" s="3705"/>
      <c r="AD51" s="3705"/>
      <c r="AE51" s="3705"/>
      <c r="AF51" s="3705"/>
      <c r="AG51" s="3705"/>
      <c r="AH51" s="3705"/>
      <c r="AI51" s="3705"/>
      <c r="AJ51" s="3705"/>
      <c r="AK51" s="3705"/>
      <c r="AL51" s="3705"/>
      <c r="AM51" s="3705"/>
      <c r="AN51" s="3705"/>
      <c r="AO51" s="3788"/>
      <c r="AP51" s="3788"/>
      <c r="AQ51" s="3840"/>
    </row>
    <row r="52" spans="1:43" s="765" customFormat="1" ht="120" customHeight="1" x14ac:dyDescent="0.25">
      <c r="A52" s="825"/>
      <c r="B52" s="826"/>
      <c r="C52" s="826"/>
      <c r="D52" s="891"/>
      <c r="E52" s="883"/>
      <c r="F52" s="892"/>
      <c r="G52" s="890"/>
      <c r="H52" s="890"/>
      <c r="I52" s="890"/>
      <c r="J52" s="913">
        <v>82</v>
      </c>
      <c r="K52" s="914" t="s">
        <v>675</v>
      </c>
      <c r="L52" s="914" t="s">
        <v>676</v>
      </c>
      <c r="M52" s="915">
        <v>40</v>
      </c>
      <c r="N52" s="3688"/>
      <c r="O52" s="3722"/>
      <c r="P52" s="3713"/>
      <c r="Q52" s="916">
        <v>0</v>
      </c>
      <c r="R52" s="3711"/>
      <c r="S52" s="3713"/>
      <c r="T52" s="914" t="s">
        <v>649</v>
      </c>
      <c r="U52" s="917" t="s">
        <v>677</v>
      </c>
      <c r="V52" s="918"/>
      <c r="W52" s="910"/>
      <c r="X52" s="911"/>
      <c r="Y52" s="3705"/>
      <c r="Z52" s="3705"/>
      <c r="AA52" s="3705"/>
      <c r="AB52" s="3705"/>
      <c r="AC52" s="3705"/>
      <c r="AD52" s="3705"/>
      <c r="AE52" s="3705"/>
      <c r="AF52" s="3705"/>
      <c r="AG52" s="3705"/>
      <c r="AH52" s="3705"/>
      <c r="AI52" s="3705"/>
      <c r="AJ52" s="3705"/>
      <c r="AK52" s="3705"/>
      <c r="AL52" s="3705"/>
      <c r="AM52" s="3705"/>
      <c r="AN52" s="3705"/>
      <c r="AO52" s="3789"/>
      <c r="AP52" s="3789"/>
      <c r="AQ52" s="3840"/>
    </row>
    <row r="53" spans="1:43" s="765" customFormat="1" ht="28.5" customHeight="1" x14ac:dyDescent="0.25">
      <c r="A53" s="825"/>
      <c r="B53" s="826"/>
      <c r="C53" s="826"/>
      <c r="D53" s="825"/>
      <c r="E53" s="826"/>
      <c r="F53" s="833"/>
      <c r="G53" s="887">
        <v>20</v>
      </c>
      <c r="H53" s="784" t="s">
        <v>678</v>
      </c>
      <c r="I53" s="784"/>
      <c r="J53" s="784"/>
      <c r="K53" s="785"/>
      <c r="L53" s="785"/>
      <c r="M53" s="820"/>
      <c r="N53" s="888"/>
      <c r="O53" s="820"/>
      <c r="P53" s="785"/>
      <c r="Q53" s="820"/>
      <c r="R53" s="822"/>
      <c r="S53" s="785"/>
      <c r="T53" s="785"/>
      <c r="U53" s="785"/>
      <c r="V53" s="785"/>
      <c r="W53" s="919"/>
      <c r="X53" s="920"/>
      <c r="Y53" s="820"/>
      <c r="Z53" s="820"/>
      <c r="AA53" s="820"/>
      <c r="AB53" s="820"/>
      <c r="AC53" s="820"/>
      <c r="AD53" s="820"/>
      <c r="AE53" s="820"/>
      <c r="AF53" s="820"/>
      <c r="AG53" s="820"/>
      <c r="AH53" s="820"/>
      <c r="AI53" s="820"/>
      <c r="AJ53" s="794"/>
      <c r="AK53" s="794"/>
      <c r="AL53" s="794"/>
      <c r="AM53" s="794"/>
      <c r="AN53" s="794"/>
      <c r="AO53" s="794"/>
      <c r="AP53" s="794"/>
      <c r="AQ53" s="794"/>
    </row>
    <row r="54" spans="1:43" s="765" customFormat="1" ht="37.5" customHeight="1" x14ac:dyDescent="0.25">
      <c r="A54" s="921"/>
      <c r="B54" s="752"/>
      <c r="C54" s="752"/>
      <c r="D54" s="922"/>
      <c r="E54" s="923"/>
      <c r="F54" s="924"/>
      <c r="G54" s="3836"/>
      <c r="H54" s="3836"/>
      <c r="I54" s="3837"/>
      <c r="J54" s="3703">
        <v>83</v>
      </c>
      <c r="K54" s="3746" t="s">
        <v>679</v>
      </c>
      <c r="L54" s="3838" t="s">
        <v>680</v>
      </c>
      <c r="M54" s="3748">
        <v>54</v>
      </c>
      <c r="N54" s="925"/>
      <c r="O54" s="3818" t="s">
        <v>681</v>
      </c>
      <c r="P54" s="3827" t="s">
        <v>682</v>
      </c>
      <c r="Q54" s="3828">
        <f>(V54+V55)/$R$54</f>
        <v>0.28297679377012569</v>
      </c>
      <c r="R54" s="3835">
        <f>SUM(V54:V72)</f>
        <v>436696586.86000001</v>
      </c>
      <c r="S54" s="3827" t="s">
        <v>683</v>
      </c>
      <c r="T54" s="3746" t="s">
        <v>684</v>
      </c>
      <c r="U54" s="3746" t="s">
        <v>685</v>
      </c>
      <c r="V54" s="853">
        <v>19800000</v>
      </c>
      <c r="W54" s="926">
        <v>20</v>
      </c>
      <c r="X54" s="863" t="s">
        <v>62</v>
      </c>
      <c r="Y54" s="3703">
        <v>20555</v>
      </c>
      <c r="Z54" s="3703">
        <v>21361</v>
      </c>
      <c r="AA54" s="3833">
        <v>30460</v>
      </c>
      <c r="AB54" s="3833">
        <v>9593</v>
      </c>
      <c r="AC54" s="3833">
        <v>1762</v>
      </c>
      <c r="AD54" s="3833">
        <v>101</v>
      </c>
      <c r="AE54" s="3833">
        <v>308</v>
      </c>
      <c r="AF54" s="3833">
        <v>277</v>
      </c>
      <c r="AG54" s="3833">
        <v>0</v>
      </c>
      <c r="AH54" s="3833">
        <v>0</v>
      </c>
      <c r="AI54" s="3833">
        <v>0</v>
      </c>
      <c r="AJ54" s="3833">
        <v>0</v>
      </c>
      <c r="AK54" s="3833">
        <v>2907</v>
      </c>
      <c r="AL54" s="3833">
        <v>2589</v>
      </c>
      <c r="AM54" s="3833">
        <v>2954</v>
      </c>
      <c r="AN54" s="3833">
        <v>41916</v>
      </c>
      <c r="AO54" s="3681">
        <v>42430</v>
      </c>
      <c r="AP54" s="3681">
        <v>43646</v>
      </c>
      <c r="AQ54" s="3671" t="s">
        <v>587</v>
      </c>
    </row>
    <row r="55" spans="1:43" s="765" customFormat="1" ht="39" customHeight="1" x14ac:dyDescent="0.25">
      <c r="A55" s="921"/>
      <c r="B55" s="752"/>
      <c r="C55" s="752"/>
      <c r="D55" s="922"/>
      <c r="E55" s="923"/>
      <c r="F55" s="924"/>
      <c r="G55" s="3836"/>
      <c r="H55" s="3836"/>
      <c r="I55" s="3837"/>
      <c r="J55" s="3704"/>
      <c r="K55" s="3747"/>
      <c r="L55" s="3839"/>
      <c r="M55" s="3749"/>
      <c r="N55" s="925"/>
      <c r="O55" s="3818"/>
      <c r="P55" s="3827"/>
      <c r="Q55" s="3830"/>
      <c r="R55" s="3835"/>
      <c r="S55" s="3827"/>
      <c r="T55" s="3747"/>
      <c r="U55" s="3747"/>
      <c r="V55" s="853">
        <f>0+103775000</f>
        <v>103775000</v>
      </c>
      <c r="W55" s="926">
        <v>88</v>
      </c>
      <c r="X55" s="863" t="s">
        <v>589</v>
      </c>
      <c r="Y55" s="3721"/>
      <c r="Z55" s="3721"/>
      <c r="AA55" s="3807"/>
      <c r="AB55" s="3807"/>
      <c r="AC55" s="3807"/>
      <c r="AD55" s="3807"/>
      <c r="AE55" s="3807"/>
      <c r="AF55" s="3807"/>
      <c r="AG55" s="3807"/>
      <c r="AH55" s="3807"/>
      <c r="AI55" s="3807"/>
      <c r="AJ55" s="3807"/>
      <c r="AK55" s="3807"/>
      <c r="AL55" s="3807"/>
      <c r="AM55" s="3807"/>
      <c r="AN55" s="3807"/>
      <c r="AO55" s="3695"/>
      <c r="AP55" s="3695"/>
      <c r="AQ55" s="3696"/>
    </row>
    <row r="56" spans="1:43" s="765" customFormat="1" ht="96.75" customHeight="1" x14ac:dyDescent="0.25">
      <c r="A56" s="921"/>
      <c r="B56" s="752"/>
      <c r="C56" s="752"/>
      <c r="D56" s="922"/>
      <c r="E56" s="923"/>
      <c r="F56" s="924"/>
      <c r="G56" s="3836"/>
      <c r="H56" s="3836"/>
      <c r="I56" s="3837"/>
      <c r="J56" s="904">
        <v>84</v>
      </c>
      <c r="K56" s="846" t="s">
        <v>686</v>
      </c>
      <c r="L56" s="846" t="s">
        <v>687</v>
      </c>
      <c r="M56" s="904">
        <v>30</v>
      </c>
      <c r="N56" s="925"/>
      <c r="O56" s="3818"/>
      <c r="P56" s="3827"/>
      <c r="Q56" s="927">
        <f>+V56/R54</f>
        <v>0</v>
      </c>
      <c r="R56" s="3835"/>
      <c r="S56" s="3827"/>
      <c r="T56" s="849" t="s">
        <v>688</v>
      </c>
      <c r="U56" s="849" t="s">
        <v>689</v>
      </c>
      <c r="V56" s="909"/>
      <c r="W56" s="928"/>
      <c r="X56" s="863"/>
      <c r="Y56" s="3721"/>
      <c r="Z56" s="3721"/>
      <c r="AA56" s="3807"/>
      <c r="AB56" s="3807"/>
      <c r="AC56" s="3807"/>
      <c r="AD56" s="3807"/>
      <c r="AE56" s="3807"/>
      <c r="AF56" s="3807"/>
      <c r="AG56" s="3807"/>
      <c r="AH56" s="3807"/>
      <c r="AI56" s="3807"/>
      <c r="AJ56" s="3807"/>
      <c r="AK56" s="3807"/>
      <c r="AL56" s="3807"/>
      <c r="AM56" s="3807"/>
      <c r="AN56" s="3807"/>
      <c r="AO56" s="3695"/>
      <c r="AP56" s="3695"/>
      <c r="AQ56" s="3696"/>
    </row>
    <row r="57" spans="1:43" s="765" customFormat="1" ht="65.25" customHeight="1" x14ac:dyDescent="0.25">
      <c r="A57" s="921"/>
      <c r="B57" s="752"/>
      <c r="C57" s="752"/>
      <c r="D57" s="922"/>
      <c r="E57" s="923"/>
      <c r="F57" s="924"/>
      <c r="G57" s="3836"/>
      <c r="H57" s="3836"/>
      <c r="I57" s="3837"/>
      <c r="J57" s="904">
        <v>85</v>
      </c>
      <c r="K57" s="846" t="s">
        <v>690</v>
      </c>
      <c r="L57" s="846" t="s">
        <v>691</v>
      </c>
      <c r="M57" s="904">
        <v>30</v>
      </c>
      <c r="N57" s="925"/>
      <c r="O57" s="3818"/>
      <c r="P57" s="3827"/>
      <c r="Q57" s="927">
        <f>+V57/R54</f>
        <v>0</v>
      </c>
      <c r="R57" s="3835"/>
      <c r="S57" s="3827"/>
      <c r="T57" s="929" t="s">
        <v>692</v>
      </c>
      <c r="U57" s="849" t="s">
        <v>693</v>
      </c>
      <c r="V57" s="853">
        <f>16050000-16050000</f>
        <v>0</v>
      </c>
      <c r="W57" s="928"/>
      <c r="X57" s="863"/>
      <c r="Y57" s="3721"/>
      <c r="Z57" s="3721"/>
      <c r="AA57" s="3807"/>
      <c r="AB57" s="3807"/>
      <c r="AC57" s="3807"/>
      <c r="AD57" s="3807"/>
      <c r="AE57" s="3807"/>
      <c r="AF57" s="3807"/>
      <c r="AG57" s="3807"/>
      <c r="AH57" s="3807"/>
      <c r="AI57" s="3807"/>
      <c r="AJ57" s="3807"/>
      <c r="AK57" s="3807"/>
      <c r="AL57" s="3807"/>
      <c r="AM57" s="3807"/>
      <c r="AN57" s="3807"/>
      <c r="AO57" s="3695"/>
      <c r="AP57" s="3695"/>
      <c r="AQ57" s="3696"/>
    </row>
    <row r="58" spans="1:43" s="765" customFormat="1" ht="45.75" customHeight="1" x14ac:dyDescent="0.25">
      <c r="A58" s="921"/>
      <c r="B58" s="752"/>
      <c r="C58" s="752"/>
      <c r="D58" s="922"/>
      <c r="E58" s="923"/>
      <c r="F58" s="924"/>
      <c r="G58" s="3836"/>
      <c r="H58" s="3836"/>
      <c r="I58" s="3837"/>
      <c r="J58" s="3703">
        <v>87</v>
      </c>
      <c r="K58" s="3831" t="s">
        <v>694</v>
      </c>
      <c r="L58" s="3831" t="s">
        <v>695</v>
      </c>
      <c r="M58" s="3703">
        <v>30</v>
      </c>
      <c r="N58" s="925"/>
      <c r="O58" s="3818"/>
      <c r="P58" s="3827"/>
      <c r="Q58" s="3828">
        <f>(+V58+V59)/R54</f>
        <v>0.22870570323925796</v>
      </c>
      <c r="R58" s="3835"/>
      <c r="S58" s="3827"/>
      <c r="T58" s="3761" t="s">
        <v>696</v>
      </c>
      <c r="U58" s="3761" t="s">
        <v>697</v>
      </c>
      <c r="V58" s="853">
        <v>80000000</v>
      </c>
      <c r="W58" s="928">
        <v>21</v>
      </c>
      <c r="X58" s="863" t="s">
        <v>698</v>
      </c>
      <c r="Y58" s="3721"/>
      <c r="Z58" s="3721"/>
      <c r="AA58" s="3807"/>
      <c r="AB58" s="3807"/>
      <c r="AC58" s="3807"/>
      <c r="AD58" s="3807"/>
      <c r="AE58" s="3807"/>
      <c r="AF58" s="3807"/>
      <c r="AG58" s="3807"/>
      <c r="AH58" s="3807"/>
      <c r="AI58" s="3807"/>
      <c r="AJ58" s="3807"/>
      <c r="AK58" s="3807"/>
      <c r="AL58" s="3807"/>
      <c r="AM58" s="3807"/>
      <c r="AN58" s="3807"/>
      <c r="AO58" s="3695"/>
      <c r="AP58" s="3695"/>
      <c r="AQ58" s="3696"/>
    </row>
    <row r="59" spans="1:43" s="765" customFormat="1" ht="38.25" customHeight="1" x14ac:dyDescent="0.25">
      <c r="A59" s="921"/>
      <c r="B59" s="752"/>
      <c r="C59" s="752"/>
      <c r="D59" s="922"/>
      <c r="E59" s="923"/>
      <c r="F59" s="924"/>
      <c r="G59" s="3836"/>
      <c r="H59" s="3836"/>
      <c r="I59" s="3837"/>
      <c r="J59" s="3704"/>
      <c r="K59" s="3832"/>
      <c r="L59" s="3832"/>
      <c r="M59" s="3704"/>
      <c r="N59" s="925"/>
      <c r="O59" s="3818"/>
      <c r="P59" s="3827"/>
      <c r="Q59" s="3830"/>
      <c r="R59" s="3835"/>
      <c r="S59" s="3827"/>
      <c r="T59" s="3762"/>
      <c r="U59" s="3762"/>
      <c r="V59" s="853">
        <v>19875000</v>
      </c>
      <c r="W59" s="928">
        <v>20</v>
      </c>
      <c r="X59" s="863" t="s">
        <v>62</v>
      </c>
      <c r="Y59" s="3721"/>
      <c r="Z59" s="3721"/>
      <c r="AA59" s="3807"/>
      <c r="AB59" s="3807"/>
      <c r="AC59" s="3807"/>
      <c r="AD59" s="3807"/>
      <c r="AE59" s="3807"/>
      <c r="AF59" s="3807"/>
      <c r="AG59" s="3807"/>
      <c r="AH59" s="3807"/>
      <c r="AI59" s="3807"/>
      <c r="AJ59" s="3807"/>
      <c r="AK59" s="3807"/>
      <c r="AL59" s="3807"/>
      <c r="AM59" s="3807"/>
      <c r="AN59" s="3807"/>
      <c r="AO59" s="3695"/>
      <c r="AP59" s="3695"/>
      <c r="AQ59" s="3696"/>
    </row>
    <row r="60" spans="1:43" s="765" customFormat="1" ht="67.5" customHeight="1" x14ac:dyDescent="0.25">
      <c r="A60" s="921"/>
      <c r="B60" s="752"/>
      <c r="C60" s="752"/>
      <c r="D60" s="922"/>
      <c r="E60" s="923"/>
      <c r="F60" s="924"/>
      <c r="G60" s="3836"/>
      <c r="H60" s="3836"/>
      <c r="I60" s="3837"/>
      <c r="J60" s="3817">
        <v>88</v>
      </c>
      <c r="K60" s="3761" t="s">
        <v>699</v>
      </c>
      <c r="L60" s="3761" t="s">
        <v>700</v>
      </c>
      <c r="M60" s="3817">
        <v>36</v>
      </c>
      <c r="N60" s="925"/>
      <c r="O60" s="3818"/>
      <c r="P60" s="3827"/>
      <c r="Q60" s="3828">
        <f>(+V60+V61)/R54</f>
        <v>0.14735860534818013</v>
      </c>
      <c r="R60" s="3835"/>
      <c r="S60" s="3827"/>
      <c r="T60" s="3761" t="s">
        <v>701</v>
      </c>
      <c r="U60" s="849" t="s">
        <v>702</v>
      </c>
      <c r="V60" s="930">
        <f>17175500+15000000</f>
        <v>32175500</v>
      </c>
      <c r="W60" s="928">
        <v>20</v>
      </c>
      <c r="X60" s="863" t="s">
        <v>62</v>
      </c>
      <c r="Y60" s="3721"/>
      <c r="Z60" s="3721"/>
      <c r="AA60" s="3807"/>
      <c r="AB60" s="3807"/>
      <c r="AC60" s="3807"/>
      <c r="AD60" s="3807"/>
      <c r="AE60" s="3807"/>
      <c r="AF60" s="3807"/>
      <c r="AG60" s="3807"/>
      <c r="AH60" s="3807"/>
      <c r="AI60" s="3807"/>
      <c r="AJ60" s="3807"/>
      <c r="AK60" s="3807"/>
      <c r="AL60" s="3807"/>
      <c r="AM60" s="3807"/>
      <c r="AN60" s="3807"/>
      <c r="AO60" s="3695"/>
      <c r="AP60" s="3695"/>
      <c r="AQ60" s="3696"/>
    </row>
    <row r="61" spans="1:43" s="765" customFormat="1" ht="88.5" customHeight="1" x14ac:dyDescent="0.25">
      <c r="A61" s="921"/>
      <c r="B61" s="752"/>
      <c r="C61" s="752"/>
      <c r="D61" s="922"/>
      <c r="E61" s="923"/>
      <c r="F61" s="924"/>
      <c r="G61" s="3836"/>
      <c r="H61" s="3836"/>
      <c r="I61" s="3837"/>
      <c r="J61" s="3819"/>
      <c r="K61" s="3762"/>
      <c r="L61" s="3762"/>
      <c r="M61" s="3819"/>
      <c r="N61" s="925" t="s">
        <v>703</v>
      </c>
      <c r="O61" s="3818"/>
      <c r="P61" s="3827"/>
      <c r="Q61" s="3830"/>
      <c r="R61" s="3835"/>
      <c r="S61" s="3827"/>
      <c r="T61" s="3762"/>
      <c r="U61" s="849" t="s">
        <v>704</v>
      </c>
      <c r="V61" s="931">
        <f>17175500+15000000</f>
        <v>32175500</v>
      </c>
      <c r="W61" s="928">
        <v>20</v>
      </c>
      <c r="X61" s="863" t="s">
        <v>62</v>
      </c>
      <c r="Y61" s="3721"/>
      <c r="Z61" s="3721"/>
      <c r="AA61" s="3807"/>
      <c r="AB61" s="3807"/>
      <c r="AC61" s="3807"/>
      <c r="AD61" s="3807"/>
      <c r="AE61" s="3807"/>
      <c r="AF61" s="3807"/>
      <c r="AG61" s="3807"/>
      <c r="AH61" s="3807"/>
      <c r="AI61" s="3807"/>
      <c r="AJ61" s="3807"/>
      <c r="AK61" s="3807"/>
      <c r="AL61" s="3807"/>
      <c r="AM61" s="3807"/>
      <c r="AN61" s="3807"/>
      <c r="AO61" s="3695"/>
      <c r="AP61" s="3695"/>
      <c r="AQ61" s="3696"/>
    </row>
    <row r="62" spans="1:43" s="765" customFormat="1" ht="30" customHeight="1" x14ac:dyDescent="0.25">
      <c r="A62" s="921"/>
      <c r="B62" s="752"/>
      <c r="C62" s="752"/>
      <c r="D62" s="922"/>
      <c r="E62" s="923"/>
      <c r="F62" s="924"/>
      <c r="G62" s="3836"/>
      <c r="H62" s="3836"/>
      <c r="I62" s="3837"/>
      <c r="J62" s="3703">
        <v>86</v>
      </c>
      <c r="K62" s="3761" t="s">
        <v>705</v>
      </c>
      <c r="L62" s="3761" t="s">
        <v>706</v>
      </c>
      <c r="M62" s="3817">
        <v>1</v>
      </c>
      <c r="N62" s="925"/>
      <c r="O62" s="3818"/>
      <c r="P62" s="3827"/>
      <c r="Q62" s="3828">
        <f>(V62+V63+V64)/R54</f>
        <v>0</v>
      </c>
      <c r="R62" s="3835"/>
      <c r="S62" s="3827"/>
      <c r="T62" s="3761" t="s">
        <v>696</v>
      </c>
      <c r="U62" s="849" t="s">
        <v>707</v>
      </c>
      <c r="V62" s="909"/>
      <c r="W62" s="928"/>
      <c r="X62" s="863"/>
      <c r="Y62" s="3721"/>
      <c r="Z62" s="3721"/>
      <c r="AA62" s="3807"/>
      <c r="AB62" s="3807"/>
      <c r="AC62" s="3807"/>
      <c r="AD62" s="3807"/>
      <c r="AE62" s="3807"/>
      <c r="AF62" s="3807"/>
      <c r="AG62" s="3807"/>
      <c r="AH62" s="3807"/>
      <c r="AI62" s="3807"/>
      <c r="AJ62" s="3807"/>
      <c r="AK62" s="3807"/>
      <c r="AL62" s="3807"/>
      <c r="AM62" s="3807"/>
      <c r="AN62" s="3807"/>
      <c r="AO62" s="3695"/>
      <c r="AP62" s="3695"/>
      <c r="AQ62" s="3696"/>
    </row>
    <row r="63" spans="1:43" s="765" customFormat="1" ht="32.25" customHeight="1" x14ac:dyDescent="0.25">
      <c r="A63" s="921"/>
      <c r="B63" s="752"/>
      <c r="C63" s="752"/>
      <c r="D63" s="922"/>
      <c r="E63" s="923"/>
      <c r="F63" s="924"/>
      <c r="G63" s="3836"/>
      <c r="H63" s="3836"/>
      <c r="I63" s="3837"/>
      <c r="J63" s="3721"/>
      <c r="K63" s="3827"/>
      <c r="L63" s="3827"/>
      <c r="M63" s="3818"/>
      <c r="N63" s="925" t="s">
        <v>708</v>
      </c>
      <c r="O63" s="3818"/>
      <c r="P63" s="3827"/>
      <c r="Q63" s="3829"/>
      <c r="R63" s="3835"/>
      <c r="S63" s="3827"/>
      <c r="T63" s="3827"/>
      <c r="U63" s="849" t="s">
        <v>709</v>
      </c>
      <c r="V63" s="909"/>
      <c r="W63" s="928"/>
      <c r="X63" s="863"/>
      <c r="Y63" s="3721"/>
      <c r="Z63" s="3721"/>
      <c r="AA63" s="3807"/>
      <c r="AB63" s="3807"/>
      <c r="AC63" s="3807"/>
      <c r="AD63" s="3807"/>
      <c r="AE63" s="3807"/>
      <c r="AF63" s="3807"/>
      <c r="AG63" s="3807"/>
      <c r="AH63" s="3807"/>
      <c r="AI63" s="3807"/>
      <c r="AJ63" s="3807"/>
      <c r="AK63" s="3807"/>
      <c r="AL63" s="3807"/>
      <c r="AM63" s="3807"/>
      <c r="AN63" s="3807"/>
      <c r="AO63" s="3695"/>
      <c r="AP63" s="3695"/>
      <c r="AQ63" s="3696"/>
    </row>
    <row r="64" spans="1:43" s="765" customFormat="1" ht="35.25" customHeight="1" x14ac:dyDescent="0.25">
      <c r="A64" s="921"/>
      <c r="B64" s="752"/>
      <c r="C64" s="752"/>
      <c r="D64" s="922"/>
      <c r="E64" s="923"/>
      <c r="F64" s="924"/>
      <c r="G64" s="3836"/>
      <c r="H64" s="3836"/>
      <c r="I64" s="3837"/>
      <c r="J64" s="3704"/>
      <c r="K64" s="3762"/>
      <c r="L64" s="3762"/>
      <c r="M64" s="3819"/>
      <c r="N64" s="925"/>
      <c r="O64" s="3818"/>
      <c r="P64" s="3827"/>
      <c r="Q64" s="3830"/>
      <c r="R64" s="3835"/>
      <c r="S64" s="3827"/>
      <c r="T64" s="3762"/>
      <c r="U64" s="849" t="s">
        <v>710</v>
      </c>
      <c r="V64" s="932"/>
      <c r="W64" s="928"/>
      <c r="X64" s="863"/>
      <c r="Y64" s="3721"/>
      <c r="Z64" s="3721"/>
      <c r="AA64" s="3807"/>
      <c r="AB64" s="3807"/>
      <c r="AC64" s="3807"/>
      <c r="AD64" s="3807"/>
      <c r="AE64" s="3807"/>
      <c r="AF64" s="3807"/>
      <c r="AG64" s="3807"/>
      <c r="AH64" s="3807"/>
      <c r="AI64" s="3807"/>
      <c r="AJ64" s="3807"/>
      <c r="AK64" s="3807"/>
      <c r="AL64" s="3807"/>
      <c r="AM64" s="3807"/>
      <c r="AN64" s="3807"/>
      <c r="AO64" s="3695"/>
      <c r="AP64" s="3695"/>
      <c r="AQ64" s="3696"/>
    </row>
    <row r="65" spans="1:43" s="765" customFormat="1" ht="77.25" customHeight="1" x14ac:dyDescent="0.25">
      <c r="A65" s="921"/>
      <c r="B65" s="752"/>
      <c r="C65" s="752"/>
      <c r="D65" s="922"/>
      <c r="E65" s="923"/>
      <c r="F65" s="924"/>
      <c r="G65" s="3836"/>
      <c r="H65" s="3836"/>
      <c r="I65" s="3837"/>
      <c r="J65" s="904">
        <v>89</v>
      </c>
      <c r="K65" s="846" t="s">
        <v>711</v>
      </c>
      <c r="L65" s="846" t="s">
        <v>712</v>
      </c>
      <c r="M65" s="904">
        <v>20000</v>
      </c>
      <c r="N65" s="859" t="s">
        <v>713</v>
      </c>
      <c r="O65" s="3818"/>
      <c r="P65" s="3827"/>
      <c r="Q65" s="927">
        <f>+V65/R54</f>
        <v>0</v>
      </c>
      <c r="R65" s="3835"/>
      <c r="S65" s="3827"/>
      <c r="T65" s="849" t="s">
        <v>714</v>
      </c>
      <c r="U65" s="849" t="s">
        <v>715</v>
      </c>
      <c r="V65" s="909"/>
      <c r="W65" s="928"/>
      <c r="X65" s="863"/>
      <c r="Y65" s="3721"/>
      <c r="Z65" s="3721"/>
      <c r="AA65" s="3807"/>
      <c r="AB65" s="3807"/>
      <c r="AC65" s="3807"/>
      <c r="AD65" s="3807"/>
      <c r="AE65" s="3807"/>
      <c r="AF65" s="3807"/>
      <c r="AG65" s="3807"/>
      <c r="AH65" s="3807"/>
      <c r="AI65" s="3807"/>
      <c r="AJ65" s="3807"/>
      <c r="AK65" s="3807"/>
      <c r="AL65" s="3807"/>
      <c r="AM65" s="3807"/>
      <c r="AN65" s="3807"/>
      <c r="AO65" s="3695"/>
      <c r="AP65" s="3695"/>
      <c r="AQ65" s="3696"/>
    </row>
    <row r="66" spans="1:43" s="765" customFormat="1" ht="73.5" customHeight="1" x14ac:dyDescent="0.25">
      <c r="A66" s="921"/>
      <c r="B66" s="752"/>
      <c r="C66" s="752"/>
      <c r="D66" s="922"/>
      <c r="E66" s="923"/>
      <c r="F66" s="924"/>
      <c r="G66" s="3836"/>
      <c r="H66" s="3836"/>
      <c r="I66" s="3837"/>
      <c r="J66" s="3703">
        <v>90</v>
      </c>
      <c r="K66" s="3746" t="s">
        <v>716</v>
      </c>
      <c r="L66" s="3746" t="s">
        <v>717</v>
      </c>
      <c r="M66" s="3748">
        <v>130</v>
      </c>
      <c r="N66" s="925" t="s">
        <v>718</v>
      </c>
      <c r="O66" s="3818"/>
      <c r="P66" s="3827"/>
      <c r="Q66" s="3828">
        <f>SUM(V66:V68)/R54</f>
        <v>6.84113430215052E-2</v>
      </c>
      <c r="R66" s="3835"/>
      <c r="S66" s="3827"/>
      <c r="T66" s="3746" t="s">
        <v>719</v>
      </c>
      <c r="U66" s="849" t="s">
        <v>720</v>
      </c>
      <c r="V66" s="909">
        <v>15475000</v>
      </c>
      <c r="W66" s="928">
        <v>20</v>
      </c>
      <c r="X66" s="863" t="s">
        <v>62</v>
      </c>
      <c r="Y66" s="3721"/>
      <c r="Z66" s="3721"/>
      <c r="AA66" s="3807"/>
      <c r="AB66" s="3807"/>
      <c r="AC66" s="3807"/>
      <c r="AD66" s="3807"/>
      <c r="AE66" s="3807"/>
      <c r="AF66" s="3807"/>
      <c r="AG66" s="3807"/>
      <c r="AH66" s="3807"/>
      <c r="AI66" s="3807"/>
      <c r="AJ66" s="3807"/>
      <c r="AK66" s="3807"/>
      <c r="AL66" s="3807"/>
      <c r="AM66" s="3807"/>
      <c r="AN66" s="3807"/>
      <c r="AO66" s="3695"/>
      <c r="AP66" s="3695"/>
      <c r="AQ66" s="3696"/>
    </row>
    <row r="67" spans="1:43" s="765" customFormat="1" ht="96.75" customHeight="1" x14ac:dyDescent="0.25">
      <c r="A67" s="921"/>
      <c r="B67" s="752"/>
      <c r="C67" s="752"/>
      <c r="D67" s="922"/>
      <c r="E67" s="923"/>
      <c r="F67" s="924"/>
      <c r="G67" s="3836"/>
      <c r="H67" s="3836"/>
      <c r="I67" s="3837"/>
      <c r="J67" s="3721"/>
      <c r="K67" s="3820"/>
      <c r="L67" s="3820"/>
      <c r="M67" s="3772"/>
      <c r="N67" s="925"/>
      <c r="O67" s="3818"/>
      <c r="P67" s="3827"/>
      <c r="Q67" s="3829"/>
      <c r="R67" s="3835"/>
      <c r="S67" s="3827"/>
      <c r="T67" s="3820"/>
      <c r="U67" s="849" t="s">
        <v>721</v>
      </c>
      <c r="V67" s="853"/>
      <c r="W67" s="928"/>
      <c r="X67" s="863"/>
      <c r="Y67" s="3721"/>
      <c r="Z67" s="3721"/>
      <c r="AA67" s="3807"/>
      <c r="AB67" s="3807"/>
      <c r="AC67" s="3807"/>
      <c r="AD67" s="3807"/>
      <c r="AE67" s="3807"/>
      <c r="AF67" s="3807"/>
      <c r="AG67" s="3807"/>
      <c r="AH67" s="3807"/>
      <c r="AI67" s="3807"/>
      <c r="AJ67" s="3807"/>
      <c r="AK67" s="3807"/>
      <c r="AL67" s="3807"/>
      <c r="AM67" s="3807"/>
      <c r="AN67" s="3807"/>
      <c r="AO67" s="3695"/>
      <c r="AP67" s="3695"/>
      <c r="AQ67" s="3696"/>
    </row>
    <row r="68" spans="1:43" s="765" customFormat="1" ht="52.5" customHeight="1" x14ac:dyDescent="0.25">
      <c r="A68" s="921"/>
      <c r="B68" s="752"/>
      <c r="C68" s="752"/>
      <c r="D68" s="922"/>
      <c r="E68" s="923"/>
      <c r="F68" s="924"/>
      <c r="G68" s="3836"/>
      <c r="H68" s="3836"/>
      <c r="I68" s="3837"/>
      <c r="J68" s="3704"/>
      <c r="K68" s="3747"/>
      <c r="L68" s="3747"/>
      <c r="M68" s="3749"/>
      <c r="N68" s="925"/>
      <c r="O68" s="3818"/>
      <c r="P68" s="3827"/>
      <c r="Q68" s="3830"/>
      <c r="R68" s="3835"/>
      <c r="S68" s="3827"/>
      <c r="T68" s="3747"/>
      <c r="U68" s="929" t="s">
        <v>722</v>
      </c>
      <c r="V68" s="853">
        <v>14400000</v>
      </c>
      <c r="W68" s="928">
        <v>20</v>
      </c>
      <c r="X68" s="863" t="s">
        <v>723</v>
      </c>
      <c r="Y68" s="3721"/>
      <c r="Z68" s="3721"/>
      <c r="AA68" s="3807"/>
      <c r="AB68" s="3807"/>
      <c r="AC68" s="3807"/>
      <c r="AD68" s="3807"/>
      <c r="AE68" s="3807"/>
      <c r="AF68" s="3807"/>
      <c r="AG68" s="3807"/>
      <c r="AH68" s="3807"/>
      <c r="AI68" s="3807"/>
      <c r="AJ68" s="3807"/>
      <c r="AK68" s="3807"/>
      <c r="AL68" s="3807"/>
      <c r="AM68" s="3807"/>
      <c r="AN68" s="3807"/>
      <c r="AO68" s="3695"/>
      <c r="AP68" s="3695"/>
      <c r="AQ68" s="3696"/>
    </row>
    <row r="69" spans="1:43" s="765" customFormat="1" ht="41.25" customHeight="1" x14ac:dyDescent="0.25">
      <c r="A69" s="921"/>
      <c r="B69" s="752"/>
      <c r="C69" s="752"/>
      <c r="D69" s="922"/>
      <c r="E69" s="923"/>
      <c r="F69" s="924"/>
      <c r="G69" s="3836"/>
      <c r="H69" s="3836"/>
      <c r="I69" s="3837"/>
      <c r="J69" s="3817">
        <v>91</v>
      </c>
      <c r="K69" s="3746" t="s">
        <v>724</v>
      </c>
      <c r="L69" s="3817" t="s">
        <v>725</v>
      </c>
      <c r="M69" s="3821">
        <v>54</v>
      </c>
      <c r="N69" s="925"/>
      <c r="O69" s="3818"/>
      <c r="P69" s="3827"/>
      <c r="Q69" s="3824">
        <f>SUM(V69:V71)/R54</f>
        <v>0.272547554620931</v>
      </c>
      <c r="R69" s="3835"/>
      <c r="S69" s="3827"/>
      <c r="T69" s="3746" t="s">
        <v>726</v>
      </c>
      <c r="U69" s="3746" t="s">
        <v>727</v>
      </c>
      <c r="V69" s="853">
        <f>60000000+31988604.86</f>
        <v>91988604.859999999</v>
      </c>
      <c r="W69" s="928">
        <v>21</v>
      </c>
      <c r="X69" s="863" t="s">
        <v>698</v>
      </c>
      <c r="Y69" s="3721"/>
      <c r="Z69" s="3721"/>
      <c r="AA69" s="3807"/>
      <c r="AB69" s="3807"/>
      <c r="AC69" s="3807"/>
      <c r="AD69" s="3807"/>
      <c r="AE69" s="3807"/>
      <c r="AF69" s="3807"/>
      <c r="AG69" s="3807"/>
      <c r="AH69" s="3807"/>
      <c r="AI69" s="3807"/>
      <c r="AJ69" s="3807"/>
      <c r="AK69" s="3807"/>
      <c r="AL69" s="3807"/>
      <c r="AM69" s="3807"/>
      <c r="AN69" s="3807"/>
      <c r="AO69" s="3695"/>
      <c r="AP69" s="3695"/>
      <c r="AQ69" s="3696"/>
    </row>
    <row r="70" spans="1:43" s="765" customFormat="1" ht="42.75" customHeight="1" x14ac:dyDescent="0.25">
      <c r="A70" s="921"/>
      <c r="B70" s="752"/>
      <c r="C70" s="752"/>
      <c r="D70" s="922"/>
      <c r="E70" s="923"/>
      <c r="F70" s="924"/>
      <c r="G70" s="3836"/>
      <c r="H70" s="3836"/>
      <c r="I70" s="3837"/>
      <c r="J70" s="3818"/>
      <c r="K70" s="3820"/>
      <c r="L70" s="3818"/>
      <c r="M70" s="3822"/>
      <c r="N70" s="925"/>
      <c r="O70" s="3818"/>
      <c r="P70" s="3827"/>
      <c r="Q70" s="3825"/>
      <c r="R70" s="3835"/>
      <c r="S70" s="3827"/>
      <c r="T70" s="3820"/>
      <c r="U70" s="3820"/>
      <c r="V70" s="853">
        <v>9885764</v>
      </c>
      <c r="W70" s="928">
        <v>20</v>
      </c>
      <c r="X70" s="863" t="s">
        <v>62</v>
      </c>
      <c r="Y70" s="3721"/>
      <c r="Z70" s="3721"/>
      <c r="AA70" s="3807"/>
      <c r="AB70" s="3807"/>
      <c r="AC70" s="3807"/>
      <c r="AD70" s="3807"/>
      <c r="AE70" s="3807"/>
      <c r="AF70" s="3807"/>
      <c r="AG70" s="3807"/>
      <c r="AH70" s="3807"/>
      <c r="AI70" s="3807"/>
      <c r="AJ70" s="3807"/>
      <c r="AK70" s="3807"/>
      <c r="AL70" s="3807"/>
      <c r="AM70" s="3807"/>
      <c r="AN70" s="3807"/>
      <c r="AO70" s="3695"/>
      <c r="AP70" s="3695"/>
      <c r="AQ70" s="3696"/>
    </row>
    <row r="71" spans="1:43" s="765" customFormat="1" ht="42.75" customHeight="1" x14ac:dyDescent="0.25">
      <c r="A71" s="921"/>
      <c r="B71" s="752"/>
      <c r="C71" s="752"/>
      <c r="D71" s="922"/>
      <c r="E71" s="923"/>
      <c r="F71" s="924"/>
      <c r="G71" s="3836"/>
      <c r="H71" s="3836"/>
      <c r="I71" s="3837"/>
      <c r="J71" s="3819"/>
      <c r="K71" s="3747"/>
      <c r="L71" s="3819"/>
      <c r="M71" s="3823"/>
      <c r="N71" s="925"/>
      <c r="O71" s="3818"/>
      <c r="P71" s="3827"/>
      <c r="Q71" s="3826"/>
      <c r="R71" s="3835"/>
      <c r="S71" s="3827"/>
      <c r="T71" s="3747"/>
      <c r="U71" s="3747"/>
      <c r="V71" s="933">
        <v>17146218</v>
      </c>
      <c r="W71" s="928">
        <v>25</v>
      </c>
      <c r="X71" s="863" t="s">
        <v>728</v>
      </c>
      <c r="Y71" s="3721"/>
      <c r="Z71" s="3721"/>
      <c r="AA71" s="3807"/>
      <c r="AB71" s="3807"/>
      <c r="AC71" s="3807"/>
      <c r="AD71" s="3807"/>
      <c r="AE71" s="3807"/>
      <c r="AF71" s="3807"/>
      <c r="AG71" s="3807"/>
      <c r="AH71" s="3807"/>
      <c r="AI71" s="3807"/>
      <c r="AJ71" s="3807"/>
      <c r="AK71" s="3807"/>
      <c r="AL71" s="3807"/>
      <c r="AM71" s="3807"/>
      <c r="AN71" s="3807"/>
      <c r="AO71" s="3695"/>
      <c r="AP71" s="3695"/>
      <c r="AQ71" s="3696"/>
    </row>
    <row r="72" spans="1:43" s="765" customFormat="1" ht="108.75" customHeight="1" x14ac:dyDescent="0.25">
      <c r="A72" s="921"/>
      <c r="B72" s="752"/>
      <c r="C72" s="752"/>
      <c r="D72" s="922"/>
      <c r="E72" s="923"/>
      <c r="F72" s="924"/>
      <c r="G72" s="3836"/>
      <c r="H72" s="3836"/>
      <c r="I72" s="3837"/>
      <c r="J72" s="913">
        <v>92</v>
      </c>
      <c r="K72" s="917" t="s">
        <v>729</v>
      </c>
      <c r="L72" s="917" t="s">
        <v>730</v>
      </c>
      <c r="M72" s="915">
        <v>1</v>
      </c>
      <c r="N72" s="925"/>
      <c r="O72" s="3818"/>
      <c r="P72" s="3827"/>
      <c r="Q72" s="934">
        <f>+V72/R54</f>
        <v>0</v>
      </c>
      <c r="R72" s="3835"/>
      <c r="S72" s="3827"/>
      <c r="T72" s="929" t="s">
        <v>731</v>
      </c>
      <c r="U72" s="929" t="s">
        <v>732</v>
      </c>
      <c r="V72" s="918"/>
      <c r="W72" s="928"/>
      <c r="X72" s="863"/>
      <c r="Y72" s="3704"/>
      <c r="Z72" s="3704"/>
      <c r="AA72" s="3834"/>
      <c r="AB72" s="3834"/>
      <c r="AC72" s="3834"/>
      <c r="AD72" s="3834"/>
      <c r="AE72" s="3834"/>
      <c r="AF72" s="3834"/>
      <c r="AG72" s="3834"/>
      <c r="AH72" s="3834"/>
      <c r="AI72" s="3834"/>
      <c r="AJ72" s="3834"/>
      <c r="AK72" s="3834"/>
      <c r="AL72" s="3834"/>
      <c r="AM72" s="3834"/>
      <c r="AN72" s="3834"/>
      <c r="AO72" s="3682"/>
      <c r="AP72" s="3682"/>
      <c r="AQ72" s="3672"/>
    </row>
    <row r="73" spans="1:43" s="765" customFormat="1" ht="30" customHeight="1" x14ac:dyDescent="0.25">
      <c r="A73" s="825"/>
      <c r="B73" s="826"/>
      <c r="C73" s="826"/>
      <c r="D73" s="825"/>
      <c r="E73" s="826"/>
      <c r="F73" s="833"/>
      <c r="G73" s="887">
        <v>21</v>
      </c>
      <c r="H73" s="784" t="s">
        <v>733</v>
      </c>
      <c r="I73" s="784"/>
      <c r="J73" s="784"/>
      <c r="K73" s="785"/>
      <c r="L73" s="785"/>
      <c r="M73" s="820"/>
      <c r="N73" s="888"/>
      <c r="O73" s="820"/>
      <c r="P73" s="785"/>
      <c r="Q73" s="819"/>
      <c r="R73" s="822"/>
      <c r="S73" s="785"/>
      <c r="T73" s="935"/>
      <c r="U73" s="935"/>
      <c r="V73" s="935"/>
      <c r="W73" s="936"/>
      <c r="X73" s="937"/>
      <c r="Y73" s="820"/>
      <c r="Z73" s="820"/>
      <c r="AA73" s="820"/>
      <c r="AB73" s="820"/>
      <c r="AC73" s="820"/>
      <c r="AD73" s="820"/>
      <c r="AE73" s="820"/>
      <c r="AF73" s="820"/>
      <c r="AG73" s="820"/>
      <c r="AH73" s="820"/>
      <c r="AI73" s="820"/>
      <c r="AJ73" s="794"/>
      <c r="AK73" s="794"/>
      <c r="AL73" s="794"/>
      <c r="AM73" s="794"/>
      <c r="AN73" s="794"/>
      <c r="AO73" s="794"/>
      <c r="AP73" s="794"/>
      <c r="AQ73" s="794"/>
    </row>
    <row r="74" spans="1:43" s="765" customFormat="1" ht="48" customHeight="1" x14ac:dyDescent="0.25">
      <c r="A74" s="889"/>
      <c r="B74" s="890"/>
      <c r="C74" s="890"/>
      <c r="D74" s="891"/>
      <c r="E74" s="883"/>
      <c r="F74" s="892"/>
      <c r="G74" s="890"/>
      <c r="H74" s="890"/>
      <c r="I74" s="938"/>
      <c r="J74" s="3703">
        <v>93</v>
      </c>
      <c r="K74" s="3693" t="s">
        <v>734</v>
      </c>
      <c r="L74" s="3710" t="s">
        <v>735</v>
      </c>
      <c r="M74" s="3815">
        <v>36</v>
      </c>
      <c r="N74" s="939"/>
      <c r="O74" s="3687" t="s">
        <v>736</v>
      </c>
      <c r="P74" s="3816" t="s">
        <v>737</v>
      </c>
      <c r="Q74" s="3810">
        <f>+(V74+V75)/$R$74</f>
        <v>0.25982774744453385</v>
      </c>
      <c r="R74" s="3811">
        <f>SUM(V74:V80)</f>
        <v>109129992</v>
      </c>
      <c r="S74" s="3812" t="s">
        <v>738</v>
      </c>
      <c r="T74" s="3813" t="s">
        <v>739</v>
      </c>
      <c r="U74" s="3813" t="s">
        <v>740</v>
      </c>
      <c r="V74" s="940">
        <v>11861000</v>
      </c>
      <c r="W74" s="802">
        <v>20</v>
      </c>
      <c r="X74" s="807" t="s">
        <v>62</v>
      </c>
      <c r="Y74" s="3738">
        <v>20555</v>
      </c>
      <c r="Z74" s="3705">
        <v>21361</v>
      </c>
      <c r="AA74" s="3792">
        <v>30460</v>
      </c>
      <c r="AB74" s="3792">
        <v>9593</v>
      </c>
      <c r="AC74" s="3792">
        <v>1762</v>
      </c>
      <c r="AD74" s="3792">
        <v>101</v>
      </c>
      <c r="AE74" s="3792">
        <v>308</v>
      </c>
      <c r="AF74" s="3792">
        <v>277</v>
      </c>
      <c r="AG74" s="3792">
        <v>0</v>
      </c>
      <c r="AH74" s="3792">
        <v>0</v>
      </c>
      <c r="AI74" s="3792">
        <v>0</v>
      </c>
      <c r="AJ74" s="3808">
        <v>0</v>
      </c>
      <c r="AK74" s="3808">
        <v>2907</v>
      </c>
      <c r="AL74" s="3807">
        <v>2589</v>
      </c>
      <c r="AM74" s="3808">
        <v>2954</v>
      </c>
      <c r="AN74" s="3809">
        <v>41916</v>
      </c>
      <c r="AO74" s="3707">
        <v>43497</v>
      </c>
      <c r="AP74" s="3707">
        <v>43646</v>
      </c>
      <c r="AQ74" s="3696" t="s">
        <v>587</v>
      </c>
    </row>
    <row r="75" spans="1:43" s="765" customFormat="1" ht="44.25" customHeight="1" x14ac:dyDescent="0.25">
      <c r="A75" s="889"/>
      <c r="B75" s="890"/>
      <c r="C75" s="890"/>
      <c r="D75" s="891"/>
      <c r="E75" s="883"/>
      <c r="F75" s="892"/>
      <c r="G75" s="890"/>
      <c r="H75" s="890"/>
      <c r="I75" s="938"/>
      <c r="J75" s="3704"/>
      <c r="K75" s="3694"/>
      <c r="L75" s="3710"/>
      <c r="M75" s="3815"/>
      <c r="N75" s="925"/>
      <c r="O75" s="3722"/>
      <c r="P75" s="3812"/>
      <c r="Q75" s="3810"/>
      <c r="R75" s="3811"/>
      <c r="S75" s="3812"/>
      <c r="T75" s="3813"/>
      <c r="U75" s="3813"/>
      <c r="V75" s="940">
        <f>0+16494000</f>
        <v>16494000</v>
      </c>
      <c r="W75" s="802">
        <v>88</v>
      </c>
      <c r="X75" s="807" t="s">
        <v>589</v>
      </c>
      <c r="Y75" s="3738"/>
      <c r="Z75" s="3705"/>
      <c r="AA75" s="3792"/>
      <c r="AB75" s="3792"/>
      <c r="AC75" s="3792"/>
      <c r="AD75" s="3792"/>
      <c r="AE75" s="3792"/>
      <c r="AF75" s="3792"/>
      <c r="AG75" s="3792"/>
      <c r="AH75" s="3792"/>
      <c r="AI75" s="3792"/>
      <c r="AJ75" s="3808"/>
      <c r="AK75" s="3808"/>
      <c r="AL75" s="3807"/>
      <c r="AM75" s="3808"/>
      <c r="AN75" s="3809"/>
      <c r="AO75" s="3708"/>
      <c r="AP75" s="3708"/>
      <c r="AQ75" s="3696"/>
    </row>
    <row r="76" spans="1:43" s="765" customFormat="1" ht="46.5" customHeight="1" x14ac:dyDescent="0.25">
      <c r="A76" s="889"/>
      <c r="B76" s="890"/>
      <c r="C76" s="890"/>
      <c r="D76" s="891"/>
      <c r="E76" s="883"/>
      <c r="F76" s="892"/>
      <c r="G76" s="890"/>
      <c r="H76" s="890"/>
      <c r="I76" s="938"/>
      <c r="J76" s="3703">
        <v>94</v>
      </c>
      <c r="K76" s="3693" t="s">
        <v>741</v>
      </c>
      <c r="L76" s="3722" t="s">
        <v>742</v>
      </c>
      <c r="M76" s="3748">
        <v>65</v>
      </c>
      <c r="N76" s="925"/>
      <c r="O76" s="3722"/>
      <c r="P76" s="3713"/>
      <c r="Q76" s="3814">
        <f>(V76+V77)/R74</f>
        <v>0.64143686549523438</v>
      </c>
      <c r="R76" s="3711"/>
      <c r="S76" s="3713"/>
      <c r="T76" s="3713" t="s">
        <v>743</v>
      </c>
      <c r="U76" s="3713" t="s">
        <v>744</v>
      </c>
      <c r="V76" s="941">
        <v>60000000</v>
      </c>
      <c r="W76" s="942">
        <v>21</v>
      </c>
      <c r="X76" s="943" t="s">
        <v>698</v>
      </c>
      <c r="Y76" s="3705"/>
      <c r="Z76" s="3705"/>
      <c r="AA76" s="3792"/>
      <c r="AB76" s="3792"/>
      <c r="AC76" s="3792"/>
      <c r="AD76" s="3792"/>
      <c r="AE76" s="3792"/>
      <c r="AF76" s="3792"/>
      <c r="AG76" s="3792"/>
      <c r="AH76" s="3792"/>
      <c r="AI76" s="3792"/>
      <c r="AJ76" s="3808"/>
      <c r="AK76" s="3808"/>
      <c r="AL76" s="3807"/>
      <c r="AM76" s="3808"/>
      <c r="AN76" s="3809"/>
      <c r="AO76" s="3708"/>
      <c r="AP76" s="3708"/>
      <c r="AQ76" s="3696"/>
    </row>
    <row r="77" spans="1:43" s="765" customFormat="1" ht="35.25" customHeight="1" x14ac:dyDescent="0.25">
      <c r="A77" s="889"/>
      <c r="B77" s="890"/>
      <c r="C77" s="890"/>
      <c r="D77" s="891"/>
      <c r="E77" s="883"/>
      <c r="F77" s="892"/>
      <c r="G77" s="890"/>
      <c r="H77" s="890"/>
      <c r="I77" s="938"/>
      <c r="J77" s="3704"/>
      <c r="K77" s="3694"/>
      <c r="L77" s="3688"/>
      <c r="M77" s="3749"/>
      <c r="N77" s="925" t="s">
        <v>745</v>
      </c>
      <c r="O77" s="3722"/>
      <c r="P77" s="3713"/>
      <c r="Q77" s="3690"/>
      <c r="R77" s="3711"/>
      <c r="S77" s="3713"/>
      <c r="T77" s="3714"/>
      <c r="U77" s="3714"/>
      <c r="V77" s="944">
        <v>10000000</v>
      </c>
      <c r="W77" s="926">
        <v>20</v>
      </c>
      <c r="X77" s="863" t="s">
        <v>62</v>
      </c>
      <c r="Y77" s="3705"/>
      <c r="Z77" s="3705"/>
      <c r="AA77" s="3792"/>
      <c r="AB77" s="3792"/>
      <c r="AC77" s="3792"/>
      <c r="AD77" s="3792"/>
      <c r="AE77" s="3792"/>
      <c r="AF77" s="3792"/>
      <c r="AG77" s="3792"/>
      <c r="AH77" s="3792"/>
      <c r="AI77" s="3792"/>
      <c r="AJ77" s="3808"/>
      <c r="AK77" s="3808"/>
      <c r="AL77" s="3807"/>
      <c r="AM77" s="3808"/>
      <c r="AN77" s="3809"/>
      <c r="AO77" s="3708"/>
      <c r="AP77" s="3708"/>
      <c r="AQ77" s="3696"/>
    </row>
    <row r="78" spans="1:43" s="765" customFormat="1" ht="33" customHeight="1" x14ac:dyDescent="0.25">
      <c r="A78" s="889"/>
      <c r="B78" s="890"/>
      <c r="C78" s="890"/>
      <c r="D78" s="891"/>
      <c r="E78" s="883"/>
      <c r="F78" s="892"/>
      <c r="G78" s="890"/>
      <c r="H78" s="890"/>
      <c r="I78" s="938"/>
      <c r="J78" s="3703">
        <v>95</v>
      </c>
      <c r="K78" s="3712" t="s">
        <v>746</v>
      </c>
      <c r="L78" s="3712" t="s">
        <v>747</v>
      </c>
      <c r="M78" s="3748">
        <v>500</v>
      </c>
      <c r="N78" s="925"/>
      <c r="O78" s="3722"/>
      <c r="P78" s="3713"/>
      <c r="Q78" s="3805">
        <f>+V78/R74</f>
        <v>0</v>
      </c>
      <c r="R78" s="3711"/>
      <c r="S78" s="3713"/>
      <c r="T78" s="3712" t="s">
        <v>748</v>
      </c>
      <c r="U78" s="3761" t="s">
        <v>749</v>
      </c>
      <c r="V78" s="3715">
        <f>10000000-10000000</f>
        <v>0</v>
      </c>
      <c r="W78" s="3801"/>
      <c r="X78" s="3693"/>
      <c r="Y78" s="3705"/>
      <c r="Z78" s="3705"/>
      <c r="AA78" s="3792"/>
      <c r="AB78" s="3792"/>
      <c r="AC78" s="3792"/>
      <c r="AD78" s="3792"/>
      <c r="AE78" s="3792"/>
      <c r="AF78" s="3792"/>
      <c r="AG78" s="3792"/>
      <c r="AH78" s="3792"/>
      <c r="AI78" s="3792"/>
      <c r="AJ78" s="3808"/>
      <c r="AK78" s="3808"/>
      <c r="AL78" s="3807"/>
      <c r="AM78" s="3808"/>
      <c r="AN78" s="3809"/>
      <c r="AO78" s="3708"/>
      <c r="AP78" s="3708"/>
      <c r="AQ78" s="3696"/>
    </row>
    <row r="79" spans="1:43" s="765" customFormat="1" ht="59.25" customHeight="1" x14ac:dyDescent="0.25">
      <c r="A79" s="889"/>
      <c r="B79" s="890"/>
      <c r="C79" s="890"/>
      <c r="D79" s="891"/>
      <c r="E79" s="883"/>
      <c r="F79" s="892"/>
      <c r="G79" s="890"/>
      <c r="H79" s="890"/>
      <c r="I79" s="938"/>
      <c r="J79" s="3704"/>
      <c r="K79" s="3714"/>
      <c r="L79" s="3714"/>
      <c r="M79" s="3749"/>
      <c r="N79" s="925" t="s">
        <v>750</v>
      </c>
      <c r="O79" s="3722"/>
      <c r="P79" s="3713"/>
      <c r="Q79" s="3806"/>
      <c r="R79" s="3711"/>
      <c r="S79" s="3713"/>
      <c r="T79" s="3714"/>
      <c r="U79" s="3762"/>
      <c r="V79" s="3716"/>
      <c r="W79" s="3802"/>
      <c r="X79" s="3694"/>
      <c r="Y79" s="3705"/>
      <c r="Z79" s="3705"/>
      <c r="AA79" s="3792"/>
      <c r="AB79" s="3792"/>
      <c r="AC79" s="3792"/>
      <c r="AD79" s="3792"/>
      <c r="AE79" s="3792"/>
      <c r="AF79" s="3792"/>
      <c r="AG79" s="3792"/>
      <c r="AH79" s="3792"/>
      <c r="AI79" s="3792"/>
      <c r="AJ79" s="3808"/>
      <c r="AK79" s="3808"/>
      <c r="AL79" s="3807"/>
      <c r="AM79" s="3808"/>
      <c r="AN79" s="3809"/>
      <c r="AO79" s="3708"/>
      <c r="AP79" s="3708"/>
      <c r="AQ79" s="3696"/>
    </row>
    <row r="80" spans="1:43" s="765" customFormat="1" ht="78.75" customHeight="1" x14ac:dyDescent="0.25">
      <c r="A80" s="889"/>
      <c r="B80" s="890"/>
      <c r="C80" s="890"/>
      <c r="D80" s="891"/>
      <c r="E80" s="883"/>
      <c r="F80" s="892"/>
      <c r="G80" s="890"/>
      <c r="H80" s="890"/>
      <c r="I80" s="938"/>
      <c r="J80" s="913">
        <v>96</v>
      </c>
      <c r="K80" s="914" t="s">
        <v>751</v>
      </c>
      <c r="L80" s="914" t="s">
        <v>752</v>
      </c>
      <c r="M80" s="945">
        <v>2</v>
      </c>
      <c r="N80" s="859" t="s">
        <v>753</v>
      </c>
      <c r="O80" s="3688"/>
      <c r="P80" s="3714"/>
      <c r="Q80" s="946">
        <f>+V80/R74</f>
        <v>9.87353870602318E-2</v>
      </c>
      <c r="R80" s="3711"/>
      <c r="S80" s="3713"/>
      <c r="T80" s="947" t="s">
        <v>754</v>
      </c>
      <c r="U80" s="947" t="s">
        <v>755</v>
      </c>
      <c r="V80" s="944">
        <v>10774992</v>
      </c>
      <c r="W80" s="926">
        <v>20</v>
      </c>
      <c r="X80" s="863" t="s">
        <v>62</v>
      </c>
      <c r="Y80" s="3705"/>
      <c r="Z80" s="3705"/>
      <c r="AA80" s="3792"/>
      <c r="AB80" s="3792"/>
      <c r="AC80" s="3792"/>
      <c r="AD80" s="3792"/>
      <c r="AE80" s="3792"/>
      <c r="AF80" s="3792"/>
      <c r="AG80" s="3792"/>
      <c r="AH80" s="3792"/>
      <c r="AI80" s="3792"/>
      <c r="AJ80" s="3808"/>
      <c r="AK80" s="3808"/>
      <c r="AL80" s="3807"/>
      <c r="AM80" s="3808"/>
      <c r="AN80" s="3809"/>
      <c r="AO80" s="3709"/>
      <c r="AP80" s="3709"/>
      <c r="AQ80" s="3696"/>
    </row>
    <row r="81" spans="1:43" s="765" customFormat="1" ht="36.75" customHeight="1" x14ac:dyDescent="0.25">
      <c r="A81" s="825"/>
      <c r="B81" s="826"/>
      <c r="C81" s="826"/>
      <c r="D81" s="825"/>
      <c r="E81" s="826"/>
      <c r="F81" s="833"/>
      <c r="G81" s="887">
        <v>22</v>
      </c>
      <c r="H81" s="784" t="s">
        <v>756</v>
      </c>
      <c r="I81" s="784"/>
      <c r="J81" s="784"/>
      <c r="K81" s="785"/>
      <c r="L81" s="785"/>
      <c r="M81" s="820"/>
      <c r="N81" s="888"/>
      <c r="O81" s="820"/>
      <c r="P81" s="948"/>
      <c r="Q81" s="820"/>
      <c r="R81" s="822"/>
      <c r="S81" s="785"/>
      <c r="T81" s="785"/>
      <c r="U81" s="785"/>
      <c r="V81" s="785"/>
      <c r="W81" s="936"/>
      <c r="X81" s="937"/>
      <c r="Y81" s="820"/>
      <c r="Z81" s="820"/>
      <c r="AA81" s="820"/>
      <c r="AB81" s="820"/>
      <c r="AC81" s="820"/>
      <c r="AD81" s="820"/>
      <c r="AE81" s="820"/>
      <c r="AF81" s="820"/>
      <c r="AG81" s="820"/>
      <c r="AH81" s="820"/>
      <c r="AI81" s="820"/>
      <c r="AJ81" s="794"/>
      <c r="AK81" s="794"/>
      <c r="AL81" s="794"/>
      <c r="AM81" s="794"/>
      <c r="AN81" s="794"/>
      <c r="AO81" s="794"/>
      <c r="AP81" s="794"/>
      <c r="AQ81" s="794"/>
    </row>
    <row r="82" spans="1:43" s="765" customFormat="1" ht="60" customHeight="1" x14ac:dyDescent="0.25">
      <c r="A82" s="949"/>
      <c r="B82" s="950"/>
      <c r="C82" s="950"/>
      <c r="D82" s="949"/>
      <c r="E82" s="950"/>
      <c r="F82" s="951"/>
      <c r="G82" s="3803"/>
      <c r="H82" s="3803"/>
      <c r="I82" s="3804"/>
      <c r="J82" s="3721">
        <v>97</v>
      </c>
      <c r="K82" s="3713" t="s">
        <v>757</v>
      </c>
      <c r="L82" s="3713" t="s">
        <v>758</v>
      </c>
      <c r="M82" s="3705">
        <v>52</v>
      </c>
      <c r="N82" s="952"/>
      <c r="O82" s="3722" t="s">
        <v>759</v>
      </c>
      <c r="P82" s="3713" t="s">
        <v>760</v>
      </c>
      <c r="Q82" s="3723">
        <f>(+V82+V83)/R82</f>
        <v>1</v>
      </c>
      <c r="R82" s="3711">
        <f>+V82+V83</f>
        <v>30000000</v>
      </c>
      <c r="S82" s="3713" t="s">
        <v>761</v>
      </c>
      <c r="T82" s="3713" t="s">
        <v>762</v>
      </c>
      <c r="U82" s="3797" t="s">
        <v>763</v>
      </c>
      <c r="V82" s="953">
        <f>10000000</f>
        <v>10000000</v>
      </c>
      <c r="W82" s="954">
        <v>20</v>
      </c>
      <c r="X82" s="902" t="s">
        <v>764</v>
      </c>
      <c r="Y82" s="3738">
        <v>20555</v>
      </c>
      <c r="Z82" s="3705">
        <v>21361</v>
      </c>
      <c r="AA82" s="3705">
        <v>30460</v>
      </c>
      <c r="AB82" s="3705">
        <v>9593</v>
      </c>
      <c r="AC82" s="3705">
        <v>1762</v>
      </c>
      <c r="AD82" s="3705">
        <v>101</v>
      </c>
      <c r="AE82" s="3705">
        <v>308</v>
      </c>
      <c r="AF82" s="3705">
        <v>277</v>
      </c>
      <c r="AG82" s="3705">
        <v>0</v>
      </c>
      <c r="AH82" s="3705">
        <v>0</v>
      </c>
      <c r="AI82" s="3705">
        <v>0</v>
      </c>
      <c r="AJ82" s="3705">
        <v>0</v>
      </c>
      <c r="AK82" s="3792">
        <v>2907</v>
      </c>
      <c r="AL82" s="3792">
        <v>2589</v>
      </c>
      <c r="AM82" s="3792">
        <v>2954</v>
      </c>
      <c r="AN82" s="3705">
        <v>41916</v>
      </c>
      <c r="AO82" s="3695">
        <v>43497</v>
      </c>
      <c r="AP82" s="3695">
        <v>43615</v>
      </c>
      <c r="AQ82" s="3696" t="s">
        <v>587</v>
      </c>
    </row>
    <row r="83" spans="1:43" s="765" customFormat="1" ht="19.5" customHeight="1" x14ac:dyDescent="0.25">
      <c r="A83" s="949"/>
      <c r="B83" s="950"/>
      <c r="C83" s="950"/>
      <c r="D83" s="949"/>
      <c r="E83" s="950"/>
      <c r="F83" s="951"/>
      <c r="G83" s="3803"/>
      <c r="H83" s="3803"/>
      <c r="I83" s="3804"/>
      <c r="J83" s="3721"/>
      <c r="K83" s="3713"/>
      <c r="L83" s="3713"/>
      <c r="M83" s="3705"/>
      <c r="N83" s="952"/>
      <c r="O83" s="3722"/>
      <c r="P83" s="3713"/>
      <c r="Q83" s="3723"/>
      <c r="R83" s="3711"/>
      <c r="S83" s="3713"/>
      <c r="T83" s="3713"/>
      <c r="U83" s="3797"/>
      <c r="V83" s="3798">
        <f>0+20000000</f>
        <v>20000000</v>
      </c>
      <c r="W83" s="3799">
        <v>88</v>
      </c>
      <c r="X83" s="3800" t="s">
        <v>589</v>
      </c>
      <c r="Y83" s="3738"/>
      <c r="Z83" s="3705"/>
      <c r="AA83" s="3705"/>
      <c r="AB83" s="3705"/>
      <c r="AC83" s="3705"/>
      <c r="AD83" s="3705"/>
      <c r="AE83" s="3705"/>
      <c r="AF83" s="3705"/>
      <c r="AG83" s="3705"/>
      <c r="AH83" s="3705"/>
      <c r="AI83" s="3705"/>
      <c r="AJ83" s="3705"/>
      <c r="AK83" s="3705"/>
      <c r="AL83" s="3705"/>
      <c r="AM83" s="3705"/>
      <c r="AN83" s="3705"/>
      <c r="AO83" s="3796"/>
      <c r="AP83" s="3796"/>
      <c r="AQ83" s="3696"/>
    </row>
    <row r="84" spans="1:43" s="765" customFormat="1" ht="20.25" customHeight="1" x14ac:dyDescent="0.25">
      <c r="A84" s="949"/>
      <c r="B84" s="950"/>
      <c r="C84" s="950"/>
      <c r="D84" s="949"/>
      <c r="E84" s="950"/>
      <c r="F84" s="951"/>
      <c r="G84" s="3803"/>
      <c r="H84" s="3803"/>
      <c r="I84" s="3804"/>
      <c r="J84" s="3721"/>
      <c r="K84" s="3713"/>
      <c r="L84" s="3713"/>
      <c r="M84" s="3705"/>
      <c r="N84" s="952" t="s">
        <v>765</v>
      </c>
      <c r="O84" s="3722"/>
      <c r="P84" s="3713"/>
      <c r="Q84" s="3723"/>
      <c r="R84" s="3711"/>
      <c r="S84" s="3713"/>
      <c r="T84" s="3713"/>
      <c r="U84" s="3797"/>
      <c r="V84" s="3798"/>
      <c r="W84" s="3799"/>
      <c r="X84" s="3800"/>
      <c r="Y84" s="3738"/>
      <c r="Z84" s="3705"/>
      <c r="AA84" s="3705"/>
      <c r="AB84" s="3705"/>
      <c r="AC84" s="3705"/>
      <c r="AD84" s="3705"/>
      <c r="AE84" s="3705"/>
      <c r="AF84" s="3705"/>
      <c r="AG84" s="3705"/>
      <c r="AH84" s="3705"/>
      <c r="AI84" s="3705"/>
      <c r="AJ84" s="3705"/>
      <c r="AK84" s="3705"/>
      <c r="AL84" s="3705"/>
      <c r="AM84" s="3705"/>
      <c r="AN84" s="3705"/>
      <c r="AO84" s="3796"/>
      <c r="AP84" s="3796"/>
      <c r="AQ84" s="3696"/>
    </row>
    <row r="85" spans="1:43" s="765" customFormat="1" ht="37.5" customHeight="1" x14ac:dyDescent="0.25">
      <c r="A85" s="949"/>
      <c r="B85" s="950"/>
      <c r="C85" s="950"/>
      <c r="D85" s="949"/>
      <c r="E85" s="950"/>
      <c r="F85" s="951"/>
      <c r="G85" s="3803"/>
      <c r="H85" s="3803"/>
      <c r="I85" s="3804"/>
      <c r="J85" s="3721"/>
      <c r="K85" s="3713"/>
      <c r="L85" s="3713"/>
      <c r="M85" s="3705"/>
      <c r="N85" s="859" t="s">
        <v>766</v>
      </c>
      <c r="O85" s="3722"/>
      <c r="P85" s="3713"/>
      <c r="Q85" s="3723"/>
      <c r="R85" s="3711"/>
      <c r="S85" s="3713"/>
      <c r="T85" s="3713"/>
      <c r="U85" s="3797"/>
      <c r="V85" s="3798"/>
      <c r="W85" s="3799"/>
      <c r="X85" s="3800"/>
      <c r="Y85" s="3738"/>
      <c r="Z85" s="3705"/>
      <c r="AA85" s="3705"/>
      <c r="AB85" s="3705"/>
      <c r="AC85" s="3705"/>
      <c r="AD85" s="3705"/>
      <c r="AE85" s="3705"/>
      <c r="AF85" s="3705"/>
      <c r="AG85" s="3705"/>
      <c r="AH85" s="3705"/>
      <c r="AI85" s="3705"/>
      <c r="AJ85" s="3705"/>
      <c r="AK85" s="3705"/>
      <c r="AL85" s="3705"/>
      <c r="AM85" s="3705"/>
      <c r="AN85" s="3705"/>
      <c r="AO85" s="3796"/>
      <c r="AP85" s="3796"/>
      <c r="AQ85" s="3696"/>
    </row>
    <row r="86" spans="1:43" s="765" customFormat="1" ht="15.75" x14ac:dyDescent="0.25">
      <c r="A86" s="949"/>
      <c r="B86" s="950"/>
      <c r="C86" s="950"/>
      <c r="D86" s="955"/>
      <c r="E86" s="956"/>
      <c r="F86" s="957"/>
      <c r="G86" s="3803"/>
      <c r="H86" s="3803"/>
      <c r="I86" s="3804"/>
      <c r="J86" s="3721"/>
      <c r="K86" s="3713"/>
      <c r="L86" s="3713"/>
      <c r="M86" s="3705"/>
      <c r="N86" s="952"/>
      <c r="O86" s="3722"/>
      <c r="P86" s="3713"/>
      <c r="Q86" s="3723"/>
      <c r="R86" s="3711"/>
      <c r="S86" s="3713"/>
      <c r="T86" s="3713"/>
      <c r="U86" s="3797"/>
      <c r="V86" s="3798"/>
      <c r="W86" s="3799"/>
      <c r="X86" s="3800"/>
      <c r="Y86" s="3738"/>
      <c r="Z86" s="3705"/>
      <c r="AA86" s="3705"/>
      <c r="AB86" s="3705"/>
      <c r="AC86" s="3705"/>
      <c r="AD86" s="3705"/>
      <c r="AE86" s="3705"/>
      <c r="AF86" s="3705"/>
      <c r="AG86" s="3705"/>
      <c r="AH86" s="3705"/>
      <c r="AI86" s="3705"/>
      <c r="AJ86" s="3705"/>
      <c r="AK86" s="3705"/>
      <c r="AL86" s="3705"/>
      <c r="AM86" s="3705"/>
      <c r="AN86" s="3705"/>
      <c r="AO86" s="3796"/>
      <c r="AP86" s="3796"/>
      <c r="AQ86" s="3696"/>
    </row>
    <row r="87" spans="1:43" s="765" customFormat="1" ht="25.5" customHeight="1" x14ac:dyDescent="0.25">
      <c r="A87" s="958"/>
      <c r="B87" s="959"/>
      <c r="C87" s="960"/>
      <c r="D87" s="874">
        <v>7</v>
      </c>
      <c r="E87" s="875" t="s">
        <v>767</v>
      </c>
      <c r="F87" s="875"/>
      <c r="G87" s="961"/>
      <c r="H87" s="961"/>
      <c r="I87" s="961"/>
      <c r="J87" s="961"/>
      <c r="K87" s="962"/>
      <c r="L87" s="962"/>
      <c r="M87" s="961"/>
      <c r="N87" s="963"/>
      <c r="O87" s="963"/>
      <c r="P87" s="964"/>
      <c r="Q87" s="965"/>
      <c r="R87" s="966"/>
      <c r="S87" s="962"/>
      <c r="T87" s="962"/>
      <c r="U87" s="962"/>
      <c r="V87" s="962"/>
      <c r="W87" s="967"/>
      <c r="X87" s="968"/>
      <c r="Y87" s="963"/>
      <c r="Z87" s="963"/>
      <c r="AA87" s="969"/>
      <c r="AB87" s="969"/>
      <c r="AC87" s="969"/>
      <c r="AD87" s="969"/>
      <c r="AE87" s="969"/>
      <c r="AF87" s="969"/>
      <c r="AG87" s="969"/>
      <c r="AH87" s="970"/>
      <c r="AI87" s="970"/>
      <c r="AJ87" s="971"/>
      <c r="AK87" s="971"/>
      <c r="AL87" s="971"/>
      <c r="AM87" s="971"/>
      <c r="AN87" s="972"/>
      <c r="AO87" s="972"/>
      <c r="AP87" s="972"/>
      <c r="AQ87" s="972"/>
    </row>
    <row r="88" spans="1:43" s="765" customFormat="1" ht="25.5" customHeight="1" x14ac:dyDescent="0.25">
      <c r="A88" s="958"/>
      <c r="B88" s="959"/>
      <c r="C88" s="959"/>
      <c r="D88" s="780"/>
      <c r="E88" s="781"/>
      <c r="F88" s="782"/>
      <c r="G88" s="973">
        <v>23</v>
      </c>
      <c r="H88" s="784" t="s">
        <v>768</v>
      </c>
      <c r="I88" s="920"/>
      <c r="J88" s="920"/>
      <c r="K88" s="974"/>
      <c r="L88" s="974"/>
      <c r="M88" s="975"/>
      <c r="N88" s="821"/>
      <c r="O88" s="975"/>
      <c r="P88" s="976"/>
      <c r="Q88" s="975"/>
      <c r="R88" s="977"/>
      <c r="S88" s="974"/>
      <c r="T88" s="974"/>
      <c r="U88" s="974"/>
      <c r="V88" s="974"/>
      <c r="W88" s="821"/>
      <c r="X88" s="920"/>
      <c r="Y88" s="975"/>
      <c r="Z88" s="975"/>
      <c r="AA88" s="975"/>
      <c r="AB88" s="975"/>
      <c r="AC88" s="975"/>
      <c r="AD88" s="975"/>
      <c r="AE88" s="975"/>
      <c r="AF88" s="975"/>
      <c r="AG88" s="975"/>
      <c r="AH88" s="975"/>
      <c r="AI88" s="975"/>
      <c r="AJ88" s="978"/>
      <c r="AK88" s="978"/>
      <c r="AL88" s="978"/>
      <c r="AM88" s="978"/>
      <c r="AN88" s="978"/>
      <c r="AO88" s="978"/>
      <c r="AP88" s="978"/>
      <c r="AQ88" s="978"/>
    </row>
    <row r="89" spans="1:43" s="765" customFormat="1" ht="89.25" customHeight="1" x14ac:dyDescent="0.25">
      <c r="A89" s="958"/>
      <c r="B89" s="959"/>
      <c r="C89" s="959"/>
      <c r="D89" s="796"/>
      <c r="E89" s="797"/>
      <c r="F89" s="798"/>
      <c r="G89" s="979"/>
      <c r="H89" s="980"/>
      <c r="I89" s="981"/>
      <c r="J89" s="860">
        <v>98</v>
      </c>
      <c r="K89" s="839" t="s">
        <v>769</v>
      </c>
      <c r="L89" s="839" t="s">
        <v>770</v>
      </c>
      <c r="M89" s="893">
        <v>55</v>
      </c>
      <c r="N89" s="952"/>
      <c r="O89" s="3722" t="s">
        <v>771</v>
      </c>
      <c r="P89" s="3713" t="s">
        <v>772</v>
      </c>
      <c r="Q89" s="916"/>
      <c r="R89" s="3711">
        <f>+V91+V93</f>
        <v>0</v>
      </c>
      <c r="S89" s="3713" t="s">
        <v>773</v>
      </c>
      <c r="T89" s="839" t="s">
        <v>774</v>
      </c>
      <c r="U89" s="842" t="s">
        <v>775</v>
      </c>
      <c r="V89" s="906"/>
      <c r="W89" s="3683"/>
      <c r="X89" s="3793"/>
      <c r="Y89" s="3791">
        <v>20555</v>
      </c>
      <c r="Z89" s="3791">
        <v>21361</v>
      </c>
      <c r="AA89" s="3790">
        <v>30460</v>
      </c>
      <c r="AB89" s="3790">
        <v>9593</v>
      </c>
      <c r="AC89" s="3790">
        <v>1762</v>
      </c>
      <c r="AD89" s="3790">
        <v>101</v>
      </c>
      <c r="AE89" s="3790">
        <v>308</v>
      </c>
      <c r="AF89" s="3790">
        <v>277</v>
      </c>
      <c r="AG89" s="3790">
        <v>0</v>
      </c>
      <c r="AH89" s="3790">
        <v>0</v>
      </c>
      <c r="AI89" s="3790">
        <v>0</v>
      </c>
      <c r="AJ89" s="3785">
        <v>0</v>
      </c>
      <c r="AK89" s="3785">
        <v>2907</v>
      </c>
      <c r="AL89" s="3785">
        <v>2589</v>
      </c>
      <c r="AM89" s="3785">
        <v>2954</v>
      </c>
      <c r="AN89" s="3786">
        <v>41916</v>
      </c>
      <c r="AO89" s="3681"/>
      <c r="AP89" s="3787"/>
      <c r="AQ89" s="3672" t="s">
        <v>587</v>
      </c>
    </row>
    <row r="90" spans="1:43" s="765" customFormat="1" ht="81" customHeight="1" x14ac:dyDescent="0.25">
      <c r="A90" s="958"/>
      <c r="B90" s="959"/>
      <c r="C90" s="959"/>
      <c r="D90" s="796"/>
      <c r="E90" s="982"/>
      <c r="F90" s="798"/>
      <c r="G90" s="980"/>
      <c r="H90" s="980"/>
      <c r="I90" s="981"/>
      <c r="J90" s="904">
        <v>99</v>
      </c>
      <c r="K90" s="838" t="s">
        <v>776</v>
      </c>
      <c r="L90" s="838" t="s">
        <v>777</v>
      </c>
      <c r="M90" s="840">
        <v>150</v>
      </c>
      <c r="N90" s="983"/>
      <c r="O90" s="3722"/>
      <c r="P90" s="3713"/>
      <c r="Q90" s="895"/>
      <c r="R90" s="3711"/>
      <c r="S90" s="3713"/>
      <c r="T90" s="838" t="s">
        <v>778</v>
      </c>
      <c r="U90" s="984" t="s">
        <v>779</v>
      </c>
      <c r="V90" s="909"/>
      <c r="W90" s="3792"/>
      <c r="X90" s="3794"/>
      <c r="Y90" s="3791"/>
      <c r="Z90" s="3791"/>
      <c r="AA90" s="3790"/>
      <c r="AB90" s="3790"/>
      <c r="AC90" s="3790"/>
      <c r="AD90" s="3790"/>
      <c r="AE90" s="3790"/>
      <c r="AF90" s="3790"/>
      <c r="AG90" s="3790"/>
      <c r="AH90" s="3790"/>
      <c r="AI90" s="3790"/>
      <c r="AJ90" s="3785"/>
      <c r="AK90" s="3785"/>
      <c r="AL90" s="3785"/>
      <c r="AM90" s="3785"/>
      <c r="AN90" s="3786"/>
      <c r="AO90" s="3695"/>
      <c r="AP90" s="3788"/>
      <c r="AQ90" s="3752"/>
    </row>
    <row r="91" spans="1:43" s="765" customFormat="1" ht="98.25" customHeight="1" x14ac:dyDescent="0.25">
      <c r="A91" s="3777"/>
      <c r="B91" s="3777"/>
      <c r="C91" s="3777"/>
      <c r="D91" s="3778"/>
      <c r="E91" s="3778"/>
      <c r="F91" s="3778"/>
      <c r="G91" s="980"/>
      <c r="H91" s="980"/>
      <c r="I91" s="981"/>
      <c r="J91" s="904">
        <v>100</v>
      </c>
      <c r="K91" s="838" t="s">
        <v>780</v>
      </c>
      <c r="L91" s="838" t="s">
        <v>781</v>
      </c>
      <c r="M91" s="840">
        <v>6</v>
      </c>
      <c r="N91" s="952"/>
      <c r="O91" s="3722"/>
      <c r="P91" s="3713"/>
      <c r="Q91" s="895"/>
      <c r="R91" s="3711"/>
      <c r="S91" s="3713"/>
      <c r="T91" s="838" t="s">
        <v>780</v>
      </c>
      <c r="U91" s="984" t="s">
        <v>782</v>
      </c>
      <c r="V91" s="853"/>
      <c r="W91" s="3792"/>
      <c r="X91" s="3794"/>
      <c r="Y91" s="3791"/>
      <c r="Z91" s="3791"/>
      <c r="AA91" s="3790"/>
      <c r="AB91" s="3790"/>
      <c r="AC91" s="3790"/>
      <c r="AD91" s="3790"/>
      <c r="AE91" s="3790"/>
      <c r="AF91" s="3790"/>
      <c r="AG91" s="3790"/>
      <c r="AH91" s="3790"/>
      <c r="AI91" s="3790"/>
      <c r="AJ91" s="3785"/>
      <c r="AK91" s="3785"/>
      <c r="AL91" s="3785"/>
      <c r="AM91" s="3785"/>
      <c r="AN91" s="3786"/>
      <c r="AO91" s="3695"/>
      <c r="AP91" s="3788"/>
      <c r="AQ91" s="3752"/>
    </row>
    <row r="92" spans="1:43" s="765" customFormat="1" ht="85.5" customHeight="1" x14ac:dyDescent="0.25">
      <c r="A92" s="3777"/>
      <c r="B92" s="3777"/>
      <c r="C92" s="3777"/>
      <c r="D92" s="3778"/>
      <c r="E92" s="3778"/>
      <c r="F92" s="3778"/>
      <c r="G92" s="980"/>
      <c r="H92" s="980"/>
      <c r="I92" s="981"/>
      <c r="J92" s="904">
        <v>101</v>
      </c>
      <c r="K92" s="838" t="s">
        <v>783</v>
      </c>
      <c r="L92" s="838" t="s">
        <v>784</v>
      </c>
      <c r="M92" s="840">
        <v>54</v>
      </c>
      <c r="N92" s="952"/>
      <c r="O92" s="3722"/>
      <c r="P92" s="3713"/>
      <c r="Q92" s="895"/>
      <c r="R92" s="3711"/>
      <c r="S92" s="3713"/>
      <c r="T92" s="838" t="s">
        <v>785</v>
      </c>
      <c r="U92" s="846" t="s">
        <v>786</v>
      </c>
      <c r="V92" s="909"/>
      <c r="W92" s="3792"/>
      <c r="X92" s="3794"/>
      <c r="Y92" s="3791"/>
      <c r="Z92" s="3791"/>
      <c r="AA92" s="3790"/>
      <c r="AB92" s="3790"/>
      <c r="AC92" s="3790"/>
      <c r="AD92" s="3790"/>
      <c r="AE92" s="3790"/>
      <c r="AF92" s="3790"/>
      <c r="AG92" s="3790"/>
      <c r="AH92" s="3790"/>
      <c r="AI92" s="3790"/>
      <c r="AJ92" s="3785"/>
      <c r="AK92" s="3785"/>
      <c r="AL92" s="3785"/>
      <c r="AM92" s="3785"/>
      <c r="AN92" s="3786"/>
      <c r="AO92" s="3695"/>
      <c r="AP92" s="3788"/>
      <c r="AQ92" s="3752"/>
    </row>
    <row r="93" spans="1:43" s="765" customFormat="1" ht="70.5" customHeight="1" x14ac:dyDescent="0.25">
      <c r="A93" s="3777"/>
      <c r="B93" s="3777"/>
      <c r="C93" s="3777"/>
      <c r="D93" s="3778"/>
      <c r="E93" s="3778"/>
      <c r="F93" s="3778"/>
      <c r="G93" s="980"/>
      <c r="H93" s="980"/>
      <c r="I93" s="981"/>
      <c r="J93" s="913">
        <v>102</v>
      </c>
      <c r="K93" s="914" t="s">
        <v>787</v>
      </c>
      <c r="L93" s="914" t="s">
        <v>788</v>
      </c>
      <c r="M93" s="985">
        <v>1</v>
      </c>
      <c r="N93" s="952"/>
      <c r="O93" s="3722"/>
      <c r="P93" s="3713"/>
      <c r="Q93" s="905"/>
      <c r="R93" s="3711"/>
      <c r="S93" s="3713"/>
      <c r="T93" s="914" t="s">
        <v>789</v>
      </c>
      <c r="U93" s="929" t="s">
        <v>790</v>
      </c>
      <c r="V93" s="986"/>
      <c r="W93" s="3684"/>
      <c r="X93" s="3795"/>
      <c r="Y93" s="3791"/>
      <c r="Z93" s="3791"/>
      <c r="AA93" s="3790"/>
      <c r="AB93" s="3790"/>
      <c r="AC93" s="3790"/>
      <c r="AD93" s="3790"/>
      <c r="AE93" s="3790"/>
      <c r="AF93" s="3790"/>
      <c r="AG93" s="3790"/>
      <c r="AH93" s="3790"/>
      <c r="AI93" s="3790"/>
      <c r="AJ93" s="3785"/>
      <c r="AK93" s="3785"/>
      <c r="AL93" s="3785"/>
      <c r="AM93" s="3785"/>
      <c r="AN93" s="3786"/>
      <c r="AO93" s="3682"/>
      <c r="AP93" s="3789"/>
      <c r="AQ93" s="3671"/>
    </row>
    <row r="94" spans="1:43" s="765" customFormat="1" ht="26.25" customHeight="1" x14ac:dyDescent="0.25">
      <c r="A94" s="3777"/>
      <c r="B94" s="3777"/>
      <c r="C94" s="3777"/>
      <c r="D94" s="3778"/>
      <c r="E94" s="3778"/>
      <c r="F94" s="3778"/>
      <c r="G94" s="887">
        <v>24</v>
      </c>
      <c r="H94" s="784" t="s">
        <v>791</v>
      </c>
      <c r="I94" s="784"/>
      <c r="J94" s="784"/>
      <c r="K94" s="785"/>
      <c r="L94" s="785"/>
      <c r="M94" s="784"/>
      <c r="N94" s="888"/>
      <c r="O94" s="784"/>
      <c r="P94" s="948"/>
      <c r="Q94" s="787"/>
      <c r="R94" s="987"/>
      <c r="S94" s="785"/>
      <c r="T94" s="785"/>
      <c r="U94" s="785"/>
      <c r="V94" s="785"/>
      <c r="W94" s="919"/>
      <c r="X94" s="784"/>
      <c r="Y94" s="784"/>
      <c r="Z94" s="784"/>
      <c r="AA94" s="784"/>
      <c r="AB94" s="784"/>
      <c r="AC94" s="784"/>
      <c r="AD94" s="784"/>
      <c r="AE94" s="784"/>
      <c r="AF94" s="784"/>
      <c r="AG94" s="784"/>
      <c r="AH94" s="793"/>
      <c r="AI94" s="793"/>
      <c r="AJ94" s="794"/>
      <c r="AK94" s="794"/>
      <c r="AL94" s="794"/>
      <c r="AM94" s="794"/>
      <c r="AN94" s="794"/>
      <c r="AO94" s="794"/>
      <c r="AP94" s="794"/>
      <c r="AQ94" s="794"/>
    </row>
    <row r="95" spans="1:43" s="765" customFormat="1" ht="68.25" customHeight="1" x14ac:dyDescent="0.25">
      <c r="A95" s="3777"/>
      <c r="B95" s="3777"/>
      <c r="C95" s="3777"/>
      <c r="D95" s="3778"/>
      <c r="E95" s="3778"/>
      <c r="F95" s="3778"/>
      <c r="G95" s="980"/>
      <c r="H95" s="980"/>
      <c r="I95" s="981"/>
      <c r="J95" s="860">
        <v>103</v>
      </c>
      <c r="K95" s="839" t="s">
        <v>792</v>
      </c>
      <c r="L95" s="839" t="s">
        <v>793</v>
      </c>
      <c r="M95" s="893">
        <v>1</v>
      </c>
      <c r="O95" s="3687" t="s">
        <v>794</v>
      </c>
      <c r="P95" s="3712" t="s">
        <v>795</v>
      </c>
      <c r="Q95" s="988">
        <f>+V95/R95</f>
        <v>1.3996309129478067E-2</v>
      </c>
      <c r="R95" s="3780">
        <f>SUM(V95:V102)</f>
        <v>709972887</v>
      </c>
      <c r="S95" s="3693" t="s">
        <v>796</v>
      </c>
      <c r="T95" s="3712" t="s">
        <v>797</v>
      </c>
      <c r="U95" s="989" t="s">
        <v>798</v>
      </c>
      <c r="V95" s="850">
        <v>9937000</v>
      </c>
      <c r="W95" s="990" t="s">
        <v>61</v>
      </c>
      <c r="X95" s="863" t="s">
        <v>62</v>
      </c>
      <c r="Y95" s="3782">
        <v>20555</v>
      </c>
      <c r="Z95" s="3687">
        <v>21361</v>
      </c>
      <c r="AA95" s="3687">
        <v>30460</v>
      </c>
      <c r="AB95" s="3687">
        <v>9593</v>
      </c>
      <c r="AC95" s="3687">
        <v>1762</v>
      </c>
      <c r="AD95" s="3687">
        <v>101</v>
      </c>
      <c r="AE95" s="3687">
        <v>308</v>
      </c>
      <c r="AF95" s="3687">
        <v>277</v>
      </c>
      <c r="AG95" s="3687">
        <v>0</v>
      </c>
      <c r="AH95" s="3687">
        <v>0</v>
      </c>
      <c r="AI95" s="3687">
        <v>0</v>
      </c>
      <c r="AJ95" s="3687">
        <v>0</v>
      </c>
      <c r="AK95" s="3687">
        <v>2907</v>
      </c>
      <c r="AL95" s="3687">
        <v>2589</v>
      </c>
      <c r="AM95" s="3687">
        <v>2954</v>
      </c>
      <c r="AN95" s="3687">
        <v>41916</v>
      </c>
      <c r="AO95" s="3681">
        <v>43497</v>
      </c>
      <c r="AP95" s="3707">
        <v>43646</v>
      </c>
      <c r="AQ95" s="3707" t="s">
        <v>587</v>
      </c>
    </row>
    <row r="96" spans="1:43" s="765" customFormat="1" ht="56.25" customHeight="1" x14ac:dyDescent="0.25">
      <c r="A96" s="3777"/>
      <c r="B96" s="3777"/>
      <c r="C96" s="3777"/>
      <c r="D96" s="3778"/>
      <c r="E96" s="3778"/>
      <c r="F96" s="3778"/>
      <c r="G96" s="980"/>
      <c r="H96" s="980"/>
      <c r="I96" s="981"/>
      <c r="J96" s="3703">
        <v>104</v>
      </c>
      <c r="K96" s="3693" t="s">
        <v>799</v>
      </c>
      <c r="L96" s="3693" t="s">
        <v>800</v>
      </c>
      <c r="M96" s="3748">
        <v>50</v>
      </c>
      <c r="N96" s="991"/>
      <c r="O96" s="3722"/>
      <c r="P96" s="3713"/>
      <c r="Q96" s="3689">
        <f>(+V96+V97)/R95</f>
        <v>3.9936736344693684E-2</v>
      </c>
      <c r="R96" s="3745"/>
      <c r="S96" s="3771"/>
      <c r="T96" s="3713"/>
      <c r="U96" s="3693" t="s">
        <v>801</v>
      </c>
      <c r="V96" s="853">
        <v>9937000</v>
      </c>
      <c r="W96" s="990" t="s">
        <v>61</v>
      </c>
      <c r="X96" s="863" t="s">
        <v>62</v>
      </c>
      <c r="Y96" s="3783"/>
      <c r="Z96" s="3722"/>
      <c r="AA96" s="3722"/>
      <c r="AB96" s="3722"/>
      <c r="AC96" s="3722"/>
      <c r="AD96" s="3722"/>
      <c r="AE96" s="3722"/>
      <c r="AF96" s="3722"/>
      <c r="AG96" s="3722"/>
      <c r="AH96" s="3722"/>
      <c r="AI96" s="3722"/>
      <c r="AJ96" s="3722"/>
      <c r="AK96" s="3722"/>
      <c r="AL96" s="3722"/>
      <c r="AM96" s="3722"/>
      <c r="AN96" s="3722"/>
      <c r="AO96" s="3695"/>
      <c r="AP96" s="3708"/>
      <c r="AQ96" s="3708"/>
    </row>
    <row r="97" spans="1:43" s="765" customFormat="1" ht="33.75" customHeight="1" x14ac:dyDescent="0.25">
      <c r="A97" s="3777"/>
      <c r="B97" s="3777"/>
      <c r="C97" s="3777"/>
      <c r="D97" s="3778"/>
      <c r="E97" s="3778"/>
      <c r="F97" s="3778"/>
      <c r="G97" s="980"/>
      <c r="H97" s="980"/>
      <c r="I97" s="981"/>
      <c r="J97" s="3704"/>
      <c r="K97" s="3694"/>
      <c r="L97" s="3694"/>
      <c r="M97" s="3749"/>
      <c r="N97" s="991"/>
      <c r="O97" s="3722"/>
      <c r="P97" s="3713"/>
      <c r="Q97" s="3690"/>
      <c r="R97" s="3745"/>
      <c r="S97" s="3771"/>
      <c r="T97" s="3713"/>
      <c r="U97" s="3694"/>
      <c r="V97" s="933">
        <f>0+18417000</f>
        <v>18417000</v>
      </c>
      <c r="W97" s="990">
        <v>88</v>
      </c>
      <c r="X97" s="863" t="s">
        <v>802</v>
      </c>
      <c r="Y97" s="3783"/>
      <c r="Z97" s="3722"/>
      <c r="AA97" s="3722"/>
      <c r="AB97" s="3722"/>
      <c r="AC97" s="3722"/>
      <c r="AD97" s="3722"/>
      <c r="AE97" s="3722"/>
      <c r="AF97" s="3722"/>
      <c r="AG97" s="3722"/>
      <c r="AH97" s="3722"/>
      <c r="AI97" s="3722"/>
      <c r="AJ97" s="3722"/>
      <c r="AK97" s="3722"/>
      <c r="AL97" s="3722"/>
      <c r="AM97" s="3722"/>
      <c r="AN97" s="3722"/>
      <c r="AO97" s="3695"/>
      <c r="AP97" s="3708"/>
      <c r="AQ97" s="3708"/>
    </row>
    <row r="98" spans="1:43" s="765" customFormat="1" ht="47.25" customHeight="1" x14ac:dyDescent="0.25">
      <c r="A98" s="3777"/>
      <c r="B98" s="3777"/>
      <c r="C98" s="3777"/>
      <c r="D98" s="3778"/>
      <c r="E98" s="3778"/>
      <c r="F98" s="3778"/>
      <c r="G98" s="980"/>
      <c r="H98" s="980"/>
      <c r="I98" s="981"/>
      <c r="J98" s="3703">
        <v>105</v>
      </c>
      <c r="K98" s="3693" t="s">
        <v>803</v>
      </c>
      <c r="L98" s="3687" t="s">
        <v>800</v>
      </c>
      <c r="M98" s="3748">
        <v>47</v>
      </c>
      <c r="N98" s="991" t="s">
        <v>804</v>
      </c>
      <c r="O98" s="3722"/>
      <c r="P98" s="3713"/>
      <c r="Q98" s="3773">
        <f>(+V98+V99)/R95</f>
        <v>0.87564172996369649</v>
      </c>
      <c r="R98" s="3745"/>
      <c r="S98" s="3771"/>
      <c r="T98" s="3713"/>
      <c r="U98" s="3769" t="s">
        <v>805</v>
      </c>
      <c r="V98" s="933">
        <v>9937000</v>
      </c>
      <c r="W98" s="990" t="s">
        <v>61</v>
      </c>
      <c r="X98" s="992" t="s">
        <v>62</v>
      </c>
      <c r="Y98" s="3783"/>
      <c r="Z98" s="3722"/>
      <c r="AA98" s="3722"/>
      <c r="AB98" s="3722"/>
      <c r="AC98" s="3722"/>
      <c r="AD98" s="3722"/>
      <c r="AE98" s="3722"/>
      <c r="AF98" s="3722"/>
      <c r="AG98" s="3722"/>
      <c r="AH98" s="3722"/>
      <c r="AI98" s="3722"/>
      <c r="AJ98" s="3722"/>
      <c r="AK98" s="3722"/>
      <c r="AL98" s="3722"/>
      <c r="AM98" s="3722"/>
      <c r="AN98" s="3722"/>
      <c r="AO98" s="3695"/>
      <c r="AP98" s="3708"/>
      <c r="AQ98" s="3708"/>
    </row>
    <row r="99" spans="1:43" s="765" customFormat="1" ht="42.75" customHeight="1" x14ac:dyDescent="0.25">
      <c r="A99" s="3777"/>
      <c r="B99" s="3777"/>
      <c r="C99" s="3777"/>
      <c r="D99" s="3778"/>
      <c r="E99" s="3778"/>
      <c r="F99" s="3778"/>
      <c r="G99" s="980"/>
      <c r="H99" s="980"/>
      <c r="I99" s="981"/>
      <c r="J99" s="3721"/>
      <c r="K99" s="3771"/>
      <c r="L99" s="3722"/>
      <c r="M99" s="3772"/>
      <c r="N99" s="993" t="s">
        <v>806</v>
      </c>
      <c r="O99" s="3722"/>
      <c r="P99" s="3713"/>
      <c r="Q99" s="3774"/>
      <c r="R99" s="3745"/>
      <c r="S99" s="3771"/>
      <c r="T99" s="3713"/>
      <c r="U99" s="3776"/>
      <c r="V99" s="3763">
        <v>611744887</v>
      </c>
      <c r="W99" s="3765">
        <v>88</v>
      </c>
      <c r="X99" s="3767" t="s">
        <v>802</v>
      </c>
      <c r="Y99" s="3783"/>
      <c r="Z99" s="3722"/>
      <c r="AA99" s="3722"/>
      <c r="AB99" s="3722"/>
      <c r="AC99" s="3722"/>
      <c r="AD99" s="3722"/>
      <c r="AE99" s="3722"/>
      <c r="AF99" s="3722"/>
      <c r="AG99" s="3722"/>
      <c r="AH99" s="3722"/>
      <c r="AI99" s="3722"/>
      <c r="AJ99" s="3722"/>
      <c r="AK99" s="3722"/>
      <c r="AL99" s="3722"/>
      <c r="AM99" s="3722"/>
      <c r="AN99" s="3722"/>
      <c r="AO99" s="3695"/>
      <c r="AP99" s="3708"/>
      <c r="AQ99" s="3708"/>
    </row>
    <row r="100" spans="1:43" s="765" customFormat="1" ht="54" customHeight="1" x14ac:dyDescent="0.25">
      <c r="A100" s="3777"/>
      <c r="B100" s="3777"/>
      <c r="C100" s="3777"/>
      <c r="D100" s="3778"/>
      <c r="E100" s="3778"/>
      <c r="F100" s="3778"/>
      <c r="G100" s="980"/>
      <c r="H100" s="980"/>
      <c r="I100" s="981"/>
      <c r="J100" s="3704"/>
      <c r="K100" s="3694"/>
      <c r="L100" s="3688"/>
      <c r="M100" s="3749"/>
      <c r="N100" s="993"/>
      <c r="O100" s="3722"/>
      <c r="P100" s="3713"/>
      <c r="Q100" s="3775"/>
      <c r="R100" s="3745"/>
      <c r="S100" s="3771"/>
      <c r="T100" s="3713"/>
      <c r="U100" s="3770"/>
      <c r="V100" s="3764"/>
      <c r="W100" s="3766"/>
      <c r="X100" s="3768"/>
      <c r="Y100" s="3783"/>
      <c r="Z100" s="3722"/>
      <c r="AA100" s="3722"/>
      <c r="AB100" s="3722"/>
      <c r="AC100" s="3722"/>
      <c r="AD100" s="3722"/>
      <c r="AE100" s="3722"/>
      <c r="AF100" s="3722"/>
      <c r="AG100" s="3722"/>
      <c r="AH100" s="3722"/>
      <c r="AI100" s="3722"/>
      <c r="AJ100" s="3722"/>
      <c r="AK100" s="3722"/>
      <c r="AL100" s="3722"/>
      <c r="AM100" s="3722"/>
      <c r="AN100" s="3722"/>
      <c r="AO100" s="3695"/>
      <c r="AP100" s="3708"/>
      <c r="AQ100" s="3708"/>
    </row>
    <row r="101" spans="1:43" s="765" customFormat="1" ht="33" customHeight="1" x14ac:dyDescent="0.25">
      <c r="A101" s="3777"/>
      <c r="B101" s="3777"/>
      <c r="C101" s="3777"/>
      <c r="D101" s="3778"/>
      <c r="E101" s="3778"/>
      <c r="F101" s="3778"/>
      <c r="G101" s="980"/>
      <c r="H101" s="980"/>
      <c r="I101" s="981"/>
      <c r="J101" s="3703">
        <v>106</v>
      </c>
      <c r="K101" s="3693" t="s">
        <v>807</v>
      </c>
      <c r="L101" s="3693" t="s">
        <v>808</v>
      </c>
      <c r="M101" s="3703">
        <v>1</v>
      </c>
      <c r="N101" s="991"/>
      <c r="O101" s="3722"/>
      <c r="P101" s="3713"/>
      <c r="Q101" s="3689">
        <f>(+V101+V102)/R95</f>
        <v>7.0425224562131766E-2</v>
      </c>
      <c r="R101" s="3745"/>
      <c r="S101" s="3771"/>
      <c r="T101" s="3713"/>
      <c r="U101" s="3769" t="s">
        <v>809</v>
      </c>
      <c r="V101" s="834">
        <v>15900000</v>
      </c>
      <c r="W101" s="802" t="s">
        <v>61</v>
      </c>
      <c r="X101" s="807" t="s">
        <v>62</v>
      </c>
      <c r="Y101" s="3783"/>
      <c r="Z101" s="3722"/>
      <c r="AA101" s="3722"/>
      <c r="AB101" s="3722"/>
      <c r="AC101" s="3722"/>
      <c r="AD101" s="3722"/>
      <c r="AE101" s="3722"/>
      <c r="AF101" s="3722"/>
      <c r="AG101" s="3722"/>
      <c r="AH101" s="3722"/>
      <c r="AI101" s="3722"/>
      <c r="AJ101" s="3722"/>
      <c r="AK101" s="3722"/>
      <c r="AL101" s="3722"/>
      <c r="AM101" s="3722"/>
      <c r="AN101" s="3722"/>
      <c r="AO101" s="3695"/>
      <c r="AP101" s="3708"/>
      <c r="AQ101" s="3708"/>
    </row>
    <row r="102" spans="1:43" s="765" customFormat="1" ht="45" customHeight="1" x14ac:dyDescent="0.25">
      <c r="A102" s="3777"/>
      <c r="B102" s="3777"/>
      <c r="C102" s="3777"/>
      <c r="D102" s="3778"/>
      <c r="E102" s="3778"/>
      <c r="F102" s="3778"/>
      <c r="G102" s="980"/>
      <c r="H102" s="980"/>
      <c r="I102" s="980"/>
      <c r="J102" s="3704"/>
      <c r="K102" s="3694"/>
      <c r="L102" s="3694"/>
      <c r="M102" s="3704"/>
      <c r="N102" s="994"/>
      <c r="O102" s="995"/>
      <c r="P102" s="854"/>
      <c r="Q102" s="3690"/>
      <c r="R102" s="3781"/>
      <c r="S102" s="996"/>
      <c r="T102" s="854"/>
      <c r="U102" s="3770"/>
      <c r="V102" s="834">
        <f>0+34100000</f>
        <v>34100000</v>
      </c>
      <c r="W102" s="802">
        <v>88</v>
      </c>
      <c r="X102" s="807" t="s">
        <v>802</v>
      </c>
      <c r="Y102" s="3784"/>
      <c r="Z102" s="3688"/>
      <c r="AA102" s="3688"/>
      <c r="AB102" s="3688"/>
      <c r="AC102" s="3688"/>
      <c r="AD102" s="3688"/>
      <c r="AE102" s="3688"/>
      <c r="AF102" s="3688"/>
      <c r="AG102" s="3688"/>
      <c r="AH102" s="3688"/>
      <c r="AI102" s="3688"/>
      <c r="AJ102" s="3688"/>
      <c r="AK102" s="3688"/>
      <c r="AL102" s="3688"/>
      <c r="AM102" s="3688"/>
      <c r="AN102" s="3688"/>
      <c r="AO102" s="3682"/>
      <c r="AP102" s="3709"/>
      <c r="AQ102" s="3709"/>
    </row>
    <row r="103" spans="1:43" s="765" customFormat="1" ht="41.25" customHeight="1" x14ac:dyDescent="0.25">
      <c r="A103" s="3777"/>
      <c r="B103" s="3777"/>
      <c r="C103" s="3777"/>
      <c r="D103" s="3778"/>
      <c r="E103" s="3778"/>
      <c r="F103" s="3778"/>
      <c r="G103" s="980"/>
      <c r="H103" s="980"/>
      <c r="I103" s="980"/>
      <c r="J103" s="3755">
        <v>107</v>
      </c>
      <c r="K103" s="3760" t="s">
        <v>810</v>
      </c>
      <c r="L103" s="3760" t="s">
        <v>811</v>
      </c>
      <c r="M103" s="3755">
        <v>1</v>
      </c>
      <c r="N103" s="997"/>
      <c r="O103" s="3727" t="s">
        <v>812</v>
      </c>
      <c r="P103" s="3727" t="s">
        <v>813</v>
      </c>
      <c r="Q103" s="3756">
        <f>SUM(V103:V106)/R103</f>
        <v>1</v>
      </c>
      <c r="R103" s="3759">
        <f>SUM(V103:V106)</f>
        <v>1294717884</v>
      </c>
      <c r="S103" s="3760" t="s">
        <v>796</v>
      </c>
      <c r="T103" s="3760" t="s">
        <v>797</v>
      </c>
      <c r="U103" s="3761" t="s">
        <v>814</v>
      </c>
      <c r="V103" s="998">
        <v>150000000</v>
      </c>
      <c r="W103" s="942">
        <v>35</v>
      </c>
      <c r="X103" s="943" t="s">
        <v>815</v>
      </c>
      <c r="Y103" s="3741">
        <v>20555</v>
      </c>
      <c r="Z103" s="3755">
        <v>21361</v>
      </c>
      <c r="AA103" s="3753">
        <v>30460</v>
      </c>
      <c r="AB103" s="3754">
        <v>9593</v>
      </c>
      <c r="AC103" s="3753">
        <v>1762</v>
      </c>
      <c r="AD103" s="3754">
        <v>101</v>
      </c>
      <c r="AE103" s="3754">
        <v>308</v>
      </c>
      <c r="AF103" s="3753">
        <v>277</v>
      </c>
      <c r="AG103" s="3754">
        <v>0</v>
      </c>
      <c r="AH103" s="3754">
        <v>0</v>
      </c>
      <c r="AI103" s="3754">
        <v>0</v>
      </c>
      <c r="AJ103" s="3750">
        <v>0</v>
      </c>
      <c r="AK103" s="3750">
        <v>2907</v>
      </c>
      <c r="AL103" s="3750">
        <v>2589</v>
      </c>
      <c r="AM103" s="3750">
        <v>2954</v>
      </c>
      <c r="AN103" s="3751">
        <v>41916</v>
      </c>
      <c r="AO103" s="3681">
        <v>43466</v>
      </c>
      <c r="AP103" s="3681">
        <v>43497</v>
      </c>
      <c r="AQ103" s="3752" t="s">
        <v>587</v>
      </c>
    </row>
    <row r="104" spans="1:43" s="765" customFormat="1" ht="32.25" customHeight="1" x14ac:dyDescent="0.25">
      <c r="A104" s="3777"/>
      <c r="B104" s="3777"/>
      <c r="C104" s="3777"/>
      <c r="D104" s="3778"/>
      <c r="E104" s="3778"/>
      <c r="F104" s="3778"/>
      <c r="G104" s="980"/>
      <c r="H104" s="980"/>
      <c r="I104" s="980"/>
      <c r="J104" s="3755"/>
      <c r="K104" s="3760"/>
      <c r="L104" s="3760"/>
      <c r="M104" s="3755"/>
      <c r="N104" s="999" t="s">
        <v>816</v>
      </c>
      <c r="O104" s="3727"/>
      <c r="P104" s="3727"/>
      <c r="Q104" s="3757"/>
      <c r="R104" s="3759"/>
      <c r="S104" s="3760"/>
      <c r="T104" s="3760"/>
      <c r="U104" s="3762"/>
      <c r="V104" s="1000">
        <v>44717884</v>
      </c>
      <c r="W104" s="926">
        <v>20</v>
      </c>
      <c r="X104" s="863" t="s">
        <v>817</v>
      </c>
      <c r="Y104" s="3741"/>
      <c r="Z104" s="3755"/>
      <c r="AA104" s="3753"/>
      <c r="AB104" s="3754"/>
      <c r="AC104" s="3753"/>
      <c r="AD104" s="3754"/>
      <c r="AE104" s="3754"/>
      <c r="AF104" s="3753"/>
      <c r="AG104" s="3754"/>
      <c r="AH104" s="3754"/>
      <c r="AI104" s="3754"/>
      <c r="AJ104" s="3750"/>
      <c r="AK104" s="3750"/>
      <c r="AL104" s="3750"/>
      <c r="AM104" s="3750"/>
      <c r="AN104" s="3751"/>
      <c r="AO104" s="3695"/>
      <c r="AP104" s="3695"/>
      <c r="AQ104" s="3752"/>
    </row>
    <row r="105" spans="1:43" s="765" customFormat="1" ht="46.5" customHeight="1" x14ac:dyDescent="0.25">
      <c r="A105" s="3777"/>
      <c r="B105" s="3777"/>
      <c r="C105" s="3777"/>
      <c r="D105" s="3778"/>
      <c r="E105" s="3778"/>
      <c r="F105" s="3778"/>
      <c r="G105" s="980"/>
      <c r="H105" s="980"/>
      <c r="I105" s="980"/>
      <c r="J105" s="3755"/>
      <c r="K105" s="3760"/>
      <c r="L105" s="3760"/>
      <c r="M105" s="3755"/>
      <c r="N105" s="995" t="s">
        <v>818</v>
      </c>
      <c r="O105" s="3727"/>
      <c r="P105" s="3727"/>
      <c r="Q105" s="3757"/>
      <c r="R105" s="3759"/>
      <c r="S105" s="3760"/>
      <c r="T105" s="3760"/>
      <c r="U105" s="1001" t="s">
        <v>819</v>
      </c>
      <c r="V105" s="1000">
        <v>1000000000</v>
      </c>
      <c r="W105" s="802">
        <v>88</v>
      </c>
      <c r="X105" s="807" t="s">
        <v>802</v>
      </c>
      <c r="Y105" s="3741"/>
      <c r="Z105" s="3755"/>
      <c r="AA105" s="3753"/>
      <c r="AB105" s="3754"/>
      <c r="AC105" s="3753"/>
      <c r="AD105" s="3754"/>
      <c r="AE105" s="3754"/>
      <c r="AF105" s="3753"/>
      <c r="AG105" s="3754"/>
      <c r="AH105" s="3754"/>
      <c r="AI105" s="3754"/>
      <c r="AJ105" s="3750"/>
      <c r="AK105" s="3750"/>
      <c r="AL105" s="3750"/>
      <c r="AM105" s="3750"/>
      <c r="AN105" s="3751"/>
      <c r="AO105" s="3695"/>
      <c r="AP105" s="3695"/>
      <c r="AQ105" s="3752"/>
    </row>
    <row r="106" spans="1:43" s="765" customFormat="1" ht="76.5" customHeight="1" x14ac:dyDescent="0.25">
      <c r="A106" s="3777"/>
      <c r="B106" s="3777"/>
      <c r="C106" s="3777"/>
      <c r="D106" s="3779"/>
      <c r="E106" s="3779"/>
      <c r="F106" s="3779"/>
      <c r="G106" s="980"/>
      <c r="H106" s="980"/>
      <c r="I106" s="980"/>
      <c r="J106" s="3755"/>
      <c r="K106" s="3760"/>
      <c r="L106" s="3760"/>
      <c r="M106" s="3755"/>
      <c r="N106" s="1002" t="s">
        <v>820</v>
      </c>
      <c r="O106" s="3727"/>
      <c r="P106" s="3727"/>
      <c r="Q106" s="3758"/>
      <c r="R106" s="3759"/>
      <c r="S106" s="3760"/>
      <c r="T106" s="3760"/>
      <c r="U106" s="849" t="s">
        <v>821</v>
      </c>
      <c r="V106" s="931">
        <v>100000000</v>
      </c>
      <c r="W106" s="926">
        <v>20</v>
      </c>
      <c r="X106" s="863" t="s">
        <v>817</v>
      </c>
      <c r="Y106" s="3741"/>
      <c r="Z106" s="3755"/>
      <c r="AA106" s="3753"/>
      <c r="AB106" s="3754"/>
      <c r="AC106" s="3753"/>
      <c r="AD106" s="3754"/>
      <c r="AE106" s="3754"/>
      <c r="AF106" s="3753"/>
      <c r="AG106" s="3754"/>
      <c r="AH106" s="3754"/>
      <c r="AI106" s="3754"/>
      <c r="AJ106" s="3750"/>
      <c r="AK106" s="3750"/>
      <c r="AL106" s="3750"/>
      <c r="AM106" s="3750"/>
      <c r="AN106" s="3751"/>
      <c r="AO106" s="3682"/>
      <c r="AP106" s="3682"/>
      <c r="AQ106" s="3752"/>
    </row>
    <row r="107" spans="1:43" s="765" customFormat="1" ht="29.25" customHeight="1" x14ac:dyDescent="0.25">
      <c r="A107" s="958"/>
      <c r="B107" s="959"/>
      <c r="C107" s="960"/>
      <c r="D107" s="874">
        <v>8</v>
      </c>
      <c r="E107" s="875" t="s">
        <v>822</v>
      </c>
      <c r="F107" s="875"/>
      <c r="G107" s="770"/>
      <c r="H107" s="770"/>
      <c r="I107" s="770"/>
      <c r="J107" s="875"/>
      <c r="K107" s="876"/>
      <c r="L107" s="876"/>
      <c r="M107" s="1003"/>
      <c r="N107" s="1004"/>
      <c r="O107" s="1004"/>
      <c r="P107" s="1005"/>
      <c r="Q107" s="1006"/>
      <c r="R107" s="1007"/>
      <c r="S107" s="876"/>
      <c r="T107" s="876"/>
      <c r="U107" s="876"/>
      <c r="V107" s="876"/>
      <c r="W107" s="1008"/>
      <c r="X107" s="875"/>
      <c r="Y107" s="1004"/>
      <c r="Z107" s="1004"/>
      <c r="AA107" s="1009"/>
      <c r="AB107" s="1009"/>
      <c r="AC107" s="1009"/>
      <c r="AD107" s="1009"/>
      <c r="AE107" s="1009"/>
      <c r="AF107" s="1009"/>
      <c r="AG107" s="1009"/>
      <c r="AH107" s="1008"/>
      <c r="AI107" s="1008"/>
      <c r="AJ107" s="1010"/>
      <c r="AK107" s="1010"/>
      <c r="AL107" s="1010"/>
      <c r="AM107" s="1010"/>
      <c r="AN107" s="1011"/>
      <c r="AO107" s="1011"/>
      <c r="AP107" s="1011"/>
      <c r="AQ107" s="1011"/>
    </row>
    <row r="108" spans="1:43" s="765" customFormat="1" ht="29.25" customHeight="1" x14ac:dyDescent="0.25">
      <c r="A108" s="958"/>
      <c r="B108" s="959"/>
      <c r="C108" s="959"/>
      <c r="D108" s="1012"/>
      <c r="E108" s="1013"/>
      <c r="F108" s="1014"/>
      <c r="G108" s="887">
        <v>25</v>
      </c>
      <c r="H108" s="784" t="s">
        <v>823</v>
      </c>
      <c r="I108" s="784"/>
      <c r="J108" s="784"/>
      <c r="K108" s="785"/>
      <c r="L108" s="785"/>
      <c r="M108" s="820"/>
      <c r="N108" s="888"/>
      <c r="O108" s="820"/>
      <c r="P108" s="948"/>
      <c r="Q108" s="820"/>
      <c r="R108" s="822"/>
      <c r="S108" s="785"/>
      <c r="T108" s="785"/>
      <c r="U108" s="785"/>
      <c r="V108" s="785"/>
      <c r="W108" s="919"/>
      <c r="X108" s="784"/>
      <c r="Y108" s="820"/>
      <c r="Z108" s="820"/>
      <c r="AA108" s="820"/>
      <c r="AB108" s="820"/>
      <c r="AC108" s="820"/>
      <c r="AD108" s="820"/>
      <c r="AE108" s="820"/>
      <c r="AF108" s="820"/>
      <c r="AG108" s="820"/>
      <c r="AH108" s="820"/>
      <c r="AI108" s="820"/>
      <c r="AJ108" s="794"/>
      <c r="AK108" s="794"/>
      <c r="AL108" s="794"/>
      <c r="AM108" s="794"/>
      <c r="AN108" s="794"/>
      <c r="AO108" s="794"/>
      <c r="AP108" s="794"/>
      <c r="AQ108" s="794"/>
    </row>
    <row r="109" spans="1:43" s="765" customFormat="1" ht="57" customHeight="1" x14ac:dyDescent="0.25">
      <c r="A109" s="958"/>
      <c r="B109" s="959"/>
      <c r="C109" s="959"/>
      <c r="D109" s="1015"/>
      <c r="E109" s="1016"/>
      <c r="F109" s="1017"/>
      <c r="G109" s="890"/>
      <c r="H109" s="890"/>
      <c r="I109" s="890"/>
      <c r="J109" s="3703">
        <v>108</v>
      </c>
      <c r="K109" s="3693" t="s">
        <v>824</v>
      </c>
      <c r="L109" s="3693" t="s">
        <v>825</v>
      </c>
      <c r="M109" s="3748">
        <v>4</v>
      </c>
      <c r="N109" s="3687" t="s">
        <v>826</v>
      </c>
      <c r="O109" s="3687" t="s">
        <v>827</v>
      </c>
      <c r="P109" s="3713" t="s">
        <v>828</v>
      </c>
      <c r="Q109" s="3689">
        <f>V109/R109</f>
        <v>0.27072585259981274</v>
      </c>
      <c r="R109" s="3745">
        <f>+V109+V111</f>
        <v>36705028</v>
      </c>
      <c r="S109" s="3713" t="s">
        <v>829</v>
      </c>
      <c r="T109" s="3693" t="s">
        <v>830</v>
      </c>
      <c r="U109" s="3746" t="s">
        <v>831</v>
      </c>
      <c r="V109" s="3743">
        <v>9937000</v>
      </c>
      <c r="W109" s="3717">
        <v>20</v>
      </c>
      <c r="X109" s="3710" t="s">
        <v>499</v>
      </c>
      <c r="Y109" s="3685">
        <v>20555</v>
      </c>
      <c r="Z109" s="3685">
        <v>21361</v>
      </c>
      <c r="AA109" s="3685">
        <v>30460</v>
      </c>
      <c r="AB109" s="3685">
        <v>9593</v>
      </c>
      <c r="AC109" s="3685">
        <v>1762</v>
      </c>
      <c r="AD109" s="3685">
        <v>101</v>
      </c>
      <c r="AE109" s="3685">
        <v>308</v>
      </c>
      <c r="AF109" s="3685">
        <v>277</v>
      </c>
      <c r="AG109" s="3685">
        <v>0</v>
      </c>
      <c r="AH109" s="3685">
        <v>0</v>
      </c>
      <c r="AI109" s="3685">
        <v>0</v>
      </c>
      <c r="AJ109" s="3685">
        <v>0</v>
      </c>
      <c r="AK109" s="3685">
        <v>2907</v>
      </c>
      <c r="AL109" s="3685">
        <v>2589</v>
      </c>
      <c r="AM109" s="3685">
        <v>2954</v>
      </c>
      <c r="AN109" s="3685">
        <v>41916</v>
      </c>
      <c r="AO109" s="3707"/>
      <c r="AP109" s="3707"/>
      <c r="AQ109" s="3671" t="s">
        <v>587</v>
      </c>
    </row>
    <row r="110" spans="1:43" s="765" customFormat="1" ht="56.25" customHeight="1" x14ac:dyDescent="0.25">
      <c r="A110" s="958"/>
      <c r="B110" s="959"/>
      <c r="C110" s="959"/>
      <c r="D110" s="1015"/>
      <c r="E110" s="1016"/>
      <c r="F110" s="1017"/>
      <c r="G110" s="890"/>
      <c r="H110" s="890"/>
      <c r="I110" s="890"/>
      <c r="J110" s="3704"/>
      <c r="K110" s="3694"/>
      <c r="L110" s="3694"/>
      <c r="M110" s="3749"/>
      <c r="N110" s="3722"/>
      <c r="O110" s="3722"/>
      <c r="P110" s="3713"/>
      <c r="Q110" s="3690"/>
      <c r="R110" s="3745"/>
      <c r="S110" s="3713"/>
      <c r="T110" s="3694"/>
      <c r="U110" s="3747"/>
      <c r="V110" s="3744"/>
      <c r="W110" s="3717"/>
      <c r="X110" s="3710"/>
      <c r="Y110" s="3705"/>
      <c r="Z110" s="3705"/>
      <c r="AA110" s="3705"/>
      <c r="AB110" s="3705"/>
      <c r="AC110" s="3705"/>
      <c r="AD110" s="3705"/>
      <c r="AE110" s="3705"/>
      <c r="AF110" s="3705"/>
      <c r="AG110" s="3705"/>
      <c r="AH110" s="3705"/>
      <c r="AI110" s="3705"/>
      <c r="AJ110" s="3705"/>
      <c r="AK110" s="3705"/>
      <c r="AL110" s="3705"/>
      <c r="AM110" s="3705"/>
      <c r="AN110" s="3705"/>
      <c r="AO110" s="3708"/>
      <c r="AP110" s="3708"/>
      <c r="AQ110" s="3696"/>
    </row>
    <row r="111" spans="1:43" s="765" customFormat="1" ht="101.25" customHeight="1" x14ac:dyDescent="0.25">
      <c r="A111" s="958"/>
      <c r="B111" s="959"/>
      <c r="C111" s="959"/>
      <c r="D111" s="1015"/>
      <c r="E111" s="1016"/>
      <c r="F111" s="1017"/>
      <c r="G111" s="890"/>
      <c r="H111" s="890"/>
      <c r="I111" s="890"/>
      <c r="J111" s="913">
        <v>109</v>
      </c>
      <c r="K111" s="914" t="s">
        <v>832</v>
      </c>
      <c r="L111" s="914" t="s">
        <v>833</v>
      </c>
      <c r="M111" s="915">
        <v>52</v>
      </c>
      <c r="N111" s="3688"/>
      <c r="O111" s="3688"/>
      <c r="P111" s="3713"/>
      <c r="Q111" s="916">
        <f>V111/R109</f>
        <v>0.72927414740018726</v>
      </c>
      <c r="R111" s="3745"/>
      <c r="S111" s="3713"/>
      <c r="T111" s="914" t="s">
        <v>834</v>
      </c>
      <c r="U111" s="917" t="s">
        <v>835</v>
      </c>
      <c r="V111" s="933">
        <v>26768028</v>
      </c>
      <c r="W111" s="910">
        <v>20</v>
      </c>
      <c r="X111" s="911" t="s">
        <v>62</v>
      </c>
      <c r="Y111" s="3686"/>
      <c r="Z111" s="3686"/>
      <c r="AA111" s="3686"/>
      <c r="AB111" s="3686"/>
      <c r="AC111" s="3686"/>
      <c r="AD111" s="3686"/>
      <c r="AE111" s="3686"/>
      <c r="AF111" s="3686"/>
      <c r="AG111" s="3686"/>
      <c r="AH111" s="3686"/>
      <c r="AI111" s="3686"/>
      <c r="AJ111" s="3686"/>
      <c r="AK111" s="3686"/>
      <c r="AL111" s="3686"/>
      <c r="AM111" s="3686"/>
      <c r="AN111" s="3686"/>
      <c r="AO111" s="3709"/>
      <c r="AP111" s="3709"/>
      <c r="AQ111" s="3672"/>
    </row>
    <row r="112" spans="1:43" s="765" customFormat="1" ht="24.75" customHeight="1" x14ac:dyDescent="0.25">
      <c r="A112" s="1018"/>
      <c r="B112" s="1019"/>
      <c r="C112" s="1019"/>
      <c r="D112" s="1018"/>
      <c r="E112" s="1019"/>
      <c r="F112" s="1020"/>
      <c r="G112" s="887">
        <v>26</v>
      </c>
      <c r="H112" s="784" t="s">
        <v>836</v>
      </c>
      <c r="I112" s="784"/>
      <c r="J112" s="784"/>
      <c r="K112" s="785"/>
      <c r="L112" s="785"/>
      <c r="M112" s="820"/>
      <c r="N112" s="888"/>
      <c r="O112" s="820"/>
      <c r="P112" s="948"/>
      <c r="Q112" s="820"/>
      <c r="R112" s="822"/>
      <c r="S112" s="785"/>
      <c r="T112" s="785"/>
      <c r="U112" s="785"/>
      <c r="V112" s="785"/>
      <c r="W112" s="919"/>
      <c r="X112" s="784"/>
      <c r="Y112" s="820"/>
      <c r="Z112" s="820"/>
      <c r="AA112" s="820"/>
      <c r="AB112" s="820"/>
      <c r="AC112" s="820"/>
      <c r="AD112" s="820"/>
      <c r="AE112" s="820"/>
      <c r="AF112" s="820"/>
      <c r="AG112" s="820"/>
      <c r="AH112" s="820"/>
      <c r="AI112" s="820"/>
      <c r="AJ112" s="794"/>
      <c r="AK112" s="794"/>
      <c r="AL112" s="794"/>
      <c r="AM112" s="794"/>
      <c r="AN112" s="794"/>
      <c r="AO112" s="794"/>
      <c r="AP112" s="794"/>
      <c r="AQ112" s="794"/>
    </row>
    <row r="113" spans="1:43" s="765" customFormat="1" ht="53.25" customHeight="1" x14ac:dyDescent="0.25">
      <c r="A113" s="958" t="s">
        <v>384</v>
      </c>
      <c r="B113" s="959"/>
      <c r="C113" s="959"/>
      <c r="D113" s="958"/>
      <c r="E113" s="959"/>
      <c r="F113" s="960"/>
      <c r="G113" s="3734"/>
      <c r="H113" s="3735"/>
      <c r="I113" s="3736"/>
      <c r="J113" s="3741">
        <v>110</v>
      </c>
      <c r="K113" s="3730" t="s">
        <v>837</v>
      </c>
      <c r="L113" s="3729" t="s">
        <v>838</v>
      </c>
      <c r="M113" s="3742">
        <v>200</v>
      </c>
      <c r="N113" s="3729" t="s">
        <v>839</v>
      </c>
      <c r="O113" s="3729" t="s">
        <v>840</v>
      </c>
      <c r="P113" s="3730" t="s">
        <v>841</v>
      </c>
      <c r="Q113" s="3731">
        <f>(+V113+V114+V115)/R113</f>
        <v>1</v>
      </c>
      <c r="R113" s="3732">
        <f>+V113+V114+V115</f>
        <v>706195624</v>
      </c>
      <c r="S113" s="3733" t="s">
        <v>842</v>
      </c>
      <c r="T113" s="3730" t="s">
        <v>843</v>
      </c>
      <c r="U113" s="3727" t="s">
        <v>844</v>
      </c>
      <c r="V113" s="853">
        <v>656195624</v>
      </c>
      <c r="W113" s="1021">
        <v>25</v>
      </c>
      <c r="X113" s="911" t="s">
        <v>845</v>
      </c>
      <c r="Y113" s="3685">
        <v>20555</v>
      </c>
      <c r="Z113" s="3685">
        <v>21361</v>
      </c>
      <c r="AA113" s="3685">
        <v>30460</v>
      </c>
      <c r="AB113" s="3685">
        <v>9593</v>
      </c>
      <c r="AC113" s="3685">
        <v>1762</v>
      </c>
      <c r="AD113" s="3685">
        <v>101</v>
      </c>
      <c r="AE113" s="3685">
        <v>308</v>
      </c>
      <c r="AF113" s="3685">
        <v>277</v>
      </c>
      <c r="AG113" s="3685">
        <v>0</v>
      </c>
      <c r="AH113" s="3685">
        <v>0</v>
      </c>
      <c r="AI113" s="3685">
        <v>0</v>
      </c>
      <c r="AJ113" s="3685">
        <v>0</v>
      </c>
      <c r="AK113" s="3685">
        <v>2907</v>
      </c>
      <c r="AL113" s="3685">
        <v>2589</v>
      </c>
      <c r="AM113" s="3685">
        <v>2954</v>
      </c>
      <c r="AN113" s="3685">
        <v>41916</v>
      </c>
      <c r="AO113" s="3724">
        <v>43617</v>
      </c>
      <c r="AP113" s="3718">
        <v>43799</v>
      </c>
      <c r="AQ113" s="3671" t="s">
        <v>587</v>
      </c>
    </row>
    <row r="114" spans="1:43" s="765" customFormat="1" ht="53.25" customHeight="1" x14ac:dyDescent="0.25">
      <c r="A114" s="958"/>
      <c r="B114" s="959"/>
      <c r="C114" s="959"/>
      <c r="D114" s="958"/>
      <c r="E114" s="959"/>
      <c r="F114" s="960"/>
      <c r="G114" s="3706"/>
      <c r="H114" s="3737"/>
      <c r="I114" s="3738"/>
      <c r="J114" s="3741"/>
      <c r="K114" s="3730"/>
      <c r="L114" s="3729"/>
      <c r="M114" s="3742"/>
      <c r="N114" s="3729"/>
      <c r="O114" s="3729"/>
      <c r="P114" s="3730"/>
      <c r="Q114" s="3731"/>
      <c r="R114" s="3732"/>
      <c r="S114" s="3733"/>
      <c r="T114" s="3730"/>
      <c r="U114" s="3727"/>
      <c r="V114" s="853">
        <v>10000000</v>
      </c>
      <c r="W114" s="1022">
        <v>20</v>
      </c>
      <c r="X114" s="1023" t="s">
        <v>62</v>
      </c>
      <c r="Y114" s="3705"/>
      <c r="Z114" s="3705"/>
      <c r="AA114" s="3705"/>
      <c r="AB114" s="3705"/>
      <c r="AC114" s="3705"/>
      <c r="AD114" s="3705"/>
      <c r="AE114" s="3705"/>
      <c r="AF114" s="3705"/>
      <c r="AG114" s="3705"/>
      <c r="AH114" s="3705"/>
      <c r="AI114" s="3705"/>
      <c r="AJ114" s="3705"/>
      <c r="AK114" s="3705"/>
      <c r="AL114" s="3705"/>
      <c r="AM114" s="3705"/>
      <c r="AN114" s="3705"/>
      <c r="AO114" s="3725"/>
      <c r="AP114" s="3719"/>
      <c r="AQ114" s="3696"/>
    </row>
    <row r="115" spans="1:43" s="765" customFormat="1" ht="48.75" customHeight="1" x14ac:dyDescent="0.25">
      <c r="A115" s="958"/>
      <c r="B115" s="959"/>
      <c r="C115" s="959"/>
      <c r="D115" s="958"/>
      <c r="E115" s="959"/>
      <c r="F115" s="960"/>
      <c r="G115" s="3739"/>
      <c r="H115" s="3740"/>
      <c r="I115" s="3728"/>
      <c r="J115" s="3741"/>
      <c r="K115" s="3730"/>
      <c r="L115" s="3729"/>
      <c r="M115" s="3742"/>
      <c r="N115" s="3729"/>
      <c r="O115" s="3729"/>
      <c r="P115" s="3730"/>
      <c r="Q115" s="3731"/>
      <c r="R115" s="3732"/>
      <c r="S115" s="3733"/>
      <c r="T115" s="3730"/>
      <c r="U115" s="3727"/>
      <c r="V115" s="853">
        <v>40000000</v>
      </c>
      <c r="W115" s="1024">
        <v>88</v>
      </c>
      <c r="X115" s="814" t="s">
        <v>589</v>
      </c>
      <c r="Y115" s="3728"/>
      <c r="Z115" s="3686"/>
      <c r="AA115" s="3686"/>
      <c r="AB115" s="3686"/>
      <c r="AC115" s="3686"/>
      <c r="AD115" s="3686"/>
      <c r="AE115" s="3686"/>
      <c r="AF115" s="3686"/>
      <c r="AG115" s="3686"/>
      <c r="AH115" s="3686"/>
      <c r="AI115" s="3686"/>
      <c r="AJ115" s="3686"/>
      <c r="AK115" s="3686"/>
      <c r="AL115" s="3686"/>
      <c r="AM115" s="3686"/>
      <c r="AN115" s="3686"/>
      <c r="AO115" s="3726"/>
      <c r="AP115" s="3720"/>
      <c r="AQ115" s="3696"/>
    </row>
    <row r="116" spans="1:43" s="765" customFormat="1" ht="28.5" customHeight="1" x14ac:dyDescent="0.25">
      <c r="A116" s="1018"/>
      <c r="B116" s="1019"/>
      <c r="C116" s="1019"/>
      <c r="D116" s="1018"/>
      <c r="E116" s="1019"/>
      <c r="F116" s="1020"/>
      <c r="G116" s="887">
        <v>27</v>
      </c>
      <c r="H116" s="784" t="s">
        <v>846</v>
      </c>
      <c r="I116" s="784"/>
      <c r="J116" s="784"/>
      <c r="K116" s="785"/>
      <c r="L116" s="785"/>
      <c r="M116" s="820"/>
      <c r="N116" s="888"/>
      <c r="O116" s="820"/>
      <c r="P116" s="948"/>
      <c r="Q116" s="820"/>
      <c r="R116" s="822"/>
      <c r="S116" s="785"/>
      <c r="T116" s="785"/>
      <c r="U116" s="785"/>
      <c r="V116" s="785"/>
      <c r="W116" s="1025"/>
      <c r="X116" s="920"/>
      <c r="Y116" s="820"/>
      <c r="Z116" s="820"/>
      <c r="AA116" s="820"/>
      <c r="AB116" s="820"/>
      <c r="AC116" s="820"/>
      <c r="AD116" s="820"/>
      <c r="AE116" s="820"/>
      <c r="AF116" s="820"/>
      <c r="AG116" s="820"/>
      <c r="AH116" s="820"/>
      <c r="AI116" s="820"/>
      <c r="AJ116" s="794"/>
      <c r="AK116" s="794"/>
      <c r="AL116" s="794"/>
      <c r="AM116" s="794"/>
      <c r="AN116" s="794"/>
      <c r="AO116" s="794"/>
      <c r="AP116" s="794"/>
      <c r="AQ116" s="794"/>
    </row>
    <row r="117" spans="1:43" s="765" customFormat="1" ht="155.25" customHeight="1" x14ac:dyDescent="0.25">
      <c r="A117" s="1018"/>
      <c r="B117" s="1019"/>
      <c r="C117" s="1019"/>
      <c r="D117" s="1018"/>
      <c r="E117" s="1019"/>
      <c r="F117" s="1020"/>
      <c r="G117" s="890"/>
      <c r="H117" s="890"/>
      <c r="I117" s="890"/>
      <c r="J117" s="856">
        <v>111</v>
      </c>
      <c r="K117" s="1026" t="s">
        <v>847</v>
      </c>
      <c r="L117" s="1026" t="s">
        <v>848</v>
      </c>
      <c r="M117" s="1027">
        <v>1</v>
      </c>
      <c r="N117" s="925" t="s">
        <v>849</v>
      </c>
      <c r="O117" s="995" t="s">
        <v>850</v>
      </c>
      <c r="P117" s="854" t="s">
        <v>851</v>
      </c>
      <c r="Q117" s="895">
        <f>+V117/R117</f>
        <v>1</v>
      </c>
      <c r="R117" s="1028">
        <f>+V117</f>
        <v>3503000000</v>
      </c>
      <c r="S117" s="1026" t="s">
        <v>852</v>
      </c>
      <c r="T117" s="1026" t="s">
        <v>853</v>
      </c>
      <c r="U117" s="896" t="s">
        <v>854</v>
      </c>
      <c r="V117" s="1029">
        <v>3503000000</v>
      </c>
      <c r="W117" s="1030">
        <v>25</v>
      </c>
      <c r="X117" s="996" t="s">
        <v>728</v>
      </c>
      <c r="Y117" s="952">
        <v>20555</v>
      </c>
      <c r="Z117" s="952">
        <v>21361</v>
      </c>
      <c r="AA117" s="1031">
        <v>30460</v>
      </c>
      <c r="AB117" s="1031">
        <v>9593</v>
      </c>
      <c r="AC117" s="1031">
        <v>1762</v>
      </c>
      <c r="AD117" s="1031">
        <v>101</v>
      </c>
      <c r="AE117" s="1031">
        <v>308</v>
      </c>
      <c r="AF117" s="1031">
        <v>277</v>
      </c>
      <c r="AG117" s="1031">
        <v>0</v>
      </c>
      <c r="AH117" s="1031">
        <v>0</v>
      </c>
      <c r="AI117" s="1032">
        <v>0</v>
      </c>
      <c r="AJ117" s="1033">
        <v>0</v>
      </c>
      <c r="AK117" s="1033">
        <v>2907</v>
      </c>
      <c r="AL117" s="1033">
        <v>2589</v>
      </c>
      <c r="AM117" s="1033">
        <v>2954</v>
      </c>
      <c r="AN117" s="1034">
        <f>Y117+Z117</f>
        <v>41916</v>
      </c>
      <c r="AO117" s="1035">
        <v>43466</v>
      </c>
      <c r="AP117" s="1035">
        <v>43830</v>
      </c>
      <c r="AQ117" s="1036" t="s">
        <v>587</v>
      </c>
    </row>
    <row r="118" spans="1:43" s="765" customFormat="1" ht="34.5" customHeight="1" x14ac:dyDescent="0.25">
      <c r="A118" s="1018"/>
      <c r="B118" s="1019"/>
      <c r="C118" s="1019"/>
      <c r="D118" s="1018"/>
      <c r="E118" s="1019"/>
      <c r="F118" s="1020"/>
      <c r="G118" s="887">
        <v>28</v>
      </c>
      <c r="H118" s="784" t="s">
        <v>855</v>
      </c>
      <c r="I118" s="784"/>
      <c r="J118" s="784"/>
      <c r="K118" s="785"/>
      <c r="L118" s="785"/>
      <c r="M118" s="820"/>
      <c r="N118" s="888"/>
      <c r="O118" s="888"/>
      <c r="P118" s="948"/>
      <c r="Q118" s="1037"/>
      <c r="R118" s="822"/>
      <c r="S118" s="785"/>
      <c r="T118" s="785"/>
      <c r="U118" s="785"/>
      <c r="V118" s="785"/>
      <c r="W118" s="919"/>
      <c r="X118" s="784"/>
      <c r="Y118" s="888"/>
      <c r="Z118" s="888"/>
      <c r="AA118" s="820"/>
      <c r="AB118" s="820"/>
      <c r="AC118" s="820"/>
      <c r="AD118" s="820"/>
      <c r="AE118" s="820"/>
      <c r="AF118" s="820"/>
      <c r="AG118" s="820"/>
      <c r="AH118" s="1038"/>
      <c r="AI118" s="1038"/>
      <c r="AJ118" s="794"/>
      <c r="AK118" s="794"/>
      <c r="AL118" s="794"/>
      <c r="AM118" s="794"/>
      <c r="AN118" s="794"/>
      <c r="AO118" s="794"/>
      <c r="AP118" s="794"/>
      <c r="AQ118" s="794"/>
    </row>
    <row r="119" spans="1:43" s="765" customFormat="1" ht="48" customHeight="1" x14ac:dyDescent="0.25">
      <c r="A119" s="1018"/>
      <c r="B119" s="1019"/>
      <c r="C119" s="1019"/>
      <c r="D119" s="1015"/>
      <c r="E119" s="1016"/>
      <c r="F119" s="1017"/>
      <c r="G119" s="980"/>
      <c r="H119" s="980"/>
      <c r="I119" s="980"/>
      <c r="J119" s="3721">
        <v>112</v>
      </c>
      <c r="K119" s="3713" t="s">
        <v>856</v>
      </c>
      <c r="L119" s="3713" t="s">
        <v>857</v>
      </c>
      <c r="M119" s="3705">
        <v>12</v>
      </c>
      <c r="N119" s="3722" t="s">
        <v>858</v>
      </c>
      <c r="O119" s="3722" t="s">
        <v>859</v>
      </c>
      <c r="P119" s="3713" t="s">
        <v>860</v>
      </c>
      <c r="Q119" s="3723">
        <f>+V119/R119</f>
        <v>0.14375937670534561</v>
      </c>
      <c r="R119" s="3711">
        <f>+V119+V121</f>
        <v>20868204</v>
      </c>
      <c r="S119" s="3712" t="s">
        <v>861</v>
      </c>
      <c r="T119" s="3713" t="s">
        <v>862</v>
      </c>
      <c r="U119" s="3713" t="s">
        <v>863</v>
      </c>
      <c r="V119" s="3715">
        <v>3000000</v>
      </c>
      <c r="W119" s="3717">
        <v>20</v>
      </c>
      <c r="X119" s="3710" t="s">
        <v>62</v>
      </c>
      <c r="Y119" s="3705">
        <v>20555</v>
      </c>
      <c r="Z119" s="3705">
        <v>21361</v>
      </c>
      <c r="AA119" s="3705">
        <v>30460</v>
      </c>
      <c r="AB119" s="3705">
        <v>9593</v>
      </c>
      <c r="AC119" s="3705">
        <v>1762</v>
      </c>
      <c r="AD119" s="3705">
        <v>101</v>
      </c>
      <c r="AE119" s="3705">
        <v>308</v>
      </c>
      <c r="AF119" s="3705">
        <v>277</v>
      </c>
      <c r="AG119" s="3705">
        <v>0</v>
      </c>
      <c r="AH119" s="3705">
        <v>0</v>
      </c>
      <c r="AI119" s="3705">
        <v>0</v>
      </c>
      <c r="AJ119" s="3705">
        <v>0</v>
      </c>
      <c r="AK119" s="3705">
        <v>2907</v>
      </c>
      <c r="AL119" s="3705">
        <v>2589</v>
      </c>
      <c r="AM119" s="3705">
        <v>2594</v>
      </c>
      <c r="AN119" s="3706">
        <f>Y119+Z119</f>
        <v>41916</v>
      </c>
      <c r="AO119" s="3707">
        <v>43466</v>
      </c>
      <c r="AP119" s="3681">
        <v>43692</v>
      </c>
      <c r="AQ119" s="3696" t="s">
        <v>587</v>
      </c>
    </row>
    <row r="120" spans="1:43" s="765" customFormat="1" ht="90.75" customHeight="1" x14ac:dyDescent="0.25">
      <c r="A120" s="1018"/>
      <c r="B120" s="1019"/>
      <c r="C120" s="1019"/>
      <c r="D120" s="1015"/>
      <c r="E120" s="1016"/>
      <c r="F120" s="1017"/>
      <c r="G120" s="980"/>
      <c r="H120" s="980"/>
      <c r="I120" s="980"/>
      <c r="J120" s="3704"/>
      <c r="K120" s="3714"/>
      <c r="L120" s="3714"/>
      <c r="M120" s="3686"/>
      <c r="N120" s="3722"/>
      <c r="O120" s="3722"/>
      <c r="P120" s="3713"/>
      <c r="Q120" s="3690"/>
      <c r="R120" s="3711"/>
      <c r="S120" s="3713"/>
      <c r="T120" s="3714"/>
      <c r="U120" s="3714"/>
      <c r="V120" s="3716"/>
      <c r="W120" s="3717"/>
      <c r="X120" s="3710"/>
      <c r="Y120" s="3705"/>
      <c r="Z120" s="3705"/>
      <c r="AA120" s="3705"/>
      <c r="AB120" s="3705"/>
      <c r="AC120" s="3705"/>
      <c r="AD120" s="3705"/>
      <c r="AE120" s="3705"/>
      <c r="AF120" s="3705"/>
      <c r="AG120" s="3705"/>
      <c r="AH120" s="3705"/>
      <c r="AI120" s="3705"/>
      <c r="AJ120" s="3705"/>
      <c r="AK120" s="3705"/>
      <c r="AL120" s="3705"/>
      <c r="AM120" s="3705"/>
      <c r="AN120" s="3706"/>
      <c r="AO120" s="3708"/>
      <c r="AP120" s="3695"/>
      <c r="AQ120" s="3696"/>
    </row>
    <row r="121" spans="1:43" s="765" customFormat="1" ht="88.5" customHeight="1" x14ac:dyDescent="0.25">
      <c r="A121" s="1018"/>
      <c r="B121" s="1019"/>
      <c r="C121" s="1019"/>
      <c r="D121" s="1015"/>
      <c r="E121" s="1016"/>
      <c r="F121" s="1017"/>
      <c r="G121" s="980"/>
      <c r="H121" s="980"/>
      <c r="I121" s="980"/>
      <c r="J121" s="913">
        <v>113</v>
      </c>
      <c r="K121" s="947" t="s">
        <v>864</v>
      </c>
      <c r="L121" s="947" t="s">
        <v>865</v>
      </c>
      <c r="M121" s="985">
        <v>1</v>
      </c>
      <c r="N121" s="3722"/>
      <c r="O121" s="3722"/>
      <c r="P121" s="3713"/>
      <c r="Q121" s="916">
        <f>+V121/R119</f>
        <v>0.85624062329465445</v>
      </c>
      <c r="R121" s="3711"/>
      <c r="S121" s="3713"/>
      <c r="T121" s="947" t="s">
        <v>866</v>
      </c>
      <c r="U121" s="947" t="s">
        <v>867</v>
      </c>
      <c r="V121" s="986">
        <v>17868204</v>
      </c>
      <c r="W121" s="847">
        <v>20</v>
      </c>
      <c r="X121" s="848" t="s">
        <v>62</v>
      </c>
      <c r="Y121" s="3705"/>
      <c r="Z121" s="3705"/>
      <c r="AA121" s="3705"/>
      <c r="AB121" s="3705"/>
      <c r="AC121" s="3705"/>
      <c r="AD121" s="3705"/>
      <c r="AE121" s="3705"/>
      <c r="AF121" s="3705"/>
      <c r="AG121" s="3705"/>
      <c r="AH121" s="3705"/>
      <c r="AI121" s="3705"/>
      <c r="AJ121" s="3705"/>
      <c r="AK121" s="3705"/>
      <c r="AL121" s="3705"/>
      <c r="AM121" s="3705"/>
      <c r="AN121" s="3705"/>
      <c r="AO121" s="3709"/>
      <c r="AP121" s="3682"/>
      <c r="AQ121" s="3696"/>
    </row>
    <row r="122" spans="1:43" s="765" customFormat="1" ht="21.75" customHeight="1" x14ac:dyDescent="0.25">
      <c r="A122" s="3697"/>
      <c r="B122" s="3697"/>
      <c r="C122" s="3697"/>
      <c r="D122" s="874">
        <v>16</v>
      </c>
      <c r="E122" s="875" t="s">
        <v>868</v>
      </c>
      <c r="F122" s="875"/>
      <c r="G122" s="770"/>
      <c r="H122" s="770"/>
      <c r="I122" s="770"/>
      <c r="J122" s="770"/>
      <c r="K122" s="771"/>
      <c r="L122" s="771"/>
      <c r="M122" s="877"/>
      <c r="N122" s="772"/>
      <c r="O122" s="772"/>
      <c r="P122" s="1039"/>
      <c r="Q122" s="878"/>
      <c r="R122" s="879"/>
      <c r="S122" s="771"/>
      <c r="T122" s="771"/>
      <c r="U122" s="771"/>
      <c r="V122" s="771"/>
      <c r="W122" s="1040"/>
      <c r="X122" s="770"/>
      <c r="Y122" s="772"/>
      <c r="Z122" s="772"/>
      <c r="AA122" s="877"/>
      <c r="AB122" s="877"/>
      <c r="AC122" s="877"/>
      <c r="AD122" s="877"/>
      <c r="AE122" s="877"/>
      <c r="AF122" s="877"/>
      <c r="AG122" s="877"/>
      <c r="AH122" s="881"/>
      <c r="AI122" s="881"/>
      <c r="AJ122" s="776"/>
      <c r="AK122" s="776"/>
      <c r="AL122" s="776"/>
      <c r="AM122" s="776"/>
      <c r="AN122" s="776"/>
      <c r="AO122" s="776"/>
      <c r="AP122" s="776"/>
      <c r="AQ122" s="776"/>
    </row>
    <row r="123" spans="1:43" s="765" customFormat="1" ht="24.75" customHeight="1" x14ac:dyDescent="0.25">
      <c r="A123" s="3697"/>
      <c r="B123" s="3697"/>
      <c r="C123" s="3697"/>
      <c r="D123" s="3698"/>
      <c r="E123" s="3698"/>
      <c r="F123" s="3698"/>
      <c r="G123" s="887">
        <v>57</v>
      </c>
      <c r="H123" s="820" t="s">
        <v>869</v>
      </c>
      <c r="I123" s="820"/>
      <c r="J123" s="820"/>
      <c r="K123" s="948"/>
      <c r="L123" s="948"/>
      <c r="M123" s="1041"/>
      <c r="N123" s="1042"/>
      <c r="O123" s="888"/>
      <c r="P123" s="948"/>
      <c r="Q123" s="1037"/>
      <c r="R123" s="822"/>
      <c r="S123" s="785"/>
      <c r="T123" s="785"/>
      <c r="U123" s="785"/>
      <c r="V123" s="785"/>
      <c r="W123" s="919"/>
      <c r="X123" s="784"/>
      <c r="Y123" s="888"/>
      <c r="Z123" s="888"/>
      <c r="AA123" s="820"/>
      <c r="AB123" s="820"/>
      <c r="AC123" s="820"/>
      <c r="AD123" s="820"/>
      <c r="AE123" s="820"/>
      <c r="AF123" s="820"/>
      <c r="AG123" s="820"/>
      <c r="AH123" s="1038"/>
      <c r="AI123" s="1038"/>
      <c r="AJ123" s="794"/>
      <c r="AK123" s="794"/>
      <c r="AL123" s="794"/>
      <c r="AM123" s="794"/>
      <c r="AN123" s="794"/>
      <c r="AO123" s="794"/>
      <c r="AP123" s="794"/>
      <c r="AQ123" s="794"/>
    </row>
    <row r="124" spans="1:43" s="765" customFormat="1" ht="87" customHeight="1" x14ac:dyDescent="0.25">
      <c r="A124" s="3697"/>
      <c r="B124" s="3697"/>
      <c r="C124" s="3697"/>
      <c r="D124" s="3698"/>
      <c r="E124" s="3698"/>
      <c r="F124" s="3698"/>
      <c r="G124" s="3699"/>
      <c r="H124" s="3699"/>
      <c r="I124" s="3700"/>
      <c r="J124" s="3703">
        <v>182</v>
      </c>
      <c r="K124" s="3685" t="s">
        <v>870</v>
      </c>
      <c r="L124" s="3687" t="s">
        <v>871</v>
      </c>
      <c r="M124" s="3685">
        <v>1</v>
      </c>
      <c r="N124" s="3687" t="s">
        <v>872</v>
      </c>
      <c r="O124" s="3687" t="s">
        <v>873</v>
      </c>
      <c r="P124" s="3687" t="s">
        <v>874</v>
      </c>
      <c r="Q124" s="3689">
        <f>(+V124+V125)/R124</f>
        <v>1</v>
      </c>
      <c r="R124" s="3691">
        <f>V124+V125</f>
        <v>18817998</v>
      </c>
      <c r="S124" s="3693" t="s">
        <v>875</v>
      </c>
      <c r="T124" s="3693" t="s">
        <v>870</v>
      </c>
      <c r="U124" s="1043" t="s">
        <v>876</v>
      </c>
      <c r="V124" s="843">
        <f>18817998-11342000</f>
        <v>7475998</v>
      </c>
      <c r="W124" s="844">
        <v>20</v>
      </c>
      <c r="X124" s="861" t="s">
        <v>62</v>
      </c>
      <c r="Y124" s="3685">
        <v>20555</v>
      </c>
      <c r="Z124" s="3685">
        <v>21361</v>
      </c>
      <c r="AA124" s="3683">
        <v>30460</v>
      </c>
      <c r="AB124" s="3683">
        <v>9593</v>
      </c>
      <c r="AC124" s="3683">
        <v>1762</v>
      </c>
      <c r="AD124" s="3683">
        <v>101</v>
      </c>
      <c r="AE124" s="3683">
        <v>308</v>
      </c>
      <c r="AF124" s="3683">
        <v>277</v>
      </c>
      <c r="AG124" s="3683">
        <v>0</v>
      </c>
      <c r="AH124" s="3683">
        <v>0</v>
      </c>
      <c r="AI124" s="3683">
        <v>0</v>
      </c>
      <c r="AJ124" s="3677">
        <v>0</v>
      </c>
      <c r="AK124" s="3677">
        <v>2907</v>
      </c>
      <c r="AL124" s="3677">
        <v>2589</v>
      </c>
      <c r="AM124" s="3677">
        <v>2954</v>
      </c>
      <c r="AN124" s="3679">
        <v>41916</v>
      </c>
      <c r="AO124" s="3681">
        <v>43497</v>
      </c>
      <c r="AP124" s="3681" t="s">
        <v>877</v>
      </c>
      <c r="AQ124" s="3671" t="s">
        <v>587</v>
      </c>
    </row>
    <row r="125" spans="1:43" s="765" customFormat="1" ht="73.5" customHeight="1" x14ac:dyDescent="0.25">
      <c r="A125" s="3697"/>
      <c r="B125" s="3697"/>
      <c r="C125" s="3697"/>
      <c r="D125" s="3698"/>
      <c r="E125" s="3698"/>
      <c r="F125" s="3698"/>
      <c r="G125" s="3701"/>
      <c r="H125" s="3701"/>
      <c r="I125" s="3702"/>
      <c r="J125" s="3704"/>
      <c r="K125" s="3686"/>
      <c r="L125" s="3688"/>
      <c r="M125" s="3686"/>
      <c r="N125" s="3688"/>
      <c r="O125" s="3688"/>
      <c r="P125" s="3688"/>
      <c r="Q125" s="3690"/>
      <c r="R125" s="3692"/>
      <c r="S125" s="3694"/>
      <c r="T125" s="3694"/>
      <c r="U125" s="1043" t="s">
        <v>878</v>
      </c>
      <c r="V125" s="843">
        <f>0+11342000</f>
        <v>11342000</v>
      </c>
      <c r="W125" s="844">
        <v>20</v>
      </c>
      <c r="X125" s="861" t="s">
        <v>62</v>
      </c>
      <c r="Y125" s="3686"/>
      <c r="Z125" s="3686"/>
      <c r="AA125" s="3684"/>
      <c r="AB125" s="3684"/>
      <c r="AC125" s="3684"/>
      <c r="AD125" s="3684"/>
      <c r="AE125" s="3684"/>
      <c r="AF125" s="3684"/>
      <c r="AG125" s="3684"/>
      <c r="AH125" s="3684"/>
      <c r="AI125" s="3684"/>
      <c r="AJ125" s="3678"/>
      <c r="AK125" s="3678"/>
      <c r="AL125" s="3678"/>
      <c r="AM125" s="3678"/>
      <c r="AN125" s="3680"/>
      <c r="AO125" s="3682"/>
      <c r="AP125" s="3682"/>
      <c r="AQ125" s="3672"/>
    </row>
    <row r="126" spans="1:43" s="1054" customFormat="1" ht="31.5" customHeight="1" x14ac:dyDescent="0.25">
      <c r="A126" s="3673"/>
      <c r="B126" s="3674"/>
      <c r="C126" s="3674"/>
      <c r="D126" s="3674"/>
      <c r="E126" s="3674"/>
      <c r="F126" s="3674"/>
      <c r="G126" s="3674"/>
      <c r="H126" s="3674"/>
      <c r="I126" s="3675"/>
      <c r="J126" s="750"/>
      <c r="K126" s="1044"/>
      <c r="L126" s="1044"/>
      <c r="M126" s="1045"/>
      <c r="N126" s="1045"/>
      <c r="O126" s="1046"/>
      <c r="P126" s="1044"/>
      <c r="Q126" s="1047"/>
      <c r="R126" s="1048">
        <f>SUM(R11:R125)</f>
        <v>176099878858.38995</v>
      </c>
      <c r="S126" s="1049"/>
      <c r="T126" s="1049"/>
      <c r="U126" s="1049"/>
      <c r="V126" s="1048">
        <f>SUM(V11:V125)</f>
        <v>176099878858.38998</v>
      </c>
      <c r="W126" s="1050"/>
      <c r="X126" s="1051"/>
      <c r="Y126" s="1050"/>
      <c r="Z126" s="1050"/>
      <c r="AA126" s="1050"/>
      <c r="AB126" s="1050"/>
      <c r="AC126" s="1050"/>
      <c r="AD126" s="1050"/>
      <c r="AE126" s="1050"/>
      <c r="AF126" s="1050"/>
      <c r="AG126" s="1050"/>
      <c r="AH126" s="1050"/>
      <c r="AI126" s="1050"/>
      <c r="AJ126" s="1050"/>
      <c r="AK126" s="1050"/>
      <c r="AL126" s="1050"/>
      <c r="AM126" s="1050"/>
      <c r="AN126" s="1050"/>
      <c r="AO126" s="1052"/>
      <c r="AP126" s="1052"/>
      <c r="AQ126" s="1053"/>
    </row>
    <row r="127" spans="1:43" s="765" customFormat="1" ht="15.75" x14ac:dyDescent="0.25">
      <c r="A127" s="1055"/>
      <c r="B127" s="741"/>
      <c r="C127" s="741"/>
      <c r="D127" s="741"/>
      <c r="E127" s="741"/>
      <c r="F127" s="741"/>
      <c r="G127" s="741"/>
      <c r="H127" s="741"/>
      <c r="I127" s="741"/>
      <c r="J127" s="741"/>
      <c r="K127" s="1056"/>
      <c r="L127" s="1057"/>
      <c r="M127" s="741"/>
      <c r="N127" s="1058"/>
      <c r="O127" s="1058"/>
      <c r="P127" s="1056"/>
      <c r="Q127" s="1059"/>
      <c r="R127" s="1060"/>
      <c r="S127" s="1056"/>
      <c r="T127" s="1056"/>
      <c r="U127" s="1056"/>
      <c r="V127" s="1061"/>
      <c r="W127" s="1058"/>
      <c r="X127" s="1062"/>
      <c r="Y127" s="741"/>
      <c r="Z127" s="741"/>
      <c r="AA127" s="741"/>
      <c r="AB127" s="741"/>
      <c r="AC127" s="741"/>
      <c r="AD127" s="741"/>
      <c r="AE127" s="741"/>
      <c r="AF127" s="741"/>
      <c r="AG127" s="741"/>
      <c r="AQ127" s="1063"/>
    </row>
    <row r="128" spans="1:43" s="765" customFormat="1" ht="15.75" x14ac:dyDescent="0.25">
      <c r="A128" s="1055"/>
      <c r="B128" s="741"/>
      <c r="C128" s="741"/>
      <c r="D128" s="741"/>
      <c r="E128" s="741"/>
      <c r="F128" s="741"/>
      <c r="G128" s="741"/>
      <c r="H128" s="741"/>
      <c r="I128" s="741"/>
      <c r="J128" s="741"/>
      <c r="K128" s="1056"/>
      <c r="L128" s="1057"/>
      <c r="M128" s="741"/>
      <c r="N128" s="1058"/>
      <c r="O128" s="1058"/>
      <c r="P128" s="1056"/>
      <c r="Q128" s="1059"/>
      <c r="R128" s="1064"/>
      <c r="S128" s="1056"/>
      <c r="T128" s="1056"/>
      <c r="U128" s="1056"/>
      <c r="V128" s="1064"/>
      <c r="W128" s="1058"/>
      <c r="X128" s="1062"/>
      <c r="Y128" s="741"/>
      <c r="Z128" s="741"/>
      <c r="AA128" s="741"/>
      <c r="AB128" s="741"/>
      <c r="AC128" s="741"/>
      <c r="AD128" s="741"/>
      <c r="AE128" s="741"/>
      <c r="AF128" s="741"/>
      <c r="AG128" s="741"/>
      <c r="AQ128" s="1063"/>
    </row>
    <row r="129" spans="1:43" s="765" customFormat="1" ht="15.75" x14ac:dyDescent="0.25">
      <c r="A129" s="1055"/>
      <c r="B129" s="741"/>
      <c r="C129" s="741"/>
      <c r="D129" s="741"/>
      <c r="E129" s="741"/>
      <c r="F129" s="741"/>
      <c r="G129" s="741"/>
      <c r="H129" s="741"/>
      <c r="I129" s="741"/>
      <c r="J129" s="741"/>
      <c r="K129" s="1056"/>
      <c r="L129" s="1057"/>
      <c r="M129" s="741"/>
      <c r="N129" s="1058"/>
      <c r="O129" s="1058"/>
      <c r="P129" s="1056"/>
      <c r="Q129" s="1059"/>
      <c r="R129" s="1061"/>
      <c r="S129" s="1056"/>
      <c r="T129" s="1056"/>
      <c r="U129" s="1056"/>
      <c r="V129" s="1065"/>
      <c r="W129" s="1058"/>
      <c r="X129" s="1062"/>
      <c r="Y129" s="741"/>
      <c r="Z129" s="741"/>
      <c r="AA129" s="741"/>
      <c r="AB129" s="741"/>
      <c r="AC129" s="741"/>
      <c r="AD129" s="741"/>
      <c r="AE129" s="741"/>
      <c r="AF129" s="741"/>
      <c r="AG129" s="741"/>
      <c r="AQ129" s="1063"/>
    </row>
    <row r="130" spans="1:43" s="765" customFormat="1" ht="15.75" x14ac:dyDescent="0.25">
      <c r="A130" s="1055"/>
      <c r="B130" s="741"/>
      <c r="C130" s="741"/>
      <c r="D130" s="741"/>
      <c r="E130" s="741"/>
      <c r="F130" s="741"/>
      <c r="G130" s="741"/>
      <c r="H130" s="741"/>
      <c r="I130" s="741"/>
      <c r="J130" s="741"/>
      <c r="K130" s="1056"/>
      <c r="L130" s="1057"/>
      <c r="M130" s="741"/>
      <c r="N130" s="1058"/>
      <c r="O130" s="1058"/>
      <c r="P130" s="1056"/>
      <c r="Q130" s="1059"/>
      <c r="R130" s="1061"/>
      <c r="S130" s="1056"/>
      <c r="T130" s="1056"/>
      <c r="U130" s="1056"/>
      <c r="V130" s="1066"/>
      <c r="W130" s="1058"/>
      <c r="X130" s="1062"/>
      <c r="Y130" s="741"/>
      <c r="Z130" s="741"/>
      <c r="AA130" s="741"/>
      <c r="AB130" s="741"/>
      <c r="AC130" s="741"/>
      <c r="AD130" s="741"/>
      <c r="AE130" s="741"/>
      <c r="AF130" s="741"/>
      <c r="AG130" s="741"/>
      <c r="AQ130" s="1063"/>
    </row>
    <row r="131" spans="1:43" s="765" customFormat="1" ht="15.75" x14ac:dyDescent="0.25">
      <c r="A131" s="1055"/>
      <c r="B131" s="741"/>
      <c r="C131" s="741"/>
      <c r="D131" s="741"/>
      <c r="E131" s="741"/>
      <c r="F131" s="741"/>
      <c r="G131" s="741"/>
      <c r="H131" s="741"/>
      <c r="I131" s="741"/>
      <c r="J131" s="741"/>
      <c r="K131" s="1056"/>
      <c r="L131" s="1057"/>
      <c r="M131" s="741"/>
      <c r="N131" s="1058"/>
      <c r="O131" s="1058"/>
      <c r="P131" s="1056"/>
      <c r="Q131" s="1059"/>
      <c r="R131" s="1061"/>
      <c r="S131" s="1056"/>
      <c r="T131" s="1056"/>
      <c r="U131" s="1056"/>
      <c r="V131" s="1056"/>
      <c r="W131" s="1058"/>
      <c r="X131" s="1062"/>
      <c r="Y131" s="741"/>
      <c r="Z131" s="741"/>
      <c r="AA131" s="741"/>
      <c r="AB131" s="741"/>
      <c r="AC131" s="741"/>
      <c r="AD131" s="741"/>
      <c r="AE131" s="741"/>
      <c r="AF131" s="741"/>
      <c r="AG131" s="741"/>
      <c r="AQ131" s="1063"/>
    </row>
    <row r="132" spans="1:43" s="765" customFormat="1" ht="15.75" x14ac:dyDescent="0.25">
      <c r="A132" s="741"/>
      <c r="B132" s="741"/>
      <c r="C132" s="741"/>
      <c r="D132" s="741"/>
      <c r="E132" s="741"/>
      <c r="F132" s="741"/>
      <c r="G132" s="1058"/>
      <c r="H132" s="1057"/>
      <c r="I132" s="741"/>
      <c r="J132" s="741"/>
      <c r="K132" s="1057"/>
      <c r="L132" s="1057"/>
      <c r="M132" s="741"/>
      <c r="N132" s="3676" t="s">
        <v>879</v>
      </c>
      <c r="O132" s="3676"/>
      <c r="P132" s="3676"/>
      <c r="Q132" s="741"/>
      <c r="R132" s="1057"/>
      <c r="S132" s="1057"/>
      <c r="T132" s="1067"/>
      <c r="U132" s="1067"/>
      <c r="V132" s="1067"/>
      <c r="W132" s="1058"/>
      <c r="X132" s="1062"/>
      <c r="Y132" s="741"/>
      <c r="Z132" s="741"/>
      <c r="AA132" s="741"/>
      <c r="AB132" s="741"/>
      <c r="AC132" s="741"/>
      <c r="AD132" s="741"/>
      <c r="AE132" s="741"/>
      <c r="AF132" s="741"/>
      <c r="AG132" s="741"/>
      <c r="AQ132" s="1063"/>
    </row>
    <row r="133" spans="1:43" s="765" customFormat="1" ht="15.75" x14ac:dyDescent="0.25">
      <c r="A133" s="741"/>
      <c r="B133" s="741"/>
      <c r="C133" s="741"/>
      <c r="D133" s="741"/>
      <c r="E133" s="741"/>
      <c r="F133" s="741"/>
      <c r="G133" s="1058"/>
      <c r="H133" s="1057"/>
      <c r="I133" s="741"/>
      <c r="J133" s="741"/>
      <c r="K133" s="1057"/>
      <c r="L133" s="1057"/>
      <c r="M133" s="741"/>
      <c r="N133" s="1062" t="s">
        <v>880</v>
      </c>
      <c r="O133" s="741"/>
      <c r="P133" s="1068"/>
      <c r="Q133" s="741"/>
      <c r="R133" s="1057"/>
      <c r="S133" s="1057"/>
      <c r="T133" s="1067"/>
      <c r="U133" s="1067"/>
      <c r="V133" s="1067"/>
      <c r="W133" s="1058"/>
      <c r="X133" s="1062"/>
      <c r="Y133" s="741"/>
      <c r="Z133" s="741"/>
      <c r="AA133" s="741"/>
      <c r="AB133" s="741"/>
      <c r="AC133" s="741"/>
      <c r="AD133" s="741"/>
      <c r="AE133" s="741"/>
      <c r="AF133" s="741"/>
      <c r="AG133" s="741"/>
      <c r="AQ133" s="1063"/>
    </row>
    <row r="134" spans="1:43" s="765" customFormat="1" ht="15.75" x14ac:dyDescent="0.25">
      <c r="A134" s="741"/>
      <c r="B134" s="741"/>
      <c r="C134" s="741"/>
      <c r="D134" s="741"/>
      <c r="E134" s="741"/>
      <c r="F134" s="741"/>
      <c r="G134" s="1058"/>
      <c r="H134" s="1057"/>
      <c r="I134" s="741"/>
      <c r="J134" s="741"/>
      <c r="K134" s="1057"/>
      <c r="L134" s="1057"/>
      <c r="M134" s="741"/>
      <c r="N134" s="1069"/>
      <c r="O134" s="741"/>
      <c r="P134" s="1068"/>
      <c r="Q134" s="741"/>
      <c r="R134" s="1057"/>
      <c r="S134" s="1057"/>
      <c r="T134" s="1067"/>
      <c r="U134" s="1067"/>
      <c r="V134" s="1067"/>
      <c r="W134" s="1058"/>
      <c r="X134" s="1062"/>
      <c r="Y134" s="741"/>
      <c r="Z134" s="741"/>
      <c r="AA134" s="741"/>
      <c r="AB134" s="741"/>
      <c r="AC134" s="741"/>
      <c r="AD134" s="741"/>
      <c r="AE134" s="741"/>
      <c r="AF134" s="741"/>
      <c r="AG134" s="741"/>
      <c r="AQ134" s="1063"/>
    </row>
  </sheetData>
  <sheetProtection password="A60F" sheet="1" objects="1" scenarios="1"/>
  <mergeCells count="567">
    <mergeCell ref="O6:O7"/>
    <mergeCell ref="P6:P7"/>
    <mergeCell ref="A1:AN4"/>
    <mergeCell ref="A5:L5"/>
    <mergeCell ref="P5:AQ5"/>
    <mergeCell ref="A6:A7"/>
    <mergeCell ref="B6:C7"/>
    <mergeCell ref="D6:D7"/>
    <mergeCell ref="E6:F7"/>
    <mergeCell ref="G6:G7"/>
    <mergeCell ref="H6:I7"/>
    <mergeCell ref="J6:J7"/>
    <mergeCell ref="AQ6:AQ7"/>
    <mergeCell ref="J11:J15"/>
    <mergeCell ref="K11:K15"/>
    <mergeCell ref="L11:L15"/>
    <mergeCell ref="M11:M15"/>
    <mergeCell ref="N11:N23"/>
    <mergeCell ref="O11:O23"/>
    <mergeCell ref="P11:P23"/>
    <mergeCell ref="X6:X7"/>
    <mergeCell ref="Y6:Z6"/>
    <mergeCell ref="AA6:AD6"/>
    <mergeCell ref="AE6:AJ6"/>
    <mergeCell ref="AK6:AM6"/>
    <mergeCell ref="AN6:AN7"/>
    <mergeCell ref="Q6:Q7"/>
    <mergeCell ref="R6:R7"/>
    <mergeCell ref="S6:S7"/>
    <mergeCell ref="T6:T7"/>
    <mergeCell ref="U6:U7"/>
    <mergeCell ref="W6:W7"/>
    <mergeCell ref="K6:K7"/>
    <mergeCell ref="L6:L7"/>
    <mergeCell ref="M6:M7"/>
    <mergeCell ref="N6:N7"/>
    <mergeCell ref="Q11:Q15"/>
    <mergeCell ref="R11:R23"/>
    <mergeCell ref="S11:S23"/>
    <mergeCell ref="T11:T15"/>
    <mergeCell ref="U11:U15"/>
    <mergeCell ref="V11:V12"/>
    <mergeCell ref="U20:U23"/>
    <mergeCell ref="AO6:AO7"/>
    <mergeCell ref="AP6:AP7"/>
    <mergeCell ref="AE11:AE23"/>
    <mergeCell ref="AF11:AF23"/>
    <mergeCell ref="AG11:AG23"/>
    <mergeCell ref="AH11:AH23"/>
    <mergeCell ref="W11:W12"/>
    <mergeCell ref="X11:X12"/>
    <mergeCell ref="Y11:Y23"/>
    <mergeCell ref="Z11:Z23"/>
    <mergeCell ref="AA11:AA23"/>
    <mergeCell ref="AB11:AB23"/>
    <mergeCell ref="J20:J23"/>
    <mergeCell ref="K20:K23"/>
    <mergeCell ref="L20:L23"/>
    <mergeCell ref="M20:M23"/>
    <mergeCell ref="Q20:Q23"/>
    <mergeCell ref="T20:T23"/>
    <mergeCell ref="AO11:AO23"/>
    <mergeCell ref="AP11:AP23"/>
    <mergeCell ref="AQ11:AQ23"/>
    <mergeCell ref="J16:J19"/>
    <mergeCell ref="K16:K19"/>
    <mergeCell ref="L16:L19"/>
    <mergeCell ref="M16:M19"/>
    <mergeCell ref="Q16:Q19"/>
    <mergeCell ref="T16:T19"/>
    <mergeCell ref="U16:U18"/>
    <mergeCell ref="AI11:AI23"/>
    <mergeCell ref="AJ11:AJ23"/>
    <mergeCell ref="AK11:AK23"/>
    <mergeCell ref="AL11:AL23"/>
    <mergeCell ref="AM11:AM23"/>
    <mergeCell ref="AN11:AN23"/>
    <mergeCell ref="AC11:AC23"/>
    <mergeCell ref="AD11:AD23"/>
    <mergeCell ref="P25:P33"/>
    <mergeCell ref="Q25:Q26"/>
    <mergeCell ref="R25:R33"/>
    <mergeCell ref="S25:S31"/>
    <mergeCell ref="T25:T33"/>
    <mergeCell ref="U25:U26"/>
    <mergeCell ref="Q31:Q32"/>
    <mergeCell ref="U31:U32"/>
    <mergeCell ref="J25:J26"/>
    <mergeCell ref="K25:K26"/>
    <mergeCell ref="L25:L26"/>
    <mergeCell ref="M25:M26"/>
    <mergeCell ref="N25:N33"/>
    <mergeCell ref="O25:O33"/>
    <mergeCell ref="K31:K32"/>
    <mergeCell ref="L31:L32"/>
    <mergeCell ref="M31:M32"/>
    <mergeCell ref="AG25:AG31"/>
    <mergeCell ref="AH25:AH31"/>
    <mergeCell ref="AI25:AI31"/>
    <mergeCell ref="AJ25:AJ31"/>
    <mergeCell ref="Y25:Y31"/>
    <mergeCell ref="Z25:Z31"/>
    <mergeCell ref="AA25:AA31"/>
    <mergeCell ref="AB25:AB31"/>
    <mergeCell ref="AC25:AC31"/>
    <mergeCell ref="AD25:AD31"/>
    <mergeCell ref="J34:J41"/>
    <mergeCell ref="K34:K41"/>
    <mergeCell ref="L34:L41"/>
    <mergeCell ref="M34:M41"/>
    <mergeCell ref="N34:N41"/>
    <mergeCell ref="O34:O41"/>
    <mergeCell ref="AQ25:AQ31"/>
    <mergeCell ref="A27:C41"/>
    <mergeCell ref="D27:F41"/>
    <mergeCell ref="G27:I41"/>
    <mergeCell ref="J28:J29"/>
    <mergeCell ref="K28:K29"/>
    <mergeCell ref="L28:L29"/>
    <mergeCell ref="M28:M29"/>
    <mergeCell ref="Q28:Q29"/>
    <mergeCell ref="J31:J32"/>
    <mergeCell ref="AK25:AK31"/>
    <mergeCell ref="AL25:AL31"/>
    <mergeCell ref="AM25:AM31"/>
    <mergeCell ref="AN25:AN31"/>
    <mergeCell ref="AO25:AO31"/>
    <mergeCell ref="AP25:AP31"/>
    <mergeCell ref="AE25:AE31"/>
    <mergeCell ref="AF25:AF31"/>
    <mergeCell ref="AA34:AA41"/>
    <mergeCell ref="AB34:AB41"/>
    <mergeCell ref="AC34:AC41"/>
    <mergeCell ref="AD34:AD41"/>
    <mergeCell ref="P34:P41"/>
    <mergeCell ref="Q34:Q41"/>
    <mergeCell ref="R34:R41"/>
    <mergeCell ref="S34:S41"/>
    <mergeCell ref="T34:T41"/>
    <mergeCell ref="U34:U41"/>
    <mergeCell ref="AQ34:AQ41"/>
    <mergeCell ref="O44:O52"/>
    <mergeCell ref="P44:P52"/>
    <mergeCell ref="R44:R52"/>
    <mergeCell ref="S44:S52"/>
    <mergeCell ref="Y44:Y52"/>
    <mergeCell ref="Z44:Z52"/>
    <mergeCell ref="AA44:AA52"/>
    <mergeCell ref="AB44:AB52"/>
    <mergeCell ref="AC44:AC52"/>
    <mergeCell ref="AK34:AK41"/>
    <mergeCell ref="AL34:AL41"/>
    <mergeCell ref="AM34:AM41"/>
    <mergeCell ref="AN34:AN41"/>
    <mergeCell ref="AO34:AO41"/>
    <mergeCell ref="AP34:AP41"/>
    <mergeCell ref="AE34:AE41"/>
    <mergeCell ref="AF34:AF41"/>
    <mergeCell ref="AG34:AG41"/>
    <mergeCell ref="AH34:AH41"/>
    <mergeCell ref="AI34:AI41"/>
    <mergeCell ref="AJ34:AJ41"/>
    <mergeCell ref="Y34:Y41"/>
    <mergeCell ref="Z34:Z41"/>
    <mergeCell ref="AP44:AP52"/>
    <mergeCell ref="AQ44:AQ52"/>
    <mergeCell ref="J45:J46"/>
    <mergeCell ref="K45:K46"/>
    <mergeCell ref="L45:L46"/>
    <mergeCell ref="M45:M46"/>
    <mergeCell ref="Q45:Q46"/>
    <mergeCell ref="T45:T46"/>
    <mergeCell ref="U45:U46"/>
    <mergeCell ref="N46:N52"/>
    <mergeCell ref="AJ44:AJ52"/>
    <mergeCell ref="AK44:AK52"/>
    <mergeCell ref="AL44:AL52"/>
    <mergeCell ref="AM44:AM52"/>
    <mergeCell ref="AN44:AN52"/>
    <mergeCell ref="AO44:AO52"/>
    <mergeCell ref="AD44:AD52"/>
    <mergeCell ref="AE44:AE52"/>
    <mergeCell ref="AF44:AF52"/>
    <mergeCell ref="AG44:AG52"/>
    <mergeCell ref="AH44:AH52"/>
    <mergeCell ref="AI44:AI52"/>
    <mergeCell ref="G54:I72"/>
    <mergeCell ref="J54:J55"/>
    <mergeCell ref="K54:K55"/>
    <mergeCell ref="L54:L55"/>
    <mergeCell ref="M54:M55"/>
    <mergeCell ref="O54:O72"/>
    <mergeCell ref="L60:L61"/>
    <mergeCell ref="M60:M61"/>
    <mergeCell ref="J62:J64"/>
    <mergeCell ref="K62:K64"/>
    <mergeCell ref="AA54:AA72"/>
    <mergeCell ref="AB54:AB72"/>
    <mergeCell ref="AC54:AC72"/>
    <mergeCell ref="AD54:AD72"/>
    <mergeCell ref="P54:P72"/>
    <mergeCell ref="Q54:Q55"/>
    <mergeCell ref="R54:R72"/>
    <mergeCell ref="S54:S72"/>
    <mergeCell ref="T54:T55"/>
    <mergeCell ref="U54:U55"/>
    <mergeCell ref="Q60:Q61"/>
    <mergeCell ref="T60:T61"/>
    <mergeCell ref="U69:U71"/>
    <mergeCell ref="AQ54:AQ72"/>
    <mergeCell ref="J58:J59"/>
    <mergeCell ref="K58:K59"/>
    <mergeCell ref="L58:L59"/>
    <mergeCell ref="M58:M59"/>
    <mergeCell ref="Q58:Q59"/>
    <mergeCell ref="T58:T59"/>
    <mergeCell ref="U58:U59"/>
    <mergeCell ref="J60:J61"/>
    <mergeCell ref="K60:K61"/>
    <mergeCell ref="AK54:AK72"/>
    <mergeCell ref="AL54:AL72"/>
    <mergeCell ref="AM54:AM72"/>
    <mergeCell ref="AN54:AN72"/>
    <mergeCell ref="AO54:AO72"/>
    <mergeCell ref="AP54:AP72"/>
    <mergeCell ref="AE54:AE72"/>
    <mergeCell ref="AF54:AF72"/>
    <mergeCell ref="AG54:AG72"/>
    <mergeCell ref="AH54:AH72"/>
    <mergeCell ref="AI54:AI72"/>
    <mergeCell ref="AJ54:AJ72"/>
    <mergeCell ref="Y54:Y72"/>
    <mergeCell ref="Z54:Z72"/>
    <mergeCell ref="J69:J71"/>
    <mergeCell ref="K69:K71"/>
    <mergeCell ref="L69:L71"/>
    <mergeCell ref="M69:M71"/>
    <mergeCell ref="Q69:Q71"/>
    <mergeCell ref="T69:T71"/>
    <mergeCell ref="L62:L64"/>
    <mergeCell ref="M62:M64"/>
    <mergeCell ref="Q62:Q64"/>
    <mergeCell ref="T62:T64"/>
    <mergeCell ref="J66:J68"/>
    <mergeCell ref="K66:K68"/>
    <mergeCell ref="L66:L68"/>
    <mergeCell ref="M66:M68"/>
    <mergeCell ref="Q66:Q68"/>
    <mergeCell ref="T66:T68"/>
    <mergeCell ref="J74:J75"/>
    <mergeCell ref="K74:K75"/>
    <mergeCell ref="L74:L75"/>
    <mergeCell ref="M74:M75"/>
    <mergeCell ref="O74:O80"/>
    <mergeCell ref="P74:P80"/>
    <mergeCell ref="J76:J77"/>
    <mergeCell ref="K76:K77"/>
    <mergeCell ref="L76:L77"/>
    <mergeCell ref="M76:M77"/>
    <mergeCell ref="Z74:Z80"/>
    <mergeCell ref="AA74:AA80"/>
    <mergeCell ref="AB74:AB80"/>
    <mergeCell ref="AC74:AC80"/>
    <mergeCell ref="AD74:AD80"/>
    <mergeCell ref="AE74:AE80"/>
    <mergeCell ref="Q74:Q75"/>
    <mergeCell ref="R74:R80"/>
    <mergeCell ref="S74:S80"/>
    <mergeCell ref="T74:T75"/>
    <mergeCell ref="U74:U75"/>
    <mergeCell ref="Y74:Y80"/>
    <mergeCell ref="Q76:Q77"/>
    <mergeCell ref="T76:T77"/>
    <mergeCell ref="U76:U77"/>
    <mergeCell ref="U78:U79"/>
    <mergeCell ref="AL74:AL80"/>
    <mergeCell ref="AM74:AM80"/>
    <mergeCell ref="AN74:AN80"/>
    <mergeCell ref="AO74:AO80"/>
    <mergeCell ref="AP74:AP80"/>
    <mergeCell ref="AQ74:AQ80"/>
    <mergeCell ref="AF74:AF80"/>
    <mergeCell ref="AG74:AG80"/>
    <mergeCell ref="AH74:AH80"/>
    <mergeCell ref="AI74:AI80"/>
    <mergeCell ref="AJ74:AJ80"/>
    <mergeCell ref="AK74:AK80"/>
    <mergeCell ref="V78:V79"/>
    <mergeCell ref="W78:W79"/>
    <mergeCell ref="X78:X79"/>
    <mergeCell ref="G82:I86"/>
    <mergeCell ref="J82:J86"/>
    <mergeCell ref="K82:K86"/>
    <mergeCell ref="L82:L86"/>
    <mergeCell ref="M82:M86"/>
    <mergeCell ref="O82:O86"/>
    <mergeCell ref="P82:P86"/>
    <mergeCell ref="J78:J79"/>
    <mergeCell ref="K78:K79"/>
    <mergeCell ref="L78:L79"/>
    <mergeCell ref="M78:M79"/>
    <mergeCell ref="Q78:Q79"/>
    <mergeCell ref="T78:T79"/>
    <mergeCell ref="Z82:Z86"/>
    <mergeCell ref="AA82:AA86"/>
    <mergeCell ref="AB82:AB86"/>
    <mergeCell ref="AC82:AC86"/>
    <mergeCell ref="AD82:AD86"/>
    <mergeCell ref="AE82:AE86"/>
    <mergeCell ref="Q82:Q86"/>
    <mergeCell ref="R82:R86"/>
    <mergeCell ref="S82:S86"/>
    <mergeCell ref="T82:T86"/>
    <mergeCell ref="U82:U86"/>
    <mergeCell ref="Y82:Y86"/>
    <mergeCell ref="V83:V86"/>
    <mergeCell ref="W83:W86"/>
    <mergeCell ref="X83:X86"/>
    <mergeCell ref="AL82:AL86"/>
    <mergeCell ref="AM82:AM86"/>
    <mergeCell ref="AN82:AN86"/>
    <mergeCell ref="AO82:AO86"/>
    <mergeCell ref="AP82:AP86"/>
    <mergeCell ref="AQ82:AQ86"/>
    <mergeCell ref="AF82:AF86"/>
    <mergeCell ref="AG82:AG86"/>
    <mergeCell ref="AH82:AH86"/>
    <mergeCell ref="AI82:AI86"/>
    <mergeCell ref="AJ82:AJ86"/>
    <mergeCell ref="AK82:AK86"/>
    <mergeCell ref="AA89:AA93"/>
    <mergeCell ref="AB89:AB93"/>
    <mergeCell ref="AC89:AC93"/>
    <mergeCell ref="AD89:AD93"/>
    <mergeCell ref="O89:O93"/>
    <mergeCell ref="P89:P93"/>
    <mergeCell ref="R89:R93"/>
    <mergeCell ref="S89:S93"/>
    <mergeCell ref="W89:W93"/>
    <mergeCell ref="X89:X93"/>
    <mergeCell ref="AQ89:AQ93"/>
    <mergeCell ref="A91:C106"/>
    <mergeCell ref="D91:F106"/>
    <mergeCell ref="O95:O101"/>
    <mergeCell ref="P95:P101"/>
    <mergeCell ref="R95:R102"/>
    <mergeCell ref="S95:S101"/>
    <mergeCell ref="T95:T101"/>
    <mergeCell ref="Y95:Y102"/>
    <mergeCell ref="Z95:Z102"/>
    <mergeCell ref="AK89:AK93"/>
    <mergeCell ref="AL89:AL93"/>
    <mergeCell ref="AM89:AM93"/>
    <mergeCell ref="AN89:AN93"/>
    <mergeCell ref="AO89:AO93"/>
    <mergeCell ref="AP89:AP93"/>
    <mergeCell ref="AE89:AE93"/>
    <mergeCell ref="AF89:AF93"/>
    <mergeCell ref="AG89:AG93"/>
    <mergeCell ref="AH89:AH93"/>
    <mergeCell ref="AI89:AI93"/>
    <mergeCell ref="AJ89:AJ93"/>
    <mergeCell ref="Y89:Y93"/>
    <mergeCell ref="Z89:Z93"/>
    <mergeCell ref="AO95:AO102"/>
    <mergeCell ref="AP95:AP102"/>
    <mergeCell ref="AQ95:AQ102"/>
    <mergeCell ref="J96:J97"/>
    <mergeCell ref="K96:K97"/>
    <mergeCell ref="L96:L97"/>
    <mergeCell ref="M96:M97"/>
    <mergeCell ref="Q96:Q97"/>
    <mergeCell ref="AG95:AG102"/>
    <mergeCell ref="AH95:AH102"/>
    <mergeCell ref="AI95:AI102"/>
    <mergeCell ref="AJ95:AJ102"/>
    <mergeCell ref="AK95:AK102"/>
    <mergeCell ref="AL95:AL102"/>
    <mergeCell ref="AA95:AA102"/>
    <mergeCell ref="AB95:AB102"/>
    <mergeCell ref="AC95:AC102"/>
    <mergeCell ref="AD95:AD102"/>
    <mergeCell ref="AE95:AE102"/>
    <mergeCell ref="AF95:AF102"/>
    <mergeCell ref="U96:U97"/>
    <mergeCell ref="J98:J100"/>
    <mergeCell ref="K98:K100"/>
    <mergeCell ref="L98:L100"/>
    <mergeCell ref="M98:M100"/>
    <mergeCell ref="Q98:Q100"/>
    <mergeCell ref="U98:U100"/>
    <mergeCell ref="AM95:AM102"/>
    <mergeCell ref="AN95:AN102"/>
    <mergeCell ref="M103:M106"/>
    <mergeCell ref="O103:O106"/>
    <mergeCell ref="P103:P106"/>
    <mergeCell ref="V99:V100"/>
    <mergeCell ref="W99:W100"/>
    <mergeCell ref="X99:X100"/>
    <mergeCell ref="J101:J102"/>
    <mergeCell ref="K101:K102"/>
    <mergeCell ref="L101:L102"/>
    <mergeCell ref="M101:M102"/>
    <mergeCell ref="Q101:Q102"/>
    <mergeCell ref="U101:U102"/>
    <mergeCell ref="AO103:AO106"/>
    <mergeCell ref="AP103:AP106"/>
    <mergeCell ref="AQ103:AQ106"/>
    <mergeCell ref="AF103:AF106"/>
    <mergeCell ref="AG103:AG106"/>
    <mergeCell ref="AH103:AH106"/>
    <mergeCell ref="AI103:AI106"/>
    <mergeCell ref="AJ103:AJ106"/>
    <mergeCell ref="AK103:AK106"/>
    <mergeCell ref="J109:J110"/>
    <mergeCell ref="K109:K110"/>
    <mergeCell ref="L109:L110"/>
    <mergeCell ref="M109:M110"/>
    <mergeCell ref="N109:N111"/>
    <mergeCell ref="O109:O111"/>
    <mergeCell ref="AL103:AL106"/>
    <mergeCell ref="AM103:AM106"/>
    <mergeCell ref="AN103:AN106"/>
    <mergeCell ref="Z103:Z106"/>
    <mergeCell ref="AA103:AA106"/>
    <mergeCell ref="AB103:AB106"/>
    <mergeCell ref="AC103:AC106"/>
    <mergeCell ref="AD103:AD106"/>
    <mergeCell ref="AE103:AE106"/>
    <mergeCell ref="Q103:Q106"/>
    <mergeCell ref="R103:R106"/>
    <mergeCell ref="S103:S106"/>
    <mergeCell ref="T103:T106"/>
    <mergeCell ref="U103:U104"/>
    <mergeCell ref="Y103:Y106"/>
    <mergeCell ref="J103:J106"/>
    <mergeCell ref="K103:K106"/>
    <mergeCell ref="L103:L106"/>
    <mergeCell ref="X109:X110"/>
    <mergeCell ref="Y109:Y111"/>
    <mergeCell ref="Z109:Z111"/>
    <mergeCell ref="AA109:AA111"/>
    <mergeCell ref="P109:P111"/>
    <mergeCell ref="Q109:Q110"/>
    <mergeCell ref="R109:R111"/>
    <mergeCell ref="S109:S111"/>
    <mergeCell ref="T109:T110"/>
    <mergeCell ref="U109:U110"/>
    <mergeCell ref="AN109:AN111"/>
    <mergeCell ref="AO109:AO111"/>
    <mergeCell ref="AP109:AP111"/>
    <mergeCell ref="AQ109:AQ111"/>
    <mergeCell ref="G113:I115"/>
    <mergeCell ref="J113:J115"/>
    <mergeCell ref="K113:K115"/>
    <mergeCell ref="L113:L115"/>
    <mergeCell ref="M113:M115"/>
    <mergeCell ref="N113:N115"/>
    <mergeCell ref="AH109:AH111"/>
    <mergeCell ref="AI109:AI111"/>
    <mergeCell ref="AJ109:AJ111"/>
    <mergeCell ref="AK109:AK111"/>
    <mergeCell ref="AL109:AL111"/>
    <mergeCell ref="AM109:AM111"/>
    <mergeCell ref="AB109:AB111"/>
    <mergeCell ref="AC109:AC111"/>
    <mergeCell ref="AD109:AD111"/>
    <mergeCell ref="AE109:AE111"/>
    <mergeCell ref="AF109:AF111"/>
    <mergeCell ref="AG109:AG111"/>
    <mergeCell ref="V109:V110"/>
    <mergeCell ref="W109:W110"/>
    <mergeCell ref="Z113:Z115"/>
    <mergeCell ref="AA113:AA115"/>
    <mergeCell ref="AB113:AB115"/>
    <mergeCell ref="AC113:AC115"/>
    <mergeCell ref="O113:O115"/>
    <mergeCell ref="P113:P115"/>
    <mergeCell ref="Q113:Q115"/>
    <mergeCell ref="R113:R115"/>
    <mergeCell ref="S113:S115"/>
    <mergeCell ref="T113:T115"/>
    <mergeCell ref="AP113:AP115"/>
    <mergeCell ref="AQ113:AQ115"/>
    <mergeCell ref="J119:J120"/>
    <mergeCell ref="K119:K120"/>
    <mergeCell ref="L119:L120"/>
    <mergeCell ref="M119:M120"/>
    <mergeCell ref="N119:N121"/>
    <mergeCell ref="O119:O121"/>
    <mergeCell ref="P119:P121"/>
    <mergeCell ref="Q119:Q120"/>
    <mergeCell ref="AJ113:AJ115"/>
    <mergeCell ref="AK113:AK115"/>
    <mergeCell ref="AL113:AL115"/>
    <mergeCell ref="AM113:AM115"/>
    <mergeCell ref="AN113:AN115"/>
    <mergeCell ref="AO113:AO115"/>
    <mergeCell ref="AD113:AD115"/>
    <mergeCell ref="AE113:AE115"/>
    <mergeCell ref="AF113:AF115"/>
    <mergeCell ref="AG113:AG115"/>
    <mergeCell ref="AH113:AH115"/>
    <mergeCell ref="AI113:AI115"/>
    <mergeCell ref="U113:U115"/>
    <mergeCell ref="Y113:Y115"/>
    <mergeCell ref="AI119:AI121"/>
    <mergeCell ref="X119:X120"/>
    <mergeCell ref="Y119:Y121"/>
    <mergeCell ref="Z119:Z121"/>
    <mergeCell ref="AA119:AA121"/>
    <mergeCell ref="AB119:AB121"/>
    <mergeCell ref="AC119:AC121"/>
    <mergeCell ref="R119:R121"/>
    <mergeCell ref="S119:S121"/>
    <mergeCell ref="T119:T120"/>
    <mergeCell ref="U119:U120"/>
    <mergeCell ref="V119:V120"/>
    <mergeCell ref="W119:W120"/>
    <mergeCell ref="R124:R125"/>
    <mergeCell ref="S124:S125"/>
    <mergeCell ref="T124:T125"/>
    <mergeCell ref="AP119:AP121"/>
    <mergeCell ref="AQ119:AQ121"/>
    <mergeCell ref="A122:C125"/>
    <mergeCell ref="D123:F125"/>
    <mergeCell ref="G124:I125"/>
    <mergeCell ref="J124:J125"/>
    <mergeCell ref="K124:K125"/>
    <mergeCell ref="L124:L125"/>
    <mergeCell ref="M124:M125"/>
    <mergeCell ref="N124:N125"/>
    <mergeCell ref="AJ119:AJ121"/>
    <mergeCell ref="AK119:AK121"/>
    <mergeCell ref="AL119:AL121"/>
    <mergeCell ref="AM119:AM121"/>
    <mergeCell ref="AN119:AN121"/>
    <mergeCell ref="AO119:AO121"/>
    <mergeCell ref="AD119:AD121"/>
    <mergeCell ref="AE119:AE121"/>
    <mergeCell ref="AF119:AF121"/>
    <mergeCell ref="AG119:AG121"/>
    <mergeCell ref="AH119:AH121"/>
    <mergeCell ref="AQ124:AQ125"/>
    <mergeCell ref="A126:I126"/>
    <mergeCell ref="N132:P132"/>
    <mergeCell ref="AK124:AK125"/>
    <mergeCell ref="AL124:AL125"/>
    <mergeCell ref="AM124:AM125"/>
    <mergeCell ref="AN124:AN125"/>
    <mergeCell ref="AO124:AO125"/>
    <mergeCell ref="AP124:AP125"/>
    <mergeCell ref="AE124:AE125"/>
    <mergeCell ref="AF124:AF125"/>
    <mergeCell ref="AG124:AG125"/>
    <mergeCell ref="AH124:AH125"/>
    <mergeCell ref="AI124:AI125"/>
    <mergeCell ref="AJ124:AJ125"/>
    <mergeCell ref="Y124:Y125"/>
    <mergeCell ref="Z124:Z125"/>
    <mergeCell ref="AA124:AA125"/>
    <mergeCell ref="AB124:AB125"/>
    <mergeCell ref="AC124:AC125"/>
    <mergeCell ref="AD124:AD125"/>
    <mergeCell ref="O124:O125"/>
    <mergeCell ref="P124:P125"/>
    <mergeCell ref="Q124:Q1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0"/>
  <sheetViews>
    <sheetView showGridLines="0" topLeftCell="I1" zoomScale="60" zoomScaleNormal="60" workbookViewId="0">
      <selection activeCell="N17" sqref="N17:N20"/>
    </sheetView>
  </sheetViews>
  <sheetFormatPr baseColWidth="10" defaultColWidth="11.42578125" defaultRowHeight="14.25" x14ac:dyDescent="0.2"/>
  <cols>
    <col min="1" max="1" width="14.5703125" style="668" customWidth="1"/>
    <col min="2" max="2" width="22.28515625" style="668" customWidth="1"/>
    <col min="3" max="3" width="14.28515625" style="668" customWidth="1"/>
    <col min="4" max="4" width="18.28515625" style="668" customWidth="1"/>
    <col min="5" max="5" width="17.28515625" style="668" customWidth="1"/>
    <col min="6" max="6" width="27.7109375" style="1209" customWidth="1"/>
    <col min="7" max="7" width="17.42578125" style="668" customWidth="1"/>
    <col min="8" max="8" width="41" style="1207" customWidth="1"/>
    <col min="9" max="9" width="17.5703125" style="1207" customWidth="1"/>
    <col min="10" max="10" width="25.42578125" style="668" customWidth="1"/>
    <col min="11" max="11" width="31.7109375" style="668" customWidth="1"/>
    <col min="12" max="12" width="22.85546875" style="668" customWidth="1"/>
    <col min="13" max="13" width="58.140625" style="1207" bestFit="1" customWidth="1"/>
    <col min="14" max="14" width="18" style="668" customWidth="1"/>
    <col min="15" max="15" width="25.7109375" style="1210" customWidth="1"/>
    <col min="16" max="16" width="34.140625" style="1207" customWidth="1"/>
    <col min="17" max="17" width="43.5703125" style="1207" customWidth="1"/>
    <col min="18" max="18" width="56.140625" style="392" bestFit="1" customWidth="1"/>
    <col min="19" max="19" width="27.85546875" style="1208" customWidth="1"/>
    <col min="20" max="20" width="17.28515625" style="1209" customWidth="1"/>
    <col min="21" max="21" width="19.7109375" style="1207" customWidth="1"/>
    <col min="22" max="35" width="13.28515625" style="668" customWidth="1"/>
    <col min="36" max="36" width="11" style="668" customWidth="1"/>
    <col min="37" max="37" width="13.42578125" style="668" customWidth="1"/>
    <col min="38" max="39" width="24.140625" style="668" customWidth="1"/>
    <col min="40" max="40" width="26.85546875" style="1207" bestFit="1" customWidth="1"/>
    <col min="41" max="44" width="11.42578125" style="392"/>
    <col min="45" max="255" width="11.42578125" style="668"/>
    <col min="256" max="256" width="13.5703125" style="668" customWidth="1"/>
    <col min="257" max="257" width="19" style="668" customWidth="1"/>
    <col min="258" max="258" width="13.5703125" style="668" customWidth="1"/>
    <col min="259" max="259" width="19.7109375" style="668" customWidth="1"/>
    <col min="260" max="260" width="13.5703125" style="668" customWidth="1"/>
    <col min="261" max="262" width="14.7109375" style="668" customWidth="1"/>
    <col min="263" max="263" width="36.140625" style="668" customWidth="1"/>
    <col min="264" max="264" width="29.42578125" style="668" customWidth="1"/>
    <col min="265" max="265" width="16" style="668" customWidth="1"/>
    <col min="266" max="266" width="38.28515625" style="668" customWidth="1"/>
    <col min="267" max="267" width="12" style="668" customWidth="1"/>
    <col min="268" max="268" width="38.140625" style="668" customWidth="1"/>
    <col min="269" max="269" width="17.85546875" style="668" bestFit="1" customWidth="1"/>
    <col min="270" max="270" width="24.7109375" style="668" customWidth="1"/>
    <col min="271" max="271" width="36.42578125" style="668" customWidth="1"/>
    <col min="272" max="272" width="46.7109375" style="668" customWidth="1"/>
    <col min="273" max="273" width="43.7109375" style="668" customWidth="1"/>
    <col min="274" max="274" width="25.42578125" style="668" customWidth="1"/>
    <col min="275" max="275" width="12.42578125" style="668" customWidth="1"/>
    <col min="276" max="276" width="16.42578125" style="668" customWidth="1"/>
    <col min="277" max="277" width="13.42578125" style="668" customWidth="1"/>
    <col min="278" max="278" width="8.5703125" style="668" customWidth="1"/>
    <col min="279" max="282" width="11.42578125" style="668" customWidth="1"/>
    <col min="283" max="283" width="12.7109375" style="668" customWidth="1"/>
    <col min="284" max="284" width="11.85546875" style="668" customWidth="1"/>
    <col min="285" max="285" width="7.85546875" style="668" customWidth="1"/>
    <col min="286" max="286" width="7.5703125" style="668" customWidth="1"/>
    <col min="287" max="287" width="8.85546875" style="668" customWidth="1"/>
    <col min="288" max="288" width="8.140625" style="668" customWidth="1"/>
    <col min="289" max="289" width="7.85546875" style="668" customWidth="1"/>
    <col min="290" max="290" width="8.5703125" style="668" customWidth="1"/>
    <col min="291" max="291" width="8.28515625" style="668" customWidth="1"/>
    <col min="292" max="292" width="11.42578125" style="668" customWidth="1"/>
    <col min="293" max="293" width="18" style="668" customWidth="1"/>
    <col min="294" max="294" width="21.42578125" style="668" customWidth="1"/>
    <col min="295" max="295" width="27.85546875" style="668" customWidth="1"/>
    <col min="296" max="511" width="11.42578125" style="668"/>
    <col min="512" max="512" width="13.5703125" style="668" customWidth="1"/>
    <col min="513" max="513" width="19" style="668" customWidth="1"/>
    <col min="514" max="514" width="13.5703125" style="668" customWidth="1"/>
    <col min="515" max="515" width="19.7109375" style="668" customWidth="1"/>
    <col min="516" max="516" width="13.5703125" style="668" customWidth="1"/>
    <col min="517" max="518" width="14.7109375" style="668" customWidth="1"/>
    <col min="519" max="519" width="36.140625" style="668" customWidth="1"/>
    <col min="520" max="520" width="29.42578125" style="668" customWidth="1"/>
    <col min="521" max="521" width="16" style="668" customWidth="1"/>
    <col min="522" max="522" width="38.28515625" style="668" customWidth="1"/>
    <col min="523" max="523" width="12" style="668" customWidth="1"/>
    <col min="524" max="524" width="38.140625" style="668" customWidth="1"/>
    <col min="525" max="525" width="17.85546875" style="668" bestFit="1" customWidth="1"/>
    <col min="526" max="526" width="24.7109375" style="668" customWidth="1"/>
    <col min="527" max="527" width="36.42578125" style="668" customWidth="1"/>
    <col min="528" max="528" width="46.7109375" style="668" customWidth="1"/>
    <col min="529" max="529" width="43.7109375" style="668" customWidth="1"/>
    <col min="530" max="530" width="25.42578125" style="668" customWidth="1"/>
    <col min="531" max="531" width="12.42578125" style="668" customWidth="1"/>
    <col min="532" max="532" width="16.42578125" style="668" customWidth="1"/>
    <col min="533" max="533" width="13.42578125" style="668" customWidth="1"/>
    <col min="534" max="534" width="8.5703125" style="668" customWidth="1"/>
    <col min="535" max="538" width="11.42578125" style="668" customWidth="1"/>
    <col min="539" max="539" width="12.7109375" style="668" customWidth="1"/>
    <col min="540" max="540" width="11.85546875" style="668" customWidth="1"/>
    <col min="541" max="541" width="7.85546875" style="668" customWidth="1"/>
    <col min="542" max="542" width="7.5703125" style="668" customWidth="1"/>
    <col min="543" max="543" width="8.85546875" style="668" customWidth="1"/>
    <col min="544" max="544" width="8.140625" style="668" customWidth="1"/>
    <col min="545" max="545" width="7.85546875" style="668" customWidth="1"/>
    <col min="546" max="546" width="8.5703125" style="668" customWidth="1"/>
    <col min="547" max="547" width="8.28515625" style="668" customWidth="1"/>
    <col min="548" max="548" width="11.42578125" style="668" customWidth="1"/>
    <col min="549" max="549" width="18" style="668" customWidth="1"/>
    <col min="550" max="550" width="21.42578125" style="668" customWidth="1"/>
    <col min="551" max="551" width="27.85546875" style="668" customWidth="1"/>
    <col min="552" max="767" width="11.42578125" style="668"/>
    <col min="768" max="768" width="13.5703125" style="668" customWidth="1"/>
    <col min="769" max="769" width="19" style="668" customWidth="1"/>
    <col min="770" max="770" width="13.5703125" style="668" customWidth="1"/>
    <col min="771" max="771" width="19.7109375" style="668" customWidth="1"/>
    <col min="772" max="772" width="13.5703125" style="668" customWidth="1"/>
    <col min="773" max="774" width="14.7109375" style="668" customWidth="1"/>
    <col min="775" max="775" width="36.140625" style="668" customWidth="1"/>
    <col min="776" max="776" width="29.42578125" style="668" customWidth="1"/>
    <col min="777" max="777" width="16" style="668" customWidth="1"/>
    <col min="778" max="778" width="38.28515625" style="668" customWidth="1"/>
    <col min="779" max="779" width="12" style="668" customWidth="1"/>
    <col min="780" max="780" width="38.140625" style="668" customWidth="1"/>
    <col min="781" max="781" width="17.85546875" style="668" bestFit="1" customWidth="1"/>
    <col min="782" max="782" width="24.7109375" style="668" customWidth="1"/>
    <col min="783" max="783" width="36.42578125" style="668" customWidth="1"/>
    <col min="784" max="784" width="46.7109375" style="668" customWidth="1"/>
    <col min="785" max="785" width="43.7109375" style="668" customWidth="1"/>
    <col min="786" max="786" width="25.42578125" style="668" customWidth="1"/>
    <col min="787" max="787" width="12.42578125" style="668" customWidth="1"/>
    <col min="788" max="788" width="16.42578125" style="668" customWidth="1"/>
    <col min="789" max="789" width="13.42578125" style="668" customWidth="1"/>
    <col min="790" max="790" width="8.5703125" style="668" customWidth="1"/>
    <col min="791" max="794" width="11.42578125" style="668" customWidth="1"/>
    <col min="795" max="795" width="12.7109375" style="668" customWidth="1"/>
    <col min="796" max="796" width="11.85546875" style="668" customWidth="1"/>
    <col min="797" max="797" width="7.85546875" style="668" customWidth="1"/>
    <col min="798" max="798" width="7.5703125" style="668" customWidth="1"/>
    <col min="799" max="799" width="8.85546875" style="668" customWidth="1"/>
    <col min="800" max="800" width="8.140625" style="668" customWidth="1"/>
    <col min="801" max="801" width="7.85546875" style="668" customWidth="1"/>
    <col min="802" max="802" width="8.5703125" style="668" customWidth="1"/>
    <col min="803" max="803" width="8.28515625" style="668" customWidth="1"/>
    <col min="804" max="804" width="11.42578125" style="668" customWidth="1"/>
    <col min="805" max="805" width="18" style="668" customWidth="1"/>
    <col min="806" max="806" width="21.42578125" style="668" customWidth="1"/>
    <col min="807" max="807" width="27.85546875" style="668" customWidth="1"/>
    <col min="808" max="1023" width="11.42578125" style="668"/>
    <col min="1024" max="1024" width="13.5703125" style="668" customWidth="1"/>
    <col min="1025" max="1025" width="19" style="668" customWidth="1"/>
    <col min="1026" max="1026" width="13.5703125" style="668" customWidth="1"/>
    <col min="1027" max="1027" width="19.7109375" style="668" customWidth="1"/>
    <col min="1028" max="1028" width="13.5703125" style="668" customWidth="1"/>
    <col min="1029" max="1030" width="14.7109375" style="668" customWidth="1"/>
    <col min="1031" max="1031" width="36.140625" style="668" customWidth="1"/>
    <col min="1032" max="1032" width="29.42578125" style="668" customWidth="1"/>
    <col min="1033" max="1033" width="16" style="668" customWidth="1"/>
    <col min="1034" max="1034" width="38.28515625" style="668" customWidth="1"/>
    <col min="1035" max="1035" width="12" style="668" customWidth="1"/>
    <col min="1036" max="1036" width="38.140625" style="668" customWidth="1"/>
    <col min="1037" max="1037" width="17.85546875" style="668" bestFit="1" customWidth="1"/>
    <col min="1038" max="1038" width="24.7109375" style="668" customWidth="1"/>
    <col min="1039" max="1039" width="36.42578125" style="668" customWidth="1"/>
    <col min="1040" max="1040" width="46.7109375" style="668" customWidth="1"/>
    <col min="1041" max="1041" width="43.7109375" style="668" customWidth="1"/>
    <col min="1042" max="1042" width="25.42578125" style="668" customWidth="1"/>
    <col min="1043" max="1043" width="12.42578125" style="668" customWidth="1"/>
    <col min="1044" max="1044" width="16.42578125" style="668" customWidth="1"/>
    <col min="1045" max="1045" width="13.42578125" style="668" customWidth="1"/>
    <col min="1046" max="1046" width="8.5703125" style="668" customWidth="1"/>
    <col min="1047" max="1050" width="11.42578125" style="668" customWidth="1"/>
    <col min="1051" max="1051" width="12.7109375" style="668" customWidth="1"/>
    <col min="1052" max="1052" width="11.85546875" style="668" customWidth="1"/>
    <col min="1053" max="1053" width="7.85546875" style="668" customWidth="1"/>
    <col min="1054" max="1054" width="7.5703125" style="668" customWidth="1"/>
    <col min="1055" max="1055" width="8.85546875" style="668" customWidth="1"/>
    <col min="1056" max="1056" width="8.140625" style="668" customWidth="1"/>
    <col min="1057" max="1057" width="7.85546875" style="668" customWidth="1"/>
    <col min="1058" max="1058" width="8.5703125" style="668" customWidth="1"/>
    <col min="1059" max="1059" width="8.28515625" style="668" customWidth="1"/>
    <col min="1060" max="1060" width="11.42578125" style="668" customWidth="1"/>
    <col min="1061" max="1061" width="18" style="668" customWidth="1"/>
    <col min="1062" max="1062" width="21.42578125" style="668" customWidth="1"/>
    <col min="1063" max="1063" width="27.85546875" style="668" customWidth="1"/>
    <col min="1064" max="1279" width="11.42578125" style="668"/>
    <col min="1280" max="1280" width="13.5703125" style="668" customWidth="1"/>
    <col min="1281" max="1281" width="19" style="668" customWidth="1"/>
    <col min="1282" max="1282" width="13.5703125" style="668" customWidth="1"/>
    <col min="1283" max="1283" width="19.7109375" style="668" customWidth="1"/>
    <col min="1284" max="1284" width="13.5703125" style="668" customWidth="1"/>
    <col min="1285" max="1286" width="14.7109375" style="668" customWidth="1"/>
    <col min="1287" max="1287" width="36.140625" style="668" customWidth="1"/>
    <col min="1288" max="1288" width="29.42578125" style="668" customWidth="1"/>
    <col min="1289" max="1289" width="16" style="668" customWidth="1"/>
    <col min="1290" max="1290" width="38.28515625" style="668" customWidth="1"/>
    <col min="1291" max="1291" width="12" style="668" customWidth="1"/>
    <col min="1292" max="1292" width="38.140625" style="668" customWidth="1"/>
    <col min="1293" max="1293" width="17.85546875" style="668" bestFit="1" customWidth="1"/>
    <col min="1294" max="1294" width="24.7109375" style="668" customWidth="1"/>
    <col min="1295" max="1295" width="36.42578125" style="668" customWidth="1"/>
    <col min="1296" max="1296" width="46.7109375" style="668" customWidth="1"/>
    <col min="1297" max="1297" width="43.7109375" style="668" customWidth="1"/>
    <col min="1298" max="1298" width="25.42578125" style="668" customWidth="1"/>
    <col min="1299" max="1299" width="12.42578125" style="668" customWidth="1"/>
    <col min="1300" max="1300" width="16.42578125" style="668" customWidth="1"/>
    <col min="1301" max="1301" width="13.42578125" style="668" customWidth="1"/>
    <col min="1302" max="1302" width="8.5703125" style="668" customWidth="1"/>
    <col min="1303" max="1306" width="11.42578125" style="668" customWidth="1"/>
    <col min="1307" max="1307" width="12.7109375" style="668" customWidth="1"/>
    <col min="1308" max="1308" width="11.85546875" style="668" customWidth="1"/>
    <col min="1309" max="1309" width="7.85546875" style="668" customWidth="1"/>
    <col min="1310" max="1310" width="7.5703125" style="668" customWidth="1"/>
    <col min="1311" max="1311" width="8.85546875" style="668" customWidth="1"/>
    <col min="1312" max="1312" width="8.140625" style="668" customWidth="1"/>
    <col min="1313" max="1313" width="7.85546875" style="668" customWidth="1"/>
    <col min="1314" max="1314" width="8.5703125" style="668" customWidth="1"/>
    <col min="1315" max="1315" width="8.28515625" style="668" customWidth="1"/>
    <col min="1316" max="1316" width="11.42578125" style="668" customWidth="1"/>
    <col min="1317" max="1317" width="18" style="668" customWidth="1"/>
    <col min="1318" max="1318" width="21.42578125" style="668" customWidth="1"/>
    <col min="1319" max="1319" width="27.85546875" style="668" customWidth="1"/>
    <col min="1320" max="1535" width="11.42578125" style="668"/>
    <col min="1536" max="1536" width="13.5703125" style="668" customWidth="1"/>
    <col min="1537" max="1537" width="19" style="668" customWidth="1"/>
    <col min="1538" max="1538" width="13.5703125" style="668" customWidth="1"/>
    <col min="1539" max="1539" width="19.7109375" style="668" customWidth="1"/>
    <col min="1540" max="1540" width="13.5703125" style="668" customWidth="1"/>
    <col min="1541" max="1542" width="14.7109375" style="668" customWidth="1"/>
    <col min="1543" max="1543" width="36.140625" style="668" customWidth="1"/>
    <col min="1544" max="1544" width="29.42578125" style="668" customWidth="1"/>
    <col min="1545" max="1545" width="16" style="668" customWidth="1"/>
    <col min="1546" max="1546" width="38.28515625" style="668" customWidth="1"/>
    <col min="1547" max="1547" width="12" style="668" customWidth="1"/>
    <col min="1548" max="1548" width="38.140625" style="668" customWidth="1"/>
    <col min="1549" max="1549" width="17.85546875" style="668" bestFit="1" customWidth="1"/>
    <col min="1550" max="1550" width="24.7109375" style="668" customWidth="1"/>
    <col min="1551" max="1551" width="36.42578125" style="668" customWidth="1"/>
    <col min="1552" max="1552" width="46.7109375" style="668" customWidth="1"/>
    <col min="1553" max="1553" width="43.7109375" style="668" customWidth="1"/>
    <col min="1554" max="1554" width="25.42578125" style="668" customWidth="1"/>
    <col min="1555" max="1555" width="12.42578125" style="668" customWidth="1"/>
    <col min="1556" max="1556" width="16.42578125" style="668" customWidth="1"/>
    <col min="1557" max="1557" width="13.42578125" style="668" customWidth="1"/>
    <col min="1558" max="1558" width="8.5703125" style="668" customWidth="1"/>
    <col min="1559" max="1562" width="11.42578125" style="668" customWidth="1"/>
    <col min="1563" max="1563" width="12.7109375" style="668" customWidth="1"/>
    <col min="1564" max="1564" width="11.85546875" style="668" customWidth="1"/>
    <col min="1565" max="1565" width="7.85546875" style="668" customWidth="1"/>
    <col min="1566" max="1566" width="7.5703125" style="668" customWidth="1"/>
    <col min="1567" max="1567" width="8.85546875" style="668" customWidth="1"/>
    <col min="1568" max="1568" width="8.140625" style="668" customWidth="1"/>
    <col min="1569" max="1569" width="7.85546875" style="668" customWidth="1"/>
    <col min="1570" max="1570" width="8.5703125" style="668" customWidth="1"/>
    <col min="1571" max="1571" width="8.28515625" style="668" customWidth="1"/>
    <col min="1572" max="1572" width="11.42578125" style="668" customWidth="1"/>
    <col min="1573" max="1573" width="18" style="668" customWidth="1"/>
    <col min="1574" max="1574" width="21.42578125" style="668" customWidth="1"/>
    <col min="1575" max="1575" width="27.85546875" style="668" customWidth="1"/>
    <col min="1576" max="1791" width="11.42578125" style="668"/>
    <col min="1792" max="1792" width="13.5703125" style="668" customWidth="1"/>
    <col min="1793" max="1793" width="19" style="668" customWidth="1"/>
    <col min="1794" max="1794" width="13.5703125" style="668" customWidth="1"/>
    <col min="1795" max="1795" width="19.7109375" style="668" customWidth="1"/>
    <col min="1796" max="1796" width="13.5703125" style="668" customWidth="1"/>
    <col min="1797" max="1798" width="14.7109375" style="668" customWidth="1"/>
    <col min="1799" max="1799" width="36.140625" style="668" customWidth="1"/>
    <col min="1800" max="1800" width="29.42578125" style="668" customWidth="1"/>
    <col min="1801" max="1801" width="16" style="668" customWidth="1"/>
    <col min="1802" max="1802" width="38.28515625" style="668" customWidth="1"/>
    <col min="1803" max="1803" width="12" style="668" customWidth="1"/>
    <col min="1804" max="1804" width="38.140625" style="668" customWidth="1"/>
    <col min="1805" max="1805" width="17.85546875" style="668" bestFit="1" customWidth="1"/>
    <col min="1806" max="1806" width="24.7109375" style="668" customWidth="1"/>
    <col min="1807" max="1807" width="36.42578125" style="668" customWidth="1"/>
    <col min="1808" max="1808" width="46.7109375" style="668" customWidth="1"/>
    <col min="1809" max="1809" width="43.7109375" style="668" customWidth="1"/>
    <col min="1810" max="1810" width="25.42578125" style="668" customWidth="1"/>
    <col min="1811" max="1811" width="12.42578125" style="668" customWidth="1"/>
    <col min="1812" max="1812" width="16.42578125" style="668" customWidth="1"/>
    <col min="1813" max="1813" width="13.42578125" style="668" customWidth="1"/>
    <col min="1814" max="1814" width="8.5703125" style="668" customWidth="1"/>
    <col min="1815" max="1818" width="11.42578125" style="668" customWidth="1"/>
    <col min="1819" max="1819" width="12.7109375" style="668" customWidth="1"/>
    <col min="1820" max="1820" width="11.85546875" style="668" customWidth="1"/>
    <col min="1821" max="1821" width="7.85546875" style="668" customWidth="1"/>
    <col min="1822" max="1822" width="7.5703125" style="668" customWidth="1"/>
    <col min="1823" max="1823" width="8.85546875" style="668" customWidth="1"/>
    <col min="1824" max="1824" width="8.140625" style="668" customWidth="1"/>
    <col min="1825" max="1825" width="7.85546875" style="668" customWidth="1"/>
    <col min="1826" max="1826" width="8.5703125" style="668" customWidth="1"/>
    <col min="1827" max="1827" width="8.28515625" style="668" customWidth="1"/>
    <col min="1828" max="1828" width="11.42578125" style="668" customWidth="1"/>
    <col min="1829" max="1829" width="18" style="668" customWidth="1"/>
    <col min="1830" max="1830" width="21.42578125" style="668" customWidth="1"/>
    <col min="1831" max="1831" width="27.85546875" style="668" customWidth="1"/>
    <col min="1832" max="2047" width="11.42578125" style="668"/>
    <col min="2048" max="2048" width="13.5703125" style="668" customWidth="1"/>
    <col min="2049" max="2049" width="19" style="668" customWidth="1"/>
    <col min="2050" max="2050" width="13.5703125" style="668" customWidth="1"/>
    <col min="2051" max="2051" width="19.7109375" style="668" customWidth="1"/>
    <col min="2052" max="2052" width="13.5703125" style="668" customWidth="1"/>
    <col min="2053" max="2054" width="14.7109375" style="668" customWidth="1"/>
    <col min="2055" max="2055" width="36.140625" style="668" customWidth="1"/>
    <col min="2056" max="2056" width="29.42578125" style="668" customWidth="1"/>
    <col min="2057" max="2057" width="16" style="668" customWidth="1"/>
    <col min="2058" max="2058" width="38.28515625" style="668" customWidth="1"/>
    <col min="2059" max="2059" width="12" style="668" customWidth="1"/>
    <col min="2060" max="2060" width="38.140625" style="668" customWidth="1"/>
    <col min="2061" max="2061" width="17.85546875" style="668" bestFit="1" customWidth="1"/>
    <col min="2062" max="2062" width="24.7109375" style="668" customWidth="1"/>
    <col min="2063" max="2063" width="36.42578125" style="668" customWidth="1"/>
    <col min="2064" max="2064" width="46.7109375" style="668" customWidth="1"/>
    <col min="2065" max="2065" width="43.7109375" style="668" customWidth="1"/>
    <col min="2066" max="2066" width="25.42578125" style="668" customWidth="1"/>
    <col min="2067" max="2067" width="12.42578125" style="668" customWidth="1"/>
    <col min="2068" max="2068" width="16.42578125" style="668" customWidth="1"/>
    <col min="2069" max="2069" width="13.42578125" style="668" customWidth="1"/>
    <col min="2070" max="2070" width="8.5703125" style="668" customWidth="1"/>
    <col min="2071" max="2074" width="11.42578125" style="668" customWidth="1"/>
    <col min="2075" max="2075" width="12.7109375" style="668" customWidth="1"/>
    <col min="2076" max="2076" width="11.85546875" style="668" customWidth="1"/>
    <col min="2077" max="2077" width="7.85546875" style="668" customWidth="1"/>
    <col min="2078" max="2078" width="7.5703125" style="668" customWidth="1"/>
    <col min="2079" max="2079" width="8.85546875" style="668" customWidth="1"/>
    <col min="2080" max="2080" width="8.140625" style="668" customWidth="1"/>
    <col min="2081" max="2081" width="7.85546875" style="668" customWidth="1"/>
    <col min="2082" max="2082" width="8.5703125" style="668" customWidth="1"/>
    <col min="2083" max="2083" width="8.28515625" style="668" customWidth="1"/>
    <col min="2084" max="2084" width="11.42578125" style="668" customWidth="1"/>
    <col min="2085" max="2085" width="18" style="668" customWidth="1"/>
    <col min="2086" max="2086" width="21.42578125" style="668" customWidth="1"/>
    <col min="2087" max="2087" width="27.85546875" style="668" customWidth="1"/>
    <col min="2088" max="2303" width="11.42578125" style="668"/>
    <col min="2304" max="2304" width="13.5703125" style="668" customWidth="1"/>
    <col min="2305" max="2305" width="19" style="668" customWidth="1"/>
    <col min="2306" max="2306" width="13.5703125" style="668" customWidth="1"/>
    <col min="2307" max="2307" width="19.7109375" style="668" customWidth="1"/>
    <col min="2308" max="2308" width="13.5703125" style="668" customWidth="1"/>
    <col min="2309" max="2310" width="14.7109375" style="668" customWidth="1"/>
    <col min="2311" max="2311" width="36.140625" style="668" customWidth="1"/>
    <col min="2312" max="2312" width="29.42578125" style="668" customWidth="1"/>
    <col min="2313" max="2313" width="16" style="668" customWidth="1"/>
    <col min="2314" max="2314" width="38.28515625" style="668" customWidth="1"/>
    <col min="2315" max="2315" width="12" style="668" customWidth="1"/>
    <col min="2316" max="2316" width="38.140625" style="668" customWidth="1"/>
    <col min="2317" max="2317" width="17.85546875" style="668" bestFit="1" customWidth="1"/>
    <col min="2318" max="2318" width="24.7109375" style="668" customWidth="1"/>
    <col min="2319" max="2319" width="36.42578125" style="668" customWidth="1"/>
    <col min="2320" max="2320" width="46.7109375" style="668" customWidth="1"/>
    <col min="2321" max="2321" width="43.7109375" style="668" customWidth="1"/>
    <col min="2322" max="2322" width="25.42578125" style="668" customWidth="1"/>
    <col min="2323" max="2323" width="12.42578125" style="668" customWidth="1"/>
    <col min="2324" max="2324" width="16.42578125" style="668" customWidth="1"/>
    <col min="2325" max="2325" width="13.42578125" style="668" customWidth="1"/>
    <col min="2326" max="2326" width="8.5703125" style="668" customWidth="1"/>
    <col min="2327" max="2330" width="11.42578125" style="668" customWidth="1"/>
    <col min="2331" max="2331" width="12.7109375" style="668" customWidth="1"/>
    <col min="2332" max="2332" width="11.85546875" style="668" customWidth="1"/>
    <col min="2333" max="2333" width="7.85546875" style="668" customWidth="1"/>
    <col min="2334" max="2334" width="7.5703125" style="668" customWidth="1"/>
    <col min="2335" max="2335" width="8.85546875" style="668" customWidth="1"/>
    <col min="2336" max="2336" width="8.140625" style="668" customWidth="1"/>
    <col min="2337" max="2337" width="7.85546875" style="668" customWidth="1"/>
    <col min="2338" max="2338" width="8.5703125" style="668" customWidth="1"/>
    <col min="2339" max="2339" width="8.28515625" style="668" customWidth="1"/>
    <col min="2340" max="2340" width="11.42578125" style="668" customWidth="1"/>
    <col min="2341" max="2341" width="18" style="668" customWidth="1"/>
    <col min="2342" max="2342" width="21.42578125" style="668" customWidth="1"/>
    <col min="2343" max="2343" width="27.85546875" style="668" customWidth="1"/>
    <col min="2344" max="2559" width="11.42578125" style="668"/>
    <col min="2560" max="2560" width="13.5703125" style="668" customWidth="1"/>
    <col min="2561" max="2561" width="19" style="668" customWidth="1"/>
    <col min="2562" max="2562" width="13.5703125" style="668" customWidth="1"/>
    <col min="2563" max="2563" width="19.7109375" style="668" customWidth="1"/>
    <col min="2564" max="2564" width="13.5703125" style="668" customWidth="1"/>
    <col min="2565" max="2566" width="14.7109375" style="668" customWidth="1"/>
    <col min="2567" max="2567" width="36.140625" style="668" customWidth="1"/>
    <col min="2568" max="2568" width="29.42578125" style="668" customWidth="1"/>
    <col min="2569" max="2569" width="16" style="668" customWidth="1"/>
    <col min="2570" max="2570" width="38.28515625" style="668" customWidth="1"/>
    <col min="2571" max="2571" width="12" style="668" customWidth="1"/>
    <col min="2572" max="2572" width="38.140625" style="668" customWidth="1"/>
    <col min="2573" max="2573" width="17.85546875" style="668" bestFit="1" customWidth="1"/>
    <col min="2574" max="2574" width="24.7109375" style="668" customWidth="1"/>
    <col min="2575" max="2575" width="36.42578125" style="668" customWidth="1"/>
    <col min="2576" max="2576" width="46.7109375" style="668" customWidth="1"/>
    <col min="2577" max="2577" width="43.7109375" style="668" customWidth="1"/>
    <col min="2578" max="2578" width="25.42578125" style="668" customWidth="1"/>
    <col min="2579" max="2579" width="12.42578125" style="668" customWidth="1"/>
    <col min="2580" max="2580" width="16.42578125" style="668" customWidth="1"/>
    <col min="2581" max="2581" width="13.42578125" style="668" customWidth="1"/>
    <col min="2582" max="2582" width="8.5703125" style="668" customWidth="1"/>
    <col min="2583" max="2586" width="11.42578125" style="668" customWidth="1"/>
    <col min="2587" max="2587" width="12.7109375" style="668" customWidth="1"/>
    <col min="2588" max="2588" width="11.85546875" style="668" customWidth="1"/>
    <col min="2589" max="2589" width="7.85546875" style="668" customWidth="1"/>
    <col min="2590" max="2590" width="7.5703125" style="668" customWidth="1"/>
    <col min="2591" max="2591" width="8.85546875" style="668" customWidth="1"/>
    <col min="2592" max="2592" width="8.140625" style="668" customWidth="1"/>
    <col min="2593" max="2593" width="7.85546875" style="668" customWidth="1"/>
    <col min="2594" max="2594" width="8.5703125" style="668" customWidth="1"/>
    <col min="2595" max="2595" width="8.28515625" style="668" customWidth="1"/>
    <col min="2596" max="2596" width="11.42578125" style="668" customWidth="1"/>
    <col min="2597" max="2597" width="18" style="668" customWidth="1"/>
    <col min="2598" max="2598" width="21.42578125" style="668" customWidth="1"/>
    <col min="2599" max="2599" width="27.85546875" style="668" customWidth="1"/>
    <col min="2600" max="2815" width="11.42578125" style="668"/>
    <col min="2816" max="2816" width="13.5703125" style="668" customWidth="1"/>
    <col min="2817" max="2817" width="19" style="668" customWidth="1"/>
    <col min="2818" max="2818" width="13.5703125" style="668" customWidth="1"/>
    <col min="2819" max="2819" width="19.7109375" style="668" customWidth="1"/>
    <col min="2820" max="2820" width="13.5703125" style="668" customWidth="1"/>
    <col min="2821" max="2822" width="14.7109375" style="668" customWidth="1"/>
    <col min="2823" max="2823" width="36.140625" style="668" customWidth="1"/>
    <col min="2824" max="2824" width="29.42578125" style="668" customWidth="1"/>
    <col min="2825" max="2825" width="16" style="668" customWidth="1"/>
    <col min="2826" max="2826" width="38.28515625" style="668" customWidth="1"/>
    <col min="2827" max="2827" width="12" style="668" customWidth="1"/>
    <col min="2828" max="2828" width="38.140625" style="668" customWidth="1"/>
    <col min="2829" max="2829" width="17.85546875" style="668" bestFit="1" customWidth="1"/>
    <col min="2830" max="2830" width="24.7109375" style="668" customWidth="1"/>
    <col min="2831" max="2831" width="36.42578125" style="668" customWidth="1"/>
    <col min="2832" max="2832" width="46.7109375" style="668" customWidth="1"/>
    <col min="2833" max="2833" width="43.7109375" style="668" customWidth="1"/>
    <col min="2834" max="2834" width="25.42578125" style="668" customWidth="1"/>
    <col min="2835" max="2835" width="12.42578125" style="668" customWidth="1"/>
    <col min="2836" max="2836" width="16.42578125" style="668" customWidth="1"/>
    <col min="2837" max="2837" width="13.42578125" style="668" customWidth="1"/>
    <col min="2838" max="2838" width="8.5703125" style="668" customWidth="1"/>
    <col min="2839" max="2842" width="11.42578125" style="668" customWidth="1"/>
    <col min="2843" max="2843" width="12.7109375" style="668" customWidth="1"/>
    <col min="2844" max="2844" width="11.85546875" style="668" customWidth="1"/>
    <col min="2845" max="2845" width="7.85546875" style="668" customWidth="1"/>
    <col min="2846" max="2846" width="7.5703125" style="668" customWidth="1"/>
    <col min="2847" max="2847" width="8.85546875" style="668" customWidth="1"/>
    <col min="2848" max="2848" width="8.140625" style="668" customWidth="1"/>
    <col min="2849" max="2849" width="7.85546875" style="668" customWidth="1"/>
    <col min="2850" max="2850" width="8.5703125" style="668" customWidth="1"/>
    <col min="2851" max="2851" width="8.28515625" style="668" customWidth="1"/>
    <col min="2852" max="2852" width="11.42578125" style="668" customWidth="1"/>
    <col min="2853" max="2853" width="18" style="668" customWidth="1"/>
    <col min="2854" max="2854" width="21.42578125" style="668" customWidth="1"/>
    <col min="2855" max="2855" width="27.85546875" style="668" customWidth="1"/>
    <col min="2856" max="3071" width="11.42578125" style="668"/>
    <col min="3072" max="3072" width="13.5703125" style="668" customWidth="1"/>
    <col min="3073" max="3073" width="19" style="668" customWidth="1"/>
    <col min="3074" max="3074" width="13.5703125" style="668" customWidth="1"/>
    <col min="3075" max="3075" width="19.7109375" style="668" customWidth="1"/>
    <col min="3076" max="3076" width="13.5703125" style="668" customWidth="1"/>
    <col min="3077" max="3078" width="14.7109375" style="668" customWidth="1"/>
    <col min="3079" max="3079" width="36.140625" style="668" customWidth="1"/>
    <col min="3080" max="3080" width="29.42578125" style="668" customWidth="1"/>
    <col min="3081" max="3081" width="16" style="668" customWidth="1"/>
    <col min="3082" max="3082" width="38.28515625" style="668" customWidth="1"/>
    <col min="3083" max="3083" width="12" style="668" customWidth="1"/>
    <col min="3084" max="3084" width="38.140625" style="668" customWidth="1"/>
    <col min="3085" max="3085" width="17.85546875" style="668" bestFit="1" customWidth="1"/>
    <col min="3086" max="3086" width="24.7109375" style="668" customWidth="1"/>
    <col min="3087" max="3087" width="36.42578125" style="668" customWidth="1"/>
    <col min="3088" max="3088" width="46.7109375" style="668" customWidth="1"/>
    <col min="3089" max="3089" width="43.7109375" style="668" customWidth="1"/>
    <col min="3090" max="3090" width="25.42578125" style="668" customWidth="1"/>
    <col min="3091" max="3091" width="12.42578125" style="668" customWidth="1"/>
    <col min="3092" max="3092" width="16.42578125" style="668" customWidth="1"/>
    <col min="3093" max="3093" width="13.42578125" style="668" customWidth="1"/>
    <col min="3094" max="3094" width="8.5703125" style="668" customWidth="1"/>
    <col min="3095" max="3098" width="11.42578125" style="668" customWidth="1"/>
    <col min="3099" max="3099" width="12.7109375" style="668" customWidth="1"/>
    <col min="3100" max="3100" width="11.85546875" style="668" customWidth="1"/>
    <col min="3101" max="3101" width="7.85546875" style="668" customWidth="1"/>
    <col min="3102" max="3102" width="7.5703125" style="668" customWidth="1"/>
    <col min="3103" max="3103" width="8.85546875" style="668" customWidth="1"/>
    <col min="3104" max="3104" width="8.140625" style="668" customWidth="1"/>
    <col min="3105" max="3105" width="7.85546875" style="668" customWidth="1"/>
    <col min="3106" max="3106" width="8.5703125" style="668" customWidth="1"/>
    <col min="3107" max="3107" width="8.28515625" style="668" customWidth="1"/>
    <col min="3108" max="3108" width="11.42578125" style="668" customWidth="1"/>
    <col min="3109" max="3109" width="18" style="668" customWidth="1"/>
    <col min="3110" max="3110" width="21.42578125" style="668" customWidth="1"/>
    <col min="3111" max="3111" width="27.85546875" style="668" customWidth="1"/>
    <col min="3112" max="3327" width="11.42578125" style="668"/>
    <col min="3328" max="3328" width="13.5703125" style="668" customWidth="1"/>
    <col min="3329" max="3329" width="19" style="668" customWidth="1"/>
    <col min="3330" max="3330" width="13.5703125" style="668" customWidth="1"/>
    <col min="3331" max="3331" width="19.7109375" style="668" customWidth="1"/>
    <col min="3332" max="3332" width="13.5703125" style="668" customWidth="1"/>
    <col min="3333" max="3334" width="14.7109375" style="668" customWidth="1"/>
    <col min="3335" max="3335" width="36.140625" style="668" customWidth="1"/>
    <col min="3336" max="3336" width="29.42578125" style="668" customWidth="1"/>
    <col min="3337" max="3337" width="16" style="668" customWidth="1"/>
    <col min="3338" max="3338" width="38.28515625" style="668" customWidth="1"/>
    <col min="3339" max="3339" width="12" style="668" customWidth="1"/>
    <col min="3340" max="3340" width="38.140625" style="668" customWidth="1"/>
    <col min="3341" max="3341" width="17.85546875" style="668" bestFit="1" customWidth="1"/>
    <col min="3342" max="3342" width="24.7109375" style="668" customWidth="1"/>
    <col min="3343" max="3343" width="36.42578125" style="668" customWidth="1"/>
    <col min="3344" max="3344" width="46.7109375" style="668" customWidth="1"/>
    <col min="3345" max="3345" width="43.7109375" style="668" customWidth="1"/>
    <col min="3346" max="3346" width="25.42578125" style="668" customWidth="1"/>
    <col min="3347" max="3347" width="12.42578125" style="668" customWidth="1"/>
    <col min="3348" max="3348" width="16.42578125" style="668" customWidth="1"/>
    <col min="3349" max="3349" width="13.42578125" style="668" customWidth="1"/>
    <col min="3350" max="3350" width="8.5703125" style="668" customWidth="1"/>
    <col min="3351" max="3354" width="11.42578125" style="668" customWidth="1"/>
    <col min="3355" max="3355" width="12.7109375" style="668" customWidth="1"/>
    <col min="3356" max="3356" width="11.85546875" style="668" customWidth="1"/>
    <col min="3357" max="3357" width="7.85546875" style="668" customWidth="1"/>
    <col min="3358" max="3358" width="7.5703125" style="668" customWidth="1"/>
    <col min="3359" max="3359" width="8.85546875" style="668" customWidth="1"/>
    <col min="3360" max="3360" width="8.140625" style="668" customWidth="1"/>
    <col min="3361" max="3361" width="7.85546875" style="668" customWidth="1"/>
    <col min="3362" max="3362" width="8.5703125" style="668" customWidth="1"/>
    <col min="3363" max="3363" width="8.28515625" style="668" customWidth="1"/>
    <col min="3364" max="3364" width="11.42578125" style="668" customWidth="1"/>
    <col min="3365" max="3365" width="18" style="668" customWidth="1"/>
    <col min="3366" max="3366" width="21.42578125" style="668" customWidth="1"/>
    <col min="3367" max="3367" width="27.85546875" style="668" customWidth="1"/>
    <col min="3368" max="3583" width="11.42578125" style="668"/>
    <col min="3584" max="3584" width="13.5703125" style="668" customWidth="1"/>
    <col min="3585" max="3585" width="19" style="668" customWidth="1"/>
    <col min="3586" max="3586" width="13.5703125" style="668" customWidth="1"/>
    <col min="3587" max="3587" width="19.7109375" style="668" customWidth="1"/>
    <col min="3588" max="3588" width="13.5703125" style="668" customWidth="1"/>
    <col min="3589" max="3590" width="14.7109375" style="668" customWidth="1"/>
    <col min="3591" max="3591" width="36.140625" style="668" customWidth="1"/>
    <col min="3592" max="3592" width="29.42578125" style="668" customWidth="1"/>
    <col min="3593" max="3593" width="16" style="668" customWidth="1"/>
    <col min="3594" max="3594" width="38.28515625" style="668" customWidth="1"/>
    <col min="3595" max="3595" width="12" style="668" customWidth="1"/>
    <col min="3596" max="3596" width="38.140625" style="668" customWidth="1"/>
    <col min="3597" max="3597" width="17.85546875" style="668" bestFit="1" customWidth="1"/>
    <col min="3598" max="3598" width="24.7109375" style="668" customWidth="1"/>
    <col min="3599" max="3599" width="36.42578125" style="668" customWidth="1"/>
    <col min="3600" max="3600" width="46.7109375" style="668" customWidth="1"/>
    <col min="3601" max="3601" width="43.7109375" style="668" customWidth="1"/>
    <col min="3602" max="3602" width="25.42578125" style="668" customWidth="1"/>
    <col min="3603" max="3603" width="12.42578125" style="668" customWidth="1"/>
    <col min="3604" max="3604" width="16.42578125" style="668" customWidth="1"/>
    <col min="3605" max="3605" width="13.42578125" style="668" customWidth="1"/>
    <col min="3606" max="3606" width="8.5703125" style="668" customWidth="1"/>
    <col min="3607" max="3610" width="11.42578125" style="668" customWidth="1"/>
    <col min="3611" max="3611" width="12.7109375" style="668" customWidth="1"/>
    <col min="3612" max="3612" width="11.85546875" style="668" customWidth="1"/>
    <col min="3613" max="3613" width="7.85546875" style="668" customWidth="1"/>
    <col min="3614" max="3614" width="7.5703125" style="668" customWidth="1"/>
    <col min="3615" max="3615" width="8.85546875" style="668" customWidth="1"/>
    <col min="3616" max="3616" width="8.140625" style="668" customWidth="1"/>
    <col min="3617" max="3617" width="7.85546875" style="668" customWidth="1"/>
    <col min="3618" max="3618" width="8.5703125" style="668" customWidth="1"/>
    <col min="3619" max="3619" width="8.28515625" style="668" customWidth="1"/>
    <col min="3620" max="3620" width="11.42578125" style="668" customWidth="1"/>
    <col min="3621" max="3621" width="18" style="668" customWidth="1"/>
    <col min="3622" max="3622" width="21.42578125" style="668" customWidth="1"/>
    <col min="3623" max="3623" width="27.85546875" style="668" customWidth="1"/>
    <col min="3624" max="3839" width="11.42578125" style="668"/>
    <col min="3840" max="3840" width="13.5703125" style="668" customWidth="1"/>
    <col min="3841" max="3841" width="19" style="668" customWidth="1"/>
    <col min="3842" max="3842" width="13.5703125" style="668" customWidth="1"/>
    <col min="3843" max="3843" width="19.7109375" style="668" customWidth="1"/>
    <col min="3844" max="3844" width="13.5703125" style="668" customWidth="1"/>
    <col min="3845" max="3846" width="14.7109375" style="668" customWidth="1"/>
    <col min="3847" max="3847" width="36.140625" style="668" customWidth="1"/>
    <col min="3848" max="3848" width="29.42578125" style="668" customWidth="1"/>
    <col min="3849" max="3849" width="16" style="668" customWidth="1"/>
    <col min="3850" max="3850" width="38.28515625" style="668" customWidth="1"/>
    <col min="3851" max="3851" width="12" style="668" customWidth="1"/>
    <col min="3852" max="3852" width="38.140625" style="668" customWidth="1"/>
    <col min="3853" max="3853" width="17.85546875" style="668" bestFit="1" customWidth="1"/>
    <col min="3854" max="3854" width="24.7109375" style="668" customWidth="1"/>
    <col min="3855" max="3855" width="36.42578125" style="668" customWidth="1"/>
    <col min="3856" max="3856" width="46.7109375" style="668" customWidth="1"/>
    <col min="3857" max="3857" width="43.7109375" style="668" customWidth="1"/>
    <col min="3858" max="3858" width="25.42578125" style="668" customWidth="1"/>
    <col min="3859" max="3859" width="12.42578125" style="668" customWidth="1"/>
    <col min="3860" max="3860" width="16.42578125" style="668" customWidth="1"/>
    <col min="3861" max="3861" width="13.42578125" style="668" customWidth="1"/>
    <col min="3862" max="3862" width="8.5703125" style="668" customWidth="1"/>
    <col min="3863" max="3866" width="11.42578125" style="668" customWidth="1"/>
    <col min="3867" max="3867" width="12.7109375" style="668" customWidth="1"/>
    <col min="3868" max="3868" width="11.85546875" style="668" customWidth="1"/>
    <col min="3869" max="3869" width="7.85546875" style="668" customWidth="1"/>
    <col min="3870" max="3870" width="7.5703125" style="668" customWidth="1"/>
    <col min="3871" max="3871" width="8.85546875" style="668" customWidth="1"/>
    <col min="3872" max="3872" width="8.140625" style="668" customWidth="1"/>
    <col min="3873" max="3873" width="7.85546875" style="668" customWidth="1"/>
    <col min="3874" max="3874" width="8.5703125" style="668" customWidth="1"/>
    <col min="3875" max="3875" width="8.28515625" style="668" customWidth="1"/>
    <col min="3876" max="3876" width="11.42578125" style="668" customWidth="1"/>
    <col min="3877" max="3877" width="18" style="668" customWidth="1"/>
    <col min="3878" max="3878" width="21.42578125" style="668" customWidth="1"/>
    <col min="3879" max="3879" width="27.85546875" style="668" customWidth="1"/>
    <col min="3880" max="4095" width="11.42578125" style="668"/>
    <col min="4096" max="4096" width="13.5703125" style="668" customWidth="1"/>
    <col min="4097" max="4097" width="19" style="668" customWidth="1"/>
    <col min="4098" max="4098" width="13.5703125" style="668" customWidth="1"/>
    <col min="4099" max="4099" width="19.7109375" style="668" customWidth="1"/>
    <col min="4100" max="4100" width="13.5703125" style="668" customWidth="1"/>
    <col min="4101" max="4102" width="14.7109375" style="668" customWidth="1"/>
    <col min="4103" max="4103" width="36.140625" style="668" customWidth="1"/>
    <col min="4104" max="4104" width="29.42578125" style="668" customWidth="1"/>
    <col min="4105" max="4105" width="16" style="668" customWidth="1"/>
    <col min="4106" max="4106" width="38.28515625" style="668" customWidth="1"/>
    <col min="4107" max="4107" width="12" style="668" customWidth="1"/>
    <col min="4108" max="4108" width="38.140625" style="668" customWidth="1"/>
    <col min="4109" max="4109" width="17.85546875" style="668" bestFit="1" customWidth="1"/>
    <col min="4110" max="4110" width="24.7109375" style="668" customWidth="1"/>
    <col min="4111" max="4111" width="36.42578125" style="668" customWidth="1"/>
    <col min="4112" max="4112" width="46.7109375" style="668" customWidth="1"/>
    <col min="4113" max="4113" width="43.7109375" style="668" customWidth="1"/>
    <col min="4114" max="4114" width="25.42578125" style="668" customWidth="1"/>
    <col min="4115" max="4115" width="12.42578125" style="668" customWidth="1"/>
    <col min="4116" max="4116" width="16.42578125" style="668" customWidth="1"/>
    <col min="4117" max="4117" width="13.42578125" style="668" customWidth="1"/>
    <col min="4118" max="4118" width="8.5703125" style="668" customWidth="1"/>
    <col min="4119" max="4122" width="11.42578125" style="668" customWidth="1"/>
    <col min="4123" max="4123" width="12.7109375" style="668" customWidth="1"/>
    <col min="4124" max="4124" width="11.85546875" style="668" customWidth="1"/>
    <col min="4125" max="4125" width="7.85546875" style="668" customWidth="1"/>
    <col min="4126" max="4126" width="7.5703125" style="668" customWidth="1"/>
    <col min="4127" max="4127" width="8.85546875" style="668" customWidth="1"/>
    <col min="4128" max="4128" width="8.140625" style="668" customWidth="1"/>
    <col min="4129" max="4129" width="7.85546875" style="668" customWidth="1"/>
    <col min="4130" max="4130" width="8.5703125" style="668" customWidth="1"/>
    <col min="4131" max="4131" width="8.28515625" style="668" customWidth="1"/>
    <col min="4132" max="4132" width="11.42578125" style="668" customWidth="1"/>
    <col min="4133" max="4133" width="18" style="668" customWidth="1"/>
    <col min="4134" max="4134" width="21.42578125" style="668" customWidth="1"/>
    <col min="4135" max="4135" width="27.85546875" style="668" customWidth="1"/>
    <col min="4136" max="4351" width="11.42578125" style="668"/>
    <col min="4352" max="4352" width="13.5703125" style="668" customWidth="1"/>
    <col min="4353" max="4353" width="19" style="668" customWidth="1"/>
    <col min="4354" max="4354" width="13.5703125" style="668" customWidth="1"/>
    <col min="4355" max="4355" width="19.7109375" style="668" customWidth="1"/>
    <col min="4356" max="4356" width="13.5703125" style="668" customWidth="1"/>
    <col min="4357" max="4358" width="14.7109375" style="668" customWidth="1"/>
    <col min="4359" max="4359" width="36.140625" style="668" customWidth="1"/>
    <col min="4360" max="4360" width="29.42578125" style="668" customWidth="1"/>
    <col min="4361" max="4361" width="16" style="668" customWidth="1"/>
    <col min="4362" max="4362" width="38.28515625" style="668" customWidth="1"/>
    <col min="4363" max="4363" width="12" style="668" customWidth="1"/>
    <col min="4364" max="4364" width="38.140625" style="668" customWidth="1"/>
    <col min="4365" max="4365" width="17.85546875" style="668" bestFit="1" customWidth="1"/>
    <col min="4366" max="4366" width="24.7109375" style="668" customWidth="1"/>
    <col min="4367" max="4367" width="36.42578125" style="668" customWidth="1"/>
    <col min="4368" max="4368" width="46.7109375" style="668" customWidth="1"/>
    <col min="4369" max="4369" width="43.7109375" style="668" customWidth="1"/>
    <col min="4370" max="4370" width="25.42578125" style="668" customWidth="1"/>
    <col min="4371" max="4371" width="12.42578125" style="668" customWidth="1"/>
    <col min="4372" max="4372" width="16.42578125" style="668" customWidth="1"/>
    <col min="4373" max="4373" width="13.42578125" style="668" customWidth="1"/>
    <col min="4374" max="4374" width="8.5703125" style="668" customWidth="1"/>
    <col min="4375" max="4378" width="11.42578125" style="668" customWidth="1"/>
    <col min="4379" max="4379" width="12.7109375" style="668" customWidth="1"/>
    <col min="4380" max="4380" width="11.85546875" style="668" customWidth="1"/>
    <col min="4381" max="4381" width="7.85546875" style="668" customWidth="1"/>
    <col min="4382" max="4382" width="7.5703125" style="668" customWidth="1"/>
    <col min="4383" max="4383" width="8.85546875" style="668" customWidth="1"/>
    <col min="4384" max="4384" width="8.140625" style="668" customWidth="1"/>
    <col min="4385" max="4385" width="7.85546875" style="668" customWidth="1"/>
    <col min="4386" max="4386" width="8.5703125" style="668" customWidth="1"/>
    <col min="4387" max="4387" width="8.28515625" style="668" customWidth="1"/>
    <col min="4388" max="4388" width="11.42578125" style="668" customWidth="1"/>
    <col min="4389" max="4389" width="18" style="668" customWidth="1"/>
    <col min="4390" max="4390" width="21.42578125" style="668" customWidth="1"/>
    <col min="4391" max="4391" width="27.85546875" style="668" customWidth="1"/>
    <col min="4392" max="4607" width="11.42578125" style="668"/>
    <col min="4608" max="4608" width="13.5703125" style="668" customWidth="1"/>
    <col min="4609" max="4609" width="19" style="668" customWidth="1"/>
    <col min="4610" max="4610" width="13.5703125" style="668" customWidth="1"/>
    <col min="4611" max="4611" width="19.7109375" style="668" customWidth="1"/>
    <col min="4612" max="4612" width="13.5703125" style="668" customWidth="1"/>
    <col min="4613" max="4614" width="14.7109375" style="668" customWidth="1"/>
    <col min="4615" max="4615" width="36.140625" style="668" customWidth="1"/>
    <col min="4616" max="4616" width="29.42578125" style="668" customWidth="1"/>
    <col min="4617" max="4617" width="16" style="668" customWidth="1"/>
    <col min="4618" max="4618" width="38.28515625" style="668" customWidth="1"/>
    <col min="4619" max="4619" width="12" style="668" customWidth="1"/>
    <col min="4620" max="4620" width="38.140625" style="668" customWidth="1"/>
    <col min="4621" max="4621" width="17.85546875" style="668" bestFit="1" customWidth="1"/>
    <col min="4622" max="4622" width="24.7109375" style="668" customWidth="1"/>
    <col min="4623" max="4623" width="36.42578125" style="668" customWidth="1"/>
    <col min="4624" max="4624" width="46.7109375" style="668" customWidth="1"/>
    <col min="4625" max="4625" width="43.7109375" style="668" customWidth="1"/>
    <col min="4626" max="4626" width="25.42578125" style="668" customWidth="1"/>
    <col min="4627" max="4627" width="12.42578125" style="668" customWidth="1"/>
    <col min="4628" max="4628" width="16.42578125" style="668" customWidth="1"/>
    <col min="4629" max="4629" width="13.42578125" style="668" customWidth="1"/>
    <col min="4630" max="4630" width="8.5703125" style="668" customWidth="1"/>
    <col min="4631" max="4634" width="11.42578125" style="668" customWidth="1"/>
    <col min="4635" max="4635" width="12.7109375" style="668" customWidth="1"/>
    <col min="4636" max="4636" width="11.85546875" style="668" customWidth="1"/>
    <col min="4637" max="4637" width="7.85546875" style="668" customWidth="1"/>
    <col min="4638" max="4638" width="7.5703125" style="668" customWidth="1"/>
    <col min="4639" max="4639" width="8.85546875" style="668" customWidth="1"/>
    <col min="4640" max="4640" width="8.140625" style="668" customWidth="1"/>
    <col min="4641" max="4641" width="7.85546875" style="668" customWidth="1"/>
    <col min="4642" max="4642" width="8.5703125" style="668" customWidth="1"/>
    <col min="4643" max="4643" width="8.28515625" style="668" customWidth="1"/>
    <col min="4644" max="4644" width="11.42578125" style="668" customWidth="1"/>
    <col min="4645" max="4645" width="18" style="668" customWidth="1"/>
    <col min="4646" max="4646" width="21.42578125" style="668" customWidth="1"/>
    <col min="4647" max="4647" width="27.85546875" style="668" customWidth="1"/>
    <col min="4648" max="4863" width="11.42578125" style="668"/>
    <col min="4864" max="4864" width="13.5703125" style="668" customWidth="1"/>
    <col min="4865" max="4865" width="19" style="668" customWidth="1"/>
    <col min="4866" max="4866" width="13.5703125" style="668" customWidth="1"/>
    <col min="4867" max="4867" width="19.7109375" style="668" customWidth="1"/>
    <col min="4868" max="4868" width="13.5703125" style="668" customWidth="1"/>
    <col min="4869" max="4870" width="14.7109375" style="668" customWidth="1"/>
    <col min="4871" max="4871" width="36.140625" style="668" customWidth="1"/>
    <col min="4872" max="4872" width="29.42578125" style="668" customWidth="1"/>
    <col min="4873" max="4873" width="16" style="668" customWidth="1"/>
    <col min="4874" max="4874" width="38.28515625" style="668" customWidth="1"/>
    <col min="4875" max="4875" width="12" style="668" customWidth="1"/>
    <col min="4876" max="4876" width="38.140625" style="668" customWidth="1"/>
    <col min="4877" max="4877" width="17.85546875" style="668" bestFit="1" customWidth="1"/>
    <col min="4878" max="4878" width="24.7109375" style="668" customWidth="1"/>
    <col min="4879" max="4879" width="36.42578125" style="668" customWidth="1"/>
    <col min="4880" max="4880" width="46.7109375" style="668" customWidth="1"/>
    <col min="4881" max="4881" width="43.7109375" style="668" customWidth="1"/>
    <col min="4882" max="4882" width="25.42578125" style="668" customWidth="1"/>
    <col min="4883" max="4883" width="12.42578125" style="668" customWidth="1"/>
    <col min="4884" max="4884" width="16.42578125" style="668" customWidth="1"/>
    <col min="4885" max="4885" width="13.42578125" style="668" customWidth="1"/>
    <col min="4886" max="4886" width="8.5703125" style="668" customWidth="1"/>
    <col min="4887" max="4890" width="11.42578125" style="668" customWidth="1"/>
    <col min="4891" max="4891" width="12.7109375" style="668" customWidth="1"/>
    <col min="4892" max="4892" width="11.85546875" style="668" customWidth="1"/>
    <col min="4893" max="4893" width="7.85546875" style="668" customWidth="1"/>
    <col min="4894" max="4894" width="7.5703125" style="668" customWidth="1"/>
    <col min="4895" max="4895" width="8.85546875" style="668" customWidth="1"/>
    <col min="4896" max="4896" width="8.140625" style="668" customWidth="1"/>
    <col min="4897" max="4897" width="7.85546875" style="668" customWidth="1"/>
    <col min="4898" max="4898" width="8.5703125" style="668" customWidth="1"/>
    <col min="4899" max="4899" width="8.28515625" style="668" customWidth="1"/>
    <col min="4900" max="4900" width="11.42578125" style="668" customWidth="1"/>
    <col min="4901" max="4901" width="18" style="668" customWidth="1"/>
    <col min="4902" max="4902" width="21.42578125" style="668" customWidth="1"/>
    <col min="4903" max="4903" width="27.85546875" style="668" customWidth="1"/>
    <col min="4904" max="5119" width="11.42578125" style="668"/>
    <col min="5120" max="5120" width="13.5703125" style="668" customWidth="1"/>
    <col min="5121" max="5121" width="19" style="668" customWidth="1"/>
    <col min="5122" max="5122" width="13.5703125" style="668" customWidth="1"/>
    <col min="5123" max="5123" width="19.7109375" style="668" customWidth="1"/>
    <col min="5124" max="5124" width="13.5703125" style="668" customWidth="1"/>
    <col min="5125" max="5126" width="14.7109375" style="668" customWidth="1"/>
    <col min="5127" max="5127" width="36.140625" style="668" customWidth="1"/>
    <col min="5128" max="5128" width="29.42578125" style="668" customWidth="1"/>
    <col min="5129" max="5129" width="16" style="668" customWidth="1"/>
    <col min="5130" max="5130" width="38.28515625" style="668" customWidth="1"/>
    <col min="5131" max="5131" width="12" style="668" customWidth="1"/>
    <col min="5132" max="5132" width="38.140625" style="668" customWidth="1"/>
    <col min="5133" max="5133" width="17.85546875" style="668" bestFit="1" customWidth="1"/>
    <col min="5134" max="5134" width="24.7109375" style="668" customWidth="1"/>
    <col min="5135" max="5135" width="36.42578125" style="668" customWidth="1"/>
    <col min="5136" max="5136" width="46.7109375" style="668" customWidth="1"/>
    <col min="5137" max="5137" width="43.7109375" style="668" customWidth="1"/>
    <col min="5138" max="5138" width="25.42578125" style="668" customWidth="1"/>
    <col min="5139" max="5139" width="12.42578125" style="668" customWidth="1"/>
    <col min="5140" max="5140" width="16.42578125" style="668" customWidth="1"/>
    <col min="5141" max="5141" width="13.42578125" style="668" customWidth="1"/>
    <col min="5142" max="5142" width="8.5703125" style="668" customWidth="1"/>
    <col min="5143" max="5146" width="11.42578125" style="668" customWidth="1"/>
    <col min="5147" max="5147" width="12.7109375" style="668" customWidth="1"/>
    <col min="5148" max="5148" width="11.85546875" style="668" customWidth="1"/>
    <col min="5149" max="5149" width="7.85546875" style="668" customWidth="1"/>
    <col min="5150" max="5150" width="7.5703125" style="668" customWidth="1"/>
    <col min="5151" max="5151" width="8.85546875" style="668" customWidth="1"/>
    <col min="5152" max="5152" width="8.140625" style="668" customWidth="1"/>
    <col min="5153" max="5153" width="7.85546875" style="668" customWidth="1"/>
    <col min="5154" max="5154" width="8.5703125" style="668" customWidth="1"/>
    <col min="5155" max="5155" width="8.28515625" style="668" customWidth="1"/>
    <col min="5156" max="5156" width="11.42578125" style="668" customWidth="1"/>
    <col min="5157" max="5157" width="18" style="668" customWidth="1"/>
    <col min="5158" max="5158" width="21.42578125" style="668" customWidth="1"/>
    <col min="5159" max="5159" width="27.85546875" style="668" customWidth="1"/>
    <col min="5160" max="5375" width="11.42578125" style="668"/>
    <col min="5376" max="5376" width="13.5703125" style="668" customWidth="1"/>
    <col min="5377" max="5377" width="19" style="668" customWidth="1"/>
    <col min="5378" max="5378" width="13.5703125" style="668" customWidth="1"/>
    <col min="5379" max="5379" width="19.7109375" style="668" customWidth="1"/>
    <col min="5380" max="5380" width="13.5703125" style="668" customWidth="1"/>
    <col min="5381" max="5382" width="14.7109375" style="668" customWidth="1"/>
    <col min="5383" max="5383" width="36.140625" style="668" customWidth="1"/>
    <col min="5384" max="5384" width="29.42578125" style="668" customWidth="1"/>
    <col min="5385" max="5385" width="16" style="668" customWidth="1"/>
    <col min="5386" max="5386" width="38.28515625" style="668" customWidth="1"/>
    <col min="5387" max="5387" width="12" style="668" customWidth="1"/>
    <col min="5388" max="5388" width="38.140625" style="668" customWidth="1"/>
    <col min="5389" max="5389" width="17.85546875" style="668" bestFit="1" customWidth="1"/>
    <col min="5390" max="5390" width="24.7109375" style="668" customWidth="1"/>
    <col min="5391" max="5391" width="36.42578125" style="668" customWidth="1"/>
    <col min="5392" max="5392" width="46.7109375" style="668" customWidth="1"/>
    <col min="5393" max="5393" width="43.7109375" style="668" customWidth="1"/>
    <col min="5394" max="5394" width="25.42578125" style="668" customWidth="1"/>
    <col min="5395" max="5395" width="12.42578125" style="668" customWidth="1"/>
    <col min="5396" max="5396" width="16.42578125" style="668" customWidth="1"/>
    <col min="5397" max="5397" width="13.42578125" style="668" customWidth="1"/>
    <col min="5398" max="5398" width="8.5703125" style="668" customWidth="1"/>
    <col min="5399" max="5402" width="11.42578125" style="668" customWidth="1"/>
    <col min="5403" max="5403" width="12.7109375" style="668" customWidth="1"/>
    <col min="5404" max="5404" width="11.85546875" style="668" customWidth="1"/>
    <col min="5405" max="5405" width="7.85546875" style="668" customWidth="1"/>
    <col min="5406" max="5406" width="7.5703125" style="668" customWidth="1"/>
    <col min="5407" max="5407" width="8.85546875" style="668" customWidth="1"/>
    <col min="5408" max="5408" width="8.140625" style="668" customWidth="1"/>
    <col min="5409" max="5409" width="7.85546875" style="668" customWidth="1"/>
    <col min="5410" max="5410" width="8.5703125" style="668" customWidth="1"/>
    <col min="5411" max="5411" width="8.28515625" style="668" customWidth="1"/>
    <col min="5412" max="5412" width="11.42578125" style="668" customWidth="1"/>
    <col min="5413" max="5413" width="18" style="668" customWidth="1"/>
    <col min="5414" max="5414" width="21.42578125" style="668" customWidth="1"/>
    <col min="5415" max="5415" width="27.85546875" style="668" customWidth="1"/>
    <col min="5416" max="5631" width="11.42578125" style="668"/>
    <col min="5632" max="5632" width="13.5703125" style="668" customWidth="1"/>
    <col min="5633" max="5633" width="19" style="668" customWidth="1"/>
    <col min="5634" max="5634" width="13.5703125" style="668" customWidth="1"/>
    <col min="5635" max="5635" width="19.7109375" style="668" customWidth="1"/>
    <col min="5636" max="5636" width="13.5703125" style="668" customWidth="1"/>
    <col min="5637" max="5638" width="14.7109375" style="668" customWidth="1"/>
    <col min="5639" max="5639" width="36.140625" style="668" customWidth="1"/>
    <col min="5640" max="5640" width="29.42578125" style="668" customWidth="1"/>
    <col min="5641" max="5641" width="16" style="668" customWidth="1"/>
    <col min="5642" max="5642" width="38.28515625" style="668" customWidth="1"/>
    <col min="5643" max="5643" width="12" style="668" customWidth="1"/>
    <col min="5644" max="5644" width="38.140625" style="668" customWidth="1"/>
    <col min="5645" max="5645" width="17.85546875" style="668" bestFit="1" customWidth="1"/>
    <col min="5646" max="5646" width="24.7109375" style="668" customWidth="1"/>
    <col min="5647" max="5647" width="36.42578125" style="668" customWidth="1"/>
    <col min="5648" max="5648" width="46.7109375" style="668" customWidth="1"/>
    <col min="5649" max="5649" width="43.7109375" style="668" customWidth="1"/>
    <col min="5650" max="5650" width="25.42578125" style="668" customWidth="1"/>
    <col min="5651" max="5651" width="12.42578125" style="668" customWidth="1"/>
    <col min="5652" max="5652" width="16.42578125" style="668" customWidth="1"/>
    <col min="5653" max="5653" width="13.42578125" style="668" customWidth="1"/>
    <col min="5654" max="5654" width="8.5703125" style="668" customWidth="1"/>
    <col min="5655" max="5658" width="11.42578125" style="668" customWidth="1"/>
    <col min="5659" max="5659" width="12.7109375" style="668" customWidth="1"/>
    <col min="5660" max="5660" width="11.85546875" style="668" customWidth="1"/>
    <col min="5661" max="5661" width="7.85546875" style="668" customWidth="1"/>
    <col min="5662" max="5662" width="7.5703125" style="668" customWidth="1"/>
    <col min="5663" max="5663" width="8.85546875" style="668" customWidth="1"/>
    <col min="5664" max="5664" width="8.140625" style="668" customWidth="1"/>
    <col min="5665" max="5665" width="7.85546875" style="668" customWidth="1"/>
    <col min="5666" max="5666" width="8.5703125" style="668" customWidth="1"/>
    <col min="5667" max="5667" width="8.28515625" style="668" customWidth="1"/>
    <col min="5668" max="5668" width="11.42578125" style="668" customWidth="1"/>
    <col min="5669" max="5669" width="18" style="668" customWidth="1"/>
    <col min="5670" max="5670" width="21.42578125" style="668" customWidth="1"/>
    <col min="5671" max="5671" width="27.85546875" style="668" customWidth="1"/>
    <col min="5672" max="5887" width="11.42578125" style="668"/>
    <col min="5888" max="5888" width="13.5703125" style="668" customWidth="1"/>
    <col min="5889" max="5889" width="19" style="668" customWidth="1"/>
    <col min="5890" max="5890" width="13.5703125" style="668" customWidth="1"/>
    <col min="5891" max="5891" width="19.7109375" style="668" customWidth="1"/>
    <col min="5892" max="5892" width="13.5703125" style="668" customWidth="1"/>
    <col min="5893" max="5894" width="14.7109375" style="668" customWidth="1"/>
    <col min="5895" max="5895" width="36.140625" style="668" customWidth="1"/>
    <col min="5896" max="5896" width="29.42578125" style="668" customWidth="1"/>
    <col min="5897" max="5897" width="16" style="668" customWidth="1"/>
    <col min="5898" max="5898" width="38.28515625" style="668" customWidth="1"/>
    <col min="5899" max="5899" width="12" style="668" customWidth="1"/>
    <col min="5900" max="5900" width="38.140625" style="668" customWidth="1"/>
    <col min="5901" max="5901" width="17.85546875" style="668" bestFit="1" customWidth="1"/>
    <col min="5902" max="5902" width="24.7109375" style="668" customWidth="1"/>
    <col min="5903" max="5903" width="36.42578125" style="668" customWidth="1"/>
    <col min="5904" max="5904" width="46.7109375" style="668" customWidth="1"/>
    <col min="5905" max="5905" width="43.7109375" style="668" customWidth="1"/>
    <col min="5906" max="5906" width="25.42578125" style="668" customWidth="1"/>
    <col min="5907" max="5907" width="12.42578125" style="668" customWidth="1"/>
    <col min="5908" max="5908" width="16.42578125" style="668" customWidth="1"/>
    <col min="5909" max="5909" width="13.42578125" style="668" customWidth="1"/>
    <col min="5910" max="5910" width="8.5703125" style="668" customWidth="1"/>
    <col min="5911" max="5914" width="11.42578125" style="668" customWidth="1"/>
    <col min="5915" max="5915" width="12.7109375" style="668" customWidth="1"/>
    <col min="5916" max="5916" width="11.85546875" style="668" customWidth="1"/>
    <col min="5917" max="5917" width="7.85546875" style="668" customWidth="1"/>
    <col min="5918" max="5918" width="7.5703125" style="668" customWidth="1"/>
    <col min="5919" max="5919" width="8.85546875" style="668" customWidth="1"/>
    <col min="5920" max="5920" width="8.140625" style="668" customWidth="1"/>
    <col min="5921" max="5921" width="7.85546875" style="668" customWidth="1"/>
    <col min="5922" max="5922" width="8.5703125" style="668" customWidth="1"/>
    <col min="5923" max="5923" width="8.28515625" style="668" customWidth="1"/>
    <col min="5924" max="5924" width="11.42578125" style="668" customWidth="1"/>
    <col min="5925" max="5925" width="18" style="668" customWidth="1"/>
    <col min="5926" max="5926" width="21.42578125" style="668" customWidth="1"/>
    <col min="5927" max="5927" width="27.85546875" style="668" customWidth="1"/>
    <col min="5928" max="6143" width="11.42578125" style="668"/>
    <col min="6144" max="6144" width="13.5703125" style="668" customWidth="1"/>
    <col min="6145" max="6145" width="19" style="668" customWidth="1"/>
    <col min="6146" max="6146" width="13.5703125" style="668" customWidth="1"/>
    <col min="6147" max="6147" width="19.7109375" style="668" customWidth="1"/>
    <col min="6148" max="6148" width="13.5703125" style="668" customWidth="1"/>
    <col min="6149" max="6150" width="14.7109375" style="668" customWidth="1"/>
    <col min="6151" max="6151" width="36.140625" style="668" customWidth="1"/>
    <col min="6152" max="6152" width="29.42578125" style="668" customWidth="1"/>
    <col min="6153" max="6153" width="16" style="668" customWidth="1"/>
    <col min="6154" max="6154" width="38.28515625" style="668" customWidth="1"/>
    <col min="6155" max="6155" width="12" style="668" customWidth="1"/>
    <col min="6156" max="6156" width="38.140625" style="668" customWidth="1"/>
    <col min="6157" max="6157" width="17.85546875" style="668" bestFit="1" customWidth="1"/>
    <col min="6158" max="6158" width="24.7109375" style="668" customWidth="1"/>
    <col min="6159" max="6159" width="36.42578125" style="668" customWidth="1"/>
    <col min="6160" max="6160" width="46.7109375" style="668" customWidth="1"/>
    <col min="6161" max="6161" width="43.7109375" style="668" customWidth="1"/>
    <col min="6162" max="6162" width="25.42578125" style="668" customWidth="1"/>
    <col min="6163" max="6163" width="12.42578125" style="668" customWidth="1"/>
    <col min="6164" max="6164" width="16.42578125" style="668" customWidth="1"/>
    <col min="6165" max="6165" width="13.42578125" style="668" customWidth="1"/>
    <col min="6166" max="6166" width="8.5703125" style="668" customWidth="1"/>
    <col min="6167" max="6170" width="11.42578125" style="668" customWidth="1"/>
    <col min="6171" max="6171" width="12.7109375" style="668" customWidth="1"/>
    <col min="6172" max="6172" width="11.85546875" style="668" customWidth="1"/>
    <col min="6173" max="6173" width="7.85546875" style="668" customWidth="1"/>
    <col min="6174" max="6174" width="7.5703125" style="668" customWidth="1"/>
    <col min="6175" max="6175" width="8.85546875" style="668" customWidth="1"/>
    <col min="6176" max="6176" width="8.140625" style="668" customWidth="1"/>
    <col min="6177" max="6177" width="7.85546875" style="668" customWidth="1"/>
    <col min="6178" max="6178" width="8.5703125" style="668" customWidth="1"/>
    <col min="6179" max="6179" width="8.28515625" style="668" customWidth="1"/>
    <col min="6180" max="6180" width="11.42578125" style="668" customWidth="1"/>
    <col min="6181" max="6181" width="18" style="668" customWidth="1"/>
    <col min="6182" max="6182" width="21.42578125" style="668" customWidth="1"/>
    <col min="6183" max="6183" width="27.85546875" style="668" customWidth="1"/>
    <col min="6184" max="6399" width="11.42578125" style="668"/>
    <col min="6400" max="6400" width="13.5703125" style="668" customWidth="1"/>
    <col min="6401" max="6401" width="19" style="668" customWidth="1"/>
    <col min="6402" max="6402" width="13.5703125" style="668" customWidth="1"/>
    <col min="6403" max="6403" width="19.7109375" style="668" customWidth="1"/>
    <col min="6404" max="6404" width="13.5703125" style="668" customWidth="1"/>
    <col min="6405" max="6406" width="14.7109375" style="668" customWidth="1"/>
    <col min="6407" max="6407" width="36.140625" style="668" customWidth="1"/>
    <col min="6408" max="6408" width="29.42578125" style="668" customWidth="1"/>
    <col min="6409" max="6409" width="16" style="668" customWidth="1"/>
    <col min="6410" max="6410" width="38.28515625" style="668" customWidth="1"/>
    <col min="6411" max="6411" width="12" style="668" customWidth="1"/>
    <col min="6412" max="6412" width="38.140625" style="668" customWidth="1"/>
    <col min="6413" max="6413" width="17.85546875" style="668" bestFit="1" customWidth="1"/>
    <col min="6414" max="6414" width="24.7109375" style="668" customWidth="1"/>
    <col min="6415" max="6415" width="36.42578125" style="668" customWidth="1"/>
    <col min="6416" max="6416" width="46.7109375" style="668" customWidth="1"/>
    <col min="6417" max="6417" width="43.7109375" style="668" customWidth="1"/>
    <col min="6418" max="6418" width="25.42578125" style="668" customWidth="1"/>
    <col min="6419" max="6419" width="12.42578125" style="668" customWidth="1"/>
    <col min="6420" max="6420" width="16.42578125" style="668" customWidth="1"/>
    <col min="6421" max="6421" width="13.42578125" style="668" customWidth="1"/>
    <col min="6422" max="6422" width="8.5703125" style="668" customWidth="1"/>
    <col min="6423" max="6426" width="11.42578125" style="668" customWidth="1"/>
    <col min="6427" max="6427" width="12.7109375" style="668" customWidth="1"/>
    <col min="6428" max="6428" width="11.85546875" style="668" customWidth="1"/>
    <col min="6429" max="6429" width="7.85546875" style="668" customWidth="1"/>
    <col min="6430" max="6430" width="7.5703125" style="668" customWidth="1"/>
    <col min="6431" max="6431" width="8.85546875" style="668" customWidth="1"/>
    <col min="6432" max="6432" width="8.140625" style="668" customWidth="1"/>
    <col min="6433" max="6433" width="7.85546875" style="668" customWidth="1"/>
    <col min="6434" max="6434" width="8.5703125" style="668" customWidth="1"/>
    <col min="6435" max="6435" width="8.28515625" style="668" customWidth="1"/>
    <col min="6436" max="6436" width="11.42578125" style="668" customWidth="1"/>
    <col min="6437" max="6437" width="18" style="668" customWidth="1"/>
    <col min="6438" max="6438" width="21.42578125" style="668" customWidth="1"/>
    <col min="6439" max="6439" width="27.85546875" style="668" customWidth="1"/>
    <col min="6440" max="6655" width="11.42578125" style="668"/>
    <col min="6656" max="6656" width="13.5703125" style="668" customWidth="1"/>
    <col min="6657" max="6657" width="19" style="668" customWidth="1"/>
    <col min="6658" max="6658" width="13.5703125" style="668" customWidth="1"/>
    <col min="6659" max="6659" width="19.7109375" style="668" customWidth="1"/>
    <col min="6660" max="6660" width="13.5703125" style="668" customWidth="1"/>
    <col min="6661" max="6662" width="14.7109375" style="668" customWidth="1"/>
    <col min="6663" max="6663" width="36.140625" style="668" customWidth="1"/>
    <col min="6664" max="6664" width="29.42578125" style="668" customWidth="1"/>
    <col min="6665" max="6665" width="16" style="668" customWidth="1"/>
    <col min="6666" max="6666" width="38.28515625" style="668" customWidth="1"/>
    <col min="6667" max="6667" width="12" style="668" customWidth="1"/>
    <col min="6668" max="6668" width="38.140625" style="668" customWidth="1"/>
    <col min="6669" max="6669" width="17.85546875" style="668" bestFit="1" customWidth="1"/>
    <col min="6670" max="6670" width="24.7109375" style="668" customWidth="1"/>
    <col min="6671" max="6671" width="36.42578125" style="668" customWidth="1"/>
    <col min="6672" max="6672" width="46.7109375" style="668" customWidth="1"/>
    <col min="6673" max="6673" width="43.7109375" style="668" customWidth="1"/>
    <col min="6674" max="6674" width="25.42578125" style="668" customWidth="1"/>
    <col min="6675" max="6675" width="12.42578125" style="668" customWidth="1"/>
    <col min="6676" max="6676" width="16.42578125" style="668" customWidth="1"/>
    <col min="6677" max="6677" width="13.42578125" style="668" customWidth="1"/>
    <col min="6678" max="6678" width="8.5703125" style="668" customWidth="1"/>
    <col min="6679" max="6682" width="11.42578125" style="668" customWidth="1"/>
    <col min="6683" max="6683" width="12.7109375" style="668" customWidth="1"/>
    <col min="6684" max="6684" width="11.85546875" style="668" customWidth="1"/>
    <col min="6685" max="6685" width="7.85546875" style="668" customWidth="1"/>
    <col min="6686" max="6686" width="7.5703125" style="668" customWidth="1"/>
    <col min="6687" max="6687" width="8.85546875" style="668" customWidth="1"/>
    <col min="6688" max="6688" width="8.140625" style="668" customWidth="1"/>
    <col min="6689" max="6689" width="7.85546875" style="668" customWidth="1"/>
    <col min="6690" max="6690" width="8.5703125" style="668" customWidth="1"/>
    <col min="6691" max="6691" width="8.28515625" style="668" customWidth="1"/>
    <col min="6692" max="6692" width="11.42578125" style="668" customWidth="1"/>
    <col min="6693" max="6693" width="18" style="668" customWidth="1"/>
    <col min="6694" max="6694" width="21.42578125" style="668" customWidth="1"/>
    <col min="6695" max="6695" width="27.85546875" style="668" customWidth="1"/>
    <col min="6696" max="6911" width="11.42578125" style="668"/>
    <col min="6912" max="6912" width="13.5703125" style="668" customWidth="1"/>
    <col min="6913" max="6913" width="19" style="668" customWidth="1"/>
    <col min="6914" max="6914" width="13.5703125" style="668" customWidth="1"/>
    <col min="6915" max="6915" width="19.7109375" style="668" customWidth="1"/>
    <col min="6916" max="6916" width="13.5703125" style="668" customWidth="1"/>
    <col min="6917" max="6918" width="14.7109375" style="668" customWidth="1"/>
    <col min="6919" max="6919" width="36.140625" style="668" customWidth="1"/>
    <col min="6920" max="6920" width="29.42578125" style="668" customWidth="1"/>
    <col min="6921" max="6921" width="16" style="668" customWidth="1"/>
    <col min="6922" max="6922" width="38.28515625" style="668" customWidth="1"/>
    <col min="6923" max="6923" width="12" style="668" customWidth="1"/>
    <col min="6924" max="6924" width="38.140625" style="668" customWidth="1"/>
    <col min="6925" max="6925" width="17.85546875" style="668" bestFit="1" customWidth="1"/>
    <col min="6926" max="6926" width="24.7109375" style="668" customWidth="1"/>
    <col min="6927" max="6927" width="36.42578125" style="668" customWidth="1"/>
    <col min="6928" max="6928" width="46.7109375" style="668" customWidth="1"/>
    <col min="6929" max="6929" width="43.7109375" style="668" customWidth="1"/>
    <col min="6930" max="6930" width="25.42578125" style="668" customWidth="1"/>
    <col min="6931" max="6931" width="12.42578125" style="668" customWidth="1"/>
    <col min="6932" max="6932" width="16.42578125" style="668" customWidth="1"/>
    <col min="6933" max="6933" width="13.42578125" style="668" customWidth="1"/>
    <col min="6934" max="6934" width="8.5703125" style="668" customWidth="1"/>
    <col min="6935" max="6938" width="11.42578125" style="668" customWidth="1"/>
    <col min="6939" max="6939" width="12.7109375" style="668" customWidth="1"/>
    <col min="6940" max="6940" width="11.85546875" style="668" customWidth="1"/>
    <col min="6941" max="6941" width="7.85546875" style="668" customWidth="1"/>
    <col min="6942" max="6942" width="7.5703125" style="668" customWidth="1"/>
    <col min="6943" max="6943" width="8.85546875" style="668" customWidth="1"/>
    <col min="6944" max="6944" width="8.140625" style="668" customWidth="1"/>
    <col min="6945" max="6945" width="7.85546875" style="668" customWidth="1"/>
    <col min="6946" max="6946" width="8.5703125" style="668" customWidth="1"/>
    <col min="6947" max="6947" width="8.28515625" style="668" customWidth="1"/>
    <col min="6948" max="6948" width="11.42578125" style="668" customWidth="1"/>
    <col min="6949" max="6949" width="18" style="668" customWidth="1"/>
    <col min="6950" max="6950" width="21.42578125" style="668" customWidth="1"/>
    <col min="6951" max="6951" width="27.85546875" style="668" customWidth="1"/>
    <col min="6952" max="7167" width="11.42578125" style="668"/>
    <col min="7168" max="7168" width="13.5703125" style="668" customWidth="1"/>
    <col min="7169" max="7169" width="19" style="668" customWidth="1"/>
    <col min="7170" max="7170" width="13.5703125" style="668" customWidth="1"/>
    <col min="7171" max="7171" width="19.7109375" style="668" customWidth="1"/>
    <col min="7172" max="7172" width="13.5703125" style="668" customWidth="1"/>
    <col min="7173" max="7174" width="14.7109375" style="668" customWidth="1"/>
    <col min="7175" max="7175" width="36.140625" style="668" customWidth="1"/>
    <col min="7176" max="7176" width="29.42578125" style="668" customWidth="1"/>
    <col min="7177" max="7177" width="16" style="668" customWidth="1"/>
    <col min="7178" max="7178" width="38.28515625" style="668" customWidth="1"/>
    <col min="7179" max="7179" width="12" style="668" customWidth="1"/>
    <col min="7180" max="7180" width="38.140625" style="668" customWidth="1"/>
    <col min="7181" max="7181" width="17.85546875" style="668" bestFit="1" customWidth="1"/>
    <col min="7182" max="7182" width="24.7109375" style="668" customWidth="1"/>
    <col min="7183" max="7183" width="36.42578125" style="668" customWidth="1"/>
    <col min="7184" max="7184" width="46.7109375" style="668" customWidth="1"/>
    <col min="7185" max="7185" width="43.7109375" style="668" customWidth="1"/>
    <col min="7186" max="7186" width="25.42578125" style="668" customWidth="1"/>
    <col min="7187" max="7187" width="12.42578125" style="668" customWidth="1"/>
    <col min="7188" max="7188" width="16.42578125" style="668" customWidth="1"/>
    <col min="7189" max="7189" width="13.42578125" style="668" customWidth="1"/>
    <col min="7190" max="7190" width="8.5703125" style="668" customWidth="1"/>
    <col min="7191" max="7194" width="11.42578125" style="668" customWidth="1"/>
    <col min="7195" max="7195" width="12.7109375" style="668" customWidth="1"/>
    <col min="7196" max="7196" width="11.85546875" style="668" customWidth="1"/>
    <col min="7197" max="7197" width="7.85546875" style="668" customWidth="1"/>
    <col min="7198" max="7198" width="7.5703125" style="668" customWidth="1"/>
    <col min="7199" max="7199" width="8.85546875" style="668" customWidth="1"/>
    <col min="7200" max="7200" width="8.140625" style="668" customWidth="1"/>
    <col min="7201" max="7201" width="7.85546875" style="668" customWidth="1"/>
    <col min="7202" max="7202" width="8.5703125" style="668" customWidth="1"/>
    <col min="7203" max="7203" width="8.28515625" style="668" customWidth="1"/>
    <col min="7204" max="7204" width="11.42578125" style="668" customWidth="1"/>
    <col min="7205" max="7205" width="18" style="668" customWidth="1"/>
    <col min="7206" max="7206" width="21.42578125" style="668" customWidth="1"/>
    <col min="7207" max="7207" width="27.85546875" style="668" customWidth="1"/>
    <col min="7208" max="7423" width="11.42578125" style="668"/>
    <col min="7424" max="7424" width="13.5703125" style="668" customWidth="1"/>
    <col min="7425" max="7425" width="19" style="668" customWidth="1"/>
    <col min="7426" max="7426" width="13.5703125" style="668" customWidth="1"/>
    <col min="7427" max="7427" width="19.7109375" style="668" customWidth="1"/>
    <col min="7428" max="7428" width="13.5703125" style="668" customWidth="1"/>
    <col min="7429" max="7430" width="14.7109375" style="668" customWidth="1"/>
    <col min="7431" max="7431" width="36.140625" style="668" customWidth="1"/>
    <col min="7432" max="7432" width="29.42578125" style="668" customWidth="1"/>
    <col min="7433" max="7433" width="16" style="668" customWidth="1"/>
    <col min="7434" max="7434" width="38.28515625" style="668" customWidth="1"/>
    <col min="7435" max="7435" width="12" style="668" customWidth="1"/>
    <col min="7436" max="7436" width="38.140625" style="668" customWidth="1"/>
    <col min="7437" max="7437" width="17.85546875" style="668" bestFit="1" customWidth="1"/>
    <col min="7438" max="7438" width="24.7109375" style="668" customWidth="1"/>
    <col min="7439" max="7439" width="36.42578125" style="668" customWidth="1"/>
    <col min="7440" max="7440" width="46.7109375" style="668" customWidth="1"/>
    <col min="7441" max="7441" width="43.7109375" style="668" customWidth="1"/>
    <col min="7442" max="7442" width="25.42578125" style="668" customWidth="1"/>
    <col min="7443" max="7443" width="12.42578125" style="668" customWidth="1"/>
    <col min="7444" max="7444" width="16.42578125" style="668" customWidth="1"/>
    <col min="7445" max="7445" width="13.42578125" style="668" customWidth="1"/>
    <col min="7446" max="7446" width="8.5703125" style="668" customWidth="1"/>
    <col min="7447" max="7450" width="11.42578125" style="668" customWidth="1"/>
    <col min="7451" max="7451" width="12.7109375" style="668" customWidth="1"/>
    <col min="7452" max="7452" width="11.85546875" style="668" customWidth="1"/>
    <col min="7453" max="7453" width="7.85546875" style="668" customWidth="1"/>
    <col min="7454" max="7454" width="7.5703125" style="668" customWidth="1"/>
    <col min="7455" max="7455" width="8.85546875" style="668" customWidth="1"/>
    <col min="7456" max="7456" width="8.140625" style="668" customWidth="1"/>
    <col min="7457" max="7457" width="7.85546875" style="668" customWidth="1"/>
    <col min="7458" max="7458" width="8.5703125" style="668" customWidth="1"/>
    <col min="7459" max="7459" width="8.28515625" style="668" customWidth="1"/>
    <col min="7460" max="7460" width="11.42578125" style="668" customWidth="1"/>
    <col min="7461" max="7461" width="18" style="668" customWidth="1"/>
    <col min="7462" max="7462" width="21.42578125" style="668" customWidth="1"/>
    <col min="7463" max="7463" width="27.85546875" style="668" customWidth="1"/>
    <col min="7464" max="7679" width="11.42578125" style="668"/>
    <col min="7680" max="7680" width="13.5703125" style="668" customWidth="1"/>
    <col min="7681" max="7681" width="19" style="668" customWidth="1"/>
    <col min="7682" max="7682" width="13.5703125" style="668" customWidth="1"/>
    <col min="7683" max="7683" width="19.7109375" style="668" customWidth="1"/>
    <col min="7684" max="7684" width="13.5703125" style="668" customWidth="1"/>
    <col min="7685" max="7686" width="14.7109375" style="668" customWidth="1"/>
    <col min="7687" max="7687" width="36.140625" style="668" customWidth="1"/>
    <col min="7688" max="7688" width="29.42578125" style="668" customWidth="1"/>
    <col min="7689" max="7689" width="16" style="668" customWidth="1"/>
    <col min="7690" max="7690" width="38.28515625" style="668" customWidth="1"/>
    <col min="7691" max="7691" width="12" style="668" customWidth="1"/>
    <col min="7692" max="7692" width="38.140625" style="668" customWidth="1"/>
    <col min="7693" max="7693" width="17.85546875" style="668" bestFit="1" customWidth="1"/>
    <col min="7694" max="7694" width="24.7109375" style="668" customWidth="1"/>
    <col min="7695" max="7695" width="36.42578125" style="668" customWidth="1"/>
    <col min="7696" max="7696" width="46.7109375" style="668" customWidth="1"/>
    <col min="7697" max="7697" width="43.7109375" style="668" customWidth="1"/>
    <col min="7698" max="7698" width="25.42578125" style="668" customWidth="1"/>
    <col min="7699" max="7699" width="12.42578125" style="668" customWidth="1"/>
    <col min="7700" max="7700" width="16.42578125" style="668" customWidth="1"/>
    <col min="7701" max="7701" width="13.42578125" style="668" customWidth="1"/>
    <col min="7702" max="7702" width="8.5703125" style="668" customWidth="1"/>
    <col min="7703" max="7706" width="11.42578125" style="668" customWidth="1"/>
    <col min="7707" max="7707" width="12.7109375" style="668" customWidth="1"/>
    <col min="7708" max="7708" width="11.85546875" style="668" customWidth="1"/>
    <col min="7709" max="7709" width="7.85546875" style="668" customWidth="1"/>
    <col min="7710" max="7710" width="7.5703125" style="668" customWidth="1"/>
    <col min="7711" max="7711" width="8.85546875" style="668" customWidth="1"/>
    <col min="7712" max="7712" width="8.140625" style="668" customWidth="1"/>
    <col min="7713" max="7713" width="7.85546875" style="668" customWidth="1"/>
    <col min="7714" max="7714" width="8.5703125" style="668" customWidth="1"/>
    <col min="7715" max="7715" width="8.28515625" style="668" customWidth="1"/>
    <col min="7716" max="7716" width="11.42578125" style="668" customWidth="1"/>
    <col min="7717" max="7717" width="18" style="668" customWidth="1"/>
    <col min="7718" max="7718" width="21.42578125" style="668" customWidth="1"/>
    <col min="7719" max="7719" width="27.85546875" style="668" customWidth="1"/>
    <col min="7720" max="7935" width="11.42578125" style="668"/>
    <col min="7936" max="7936" width="13.5703125" style="668" customWidth="1"/>
    <col min="7937" max="7937" width="19" style="668" customWidth="1"/>
    <col min="7938" max="7938" width="13.5703125" style="668" customWidth="1"/>
    <col min="7939" max="7939" width="19.7109375" style="668" customWidth="1"/>
    <col min="7940" max="7940" width="13.5703125" style="668" customWidth="1"/>
    <col min="7941" max="7942" width="14.7109375" style="668" customWidth="1"/>
    <col min="7943" max="7943" width="36.140625" style="668" customWidth="1"/>
    <col min="7944" max="7944" width="29.42578125" style="668" customWidth="1"/>
    <col min="7945" max="7945" width="16" style="668" customWidth="1"/>
    <col min="7946" max="7946" width="38.28515625" style="668" customWidth="1"/>
    <col min="7947" max="7947" width="12" style="668" customWidth="1"/>
    <col min="7948" max="7948" width="38.140625" style="668" customWidth="1"/>
    <col min="7949" max="7949" width="17.85546875" style="668" bestFit="1" customWidth="1"/>
    <col min="7950" max="7950" width="24.7109375" style="668" customWidth="1"/>
    <col min="7951" max="7951" width="36.42578125" style="668" customWidth="1"/>
    <col min="7952" max="7952" width="46.7109375" style="668" customWidth="1"/>
    <col min="7953" max="7953" width="43.7109375" style="668" customWidth="1"/>
    <col min="7954" max="7954" width="25.42578125" style="668" customWidth="1"/>
    <col min="7955" max="7955" width="12.42578125" style="668" customWidth="1"/>
    <col min="7956" max="7956" width="16.42578125" style="668" customWidth="1"/>
    <col min="7957" max="7957" width="13.42578125" style="668" customWidth="1"/>
    <col min="7958" max="7958" width="8.5703125" style="668" customWidth="1"/>
    <col min="7959" max="7962" width="11.42578125" style="668" customWidth="1"/>
    <col min="7963" max="7963" width="12.7109375" style="668" customWidth="1"/>
    <col min="7964" max="7964" width="11.85546875" style="668" customWidth="1"/>
    <col min="7965" max="7965" width="7.85546875" style="668" customWidth="1"/>
    <col min="7966" max="7966" width="7.5703125" style="668" customWidth="1"/>
    <col min="7967" max="7967" width="8.85546875" style="668" customWidth="1"/>
    <col min="7968" max="7968" width="8.140625" style="668" customWidth="1"/>
    <col min="7969" max="7969" width="7.85546875" style="668" customWidth="1"/>
    <col min="7970" max="7970" width="8.5703125" style="668" customWidth="1"/>
    <col min="7971" max="7971" width="8.28515625" style="668" customWidth="1"/>
    <col min="7972" max="7972" width="11.42578125" style="668" customWidth="1"/>
    <col min="7973" max="7973" width="18" style="668" customWidth="1"/>
    <col min="7974" max="7974" width="21.42578125" style="668" customWidth="1"/>
    <col min="7975" max="7975" width="27.85546875" style="668" customWidth="1"/>
    <col min="7976" max="8191" width="11.42578125" style="668"/>
    <col min="8192" max="8192" width="13.5703125" style="668" customWidth="1"/>
    <col min="8193" max="8193" width="19" style="668" customWidth="1"/>
    <col min="8194" max="8194" width="13.5703125" style="668" customWidth="1"/>
    <col min="8195" max="8195" width="19.7109375" style="668" customWidth="1"/>
    <col min="8196" max="8196" width="13.5703125" style="668" customWidth="1"/>
    <col min="8197" max="8198" width="14.7109375" style="668" customWidth="1"/>
    <col min="8199" max="8199" width="36.140625" style="668" customWidth="1"/>
    <col min="8200" max="8200" width="29.42578125" style="668" customWidth="1"/>
    <col min="8201" max="8201" width="16" style="668" customWidth="1"/>
    <col min="8202" max="8202" width="38.28515625" style="668" customWidth="1"/>
    <col min="8203" max="8203" width="12" style="668" customWidth="1"/>
    <col min="8204" max="8204" width="38.140625" style="668" customWidth="1"/>
    <col min="8205" max="8205" width="17.85546875" style="668" bestFit="1" customWidth="1"/>
    <col min="8206" max="8206" width="24.7109375" style="668" customWidth="1"/>
    <col min="8207" max="8207" width="36.42578125" style="668" customWidth="1"/>
    <col min="8208" max="8208" width="46.7109375" style="668" customWidth="1"/>
    <col min="8209" max="8209" width="43.7109375" style="668" customWidth="1"/>
    <col min="8210" max="8210" width="25.42578125" style="668" customWidth="1"/>
    <col min="8211" max="8211" width="12.42578125" style="668" customWidth="1"/>
    <col min="8212" max="8212" width="16.42578125" style="668" customWidth="1"/>
    <col min="8213" max="8213" width="13.42578125" style="668" customWidth="1"/>
    <col min="8214" max="8214" width="8.5703125" style="668" customWidth="1"/>
    <col min="8215" max="8218" width="11.42578125" style="668" customWidth="1"/>
    <col min="8219" max="8219" width="12.7109375" style="668" customWidth="1"/>
    <col min="8220" max="8220" width="11.85546875" style="668" customWidth="1"/>
    <col min="8221" max="8221" width="7.85546875" style="668" customWidth="1"/>
    <col min="8222" max="8222" width="7.5703125" style="668" customWidth="1"/>
    <col min="8223" max="8223" width="8.85546875" style="668" customWidth="1"/>
    <col min="8224" max="8224" width="8.140625" style="668" customWidth="1"/>
    <col min="8225" max="8225" width="7.85546875" style="668" customWidth="1"/>
    <col min="8226" max="8226" width="8.5703125" style="668" customWidth="1"/>
    <col min="8227" max="8227" width="8.28515625" style="668" customWidth="1"/>
    <col min="8228" max="8228" width="11.42578125" style="668" customWidth="1"/>
    <col min="8229" max="8229" width="18" style="668" customWidth="1"/>
    <col min="8230" max="8230" width="21.42578125" style="668" customWidth="1"/>
    <col min="8231" max="8231" width="27.85546875" style="668" customWidth="1"/>
    <col min="8232" max="8447" width="11.42578125" style="668"/>
    <col min="8448" max="8448" width="13.5703125" style="668" customWidth="1"/>
    <col min="8449" max="8449" width="19" style="668" customWidth="1"/>
    <col min="8450" max="8450" width="13.5703125" style="668" customWidth="1"/>
    <col min="8451" max="8451" width="19.7109375" style="668" customWidth="1"/>
    <col min="8452" max="8452" width="13.5703125" style="668" customWidth="1"/>
    <col min="8453" max="8454" width="14.7109375" style="668" customWidth="1"/>
    <col min="8455" max="8455" width="36.140625" style="668" customWidth="1"/>
    <col min="8456" max="8456" width="29.42578125" style="668" customWidth="1"/>
    <col min="8457" max="8457" width="16" style="668" customWidth="1"/>
    <col min="8458" max="8458" width="38.28515625" style="668" customWidth="1"/>
    <col min="8459" max="8459" width="12" style="668" customWidth="1"/>
    <col min="8460" max="8460" width="38.140625" style="668" customWidth="1"/>
    <col min="8461" max="8461" width="17.85546875" style="668" bestFit="1" customWidth="1"/>
    <col min="8462" max="8462" width="24.7109375" style="668" customWidth="1"/>
    <col min="8463" max="8463" width="36.42578125" style="668" customWidth="1"/>
    <col min="8464" max="8464" width="46.7109375" style="668" customWidth="1"/>
    <col min="8465" max="8465" width="43.7109375" style="668" customWidth="1"/>
    <col min="8466" max="8466" width="25.42578125" style="668" customWidth="1"/>
    <col min="8467" max="8467" width="12.42578125" style="668" customWidth="1"/>
    <col min="8468" max="8468" width="16.42578125" style="668" customWidth="1"/>
    <col min="8469" max="8469" width="13.42578125" style="668" customWidth="1"/>
    <col min="8470" max="8470" width="8.5703125" style="668" customWidth="1"/>
    <col min="8471" max="8474" width="11.42578125" style="668" customWidth="1"/>
    <col min="8475" max="8475" width="12.7109375" style="668" customWidth="1"/>
    <col min="8476" max="8476" width="11.85546875" style="668" customWidth="1"/>
    <col min="8477" max="8477" width="7.85546875" style="668" customWidth="1"/>
    <col min="8478" max="8478" width="7.5703125" style="668" customWidth="1"/>
    <col min="8479" max="8479" width="8.85546875" style="668" customWidth="1"/>
    <col min="8480" max="8480" width="8.140625" style="668" customWidth="1"/>
    <col min="8481" max="8481" width="7.85546875" style="668" customWidth="1"/>
    <col min="8482" max="8482" width="8.5703125" style="668" customWidth="1"/>
    <col min="8483" max="8483" width="8.28515625" style="668" customWidth="1"/>
    <col min="8484" max="8484" width="11.42578125" style="668" customWidth="1"/>
    <col min="8485" max="8485" width="18" style="668" customWidth="1"/>
    <col min="8486" max="8486" width="21.42578125" style="668" customWidth="1"/>
    <col min="8487" max="8487" width="27.85546875" style="668" customWidth="1"/>
    <col min="8488" max="8703" width="11.42578125" style="668"/>
    <col min="8704" max="8704" width="13.5703125" style="668" customWidth="1"/>
    <col min="8705" max="8705" width="19" style="668" customWidth="1"/>
    <col min="8706" max="8706" width="13.5703125" style="668" customWidth="1"/>
    <col min="8707" max="8707" width="19.7109375" style="668" customWidth="1"/>
    <col min="8708" max="8708" width="13.5703125" style="668" customWidth="1"/>
    <col min="8709" max="8710" width="14.7109375" style="668" customWidth="1"/>
    <col min="8711" max="8711" width="36.140625" style="668" customWidth="1"/>
    <col min="8712" max="8712" width="29.42578125" style="668" customWidth="1"/>
    <col min="8713" max="8713" width="16" style="668" customWidth="1"/>
    <col min="8714" max="8714" width="38.28515625" style="668" customWidth="1"/>
    <col min="8715" max="8715" width="12" style="668" customWidth="1"/>
    <col min="8716" max="8716" width="38.140625" style="668" customWidth="1"/>
    <col min="8717" max="8717" width="17.85546875" style="668" bestFit="1" customWidth="1"/>
    <col min="8718" max="8718" width="24.7109375" style="668" customWidth="1"/>
    <col min="8719" max="8719" width="36.42578125" style="668" customWidth="1"/>
    <col min="8720" max="8720" width="46.7109375" style="668" customWidth="1"/>
    <col min="8721" max="8721" width="43.7109375" style="668" customWidth="1"/>
    <col min="8722" max="8722" width="25.42578125" style="668" customWidth="1"/>
    <col min="8723" max="8723" width="12.42578125" style="668" customWidth="1"/>
    <col min="8724" max="8724" width="16.42578125" style="668" customWidth="1"/>
    <col min="8725" max="8725" width="13.42578125" style="668" customWidth="1"/>
    <col min="8726" max="8726" width="8.5703125" style="668" customWidth="1"/>
    <col min="8727" max="8730" width="11.42578125" style="668" customWidth="1"/>
    <col min="8731" max="8731" width="12.7109375" style="668" customWidth="1"/>
    <col min="8732" max="8732" width="11.85546875" style="668" customWidth="1"/>
    <col min="8733" max="8733" width="7.85546875" style="668" customWidth="1"/>
    <col min="8734" max="8734" width="7.5703125" style="668" customWidth="1"/>
    <col min="8735" max="8735" width="8.85546875" style="668" customWidth="1"/>
    <col min="8736" max="8736" width="8.140625" style="668" customWidth="1"/>
    <col min="8737" max="8737" width="7.85546875" style="668" customWidth="1"/>
    <col min="8738" max="8738" width="8.5703125" style="668" customWidth="1"/>
    <col min="8739" max="8739" width="8.28515625" style="668" customWidth="1"/>
    <col min="8740" max="8740" width="11.42578125" style="668" customWidth="1"/>
    <col min="8741" max="8741" width="18" style="668" customWidth="1"/>
    <col min="8742" max="8742" width="21.42578125" style="668" customWidth="1"/>
    <col min="8743" max="8743" width="27.85546875" style="668" customWidth="1"/>
    <col min="8744" max="8959" width="11.42578125" style="668"/>
    <col min="8960" max="8960" width="13.5703125" style="668" customWidth="1"/>
    <col min="8961" max="8961" width="19" style="668" customWidth="1"/>
    <col min="8962" max="8962" width="13.5703125" style="668" customWidth="1"/>
    <col min="8963" max="8963" width="19.7109375" style="668" customWidth="1"/>
    <col min="8964" max="8964" width="13.5703125" style="668" customWidth="1"/>
    <col min="8965" max="8966" width="14.7109375" style="668" customWidth="1"/>
    <col min="8967" max="8967" width="36.140625" style="668" customWidth="1"/>
    <col min="8968" max="8968" width="29.42578125" style="668" customWidth="1"/>
    <col min="8969" max="8969" width="16" style="668" customWidth="1"/>
    <col min="8970" max="8970" width="38.28515625" style="668" customWidth="1"/>
    <col min="8971" max="8971" width="12" style="668" customWidth="1"/>
    <col min="8972" max="8972" width="38.140625" style="668" customWidth="1"/>
    <col min="8973" max="8973" width="17.85546875" style="668" bestFit="1" customWidth="1"/>
    <col min="8974" max="8974" width="24.7109375" style="668" customWidth="1"/>
    <col min="8975" max="8975" width="36.42578125" style="668" customWidth="1"/>
    <col min="8976" max="8976" width="46.7109375" style="668" customWidth="1"/>
    <col min="8977" max="8977" width="43.7109375" style="668" customWidth="1"/>
    <col min="8978" max="8978" width="25.42578125" style="668" customWidth="1"/>
    <col min="8979" max="8979" width="12.42578125" style="668" customWidth="1"/>
    <col min="8980" max="8980" width="16.42578125" style="668" customWidth="1"/>
    <col min="8981" max="8981" width="13.42578125" style="668" customWidth="1"/>
    <col min="8982" max="8982" width="8.5703125" style="668" customWidth="1"/>
    <col min="8983" max="8986" width="11.42578125" style="668" customWidth="1"/>
    <col min="8987" max="8987" width="12.7109375" style="668" customWidth="1"/>
    <col min="8988" max="8988" width="11.85546875" style="668" customWidth="1"/>
    <col min="8989" max="8989" width="7.85546875" style="668" customWidth="1"/>
    <col min="8990" max="8990" width="7.5703125" style="668" customWidth="1"/>
    <col min="8991" max="8991" width="8.85546875" style="668" customWidth="1"/>
    <col min="8992" max="8992" width="8.140625" style="668" customWidth="1"/>
    <col min="8993" max="8993" width="7.85546875" style="668" customWidth="1"/>
    <col min="8994" max="8994" width="8.5703125" style="668" customWidth="1"/>
    <col min="8995" max="8995" width="8.28515625" style="668" customWidth="1"/>
    <col min="8996" max="8996" width="11.42578125" style="668" customWidth="1"/>
    <col min="8997" max="8997" width="18" style="668" customWidth="1"/>
    <col min="8998" max="8998" width="21.42578125" style="668" customWidth="1"/>
    <col min="8999" max="8999" width="27.85546875" style="668" customWidth="1"/>
    <col min="9000" max="9215" width="11.42578125" style="668"/>
    <col min="9216" max="9216" width="13.5703125" style="668" customWidth="1"/>
    <col min="9217" max="9217" width="19" style="668" customWidth="1"/>
    <col min="9218" max="9218" width="13.5703125" style="668" customWidth="1"/>
    <col min="9219" max="9219" width="19.7109375" style="668" customWidth="1"/>
    <col min="9220" max="9220" width="13.5703125" style="668" customWidth="1"/>
    <col min="9221" max="9222" width="14.7109375" style="668" customWidth="1"/>
    <col min="9223" max="9223" width="36.140625" style="668" customWidth="1"/>
    <col min="9224" max="9224" width="29.42578125" style="668" customWidth="1"/>
    <col min="9225" max="9225" width="16" style="668" customWidth="1"/>
    <col min="9226" max="9226" width="38.28515625" style="668" customWidth="1"/>
    <col min="9227" max="9227" width="12" style="668" customWidth="1"/>
    <col min="9228" max="9228" width="38.140625" style="668" customWidth="1"/>
    <col min="9229" max="9229" width="17.85546875" style="668" bestFit="1" customWidth="1"/>
    <col min="9230" max="9230" width="24.7109375" style="668" customWidth="1"/>
    <col min="9231" max="9231" width="36.42578125" style="668" customWidth="1"/>
    <col min="9232" max="9232" width="46.7109375" style="668" customWidth="1"/>
    <col min="9233" max="9233" width="43.7109375" style="668" customWidth="1"/>
    <col min="9234" max="9234" width="25.42578125" style="668" customWidth="1"/>
    <col min="9235" max="9235" width="12.42578125" style="668" customWidth="1"/>
    <col min="9236" max="9236" width="16.42578125" style="668" customWidth="1"/>
    <col min="9237" max="9237" width="13.42578125" style="668" customWidth="1"/>
    <col min="9238" max="9238" width="8.5703125" style="668" customWidth="1"/>
    <col min="9239" max="9242" width="11.42578125" style="668" customWidth="1"/>
    <col min="9243" max="9243" width="12.7109375" style="668" customWidth="1"/>
    <col min="9244" max="9244" width="11.85546875" style="668" customWidth="1"/>
    <col min="9245" max="9245" width="7.85546875" style="668" customWidth="1"/>
    <col min="9246" max="9246" width="7.5703125" style="668" customWidth="1"/>
    <col min="9247" max="9247" width="8.85546875" style="668" customWidth="1"/>
    <col min="9248" max="9248" width="8.140625" style="668" customWidth="1"/>
    <col min="9249" max="9249" width="7.85546875" style="668" customWidth="1"/>
    <col min="9250" max="9250" width="8.5703125" style="668" customWidth="1"/>
    <col min="9251" max="9251" width="8.28515625" style="668" customWidth="1"/>
    <col min="9252" max="9252" width="11.42578125" style="668" customWidth="1"/>
    <col min="9253" max="9253" width="18" style="668" customWidth="1"/>
    <col min="9254" max="9254" width="21.42578125" style="668" customWidth="1"/>
    <col min="9255" max="9255" width="27.85546875" style="668" customWidth="1"/>
    <col min="9256" max="9471" width="11.42578125" style="668"/>
    <col min="9472" max="9472" width="13.5703125" style="668" customWidth="1"/>
    <col min="9473" max="9473" width="19" style="668" customWidth="1"/>
    <col min="9474" max="9474" width="13.5703125" style="668" customWidth="1"/>
    <col min="9475" max="9475" width="19.7109375" style="668" customWidth="1"/>
    <col min="9476" max="9476" width="13.5703125" style="668" customWidth="1"/>
    <col min="9477" max="9478" width="14.7109375" style="668" customWidth="1"/>
    <col min="9479" max="9479" width="36.140625" style="668" customWidth="1"/>
    <col min="9480" max="9480" width="29.42578125" style="668" customWidth="1"/>
    <col min="9481" max="9481" width="16" style="668" customWidth="1"/>
    <col min="9482" max="9482" width="38.28515625" style="668" customWidth="1"/>
    <col min="9483" max="9483" width="12" style="668" customWidth="1"/>
    <col min="9484" max="9484" width="38.140625" style="668" customWidth="1"/>
    <col min="9485" max="9485" width="17.85546875" style="668" bestFit="1" customWidth="1"/>
    <col min="9486" max="9486" width="24.7109375" style="668" customWidth="1"/>
    <col min="9487" max="9487" width="36.42578125" style="668" customWidth="1"/>
    <col min="9488" max="9488" width="46.7109375" style="668" customWidth="1"/>
    <col min="9489" max="9489" width="43.7109375" style="668" customWidth="1"/>
    <col min="9490" max="9490" width="25.42578125" style="668" customWidth="1"/>
    <col min="9491" max="9491" width="12.42578125" style="668" customWidth="1"/>
    <col min="9492" max="9492" width="16.42578125" style="668" customWidth="1"/>
    <col min="9493" max="9493" width="13.42578125" style="668" customWidth="1"/>
    <col min="9494" max="9494" width="8.5703125" style="668" customWidth="1"/>
    <col min="9495" max="9498" width="11.42578125" style="668" customWidth="1"/>
    <col min="9499" max="9499" width="12.7109375" style="668" customWidth="1"/>
    <col min="9500" max="9500" width="11.85546875" style="668" customWidth="1"/>
    <col min="9501" max="9501" width="7.85546875" style="668" customWidth="1"/>
    <col min="9502" max="9502" width="7.5703125" style="668" customWidth="1"/>
    <col min="9503" max="9503" width="8.85546875" style="668" customWidth="1"/>
    <col min="9504" max="9504" width="8.140625" style="668" customWidth="1"/>
    <col min="9505" max="9505" width="7.85546875" style="668" customWidth="1"/>
    <col min="9506" max="9506" width="8.5703125" style="668" customWidth="1"/>
    <col min="9507" max="9507" width="8.28515625" style="668" customWidth="1"/>
    <col min="9508" max="9508" width="11.42578125" style="668" customWidth="1"/>
    <col min="9509" max="9509" width="18" style="668" customWidth="1"/>
    <col min="9510" max="9510" width="21.42578125" style="668" customWidth="1"/>
    <col min="9511" max="9511" width="27.85546875" style="668" customWidth="1"/>
    <col min="9512" max="9727" width="11.42578125" style="668"/>
    <col min="9728" max="9728" width="13.5703125" style="668" customWidth="1"/>
    <col min="9729" max="9729" width="19" style="668" customWidth="1"/>
    <col min="9730" max="9730" width="13.5703125" style="668" customWidth="1"/>
    <col min="9731" max="9731" width="19.7109375" style="668" customWidth="1"/>
    <col min="9732" max="9732" width="13.5703125" style="668" customWidth="1"/>
    <col min="9733" max="9734" width="14.7109375" style="668" customWidth="1"/>
    <col min="9735" max="9735" width="36.140625" style="668" customWidth="1"/>
    <col min="9736" max="9736" width="29.42578125" style="668" customWidth="1"/>
    <col min="9737" max="9737" width="16" style="668" customWidth="1"/>
    <col min="9738" max="9738" width="38.28515625" style="668" customWidth="1"/>
    <col min="9739" max="9739" width="12" style="668" customWidth="1"/>
    <col min="9740" max="9740" width="38.140625" style="668" customWidth="1"/>
    <col min="9741" max="9741" width="17.85546875" style="668" bestFit="1" customWidth="1"/>
    <col min="9742" max="9742" width="24.7109375" style="668" customWidth="1"/>
    <col min="9743" max="9743" width="36.42578125" style="668" customWidth="1"/>
    <col min="9744" max="9744" width="46.7109375" style="668" customWidth="1"/>
    <col min="9745" max="9745" width="43.7109375" style="668" customWidth="1"/>
    <col min="9746" max="9746" width="25.42578125" style="668" customWidth="1"/>
    <col min="9747" max="9747" width="12.42578125" style="668" customWidth="1"/>
    <col min="9748" max="9748" width="16.42578125" style="668" customWidth="1"/>
    <col min="9749" max="9749" width="13.42578125" style="668" customWidth="1"/>
    <col min="9750" max="9750" width="8.5703125" style="668" customWidth="1"/>
    <col min="9751" max="9754" width="11.42578125" style="668" customWidth="1"/>
    <col min="9755" max="9755" width="12.7109375" style="668" customWidth="1"/>
    <col min="9756" max="9756" width="11.85546875" style="668" customWidth="1"/>
    <col min="9757" max="9757" width="7.85546875" style="668" customWidth="1"/>
    <col min="9758" max="9758" width="7.5703125" style="668" customWidth="1"/>
    <col min="9759" max="9759" width="8.85546875" style="668" customWidth="1"/>
    <col min="9760" max="9760" width="8.140625" style="668" customWidth="1"/>
    <col min="9761" max="9761" width="7.85546875" style="668" customWidth="1"/>
    <col min="9762" max="9762" width="8.5703125" style="668" customWidth="1"/>
    <col min="9763" max="9763" width="8.28515625" style="668" customWidth="1"/>
    <col min="9764" max="9764" width="11.42578125" style="668" customWidth="1"/>
    <col min="9765" max="9765" width="18" style="668" customWidth="1"/>
    <col min="9766" max="9766" width="21.42578125" style="668" customWidth="1"/>
    <col min="9767" max="9767" width="27.85546875" style="668" customWidth="1"/>
    <col min="9768" max="9983" width="11.42578125" style="668"/>
    <col min="9984" max="9984" width="13.5703125" style="668" customWidth="1"/>
    <col min="9985" max="9985" width="19" style="668" customWidth="1"/>
    <col min="9986" max="9986" width="13.5703125" style="668" customWidth="1"/>
    <col min="9987" max="9987" width="19.7109375" style="668" customWidth="1"/>
    <col min="9988" max="9988" width="13.5703125" style="668" customWidth="1"/>
    <col min="9989" max="9990" width="14.7109375" style="668" customWidth="1"/>
    <col min="9991" max="9991" width="36.140625" style="668" customWidth="1"/>
    <col min="9992" max="9992" width="29.42578125" style="668" customWidth="1"/>
    <col min="9993" max="9993" width="16" style="668" customWidth="1"/>
    <col min="9994" max="9994" width="38.28515625" style="668" customWidth="1"/>
    <col min="9995" max="9995" width="12" style="668" customWidth="1"/>
    <col min="9996" max="9996" width="38.140625" style="668" customWidth="1"/>
    <col min="9997" max="9997" width="17.85546875" style="668" bestFit="1" customWidth="1"/>
    <col min="9998" max="9998" width="24.7109375" style="668" customWidth="1"/>
    <col min="9999" max="9999" width="36.42578125" style="668" customWidth="1"/>
    <col min="10000" max="10000" width="46.7109375" style="668" customWidth="1"/>
    <col min="10001" max="10001" width="43.7109375" style="668" customWidth="1"/>
    <col min="10002" max="10002" width="25.42578125" style="668" customWidth="1"/>
    <col min="10003" max="10003" width="12.42578125" style="668" customWidth="1"/>
    <col min="10004" max="10004" width="16.42578125" style="668" customWidth="1"/>
    <col min="10005" max="10005" width="13.42578125" style="668" customWidth="1"/>
    <col min="10006" max="10006" width="8.5703125" style="668" customWidth="1"/>
    <col min="10007" max="10010" width="11.42578125" style="668" customWidth="1"/>
    <col min="10011" max="10011" width="12.7109375" style="668" customWidth="1"/>
    <col min="10012" max="10012" width="11.85546875" style="668" customWidth="1"/>
    <col min="10013" max="10013" width="7.85546875" style="668" customWidth="1"/>
    <col min="10014" max="10014" width="7.5703125" style="668" customWidth="1"/>
    <col min="10015" max="10015" width="8.85546875" style="668" customWidth="1"/>
    <col min="10016" max="10016" width="8.140625" style="668" customWidth="1"/>
    <col min="10017" max="10017" width="7.85546875" style="668" customWidth="1"/>
    <col min="10018" max="10018" width="8.5703125" style="668" customWidth="1"/>
    <col min="10019" max="10019" width="8.28515625" style="668" customWidth="1"/>
    <col min="10020" max="10020" width="11.42578125" style="668" customWidth="1"/>
    <col min="10021" max="10021" width="18" style="668" customWidth="1"/>
    <col min="10022" max="10022" width="21.42578125" style="668" customWidth="1"/>
    <col min="10023" max="10023" width="27.85546875" style="668" customWidth="1"/>
    <col min="10024" max="10239" width="11.42578125" style="668"/>
    <col min="10240" max="10240" width="13.5703125" style="668" customWidth="1"/>
    <col min="10241" max="10241" width="19" style="668" customWidth="1"/>
    <col min="10242" max="10242" width="13.5703125" style="668" customWidth="1"/>
    <col min="10243" max="10243" width="19.7109375" style="668" customWidth="1"/>
    <col min="10244" max="10244" width="13.5703125" style="668" customWidth="1"/>
    <col min="10245" max="10246" width="14.7109375" style="668" customWidth="1"/>
    <col min="10247" max="10247" width="36.140625" style="668" customWidth="1"/>
    <col min="10248" max="10248" width="29.42578125" style="668" customWidth="1"/>
    <col min="10249" max="10249" width="16" style="668" customWidth="1"/>
    <col min="10250" max="10250" width="38.28515625" style="668" customWidth="1"/>
    <col min="10251" max="10251" width="12" style="668" customWidth="1"/>
    <col min="10252" max="10252" width="38.140625" style="668" customWidth="1"/>
    <col min="10253" max="10253" width="17.85546875" style="668" bestFit="1" customWidth="1"/>
    <col min="10254" max="10254" width="24.7109375" style="668" customWidth="1"/>
    <col min="10255" max="10255" width="36.42578125" style="668" customWidth="1"/>
    <col min="10256" max="10256" width="46.7109375" style="668" customWidth="1"/>
    <col min="10257" max="10257" width="43.7109375" style="668" customWidth="1"/>
    <col min="10258" max="10258" width="25.42578125" style="668" customWidth="1"/>
    <col min="10259" max="10259" width="12.42578125" style="668" customWidth="1"/>
    <col min="10260" max="10260" width="16.42578125" style="668" customWidth="1"/>
    <col min="10261" max="10261" width="13.42578125" style="668" customWidth="1"/>
    <col min="10262" max="10262" width="8.5703125" style="668" customWidth="1"/>
    <col min="10263" max="10266" width="11.42578125" style="668" customWidth="1"/>
    <col min="10267" max="10267" width="12.7109375" style="668" customWidth="1"/>
    <col min="10268" max="10268" width="11.85546875" style="668" customWidth="1"/>
    <col min="10269" max="10269" width="7.85546875" style="668" customWidth="1"/>
    <col min="10270" max="10270" width="7.5703125" style="668" customWidth="1"/>
    <col min="10271" max="10271" width="8.85546875" style="668" customWidth="1"/>
    <col min="10272" max="10272" width="8.140625" style="668" customWidth="1"/>
    <col min="10273" max="10273" width="7.85546875" style="668" customWidth="1"/>
    <col min="10274" max="10274" width="8.5703125" style="668" customWidth="1"/>
    <col min="10275" max="10275" width="8.28515625" style="668" customWidth="1"/>
    <col min="10276" max="10276" width="11.42578125" style="668" customWidth="1"/>
    <col min="10277" max="10277" width="18" style="668" customWidth="1"/>
    <col min="10278" max="10278" width="21.42578125" style="668" customWidth="1"/>
    <col min="10279" max="10279" width="27.85546875" style="668" customWidth="1"/>
    <col min="10280" max="10495" width="11.42578125" style="668"/>
    <col min="10496" max="10496" width="13.5703125" style="668" customWidth="1"/>
    <col min="10497" max="10497" width="19" style="668" customWidth="1"/>
    <col min="10498" max="10498" width="13.5703125" style="668" customWidth="1"/>
    <col min="10499" max="10499" width="19.7109375" style="668" customWidth="1"/>
    <col min="10500" max="10500" width="13.5703125" style="668" customWidth="1"/>
    <col min="10501" max="10502" width="14.7109375" style="668" customWidth="1"/>
    <col min="10503" max="10503" width="36.140625" style="668" customWidth="1"/>
    <col min="10504" max="10504" width="29.42578125" style="668" customWidth="1"/>
    <col min="10505" max="10505" width="16" style="668" customWidth="1"/>
    <col min="10506" max="10506" width="38.28515625" style="668" customWidth="1"/>
    <col min="10507" max="10507" width="12" style="668" customWidth="1"/>
    <col min="10508" max="10508" width="38.140625" style="668" customWidth="1"/>
    <col min="10509" max="10509" width="17.85546875" style="668" bestFit="1" customWidth="1"/>
    <col min="10510" max="10510" width="24.7109375" style="668" customWidth="1"/>
    <col min="10511" max="10511" width="36.42578125" style="668" customWidth="1"/>
    <col min="10512" max="10512" width="46.7109375" style="668" customWidth="1"/>
    <col min="10513" max="10513" width="43.7109375" style="668" customWidth="1"/>
    <col min="10514" max="10514" width="25.42578125" style="668" customWidth="1"/>
    <col min="10515" max="10515" width="12.42578125" style="668" customWidth="1"/>
    <col min="10516" max="10516" width="16.42578125" style="668" customWidth="1"/>
    <col min="10517" max="10517" width="13.42578125" style="668" customWidth="1"/>
    <col min="10518" max="10518" width="8.5703125" style="668" customWidth="1"/>
    <col min="10519" max="10522" width="11.42578125" style="668" customWidth="1"/>
    <col min="10523" max="10523" width="12.7109375" style="668" customWidth="1"/>
    <col min="10524" max="10524" width="11.85546875" style="668" customWidth="1"/>
    <col min="10525" max="10525" width="7.85546875" style="668" customWidth="1"/>
    <col min="10526" max="10526" width="7.5703125" style="668" customWidth="1"/>
    <col min="10527" max="10527" width="8.85546875" style="668" customWidth="1"/>
    <col min="10528" max="10528" width="8.140625" style="668" customWidth="1"/>
    <col min="10529" max="10529" width="7.85546875" style="668" customWidth="1"/>
    <col min="10530" max="10530" width="8.5703125" style="668" customWidth="1"/>
    <col min="10531" max="10531" width="8.28515625" style="668" customWidth="1"/>
    <col min="10532" max="10532" width="11.42578125" style="668" customWidth="1"/>
    <col min="10533" max="10533" width="18" style="668" customWidth="1"/>
    <col min="10534" max="10534" width="21.42578125" style="668" customWidth="1"/>
    <col min="10535" max="10535" width="27.85546875" style="668" customWidth="1"/>
    <col min="10536" max="10751" width="11.42578125" style="668"/>
    <col min="10752" max="10752" width="13.5703125" style="668" customWidth="1"/>
    <col min="10753" max="10753" width="19" style="668" customWidth="1"/>
    <col min="10754" max="10754" width="13.5703125" style="668" customWidth="1"/>
    <col min="10755" max="10755" width="19.7109375" style="668" customWidth="1"/>
    <col min="10756" max="10756" width="13.5703125" style="668" customWidth="1"/>
    <col min="10757" max="10758" width="14.7109375" style="668" customWidth="1"/>
    <col min="10759" max="10759" width="36.140625" style="668" customWidth="1"/>
    <col min="10760" max="10760" width="29.42578125" style="668" customWidth="1"/>
    <col min="10761" max="10761" width="16" style="668" customWidth="1"/>
    <col min="10762" max="10762" width="38.28515625" style="668" customWidth="1"/>
    <col min="10763" max="10763" width="12" style="668" customWidth="1"/>
    <col min="10764" max="10764" width="38.140625" style="668" customWidth="1"/>
    <col min="10765" max="10765" width="17.85546875" style="668" bestFit="1" customWidth="1"/>
    <col min="10766" max="10766" width="24.7109375" style="668" customWidth="1"/>
    <col min="10767" max="10767" width="36.42578125" style="668" customWidth="1"/>
    <col min="10768" max="10768" width="46.7109375" style="668" customWidth="1"/>
    <col min="10769" max="10769" width="43.7109375" style="668" customWidth="1"/>
    <col min="10770" max="10770" width="25.42578125" style="668" customWidth="1"/>
    <col min="10771" max="10771" width="12.42578125" style="668" customWidth="1"/>
    <col min="10772" max="10772" width="16.42578125" style="668" customWidth="1"/>
    <col min="10773" max="10773" width="13.42578125" style="668" customWidth="1"/>
    <col min="10774" max="10774" width="8.5703125" style="668" customWidth="1"/>
    <col min="10775" max="10778" width="11.42578125" style="668" customWidth="1"/>
    <col min="10779" max="10779" width="12.7109375" style="668" customWidth="1"/>
    <col min="10780" max="10780" width="11.85546875" style="668" customWidth="1"/>
    <col min="10781" max="10781" width="7.85546875" style="668" customWidth="1"/>
    <col min="10782" max="10782" width="7.5703125" style="668" customWidth="1"/>
    <col min="10783" max="10783" width="8.85546875" style="668" customWidth="1"/>
    <col min="10784" max="10784" width="8.140625" style="668" customWidth="1"/>
    <col min="10785" max="10785" width="7.85546875" style="668" customWidth="1"/>
    <col min="10786" max="10786" width="8.5703125" style="668" customWidth="1"/>
    <col min="10787" max="10787" width="8.28515625" style="668" customWidth="1"/>
    <col min="10788" max="10788" width="11.42578125" style="668" customWidth="1"/>
    <col min="10789" max="10789" width="18" style="668" customWidth="1"/>
    <col min="10790" max="10790" width="21.42578125" style="668" customWidth="1"/>
    <col min="10791" max="10791" width="27.85546875" style="668" customWidth="1"/>
    <col min="10792" max="11007" width="11.42578125" style="668"/>
    <col min="11008" max="11008" width="13.5703125" style="668" customWidth="1"/>
    <col min="11009" max="11009" width="19" style="668" customWidth="1"/>
    <col min="11010" max="11010" width="13.5703125" style="668" customWidth="1"/>
    <col min="11011" max="11011" width="19.7109375" style="668" customWidth="1"/>
    <col min="11012" max="11012" width="13.5703125" style="668" customWidth="1"/>
    <col min="11013" max="11014" width="14.7109375" style="668" customWidth="1"/>
    <col min="11015" max="11015" width="36.140625" style="668" customWidth="1"/>
    <col min="11016" max="11016" width="29.42578125" style="668" customWidth="1"/>
    <col min="11017" max="11017" width="16" style="668" customWidth="1"/>
    <col min="11018" max="11018" width="38.28515625" style="668" customWidth="1"/>
    <col min="11019" max="11019" width="12" style="668" customWidth="1"/>
    <col min="11020" max="11020" width="38.140625" style="668" customWidth="1"/>
    <col min="11021" max="11021" width="17.85546875" style="668" bestFit="1" customWidth="1"/>
    <col min="11022" max="11022" width="24.7109375" style="668" customWidth="1"/>
    <col min="11023" max="11023" width="36.42578125" style="668" customWidth="1"/>
    <col min="11024" max="11024" width="46.7109375" style="668" customWidth="1"/>
    <col min="11025" max="11025" width="43.7109375" style="668" customWidth="1"/>
    <col min="11026" max="11026" width="25.42578125" style="668" customWidth="1"/>
    <col min="11027" max="11027" width="12.42578125" style="668" customWidth="1"/>
    <col min="11028" max="11028" width="16.42578125" style="668" customWidth="1"/>
    <col min="11029" max="11029" width="13.42578125" style="668" customWidth="1"/>
    <col min="11030" max="11030" width="8.5703125" style="668" customWidth="1"/>
    <col min="11031" max="11034" width="11.42578125" style="668" customWidth="1"/>
    <col min="11035" max="11035" width="12.7109375" style="668" customWidth="1"/>
    <col min="11036" max="11036" width="11.85546875" style="668" customWidth="1"/>
    <col min="11037" max="11037" width="7.85546875" style="668" customWidth="1"/>
    <col min="11038" max="11038" width="7.5703125" style="668" customWidth="1"/>
    <col min="11039" max="11039" width="8.85546875" style="668" customWidth="1"/>
    <col min="11040" max="11040" width="8.140625" style="668" customWidth="1"/>
    <col min="11041" max="11041" width="7.85546875" style="668" customWidth="1"/>
    <col min="11042" max="11042" width="8.5703125" style="668" customWidth="1"/>
    <col min="11043" max="11043" width="8.28515625" style="668" customWidth="1"/>
    <col min="11044" max="11044" width="11.42578125" style="668" customWidth="1"/>
    <col min="11045" max="11045" width="18" style="668" customWidth="1"/>
    <col min="11046" max="11046" width="21.42578125" style="668" customWidth="1"/>
    <col min="11047" max="11047" width="27.85546875" style="668" customWidth="1"/>
    <col min="11048" max="11263" width="11.42578125" style="668"/>
    <col min="11264" max="11264" width="13.5703125" style="668" customWidth="1"/>
    <col min="11265" max="11265" width="19" style="668" customWidth="1"/>
    <col min="11266" max="11266" width="13.5703125" style="668" customWidth="1"/>
    <col min="11267" max="11267" width="19.7109375" style="668" customWidth="1"/>
    <col min="11268" max="11268" width="13.5703125" style="668" customWidth="1"/>
    <col min="11269" max="11270" width="14.7109375" style="668" customWidth="1"/>
    <col min="11271" max="11271" width="36.140625" style="668" customWidth="1"/>
    <col min="11272" max="11272" width="29.42578125" style="668" customWidth="1"/>
    <col min="11273" max="11273" width="16" style="668" customWidth="1"/>
    <col min="11274" max="11274" width="38.28515625" style="668" customWidth="1"/>
    <col min="11275" max="11275" width="12" style="668" customWidth="1"/>
    <col min="11276" max="11276" width="38.140625" style="668" customWidth="1"/>
    <col min="11277" max="11277" width="17.85546875" style="668" bestFit="1" customWidth="1"/>
    <col min="11278" max="11278" width="24.7109375" style="668" customWidth="1"/>
    <col min="11279" max="11279" width="36.42578125" style="668" customWidth="1"/>
    <col min="11280" max="11280" width="46.7109375" style="668" customWidth="1"/>
    <col min="11281" max="11281" width="43.7109375" style="668" customWidth="1"/>
    <col min="11282" max="11282" width="25.42578125" style="668" customWidth="1"/>
    <col min="11283" max="11283" width="12.42578125" style="668" customWidth="1"/>
    <col min="11284" max="11284" width="16.42578125" style="668" customWidth="1"/>
    <col min="11285" max="11285" width="13.42578125" style="668" customWidth="1"/>
    <col min="11286" max="11286" width="8.5703125" style="668" customWidth="1"/>
    <col min="11287" max="11290" width="11.42578125" style="668" customWidth="1"/>
    <col min="11291" max="11291" width="12.7109375" style="668" customWidth="1"/>
    <col min="11292" max="11292" width="11.85546875" style="668" customWidth="1"/>
    <col min="11293" max="11293" width="7.85546875" style="668" customWidth="1"/>
    <col min="11294" max="11294" width="7.5703125" style="668" customWidth="1"/>
    <col min="11295" max="11295" width="8.85546875" style="668" customWidth="1"/>
    <col min="11296" max="11296" width="8.140625" style="668" customWidth="1"/>
    <col min="11297" max="11297" width="7.85546875" style="668" customWidth="1"/>
    <col min="11298" max="11298" width="8.5703125" style="668" customWidth="1"/>
    <col min="11299" max="11299" width="8.28515625" style="668" customWidth="1"/>
    <col min="11300" max="11300" width="11.42578125" style="668" customWidth="1"/>
    <col min="11301" max="11301" width="18" style="668" customWidth="1"/>
    <col min="11302" max="11302" width="21.42578125" style="668" customWidth="1"/>
    <col min="11303" max="11303" width="27.85546875" style="668" customWidth="1"/>
    <col min="11304" max="11519" width="11.42578125" style="668"/>
    <col min="11520" max="11520" width="13.5703125" style="668" customWidth="1"/>
    <col min="11521" max="11521" width="19" style="668" customWidth="1"/>
    <col min="11522" max="11522" width="13.5703125" style="668" customWidth="1"/>
    <col min="11523" max="11523" width="19.7109375" style="668" customWidth="1"/>
    <col min="11524" max="11524" width="13.5703125" style="668" customWidth="1"/>
    <col min="11525" max="11526" width="14.7109375" style="668" customWidth="1"/>
    <col min="11527" max="11527" width="36.140625" style="668" customWidth="1"/>
    <col min="11528" max="11528" width="29.42578125" style="668" customWidth="1"/>
    <col min="11529" max="11529" width="16" style="668" customWidth="1"/>
    <col min="11530" max="11530" width="38.28515625" style="668" customWidth="1"/>
    <col min="11531" max="11531" width="12" style="668" customWidth="1"/>
    <col min="11532" max="11532" width="38.140625" style="668" customWidth="1"/>
    <col min="11533" max="11533" width="17.85546875" style="668" bestFit="1" customWidth="1"/>
    <col min="11534" max="11534" width="24.7109375" style="668" customWidth="1"/>
    <col min="11535" max="11535" width="36.42578125" style="668" customWidth="1"/>
    <col min="11536" max="11536" width="46.7109375" style="668" customWidth="1"/>
    <col min="11537" max="11537" width="43.7109375" style="668" customWidth="1"/>
    <col min="11538" max="11538" width="25.42578125" style="668" customWidth="1"/>
    <col min="11539" max="11539" width="12.42578125" style="668" customWidth="1"/>
    <col min="11540" max="11540" width="16.42578125" style="668" customWidth="1"/>
    <col min="11541" max="11541" width="13.42578125" style="668" customWidth="1"/>
    <col min="11542" max="11542" width="8.5703125" style="668" customWidth="1"/>
    <col min="11543" max="11546" width="11.42578125" style="668" customWidth="1"/>
    <col min="11547" max="11547" width="12.7109375" style="668" customWidth="1"/>
    <col min="11548" max="11548" width="11.85546875" style="668" customWidth="1"/>
    <col min="11549" max="11549" width="7.85546875" style="668" customWidth="1"/>
    <col min="11550" max="11550" width="7.5703125" style="668" customWidth="1"/>
    <col min="11551" max="11551" width="8.85546875" style="668" customWidth="1"/>
    <col min="11552" max="11552" width="8.140625" style="668" customWidth="1"/>
    <col min="11553" max="11553" width="7.85546875" style="668" customWidth="1"/>
    <col min="11554" max="11554" width="8.5703125" style="668" customWidth="1"/>
    <col min="11555" max="11555" width="8.28515625" style="668" customWidth="1"/>
    <col min="11556" max="11556" width="11.42578125" style="668" customWidth="1"/>
    <col min="11557" max="11557" width="18" style="668" customWidth="1"/>
    <col min="11558" max="11558" width="21.42578125" style="668" customWidth="1"/>
    <col min="11559" max="11559" width="27.85546875" style="668" customWidth="1"/>
    <col min="11560" max="11775" width="11.42578125" style="668"/>
    <col min="11776" max="11776" width="13.5703125" style="668" customWidth="1"/>
    <col min="11777" max="11777" width="19" style="668" customWidth="1"/>
    <col min="11778" max="11778" width="13.5703125" style="668" customWidth="1"/>
    <col min="11779" max="11779" width="19.7109375" style="668" customWidth="1"/>
    <col min="11780" max="11780" width="13.5703125" style="668" customWidth="1"/>
    <col min="11781" max="11782" width="14.7109375" style="668" customWidth="1"/>
    <col min="11783" max="11783" width="36.140625" style="668" customWidth="1"/>
    <col min="11784" max="11784" width="29.42578125" style="668" customWidth="1"/>
    <col min="11785" max="11785" width="16" style="668" customWidth="1"/>
    <col min="11786" max="11786" width="38.28515625" style="668" customWidth="1"/>
    <col min="11787" max="11787" width="12" style="668" customWidth="1"/>
    <col min="11788" max="11788" width="38.140625" style="668" customWidth="1"/>
    <col min="11789" max="11789" width="17.85546875" style="668" bestFit="1" customWidth="1"/>
    <col min="11790" max="11790" width="24.7109375" style="668" customWidth="1"/>
    <col min="11791" max="11791" width="36.42578125" style="668" customWidth="1"/>
    <col min="11792" max="11792" width="46.7109375" style="668" customWidth="1"/>
    <col min="11793" max="11793" width="43.7109375" style="668" customWidth="1"/>
    <col min="11794" max="11794" width="25.42578125" style="668" customWidth="1"/>
    <col min="11795" max="11795" width="12.42578125" style="668" customWidth="1"/>
    <col min="11796" max="11796" width="16.42578125" style="668" customWidth="1"/>
    <col min="11797" max="11797" width="13.42578125" style="668" customWidth="1"/>
    <col min="11798" max="11798" width="8.5703125" style="668" customWidth="1"/>
    <col min="11799" max="11802" width="11.42578125" style="668" customWidth="1"/>
    <col min="11803" max="11803" width="12.7109375" style="668" customWidth="1"/>
    <col min="11804" max="11804" width="11.85546875" style="668" customWidth="1"/>
    <col min="11805" max="11805" width="7.85546875" style="668" customWidth="1"/>
    <col min="11806" max="11806" width="7.5703125" style="668" customWidth="1"/>
    <col min="11807" max="11807" width="8.85546875" style="668" customWidth="1"/>
    <col min="11808" max="11808" width="8.140625" style="668" customWidth="1"/>
    <col min="11809" max="11809" width="7.85546875" style="668" customWidth="1"/>
    <col min="11810" max="11810" width="8.5703125" style="668" customWidth="1"/>
    <col min="11811" max="11811" width="8.28515625" style="668" customWidth="1"/>
    <col min="11812" max="11812" width="11.42578125" style="668" customWidth="1"/>
    <col min="11813" max="11813" width="18" style="668" customWidth="1"/>
    <col min="11814" max="11814" width="21.42578125" style="668" customWidth="1"/>
    <col min="11815" max="11815" width="27.85546875" style="668" customWidth="1"/>
    <col min="11816" max="12031" width="11.42578125" style="668"/>
    <col min="12032" max="12032" width="13.5703125" style="668" customWidth="1"/>
    <col min="12033" max="12033" width="19" style="668" customWidth="1"/>
    <col min="12034" max="12034" width="13.5703125" style="668" customWidth="1"/>
    <col min="12035" max="12035" width="19.7109375" style="668" customWidth="1"/>
    <col min="12036" max="12036" width="13.5703125" style="668" customWidth="1"/>
    <col min="12037" max="12038" width="14.7109375" style="668" customWidth="1"/>
    <col min="12039" max="12039" width="36.140625" style="668" customWidth="1"/>
    <col min="12040" max="12040" width="29.42578125" style="668" customWidth="1"/>
    <col min="12041" max="12041" width="16" style="668" customWidth="1"/>
    <col min="12042" max="12042" width="38.28515625" style="668" customWidth="1"/>
    <col min="12043" max="12043" width="12" style="668" customWidth="1"/>
    <col min="12044" max="12044" width="38.140625" style="668" customWidth="1"/>
    <col min="12045" max="12045" width="17.85546875" style="668" bestFit="1" customWidth="1"/>
    <col min="12046" max="12046" width="24.7109375" style="668" customWidth="1"/>
    <col min="12047" max="12047" width="36.42578125" style="668" customWidth="1"/>
    <col min="12048" max="12048" width="46.7109375" style="668" customWidth="1"/>
    <col min="12049" max="12049" width="43.7109375" style="668" customWidth="1"/>
    <col min="12050" max="12050" width="25.42578125" style="668" customWidth="1"/>
    <col min="12051" max="12051" width="12.42578125" style="668" customWidth="1"/>
    <col min="12052" max="12052" width="16.42578125" style="668" customWidth="1"/>
    <col min="12053" max="12053" width="13.42578125" style="668" customWidth="1"/>
    <col min="12054" max="12054" width="8.5703125" style="668" customWidth="1"/>
    <col min="12055" max="12058" width="11.42578125" style="668" customWidth="1"/>
    <col min="12059" max="12059" width="12.7109375" style="668" customWidth="1"/>
    <col min="12060" max="12060" width="11.85546875" style="668" customWidth="1"/>
    <col min="12061" max="12061" width="7.85546875" style="668" customWidth="1"/>
    <col min="12062" max="12062" width="7.5703125" style="668" customWidth="1"/>
    <col min="12063" max="12063" width="8.85546875" style="668" customWidth="1"/>
    <col min="12064" max="12064" width="8.140625" style="668" customWidth="1"/>
    <col min="12065" max="12065" width="7.85546875" style="668" customWidth="1"/>
    <col min="12066" max="12066" width="8.5703125" style="668" customWidth="1"/>
    <col min="12067" max="12067" width="8.28515625" style="668" customWidth="1"/>
    <col min="12068" max="12068" width="11.42578125" style="668" customWidth="1"/>
    <col min="12069" max="12069" width="18" style="668" customWidth="1"/>
    <col min="12070" max="12070" width="21.42578125" style="668" customWidth="1"/>
    <col min="12071" max="12071" width="27.85546875" style="668" customWidth="1"/>
    <col min="12072" max="12287" width="11.42578125" style="668"/>
    <col min="12288" max="12288" width="13.5703125" style="668" customWidth="1"/>
    <col min="12289" max="12289" width="19" style="668" customWidth="1"/>
    <col min="12290" max="12290" width="13.5703125" style="668" customWidth="1"/>
    <col min="12291" max="12291" width="19.7109375" style="668" customWidth="1"/>
    <col min="12292" max="12292" width="13.5703125" style="668" customWidth="1"/>
    <col min="12293" max="12294" width="14.7109375" style="668" customWidth="1"/>
    <col min="12295" max="12295" width="36.140625" style="668" customWidth="1"/>
    <col min="12296" max="12296" width="29.42578125" style="668" customWidth="1"/>
    <col min="12297" max="12297" width="16" style="668" customWidth="1"/>
    <col min="12298" max="12298" width="38.28515625" style="668" customWidth="1"/>
    <col min="12299" max="12299" width="12" style="668" customWidth="1"/>
    <col min="12300" max="12300" width="38.140625" style="668" customWidth="1"/>
    <col min="12301" max="12301" width="17.85546875" style="668" bestFit="1" customWidth="1"/>
    <col min="12302" max="12302" width="24.7109375" style="668" customWidth="1"/>
    <col min="12303" max="12303" width="36.42578125" style="668" customWidth="1"/>
    <col min="12304" max="12304" width="46.7109375" style="668" customWidth="1"/>
    <col min="12305" max="12305" width="43.7109375" style="668" customWidth="1"/>
    <col min="12306" max="12306" width="25.42578125" style="668" customWidth="1"/>
    <col min="12307" max="12307" width="12.42578125" style="668" customWidth="1"/>
    <col min="12308" max="12308" width="16.42578125" style="668" customWidth="1"/>
    <col min="12309" max="12309" width="13.42578125" style="668" customWidth="1"/>
    <col min="12310" max="12310" width="8.5703125" style="668" customWidth="1"/>
    <col min="12311" max="12314" width="11.42578125" style="668" customWidth="1"/>
    <col min="12315" max="12315" width="12.7109375" style="668" customWidth="1"/>
    <col min="12316" max="12316" width="11.85546875" style="668" customWidth="1"/>
    <col min="12317" max="12317" width="7.85546875" style="668" customWidth="1"/>
    <col min="12318" max="12318" width="7.5703125" style="668" customWidth="1"/>
    <col min="12319" max="12319" width="8.85546875" style="668" customWidth="1"/>
    <col min="12320" max="12320" width="8.140625" style="668" customWidth="1"/>
    <col min="12321" max="12321" width="7.85546875" style="668" customWidth="1"/>
    <col min="12322" max="12322" width="8.5703125" style="668" customWidth="1"/>
    <col min="12323" max="12323" width="8.28515625" style="668" customWidth="1"/>
    <col min="12324" max="12324" width="11.42578125" style="668" customWidth="1"/>
    <col min="12325" max="12325" width="18" style="668" customWidth="1"/>
    <col min="12326" max="12326" width="21.42578125" style="668" customWidth="1"/>
    <col min="12327" max="12327" width="27.85546875" style="668" customWidth="1"/>
    <col min="12328" max="12543" width="11.42578125" style="668"/>
    <col min="12544" max="12544" width="13.5703125" style="668" customWidth="1"/>
    <col min="12545" max="12545" width="19" style="668" customWidth="1"/>
    <col min="12546" max="12546" width="13.5703125" style="668" customWidth="1"/>
    <col min="12547" max="12547" width="19.7109375" style="668" customWidth="1"/>
    <col min="12548" max="12548" width="13.5703125" style="668" customWidth="1"/>
    <col min="12549" max="12550" width="14.7109375" style="668" customWidth="1"/>
    <col min="12551" max="12551" width="36.140625" style="668" customWidth="1"/>
    <col min="12552" max="12552" width="29.42578125" style="668" customWidth="1"/>
    <col min="12553" max="12553" width="16" style="668" customWidth="1"/>
    <col min="12554" max="12554" width="38.28515625" style="668" customWidth="1"/>
    <col min="12555" max="12555" width="12" style="668" customWidth="1"/>
    <col min="12556" max="12556" width="38.140625" style="668" customWidth="1"/>
    <col min="12557" max="12557" width="17.85546875" style="668" bestFit="1" customWidth="1"/>
    <col min="12558" max="12558" width="24.7109375" style="668" customWidth="1"/>
    <col min="12559" max="12559" width="36.42578125" style="668" customWidth="1"/>
    <col min="12560" max="12560" width="46.7109375" style="668" customWidth="1"/>
    <col min="12561" max="12561" width="43.7109375" style="668" customWidth="1"/>
    <col min="12562" max="12562" width="25.42578125" style="668" customWidth="1"/>
    <col min="12563" max="12563" width="12.42578125" style="668" customWidth="1"/>
    <col min="12564" max="12564" width="16.42578125" style="668" customWidth="1"/>
    <col min="12565" max="12565" width="13.42578125" style="668" customWidth="1"/>
    <col min="12566" max="12566" width="8.5703125" style="668" customWidth="1"/>
    <col min="12567" max="12570" width="11.42578125" style="668" customWidth="1"/>
    <col min="12571" max="12571" width="12.7109375" style="668" customWidth="1"/>
    <col min="12572" max="12572" width="11.85546875" style="668" customWidth="1"/>
    <col min="12573" max="12573" width="7.85546875" style="668" customWidth="1"/>
    <col min="12574" max="12574" width="7.5703125" style="668" customWidth="1"/>
    <col min="12575" max="12575" width="8.85546875" style="668" customWidth="1"/>
    <col min="12576" max="12576" width="8.140625" style="668" customWidth="1"/>
    <col min="12577" max="12577" width="7.85546875" style="668" customWidth="1"/>
    <col min="12578" max="12578" width="8.5703125" style="668" customWidth="1"/>
    <col min="12579" max="12579" width="8.28515625" style="668" customWidth="1"/>
    <col min="12580" max="12580" width="11.42578125" style="668" customWidth="1"/>
    <col min="12581" max="12581" width="18" style="668" customWidth="1"/>
    <col min="12582" max="12582" width="21.42578125" style="668" customWidth="1"/>
    <col min="12583" max="12583" width="27.85546875" style="668" customWidth="1"/>
    <col min="12584" max="12799" width="11.42578125" style="668"/>
    <col min="12800" max="12800" width="13.5703125" style="668" customWidth="1"/>
    <col min="12801" max="12801" width="19" style="668" customWidth="1"/>
    <col min="12802" max="12802" width="13.5703125" style="668" customWidth="1"/>
    <col min="12803" max="12803" width="19.7109375" style="668" customWidth="1"/>
    <col min="12804" max="12804" width="13.5703125" style="668" customWidth="1"/>
    <col min="12805" max="12806" width="14.7109375" style="668" customWidth="1"/>
    <col min="12807" max="12807" width="36.140625" style="668" customWidth="1"/>
    <col min="12808" max="12808" width="29.42578125" style="668" customWidth="1"/>
    <col min="12809" max="12809" width="16" style="668" customWidth="1"/>
    <col min="12810" max="12810" width="38.28515625" style="668" customWidth="1"/>
    <col min="12811" max="12811" width="12" style="668" customWidth="1"/>
    <col min="12812" max="12812" width="38.140625" style="668" customWidth="1"/>
    <col min="12813" max="12813" width="17.85546875" style="668" bestFit="1" customWidth="1"/>
    <col min="12814" max="12814" width="24.7109375" style="668" customWidth="1"/>
    <col min="12815" max="12815" width="36.42578125" style="668" customWidth="1"/>
    <col min="12816" max="12816" width="46.7109375" style="668" customWidth="1"/>
    <col min="12817" max="12817" width="43.7109375" style="668" customWidth="1"/>
    <col min="12818" max="12818" width="25.42578125" style="668" customWidth="1"/>
    <col min="12819" max="12819" width="12.42578125" style="668" customWidth="1"/>
    <col min="12820" max="12820" width="16.42578125" style="668" customWidth="1"/>
    <col min="12821" max="12821" width="13.42578125" style="668" customWidth="1"/>
    <col min="12822" max="12822" width="8.5703125" style="668" customWidth="1"/>
    <col min="12823" max="12826" width="11.42578125" style="668" customWidth="1"/>
    <col min="12827" max="12827" width="12.7109375" style="668" customWidth="1"/>
    <col min="12828" max="12828" width="11.85546875" style="668" customWidth="1"/>
    <col min="12829" max="12829" width="7.85546875" style="668" customWidth="1"/>
    <col min="12830" max="12830" width="7.5703125" style="668" customWidth="1"/>
    <col min="12831" max="12831" width="8.85546875" style="668" customWidth="1"/>
    <col min="12832" max="12832" width="8.140625" style="668" customWidth="1"/>
    <col min="12833" max="12833" width="7.85546875" style="668" customWidth="1"/>
    <col min="12834" max="12834" width="8.5703125" style="668" customWidth="1"/>
    <col min="12835" max="12835" width="8.28515625" style="668" customWidth="1"/>
    <col min="12836" max="12836" width="11.42578125" style="668" customWidth="1"/>
    <col min="12837" max="12837" width="18" style="668" customWidth="1"/>
    <col min="12838" max="12838" width="21.42578125" style="668" customWidth="1"/>
    <col min="12839" max="12839" width="27.85546875" style="668" customWidth="1"/>
    <col min="12840" max="13055" width="11.42578125" style="668"/>
    <col min="13056" max="13056" width="13.5703125" style="668" customWidth="1"/>
    <col min="13057" max="13057" width="19" style="668" customWidth="1"/>
    <col min="13058" max="13058" width="13.5703125" style="668" customWidth="1"/>
    <col min="13059" max="13059" width="19.7109375" style="668" customWidth="1"/>
    <col min="13060" max="13060" width="13.5703125" style="668" customWidth="1"/>
    <col min="13061" max="13062" width="14.7109375" style="668" customWidth="1"/>
    <col min="13063" max="13063" width="36.140625" style="668" customWidth="1"/>
    <col min="13064" max="13064" width="29.42578125" style="668" customWidth="1"/>
    <col min="13065" max="13065" width="16" style="668" customWidth="1"/>
    <col min="13066" max="13066" width="38.28515625" style="668" customWidth="1"/>
    <col min="13067" max="13067" width="12" style="668" customWidth="1"/>
    <col min="13068" max="13068" width="38.140625" style="668" customWidth="1"/>
    <col min="13069" max="13069" width="17.85546875" style="668" bestFit="1" customWidth="1"/>
    <col min="13070" max="13070" width="24.7109375" style="668" customWidth="1"/>
    <col min="13071" max="13071" width="36.42578125" style="668" customWidth="1"/>
    <col min="13072" max="13072" width="46.7109375" style="668" customWidth="1"/>
    <col min="13073" max="13073" width="43.7109375" style="668" customWidth="1"/>
    <col min="13074" max="13074" width="25.42578125" style="668" customWidth="1"/>
    <col min="13075" max="13075" width="12.42578125" style="668" customWidth="1"/>
    <col min="13076" max="13076" width="16.42578125" style="668" customWidth="1"/>
    <col min="13077" max="13077" width="13.42578125" style="668" customWidth="1"/>
    <col min="13078" max="13078" width="8.5703125" style="668" customWidth="1"/>
    <col min="13079" max="13082" width="11.42578125" style="668" customWidth="1"/>
    <col min="13083" max="13083" width="12.7109375" style="668" customWidth="1"/>
    <col min="13084" max="13084" width="11.85546875" style="668" customWidth="1"/>
    <col min="13085" max="13085" width="7.85546875" style="668" customWidth="1"/>
    <col min="13086" max="13086" width="7.5703125" style="668" customWidth="1"/>
    <col min="13087" max="13087" width="8.85546875" style="668" customWidth="1"/>
    <col min="13088" max="13088" width="8.140625" style="668" customWidth="1"/>
    <col min="13089" max="13089" width="7.85546875" style="668" customWidth="1"/>
    <col min="13090" max="13090" width="8.5703125" style="668" customWidth="1"/>
    <col min="13091" max="13091" width="8.28515625" style="668" customWidth="1"/>
    <col min="13092" max="13092" width="11.42578125" style="668" customWidth="1"/>
    <col min="13093" max="13093" width="18" style="668" customWidth="1"/>
    <col min="13094" max="13094" width="21.42578125" style="668" customWidth="1"/>
    <col min="13095" max="13095" width="27.85546875" style="668" customWidth="1"/>
    <col min="13096" max="13311" width="11.42578125" style="668"/>
    <col min="13312" max="13312" width="13.5703125" style="668" customWidth="1"/>
    <col min="13313" max="13313" width="19" style="668" customWidth="1"/>
    <col min="13314" max="13314" width="13.5703125" style="668" customWidth="1"/>
    <col min="13315" max="13315" width="19.7109375" style="668" customWidth="1"/>
    <col min="13316" max="13316" width="13.5703125" style="668" customWidth="1"/>
    <col min="13317" max="13318" width="14.7109375" style="668" customWidth="1"/>
    <col min="13319" max="13319" width="36.140625" style="668" customWidth="1"/>
    <col min="13320" max="13320" width="29.42578125" style="668" customWidth="1"/>
    <col min="13321" max="13321" width="16" style="668" customWidth="1"/>
    <col min="13322" max="13322" width="38.28515625" style="668" customWidth="1"/>
    <col min="13323" max="13323" width="12" style="668" customWidth="1"/>
    <col min="13324" max="13324" width="38.140625" style="668" customWidth="1"/>
    <col min="13325" max="13325" width="17.85546875" style="668" bestFit="1" customWidth="1"/>
    <col min="13326" max="13326" width="24.7109375" style="668" customWidth="1"/>
    <col min="13327" max="13327" width="36.42578125" style="668" customWidth="1"/>
    <col min="13328" max="13328" width="46.7109375" style="668" customWidth="1"/>
    <col min="13329" max="13329" width="43.7109375" style="668" customWidth="1"/>
    <col min="13330" max="13330" width="25.42578125" style="668" customWidth="1"/>
    <col min="13331" max="13331" width="12.42578125" style="668" customWidth="1"/>
    <col min="13332" max="13332" width="16.42578125" style="668" customWidth="1"/>
    <col min="13333" max="13333" width="13.42578125" style="668" customWidth="1"/>
    <col min="13334" max="13334" width="8.5703125" style="668" customWidth="1"/>
    <col min="13335" max="13338" width="11.42578125" style="668" customWidth="1"/>
    <col min="13339" max="13339" width="12.7109375" style="668" customWidth="1"/>
    <col min="13340" max="13340" width="11.85546875" style="668" customWidth="1"/>
    <col min="13341" max="13341" width="7.85546875" style="668" customWidth="1"/>
    <col min="13342" max="13342" width="7.5703125" style="668" customWidth="1"/>
    <col min="13343" max="13343" width="8.85546875" style="668" customWidth="1"/>
    <col min="13344" max="13344" width="8.140625" style="668" customWidth="1"/>
    <col min="13345" max="13345" width="7.85546875" style="668" customWidth="1"/>
    <col min="13346" max="13346" width="8.5703125" style="668" customWidth="1"/>
    <col min="13347" max="13347" width="8.28515625" style="668" customWidth="1"/>
    <col min="13348" max="13348" width="11.42578125" style="668" customWidth="1"/>
    <col min="13349" max="13349" width="18" style="668" customWidth="1"/>
    <col min="13350" max="13350" width="21.42578125" style="668" customWidth="1"/>
    <col min="13351" max="13351" width="27.85546875" style="668" customWidth="1"/>
    <col min="13352" max="13567" width="11.42578125" style="668"/>
    <col min="13568" max="13568" width="13.5703125" style="668" customWidth="1"/>
    <col min="13569" max="13569" width="19" style="668" customWidth="1"/>
    <col min="13570" max="13570" width="13.5703125" style="668" customWidth="1"/>
    <col min="13571" max="13571" width="19.7109375" style="668" customWidth="1"/>
    <col min="13572" max="13572" width="13.5703125" style="668" customWidth="1"/>
    <col min="13573" max="13574" width="14.7109375" style="668" customWidth="1"/>
    <col min="13575" max="13575" width="36.140625" style="668" customWidth="1"/>
    <col min="13576" max="13576" width="29.42578125" style="668" customWidth="1"/>
    <col min="13577" max="13577" width="16" style="668" customWidth="1"/>
    <col min="13578" max="13578" width="38.28515625" style="668" customWidth="1"/>
    <col min="13579" max="13579" width="12" style="668" customWidth="1"/>
    <col min="13580" max="13580" width="38.140625" style="668" customWidth="1"/>
    <col min="13581" max="13581" width="17.85546875" style="668" bestFit="1" customWidth="1"/>
    <col min="13582" max="13582" width="24.7109375" style="668" customWidth="1"/>
    <col min="13583" max="13583" width="36.42578125" style="668" customWidth="1"/>
    <col min="13584" max="13584" width="46.7109375" style="668" customWidth="1"/>
    <col min="13585" max="13585" width="43.7109375" style="668" customWidth="1"/>
    <col min="13586" max="13586" width="25.42578125" style="668" customWidth="1"/>
    <col min="13587" max="13587" width="12.42578125" style="668" customWidth="1"/>
    <col min="13588" max="13588" width="16.42578125" style="668" customWidth="1"/>
    <col min="13589" max="13589" width="13.42578125" style="668" customWidth="1"/>
    <col min="13590" max="13590" width="8.5703125" style="668" customWidth="1"/>
    <col min="13591" max="13594" width="11.42578125" style="668" customWidth="1"/>
    <col min="13595" max="13595" width="12.7109375" style="668" customWidth="1"/>
    <col min="13596" max="13596" width="11.85546875" style="668" customWidth="1"/>
    <col min="13597" max="13597" width="7.85546875" style="668" customWidth="1"/>
    <col min="13598" max="13598" width="7.5703125" style="668" customWidth="1"/>
    <col min="13599" max="13599" width="8.85546875" style="668" customWidth="1"/>
    <col min="13600" max="13600" width="8.140625" style="668" customWidth="1"/>
    <col min="13601" max="13601" width="7.85546875" style="668" customWidth="1"/>
    <col min="13602" max="13602" width="8.5703125" style="668" customWidth="1"/>
    <col min="13603" max="13603" width="8.28515625" style="668" customWidth="1"/>
    <col min="13604" max="13604" width="11.42578125" style="668" customWidth="1"/>
    <col min="13605" max="13605" width="18" style="668" customWidth="1"/>
    <col min="13606" max="13606" width="21.42578125" style="668" customWidth="1"/>
    <col min="13607" max="13607" width="27.85546875" style="668" customWidth="1"/>
    <col min="13608" max="13823" width="11.42578125" style="668"/>
    <col min="13824" max="13824" width="13.5703125" style="668" customWidth="1"/>
    <col min="13825" max="13825" width="19" style="668" customWidth="1"/>
    <col min="13826" max="13826" width="13.5703125" style="668" customWidth="1"/>
    <col min="13827" max="13827" width="19.7109375" style="668" customWidth="1"/>
    <col min="13828" max="13828" width="13.5703125" style="668" customWidth="1"/>
    <col min="13829" max="13830" width="14.7109375" style="668" customWidth="1"/>
    <col min="13831" max="13831" width="36.140625" style="668" customWidth="1"/>
    <col min="13832" max="13832" width="29.42578125" style="668" customWidth="1"/>
    <col min="13833" max="13833" width="16" style="668" customWidth="1"/>
    <col min="13834" max="13834" width="38.28515625" style="668" customWidth="1"/>
    <col min="13835" max="13835" width="12" style="668" customWidth="1"/>
    <col min="13836" max="13836" width="38.140625" style="668" customWidth="1"/>
    <col min="13837" max="13837" width="17.85546875" style="668" bestFit="1" customWidth="1"/>
    <col min="13838" max="13838" width="24.7109375" style="668" customWidth="1"/>
    <col min="13839" max="13839" width="36.42578125" style="668" customWidth="1"/>
    <col min="13840" max="13840" width="46.7109375" style="668" customWidth="1"/>
    <col min="13841" max="13841" width="43.7109375" style="668" customWidth="1"/>
    <col min="13842" max="13842" width="25.42578125" style="668" customWidth="1"/>
    <col min="13843" max="13843" width="12.42578125" style="668" customWidth="1"/>
    <col min="13844" max="13844" width="16.42578125" style="668" customWidth="1"/>
    <col min="13845" max="13845" width="13.42578125" style="668" customWidth="1"/>
    <col min="13846" max="13846" width="8.5703125" style="668" customWidth="1"/>
    <col min="13847" max="13850" width="11.42578125" style="668" customWidth="1"/>
    <col min="13851" max="13851" width="12.7109375" style="668" customWidth="1"/>
    <col min="13852" max="13852" width="11.85546875" style="668" customWidth="1"/>
    <col min="13853" max="13853" width="7.85546875" style="668" customWidth="1"/>
    <col min="13854" max="13854" width="7.5703125" style="668" customWidth="1"/>
    <col min="13855" max="13855" width="8.85546875" style="668" customWidth="1"/>
    <col min="13856" max="13856" width="8.140625" style="668" customWidth="1"/>
    <col min="13857" max="13857" width="7.85546875" style="668" customWidth="1"/>
    <col min="13858" max="13858" width="8.5703125" style="668" customWidth="1"/>
    <col min="13859" max="13859" width="8.28515625" style="668" customWidth="1"/>
    <col min="13860" max="13860" width="11.42578125" style="668" customWidth="1"/>
    <col min="13861" max="13861" width="18" style="668" customWidth="1"/>
    <col min="13862" max="13862" width="21.42578125" style="668" customWidth="1"/>
    <col min="13863" max="13863" width="27.85546875" style="668" customWidth="1"/>
    <col min="13864" max="14079" width="11.42578125" style="668"/>
    <col min="14080" max="14080" width="13.5703125" style="668" customWidth="1"/>
    <col min="14081" max="14081" width="19" style="668" customWidth="1"/>
    <col min="14082" max="14082" width="13.5703125" style="668" customWidth="1"/>
    <col min="14083" max="14083" width="19.7109375" style="668" customWidth="1"/>
    <col min="14084" max="14084" width="13.5703125" style="668" customWidth="1"/>
    <col min="14085" max="14086" width="14.7109375" style="668" customWidth="1"/>
    <col min="14087" max="14087" width="36.140625" style="668" customWidth="1"/>
    <col min="14088" max="14088" width="29.42578125" style="668" customWidth="1"/>
    <col min="14089" max="14089" width="16" style="668" customWidth="1"/>
    <col min="14090" max="14090" width="38.28515625" style="668" customWidth="1"/>
    <col min="14091" max="14091" width="12" style="668" customWidth="1"/>
    <col min="14092" max="14092" width="38.140625" style="668" customWidth="1"/>
    <col min="14093" max="14093" width="17.85546875" style="668" bestFit="1" customWidth="1"/>
    <col min="14094" max="14094" width="24.7109375" style="668" customWidth="1"/>
    <col min="14095" max="14095" width="36.42578125" style="668" customWidth="1"/>
    <col min="14096" max="14096" width="46.7109375" style="668" customWidth="1"/>
    <col min="14097" max="14097" width="43.7109375" style="668" customWidth="1"/>
    <col min="14098" max="14098" width="25.42578125" style="668" customWidth="1"/>
    <col min="14099" max="14099" width="12.42578125" style="668" customWidth="1"/>
    <col min="14100" max="14100" width="16.42578125" style="668" customWidth="1"/>
    <col min="14101" max="14101" width="13.42578125" style="668" customWidth="1"/>
    <col min="14102" max="14102" width="8.5703125" style="668" customWidth="1"/>
    <col min="14103" max="14106" width="11.42578125" style="668" customWidth="1"/>
    <col min="14107" max="14107" width="12.7109375" style="668" customWidth="1"/>
    <col min="14108" max="14108" width="11.85546875" style="668" customWidth="1"/>
    <col min="14109" max="14109" width="7.85546875" style="668" customWidth="1"/>
    <col min="14110" max="14110" width="7.5703125" style="668" customWidth="1"/>
    <col min="14111" max="14111" width="8.85546875" style="668" customWidth="1"/>
    <col min="14112" max="14112" width="8.140625" style="668" customWidth="1"/>
    <col min="14113" max="14113" width="7.85546875" style="668" customWidth="1"/>
    <col min="14114" max="14114" width="8.5703125" style="668" customWidth="1"/>
    <col min="14115" max="14115" width="8.28515625" style="668" customWidth="1"/>
    <col min="14116" max="14116" width="11.42578125" style="668" customWidth="1"/>
    <col min="14117" max="14117" width="18" style="668" customWidth="1"/>
    <col min="14118" max="14118" width="21.42578125" style="668" customWidth="1"/>
    <col min="14119" max="14119" width="27.85546875" style="668" customWidth="1"/>
    <col min="14120" max="14335" width="11.42578125" style="668"/>
    <col min="14336" max="14336" width="13.5703125" style="668" customWidth="1"/>
    <col min="14337" max="14337" width="19" style="668" customWidth="1"/>
    <col min="14338" max="14338" width="13.5703125" style="668" customWidth="1"/>
    <col min="14339" max="14339" width="19.7109375" style="668" customWidth="1"/>
    <col min="14340" max="14340" width="13.5703125" style="668" customWidth="1"/>
    <col min="14341" max="14342" width="14.7109375" style="668" customWidth="1"/>
    <col min="14343" max="14343" width="36.140625" style="668" customWidth="1"/>
    <col min="14344" max="14344" width="29.42578125" style="668" customWidth="1"/>
    <col min="14345" max="14345" width="16" style="668" customWidth="1"/>
    <col min="14346" max="14346" width="38.28515625" style="668" customWidth="1"/>
    <col min="14347" max="14347" width="12" style="668" customWidth="1"/>
    <col min="14348" max="14348" width="38.140625" style="668" customWidth="1"/>
    <col min="14349" max="14349" width="17.85546875" style="668" bestFit="1" customWidth="1"/>
    <col min="14350" max="14350" width="24.7109375" style="668" customWidth="1"/>
    <col min="14351" max="14351" width="36.42578125" style="668" customWidth="1"/>
    <col min="14352" max="14352" width="46.7109375" style="668" customWidth="1"/>
    <col min="14353" max="14353" width="43.7109375" style="668" customWidth="1"/>
    <col min="14354" max="14354" width="25.42578125" style="668" customWidth="1"/>
    <col min="14355" max="14355" width="12.42578125" style="668" customWidth="1"/>
    <col min="14356" max="14356" width="16.42578125" style="668" customWidth="1"/>
    <col min="14357" max="14357" width="13.42578125" style="668" customWidth="1"/>
    <col min="14358" max="14358" width="8.5703125" style="668" customWidth="1"/>
    <col min="14359" max="14362" width="11.42578125" style="668" customWidth="1"/>
    <col min="14363" max="14363" width="12.7109375" style="668" customWidth="1"/>
    <col min="14364" max="14364" width="11.85546875" style="668" customWidth="1"/>
    <col min="14365" max="14365" width="7.85546875" style="668" customWidth="1"/>
    <col min="14366" max="14366" width="7.5703125" style="668" customWidth="1"/>
    <col min="14367" max="14367" width="8.85546875" style="668" customWidth="1"/>
    <col min="14368" max="14368" width="8.140625" style="668" customWidth="1"/>
    <col min="14369" max="14369" width="7.85546875" style="668" customWidth="1"/>
    <col min="14370" max="14370" width="8.5703125" style="668" customWidth="1"/>
    <col min="14371" max="14371" width="8.28515625" style="668" customWidth="1"/>
    <col min="14372" max="14372" width="11.42578125" style="668" customWidth="1"/>
    <col min="14373" max="14373" width="18" style="668" customWidth="1"/>
    <col min="14374" max="14374" width="21.42578125" style="668" customWidth="1"/>
    <col min="14375" max="14375" width="27.85546875" style="668" customWidth="1"/>
    <col min="14376" max="14591" width="11.42578125" style="668"/>
    <col min="14592" max="14592" width="13.5703125" style="668" customWidth="1"/>
    <col min="14593" max="14593" width="19" style="668" customWidth="1"/>
    <col min="14594" max="14594" width="13.5703125" style="668" customWidth="1"/>
    <col min="14595" max="14595" width="19.7109375" style="668" customWidth="1"/>
    <col min="14596" max="14596" width="13.5703125" style="668" customWidth="1"/>
    <col min="14597" max="14598" width="14.7109375" style="668" customWidth="1"/>
    <col min="14599" max="14599" width="36.140625" style="668" customWidth="1"/>
    <col min="14600" max="14600" width="29.42578125" style="668" customWidth="1"/>
    <col min="14601" max="14601" width="16" style="668" customWidth="1"/>
    <col min="14602" max="14602" width="38.28515625" style="668" customWidth="1"/>
    <col min="14603" max="14603" width="12" style="668" customWidth="1"/>
    <col min="14604" max="14604" width="38.140625" style="668" customWidth="1"/>
    <col min="14605" max="14605" width="17.85546875" style="668" bestFit="1" customWidth="1"/>
    <col min="14606" max="14606" width="24.7109375" style="668" customWidth="1"/>
    <col min="14607" max="14607" width="36.42578125" style="668" customWidth="1"/>
    <col min="14608" max="14608" width="46.7109375" style="668" customWidth="1"/>
    <col min="14609" max="14609" width="43.7109375" style="668" customWidth="1"/>
    <col min="14610" max="14610" width="25.42578125" style="668" customWidth="1"/>
    <col min="14611" max="14611" width="12.42578125" style="668" customWidth="1"/>
    <col min="14612" max="14612" width="16.42578125" style="668" customWidth="1"/>
    <col min="14613" max="14613" width="13.42578125" style="668" customWidth="1"/>
    <col min="14614" max="14614" width="8.5703125" style="668" customWidth="1"/>
    <col min="14615" max="14618" width="11.42578125" style="668" customWidth="1"/>
    <col min="14619" max="14619" width="12.7109375" style="668" customWidth="1"/>
    <col min="14620" max="14620" width="11.85546875" style="668" customWidth="1"/>
    <col min="14621" max="14621" width="7.85546875" style="668" customWidth="1"/>
    <col min="14622" max="14622" width="7.5703125" style="668" customWidth="1"/>
    <col min="14623" max="14623" width="8.85546875" style="668" customWidth="1"/>
    <col min="14624" max="14624" width="8.140625" style="668" customWidth="1"/>
    <col min="14625" max="14625" width="7.85546875" style="668" customWidth="1"/>
    <col min="14626" max="14626" width="8.5703125" style="668" customWidth="1"/>
    <col min="14627" max="14627" width="8.28515625" style="668" customWidth="1"/>
    <col min="14628" max="14628" width="11.42578125" style="668" customWidth="1"/>
    <col min="14629" max="14629" width="18" style="668" customWidth="1"/>
    <col min="14630" max="14630" width="21.42578125" style="668" customWidth="1"/>
    <col min="14631" max="14631" width="27.85546875" style="668" customWidth="1"/>
    <col min="14632" max="14847" width="11.42578125" style="668"/>
    <col min="14848" max="14848" width="13.5703125" style="668" customWidth="1"/>
    <col min="14849" max="14849" width="19" style="668" customWidth="1"/>
    <col min="14850" max="14850" width="13.5703125" style="668" customWidth="1"/>
    <col min="14851" max="14851" width="19.7109375" style="668" customWidth="1"/>
    <col min="14852" max="14852" width="13.5703125" style="668" customWidth="1"/>
    <col min="14853" max="14854" width="14.7109375" style="668" customWidth="1"/>
    <col min="14855" max="14855" width="36.140625" style="668" customWidth="1"/>
    <col min="14856" max="14856" width="29.42578125" style="668" customWidth="1"/>
    <col min="14857" max="14857" width="16" style="668" customWidth="1"/>
    <col min="14858" max="14858" width="38.28515625" style="668" customWidth="1"/>
    <col min="14859" max="14859" width="12" style="668" customWidth="1"/>
    <col min="14860" max="14860" width="38.140625" style="668" customWidth="1"/>
    <col min="14861" max="14861" width="17.85546875" style="668" bestFit="1" customWidth="1"/>
    <col min="14862" max="14862" width="24.7109375" style="668" customWidth="1"/>
    <col min="14863" max="14863" width="36.42578125" style="668" customWidth="1"/>
    <col min="14864" max="14864" width="46.7109375" style="668" customWidth="1"/>
    <col min="14865" max="14865" width="43.7109375" style="668" customWidth="1"/>
    <col min="14866" max="14866" width="25.42578125" style="668" customWidth="1"/>
    <col min="14867" max="14867" width="12.42578125" style="668" customWidth="1"/>
    <col min="14868" max="14868" width="16.42578125" style="668" customWidth="1"/>
    <col min="14869" max="14869" width="13.42578125" style="668" customWidth="1"/>
    <col min="14870" max="14870" width="8.5703125" style="668" customWidth="1"/>
    <col min="14871" max="14874" width="11.42578125" style="668" customWidth="1"/>
    <col min="14875" max="14875" width="12.7109375" style="668" customWidth="1"/>
    <col min="14876" max="14876" width="11.85546875" style="668" customWidth="1"/>
    <col min="14877" max="14877" width="7.85546875" style="668" customWidth="1"/>
    <col min="14878" max="14878" width="7.5703125" style="668" customWidth="1"/>
    <col min="14879" max="14879" width="8.85546875" style="668" customWidth="1"/>
    <col min="14880" max="14880" width="8.140625" style="668" customWidth="1"/>
    <col min="14881" max="14881" width="7.85546875" style="668" customWidth="1"/>
    <col min="14882" max="14882" width="8.5703125" style="668" customWidth="1"/>
    <col min="14883" max="14883" width="8.28515625" style="668" customWidth="1"/>
    <col min="14884" max="14884" width="11.42578125" style="668" customWidth="1"/>
    <col min="14885" max="14885" width="18" style="668" customWidth="1"/>
    <col min="14886" max="14886" width="21.42578125" style="668" customWidth="1"/>
    <col min="14887" max="14887" width="27.85546875" style="668" customWidth="1"/>
    <col min="14888" max="15103" width="11.42578125" style="668"/>
    <col min="15104" max="15104" width="13.5703125" style="668" customWidth="1"/>
    <col min="15105" max="15105" width="19" style="668" customWidth="1"/>
    <col min="15106" max="15106" width="13.5703125" style="668" customWidth="1"/>
    <col min="15107" max="15107" width="19.7109375" style="668" customWidth="1"/>
    <col min="15108" max="15108" width="13.5703125" style="668" customWidth="1"/>
    <col min="15109" max="15110" width="14.7109375" style="668" customWidth="1"/>
    <col min="15111" max="15111" width="36.140625" style="668" customWidth="1"/>
    <col min="15112" max="15112" width="29.42578125" style="668" customWidth="1"/>
    <col min="15113" max="15113" width="16" style="668" customWidth="1"/>
    <col min="15114" max="15114" width="38.28515625" style="668" customWidth="1"/>
    <col min="15115" max="15115" width="12" style="668" customWidth="1"/>
    <col min="15116" max="15116" width="38.140625" style="668" customWidth="1"/>
    <col min="15117" max="15117" width="17.85546875" style="668" bestFit="1" customWidth="1"/>
    <col min="15118" max="15118" width="24.7109375" style="668" customWidth="1"/>
    <col min="15119" max="15119" width="36.42578125" style="668" customWidth="1"/>
    <col min="15120" max="15120" width="46.7109375" style="668" customWidth="1"/>
    <col min="15121" max="15121" width="43.7109375" style="668" customWidth="1"/>
    <col min="15122" max="15122" width="25.42578125" style="668" customWidth="1"/>
    <col min="15123" max="15123" width="12.42578125" style="668" customWidth="1"/>
    <col min="15124" max="15124" width="16.42578125" style="668" customWidth="1"/>
    <col min="15125" max="15125" width="13.42578125" style="668" customWidth="1"/>
    <col min="15126" max="15126" width="8.5703125" style="668" customWidth="1"/>
    <col min="15127" max="15130" width="11.42578125" style="668" customWidth="1"/>
    <col min="15131" max="15131" width="12.7109375" style="668" customWidth="1"/>
    <col min="15132" max="15132" width="11.85546875" style="668" customWidth="1"/>
    <col min="15133" max="15133" width="7.85546875" style="668" customWidth="1"/>
    <col min="15134" max="15134" width="7.5703125" style="668" customWidth="1"/>
    <col min="15135" max="15135" width="8.85546875" style="668" customWidth="1"/>
    <col min="15136" max="15136" width="8.140625" style="668" customWidth="1"/>
    <col min="15137" max="15137" width="7.85546875" style="668" customWidth="1"/>
    <col min="15138" max="15138" width="8.5703125" style="668" customWidth="1"/>
    <col min="15139" max="15139" width="8.28515625" style="668" customWidth="1"/>
    <col min="15140" max="15140" width="11.42578125" style="668" customWidth="1"/>
    <col min="15141" max="15141" width="18" style="668" customWidth="1"/>
    <col min="15142" max="15142" width="21.42578125" style="668" customWidth="1"/>
    <col min="15143" max="15143" width="27.85546875" style="668" customWidth="1"/>
    <col min="15144" max="15359" width="11.42578125" style="668"/>
    <col min="15360" max="15360" width="13.5703125" style="668" customWidth="1"/>
    <col min="15361" max="15361" width="19" style="668" customWidth="1"/>
    <col min="15362" max="15362" width="13.5703125" style="668" customWidth="1"/>
    <col min="15363" max="15363" width="19.7109375" style="668" customWidth="1"/>
    <col min="15364" max="15364" width="13.5703125" style="668" customWidth="1"/>
    <col min="15365" max="15366" width="14.7109375" style="668" customWidth="1"/>
    <col min="15367" max="15367" width="36.140625" style="668" customWidth="1"/>
    <col min="15368" max="15368" width="29.42578125" style="668" customWidth="1"/>
    <col min="15369" max="15369" width="16" style="668" customWidth="1"/>
    <col min="15370" max="15370" width="38.28515625" style="668" customWidth="1"/>
    <col min="15371" max="15371" width="12" style="668" customWidth="1"/>
    <col min="15372" max="15372" width="38.140625" style="668" customWidth="1"/>
    <col min="15373" max="15373" width="17.85546875" style="668" bestFit="1" customWidth="1"/>
    <col min="15374" max="15374" width="24.7109375" style="668" customWidth="1"/>
    <col min="15375" max="15375" width="36.42578125" style="668" customWidth="1"/>
    <col min="15376" max="15376" width="46.7109375" style="668" customWidth="1"/>
    <col min="15377" max="15377" width="43.7109375" style="668" customWidth="1"/>
    <col min="15378" max="15378" width="25.42578125" style="668" customWidth="1"/>
    <col min="15379" max="15379" width="12.42578125" style="668" customWidth="1"/>
    <col min="15380" max="15380" width="16.42578125" style="668" customWidth="1"/>
    <col min="15381" max="15381" width="13.42578125" style="668" customWidth="1"/>
    <col min="15382" max="15382" width="8.5703125" style="668" customWidth="1"/>
    <col min="15383" max="15386" width="11.42578125" style="668" customWidth="1"/>
    <col min="15387" max="15387" width="12.7109375" style="668" customWidth="1"/>
    <col min="15388" max="15388" width="11.85546875" style="668" customWidth="1"/>
    <col min="15389" max="15389" width="7.85546875" style="668" customWidth="1"/>
    <col min="15390" max="15390" width="7.5703125" style="668" customWidth="1"/>
    <col min="15391" max="15391" width="8.85546875" style="668" customWidth="1"/>
    <col min="15392" max="15392" width="8.140625" style="668" customWidth="1"/>
    <col min="15393" max="15393" width="7.85546875" style="668" customWidth="1"/>
    <col min="15394" max="15394" width="8.5703125" style="668" customWidth="1"/>
    <col min="15395" max="15395" width="8.28515625" style="668" customWidth="1"/>
    <col min="15396" max="15396" width="11.42578125" style="668" customWidth="1"/>
    <col min="15397" max="15397" width="18" style="668" customWidth="1"/>
    <col min="15398" max="15398" width="21.42578125" style="668" customWidth="1"/>
    <col min="15399" max="15399" width="27.85546875" style="668" customWidth="1"/>
    <col min="15400" max="15615" width="11.42578125" style="668"/>
    <col min="15616" max="15616" width="13.5703125" style="668" customWidth="1"/>
    <col min="15617" max="15617" width="19" style="668" customWidth="1"/>
    <col min="15618" max="15618" width="13.5703125" style="668" customWidth="1"/>
    <col min="15619" max="15619" width="19.7109375" style="668" customWidth="1"/>
    <col min="15620" max="15620" width="13.5703125" style="668" customWidth="1"/>
    <col min="15621" max="15622" width="14.7109375" style="668" customWidth="1"/>
    <col min="15623" max="15623" width="36.140625" style="668" customWidth="1"/>
    <col min="15624" max="15624" width="29.42578125" style="668" customWidth="1"/>
    <col min="15625" max="15625" width="16" style="668" customWidth="1"/>
    <col min="15626" max="15626" width="38.28515625" style="668" customWidth="1"/>
    <col min="15627" max="15627" width="12" style="668" customWidth="1"/>
    <col min="15628" max="15628" width="38.140625" style="668" customWidth="1"/>
    <col min="15629" max="15629" width="17.85546875" style="668" bestFit="1" customWidth="1"/>
    <col min="15630" max="15630" width="24.7109375" style="668" customWidth="1"/>
    <col min="15631" max="15631" width="36.42578125" style="668" customWidth="1"/>
    <col min="15632" max="15632" width="46.7109375" style="668" customWidth="1"/>
    <col min="15633" max="15633" width="43.7109375" style="668" customWidth="1"/>
    <col min="15634" max="15634" width="25.42578125" style="668" customWidth="1"/>
    <col min="15635" max="15635" width="12.42578125" style="668" customWidth="1"/>
    <col min="15636" max="15636" width="16.42578125" style="668" customWidth="1"/>
    <col min="15637" max="15637" width="13.42578125" style="668" customWidth="1"/>
    <col min="15638" max="15638" width="8.5703125" style="668" customWidth="1"/>
    <col min="15639" max="15642" width="11.42578125" style="668" customWidth="1"/>
    <col min="15643" max="15643" width="12.7109375" style="668" customWidth="1"/>
    <col min="15644" max="15644" width="11.85546875" style="668" customWidth="1"/>
    <col min="15645" max="15645" width="7.85546875" style="668" customWidth="1"/>
    <col min="15646" max="15646" width="7.5703125" style="668" customWidth="1"/>
    <col min="15647" max="15647" width="8.85546875" style="668" customWidth="1"/>
    <col min="15648" max="15648" width="8.140625" style="668" customWidth="1"/>
    <col min="15649" max="15649" width="7.85546875" style="668" customWidth="1"/>
    <col min="15650" max="15650" width="8.5703125" style="668" customWidth="1"/>
    <col min="15651" max="15651" width="8.28515625" style="668" customWidth="1"/>
    <col min="15652" max="15652" width="11.42578125" style="668" customWidth="1"/>
    <col min="15653" max="15653" width="18" style="668" customWidth="1"/>
    <col min="15654" max="15654" width="21.42578125" style="668" customWidth="1"/>
    <col min="15655" max="15655" width="27.85546875" style="668" customWidth="1"/>
    <col min="15656" max="15871" width="11.42578125" style="668"/>
    <col min="15872" max="15872" width="13.5703125" style="668" customWidth="1"/>
    <col min="15873" max="15873" width="19" style="668" customWidth="1"/>
    <col min="15874" max="15874" width="13.5703125" style="668" customWidth="1"/>
    <col min="15875" max="15875" width="19.7109375" style="668" customWidth="1"/>
    <col min="15876" max="15876" width="13.5703125" style="668" customWidth="1"/>
    <col min="15877" max="15878" width="14.7109375" style="668" customWidth="1"/>
    <col min="15879" max="15879" width="36.140625" style="668" customWidth="1"/>
    <col min="15880" max="15880" width="29.42578125" style="668" customWidth="1"/>
    <col min="15881" max="15881" width="16" style="668" customWidth="1"/>
    <col min="15882" max="15882" width="38.28515625" style="668" customWidth="1"/>
    <col min="15883" max="15883" width="12" style="668" customWidth="1"/>
    <col min="15884" max="15884" width="38.140625" style="668" customWidth="1"/>
    <col min="15885" max="15885" width="17.85546875" style="668" bestFit="1" customWidth="1"/>
    <col min="15886" max="15886" width="24.7109375" style="668" customWidth="1"/>
    <col min="15887" max="15887" width="36.42578125" style="668" customWidth="1"/>
    <col min="15888" max="15888" width="46.7109375" style="668" customWidth="1"/>
    <col min="15889" max="15889" width="43.7109375" style="668" customWidth="1"/>
    <col min="15890" max="15890" width="25.42578125" style="668" customWidth="1"/>
    <col min="15891" max="15891" width="12.42578125" style="668" customWidth="1"/>
    <col min="15892" max="15892" width="16.42578125" style="668" customWidth="1"/>
    <col min="15893" max="15893" width="13.42578125" style="668" customWidth="1"/>
    <col min="15894" max="15894" width="8.5703125" style="668" customWidth="1"/>
    <col min="15895" max="15898" width="11.42578125" style="668" customWidth="1"/>
    <col min="15899" max="15899" width="12.7109375" style="668" customWidth="1"/>
    <col min="15900" max="15900" width="11.85546875" style="668" customWidth="1"/>
    <col min="15901" max="15901" width="7.85546875" style="668" customWidth="1"/>
    <col min="15902" max="15902" width="7.5703125" style="668" customWidth="1"/>
    <col min="15903" max="15903" width="8.85546875" style="668" customWidth="1"/>
    <col min="15904" max="15904" width="8.140625" style="668" customWidth="1"/>
    <col min="15905" max="15905" width="7.85546875" style="668" customWidth="1"/>
    <col min="15906" max="15906" width="8.5703125" style="668" customWidth="1"/>
    <col min="15907" max="15907" width="8.28515625" style="668" customWidth="1"/>
    <col min="15908" max="15908" width="11.42578125" style="668" customWidth="1"/>
    <col min="15909" max="15909" width="18" style="668" customWidth="1"/>
    <col min="15910" max="15910" width="21.42578125" style="668" customWidth="1"/>
    <col min="15911" max="15911" width="27.85546875" style="668" customWidth="1"/>
    <col min="15912" max="16127" width="11.42578125" style="668"/>
    <col min="16128" max="16128" width="13.5703125" style="668" customWidth="1"/>
    <col min="16129" max="16129" width="19" style="668" customWidth="1"/>
    <col min="16130" max="16130" width="13.5703125" style="668" customWidth="1"/>
    <col min="16131" max="16131" width="19.7109375" style="668" customWidth="1"/>
    <col min="16132" max="16132" width="13.5703125" style="668" customWidth="1"/>
    <col min="16133" max="16134" width="14.7109375" style="668" customWidth="1"/>
    <col min="16135" max="16135" width="36.140625" style="668" customWidth="1"/>
    <col min="16136" max="16136" width="29.42578125" style="668" customWidth="1"/>
    <col min="16137" max="16137" width="16" style="668" customWidth="1"/>
    <col min="16138" max="16138" width="38.28515625" style="668" customWidth="1"/>
    <col min="16139" max="16139" width="12" style="668" customWidth="1"/>
    <col min="16140" max="16140" width="38.140625" style="668" customWidth="1"/>
    <col min="16141" max="16141" width="17.85546875" style="668" bestFit="1" customWidth="1"/>
    <col min="16142" max="16142" width="24.7109375" style="668" customWidth="1"/>
    <col min="16143" max="16143" width="36.42578125" style="668" customWidth="1"/>
    <col min="16144" max="16144" width="46.7109375" style="668" customWidth="1"/>
    <col min="16145" max="16145" width="43.7109375" style="668" customWidth="1"/>
    <col min="16146" max="16146" width="25.42578125" style="668" customWidth="1"/>
    <col min="16147" max="16147" width="12.42578125" style="668" customWidth="1"/>
    <col min="16148" max="16148" width="16.42578125" style="668" customWidth="1"/>
    <col min="16149" max="16149" width="13.42578125" style="668" customWidth="1"/>
    <col min="16150" max="16150" width="8.5703125" style="668" customWidth="1"/>
    <col min="16151" max="16154" width="11.42578125" style="668" customWidth="1"/>
    <col min="16155" max="16155" width="12.7109375" style="668" customWidth="1"/>
    <col min="16156" max="16156" width="11.85546875" style="668" customWidth="1"/>
    <col min="16157" max="16157" width="7.85546875" style="668" customWidth="1"/>
    <col min="16158" max="16158" width="7.5703125" style="668" customWidth="1"/>
    <col min="16159" max="16159" width="8.85546875" style="668" customWidth="1"/>
    <col min="16160" max="16160" width="8.140625" style="668" customWidth="1"/>
    <col min="16161" max="16161" width="7.85546875" style="668" customWidth="1"/>
    <col min="16162" max="16162" width="8.5703125" style="668" customWidth="1"/>
    <col min="16163" max="16163" width="8.28515625" style="668" customWidth="1"/>
    <col min="16164" max="16164" width="11.42578125" style="668" customWidth="1"/>
    <col min="16165" max="16165" width="18" style="668" customWidth="1"/>
    <col min="16166" max="16166" width="21.42578125" style="668" customWidth="1"/>
    <col min="16167" max="16167" width="27.85546875" style="668" customWidth="1"/>
    <col min="16168" max="16384" width="11.42578125" style="668"/>
  </cols>
  <sheetData>
    <row r="1" spans="1:40" s="597" customFormat="1" ht="15" customHeight="1" x14ac:dyDescent="0.25">
      <c r="A1" s="2852" t="s">
        <v>881</v>
      </c>
      <c r="B1" s="2853"/>
      <c r="C1" s="2853"/>
      <c r="D1" s="2853"/>
      <c r="E1" s="2853"/>
      <c r="F1" s="2853"/>
      <c r="G1" s="2853"/>
      <c r="H1" s="2853"/>
      <c r="I1" s="2853"/>
      <c r="J1" s="2853"/>
      <c r="K1" s="2853"/>
      <c r="L1" s="2853"/>
      <c r="M1" s="2853"/>
      <c r="N1" s="2853"/>
      <c r="O1" s="2853"/>
      <c r="P1" s="2853"/>
      <c r="Q1" s="2853"/>
      <c r="R1" s="2853"/>
      <c r="S1" s="2853"/>
      <c r="T1" s="2853"/>
      <c r="U1" s="2853"/>
      <c r="V1" s="2853"/>
      <c r="W1" s="2853"/>
      <c r="X1" s="2853"/>
      <c r="Y1" s="2853"/>
      <c r="Z1" s="2853"/>
      <c r="AA1" s="2853"/>
      <c r="AB1" s="2853"/>
      <c r="AC1" s="2853"/>
      <c r="AD1" s="2853"/>
      <c r="AE1" s="2853"/>
      <c r="AF1" s="2853"/>
      <c r="AG1" s="2853"/>
      <c r="AH1" s="2853"/>
      <c r="AI1" s="2853"/>
      <c r="AJ1" s="2853"/>
      <c r="AK1" s="2853"/>
      <c r="AL1" s="3316"/>
      <c r="AM1" s="1070" t="s">
        <v>1</v>
      </c>
      <c r="AN1" s="1071" t="s">
        <v>2</v>
      </c>
    </row>
    <row r="2" spans="1:40" s="597" customFormat="1" ht="20.25" customHeight="1" x14ac:dyDescent="0.25">
      <c r="A2" s="2854"/>
      <c r="B2" s="4083"/>
      <c r="C2" s="4083"/>
      <c r="D2" s="4083"/>
      <c r="E2" s="4083"/>
      <c r="F2" s="4083"/>
      <c r="G2" s="4083"/>
      <c r="H2" s="4083"/>
      <c r="I2" s="4083"/>
      <c r="J2" s="4083"/>
      <c r="K2" s="4083"/>
      <c r="L2" s="4083"/>
      <c r="M2" s="4083"/>
      <c r="N2" s="4083"/>
      <c r="O2" s="4083"/>
      <c r="P2" s="4083"/>
      <c r="Q2" s="4083"/>
      <c r="R2" s="4083"/>
      <c r="S2" s="4083"/>
      <c r="T2" s="4083"/>
      <c r="U2" s="4083"/>
      <c r="V2" s="4083"/>
      <c r="W2" s="4083"/>
      <c r="X2" s="4083"/>
      <c r="Y2" s="4083"/>
      <c r="Z2" s="4083"/>
      <c r="AA2" s="4083"/>
      <c r="AB2" s="4083"/>
      <c r="AC2" s="4083"/>
      <c r="AD2" s="4083"/>
      <c r="AE2" s="4083"/>
      <c r="AF2" s="4083"/>
      <c r="AG2" s="4083"/>
      <c r="AH2" s="4083"/>
      <c r="AI2" s="4083"/>
      <c r="AJ2" s="4083"/>
      <c r="AK2" s="4083"/>
      <c r="AL2" s="3317"/>
      <c r="AM2" s="1072" t="s">
        <v>3</v>
      </c>
      <c r="AN2" s="1073">
        <v>6</v>
      </c>
    </row>
    <row r="3" spans="1:40" s="597" customFormat="1" ht="15.75" customHeight="1" x14ac:dyDescent="0.25">
      <c r="A3" s="2854"/>
      <c r="B3" s="4083"/>
      <c r="C3" s="4083"/>
      <c r="D3" s="4083"/>
      <c r="E3" s="4083"/>
      <c r="F3" s="4083"/>
      <c r="G3" s="4083"/>
      <c r="H3" s="4083"/>
      <c r="I3" s="4083"/>
      <c r="J3" s="4083"/>
      <c r="K3" s="4083"/>
      <c r="L3" s="4083"/>
      <c r="M3" s="4083"/>
      <c r="N3" s="4083"/>
      <c r="O3" s="4083"/>
      <c r="P3" s="4083"/>
      <c r="Q3" s="4083"/>
      <c r="R3" s="4083"/>
      <c r="S3" s="4083"/>
      <c r="T3" s="4083"/>
      <c r="U3" s="4083"/>
      <c r="V3" s="4083"/>
      <c r="W3" s="4083"/>
      <c r="X3" s="4083"/>
      <c r="Y3" s="4083"/>
      <c r="Z3" s="4083"/>
      <c r="AA3" s="4083"/>
      <c r="AB3" s="4083"/>
      <c r="AC3" s="4083"/>
      <c r="AD3" s="4083"/>
      <c r="AE3" s="4083"/>
      <c r="AF3" s="4083"/>
      <c r="AG3" s="4083"/>
      <c r="AH3" s="4083"/>
      <c r="AI3" s="4083"/>
      <c r="AJ3" s="4083"/>
      <c r="AK3" s="4083"/>
      <c r="AL3" s="3317"/>
      <c r="AM3" s="1074" t="s">
        <v>5</v>
      </c>
      <c r="AN3" s="1075" t="s">
        <v>6</v>
      </c>
    </row>
    <row r="4" spans="1:40" s="604" customFormat="1" ht="15.75" customHeight="1" x14ac:dyDescent="0.2">
      <c r="A4" s="2856"/>
      <c r="B4" s="2857"/>
      <c r="C4" s="2857"/>
      <c r="D4" s="2857"/>
      <c r="E4" s="2857"/>
      <c r="F4" s="2857"/>
      <c r="G4" s="2857"/>
      <c r="H4" s="2857"/>
      <c r="I4" s="2857"/>
      <c r="J4" s="2857"/>
      <c r="K4" s="2857"/>
      <c r="L4" s="2857"/>
      <c r="M4" s="2857"/>
      <c r="N4" s="2857"/>
      <c r="O4" s="2857"/>
      <c r="P4" s="2857"/>
      <c r="Q4" s="2857"/>
      <c r="R4" s="2857"/>
      <c r="S4" s="2857"/>
      <c r="T4" s="2857"/>
      <c r="U4" s="2857"/>
      <c r="V4" s="2857"/>
      <c r="W4" s="2857"/>
      <c r="X4" s="2857"/>
      <c r="Y4" s="2857"/>
      <c r="Z4" s="2857"/>
      <c r="AA4" s="2857"/>
      <c r="AB4" s="2857"/>
      <c r="AC4" s="2857"/>
      <c r="AD4" s="2857"/>
      <c r="AE4" s="2857"/>
      <c r="AF4" s="2857"/>
      <c r="AG4" s="2857"/>
      <c r="AH4" s="2857"/>
      <c r="AI4" s="2857"/>
      <c r="AJ4" s="2857"/>
      <c r="AK4" s="2857"/>
      <c r="AL4" s="3318"/>
      <c r="AM4" s="1076" t="s">
        <v>7</v>
      </c>
      <c r="AN4" s="1077" t="s">
        <v>323</v>
      </c>
    </row>
    <row r="5" spans="1:40" s="597" customFormat="1" ht="31.5" customHeight="1" x14ac:dyDescent="0.2">
      <c r="A5" s="4084" t="s">
        <v>882</v>
      </c>
      <c r="B5" s="4084"/>
      <c r="C5" s="4084"/>
      <c r="D5" s="4084"/>
      <c r="E5" s="4084"/>
      <c r="F5" s="4084"/>
      <c r="G5" s="4084"/>
      <c r="H5" s="4084"/>
      <c r="I5" s="4084"/>
      <c r="J5" s="4084"/>
      <c r="K5" s="4084"/>
      <c r="L5" s="4084"/>
      <c r="M5" s="4084"/>
      <c r="N5" s="4084"/>
      <c r="O5" s="4084"/>
      <c r="P5" s="3670" t="s">
        <v>10</v>
      </c>
      <c r="Q5" s="2859"/>
      <c r="R5" s="2859"/>
      <c r="S5" s="2859"/>
      <c r="T5" s="2859"/>
      <c r="U5" s="2859"/>
      <c r="V5" s="2859"/>
      <c r="W5" s="2859"/>
      <c r="X5" s="2859"/>
      <c r="Y5" s="2859"/>
      <c r="Z5" s="2859"/>
      <c r="AA5" s="2859"/>
      <c r="AB5" s="2859"/>
      <c r="AC5" s="2859"/>
      <c r="AD5" s="2859"/>
      <c r="AE5" s="2859"/>
      <c r="AF5" s="2859"/>
      <c r="AG5" s="2859"/>
      <c r="AH5" s="2859"/>
      <c r="AI5" s="2859"/>
      <c r="AJ5" s="2859"/>
      <c r="AK5" s="2859"/>
      <c r="AL5" s="2859"/>
      <c r="AM5" s="2859"/>
      <c r="AN5" s="4087"/>
    </row>
    <row r="6" spans="1:40" s="597" customFormat="1" ht="30.75" customHeight="1" x14ac:dyDescent="0.2">
      <c r="A6" s="4085"/>
      <c r="B6" s="4085"/>
      <c r="C6" s="4085"/>
      <c r="D6" s="4085"/>
      <c r="E6" s="4085"/>
      <c r="F6" s="4085"/>
      <c r="G6" s="4085"/>
      <c r="H6" s="4085"/>
      <c r="I6" s="4085"/>
      <c r="J6" s="4085"/>
      <c r="K6" s="4085"/>
      <c r="L6" s="4085"/>
      <c r="M6" s="4085"/>
      <c r="N6" s="4085"/>
      <c r="O6" s="4085"/>
      <c r="P6" s="2864"/>
      <c r="Q6" s="2861"/>
      <c r="R6" s="2861"/>
      <c r="S6" s="2861"/>
      <c r="T6" s="2861"/>
      <c r="U6" s="2861"/>
      <c r="V6" s="2861"/>
      <c r="W6" s="2861"/>
      <c r="X6" s="2861"/>
      <c r="Y6" s="2861"/>
      <c r="Z6" s="2861"/>
      <c r="AA6" s="2861"/>
      <c r="AB6" s="2861"/>
      <c r="AC6" s="2861"/>
      <c r="AD6" s="2861"/>
      <c r="AE6" s="2861"/>
      <c r="AF6" s="2861"/>
      <c r="AG6" s="2861"/>
      <c r="AH6" s="2861"/>
      <c r="AI6" s="2861"/>
      <c r="AJ6" s="2861"/>
      <c r="AK6" s="2861"/>
      <c r="AL6" s="2861"/>
      <c r="AM6" s="2861"/>
      <c r="AN6" s="4088"/>
    </row>
    <row r="7" spans="1:40" ht="15" x14ac:dyDescent="0.2">
      <c r="A7" s="4086"/>
      <c r="B7" s="4086"/>
      <c r="C7" s="4086"/>
      <c r="D7" s="4086"/>
      <c r="E7" s="4086"/>
      <c r="F7" s="4086"/>
      <c r="G7" s="4086"/>
      <c r="H7" s="4086"/>
      <c r="I7" s="4086"/>
      <c r="J7" s="4086"/>
      <c r="K7" s="4086"/>
      <c r="L7" s="4086"/>
      <c r="M7" s="4086"/>
      <c r="N7" s="4086"/>
      <c r="O7" s="4086"/>
      <c r="P7" s="1078"/>
      <c r="Q7" s="1078"/>
      <c r="R7" s="1078"/>
      <c r="S7" s="1078"/>
      <c r="T7" s="1078"/>
      <c r="U7" s="1079"/>
      <c r="V7" s="4089" t="s">
        <v>11</v>
      </c>
      <c r="W7" s="4090"/>
      <c r="X7" s="4090"/>
      <c r="Y7" s="4090"/>
      <c r="Z7" s="4090"/>
      <c r="AA7" s="4090"/>
      <c r="AB7" s="4090"/>
      <c r="AC7" s="4090"/>
      <c r="AD7" s="4090"/>
      <c r="AE7" s="4090"/>
      <c r="AF7" s="4090"/>
      <c r="AG7" s="4090"/>
      <c r="AH7" s="4090"/>
      <c r="AI7" s="4090"/>
      <c r="AJ7" s="4090"/>
      <c r="AK7" s="4090"/>
      <c r="AL7" s="4089"/>
      <c r="AM7" s="4090"/>
      <c r="AN7" s="4091"/>
    </row>
    <row r="8" spans="1:40" ht="32.25" customHeight="1" x14ac:dyDescent="0.2">
      <c r="A8" s="4079" t="s">
        <v>12</v>
      </c>
      <c r="B8" s="4079" t="s">
        <v>13</v>
      </c>
      <c r="C8" s="4079" t="s">
        <v>12</v>
      </c>
      <c r="D8" s="4079" t="s">
        <v>14</v>
      </c>
      <c r="E8" s="4079" t="s">
        <v>12</v>
      </c>
      <c r="F8" s="4079" t="s">
        <v>15</v>
      </c>
      <c r="G8" s="4079" t="s">
        <v>12</v>
      </c>
      <c r="H8" s="4079" t="s">
        <v>16</v>
      </c>
      <c r="I8" s="4079" t="s">
        <v>17</v>
      </c>
      <c r="J8" s="4079" t="s">
        <v>18</v>
      </c>
      <c r="K8" s="4079" t="s">
        <v>19</v>
      </c>
      <c r="L8" s="4079" t="s">
        <v>324</v>
      </c>
      <c r="M8" s="4079" t="s">
        <v>10</v>
      </c>
      <c r="N8" s="4079" t="s">
        <v>21</v>
      </c>
      <c r="O8" s="4081" t="s">
        <v>22</v>
      </c>
      <c r="P8" s="4079" t="s">
        <v>23</v>
      </c>
      <c r="Q8" s="4079" t="s">
        <v>24</v>
      </c>
      <c r="R8" s="4079" t="s">
        <v>25</v>
      </c>
      <c r="S8" s="4081" t="s">
        <v>22</v>
      </c>
      <c r="T8" s="4079" t="s">
        <v>12</v>
      </c>
      <c r="U8" s="4079" t="s">
        <v>26</v>
      </c>
      <c r="V8" s="4070" t="s">
        <v>27</v>
      </c>
      <c r="W8" s="4072"/>
      <c r="X8" s="4070" t="s">
        <v>28</v>
      </c>
      <c r="Y8" s="4071"/>
      <c r="Z8" s="4071"/>
      <c r="AA8" s="4072"/>
      <c r="AB8" s="4070" t="s">
        <v>29</v>
      </c>
      <c r="AC8" s="4071"/>
      <c r="AD8" s="4071"/>
      <c r="AE8" s="4071"/>
      <c r="AF8" s="4071"/>
      <c r="AG8" s="4072"/>
      <c r="AH8" s="4070" t="s">
        <v>30</v>
      </c>
      <c r="AI8" s="4071"/>
      <c r="AJ8" s="4072"/>
      <c r="AK8" s="4073" t="s">
        <v>31</v>
      </c>
      <c r="AL8" s="4075" t="s">
        <v>32</v>
      </c>
      <c r="AM8" s="4075" t="s">
        <v>33</v>
      </c>
      <c r="AN8" s="4077" t="s">
        <v>34</v>
      </c>
    </row>
    <row r="9" spans="1:40" ht="159" customHeight="1" x14ac:dyDescent="0.2">
      <c r="A9" s="4080"/>
      <c r="B9" s="4080"/>
      <c r="C9" s="4080"/>
      <c r="D9" s="4080"/>
      <c r="E9" s="4080"/>
      <c r="F9" s="4080"/>
      <c r="G9" s="4080"/>
      <c r="H9" s="4080"/>
      <c r="I9" s="4080"/>
      <c r="J9" s="4080"/>
      <c r="K9" s="4080"/>
      <c r="L9" s="4080"/>
      <c r="M9" s="4080"/>
      <c r="N9" s="4080"/>
      <c r="O9" s="4082"/>
      <c r="P9" s="4080"/>
      <c r="Q9" s="4080"/>
      <c r="R9" s="4080"/>
      <c r="S9" s="4082"/>
      <c r="T9" s="4080"/>
      <c r="U9" s="4080"/>
      <c r="V9" s="1080" t="s">
        <v>35</v>
      </c>
      <c r="W9" s="1080" t="s">
        <v>36</v>
      </c>
      <c r="X9" s="1080" t="s">
        <v>37</v>
      </c>
      <c r="Y9" s="1080" t="s">
        <v>118</v>
      </c>
      <c r="Z9" s="1080" t="s">
        <v>325</v>
      </c>
      <c r="AA9" s="1080" t="s">
        <v>120</v>
      </c>
      <c r="AB9" s="1080" t="s">
        <v>41</v>
      </c>
      <c r="AC9" s="1080" t="s">
        <v>42</v>
      </c>
      <c r="AD9" s="1080" t="s">
        <v>43</v>
      </c>
      <c r="AE9" s="1080" t="s">
        <v>44</v>
      </c>
      <c r="AF9" s="1080" t="s">
        <v>474</v>
      </c>
      <c r="AG9" s="1080" t="s">
        <v>46</v>
      </c>
      <c r="AH9" s="1081" t="s">
        <v>47</v>
      </c>
      <c r="AI9" s="1082" t="s">
        <v>883</v>
      </c>
      <c r="AJ9" s="1082" t="s">
        <v>49</v>
      </c>
      <c r="AK9" s="4074"/>
      <c r="AL9" s="4076"/>
      <c r="AM9" s="4076"/>
      <c r="AN9" s="4078"/>
    </row>
    <row r="10" spans="1:40" ht="15" x14ac:dyDescent="0.2">
      <c r="A10" s="1083">
        <v>3</v>
      </c>
      <c r="B10" s="1084" t="s">
        <v>293</v>
      </c>
      <c r="C10" s="1085"/>
      <c r="D10" s="1085"/>
      <c r="E10" s="1085"/>
      <c r="F10" s="1085"/>
      <c r="G10" s="1085"/>
      <c r="H10" s="1086"/>
      <c r="I10" s="1086"/>
      <c r="J10" s="1085"/>
      <c r="K10" s="1085"/>
      <c r="L10" s="1085"/>
      <c r="M10" s="1086"/>
      <c r="N10" s="1085"/>
      <c r="O10" s="1085"/>
      <c r="P10" s="1086"/>
      <c r="Q10" s="1086"/>
      <c r="R10" s="1086"/>
      <c r="S10" s="1086"/>
      <c r="T10" s="1087"/>
      <c r="U10" s="1086"/>
      <c r="V10" s="1085"/>
      <c r="W10" s="1085"/>
      <c r="X10" s="1085"/>
      <c r="Y10" s="1085"/>
      <c r="Z10" s="1085"/>
      <c r="AA10" s="1085"/>
      <c r="AB10" s="1085"/>
      <c r="AC10" s="1085"/>
      <c r="AD10" s="1085"/>
      <c r="AE10" s="1085"/>
      <c r="AF10" s="1085"/>
      <c r="AG10" s="1085"/>
      <c r="AH10" s="1085"/>
      <c r="AI10" s="1085"/>
      <c r="AJ10" s="1085"/>
      <c r="AK10" s="1085"/>
      <c r="AL10" s="1085"/>
      <c r="AM10" s="1085"/>
      <c r="AN10" s="1088"/>
    </row>
    <row r="11" spans="1:40" ht="15" x14ac:dyDescent="0.2">
      <c r="A11" s="1089"/>
      <c r="B11" s="1090"/>
      <c r="C11" s="1091">
        <v>16</v>
      </c>
      <c r="D11" s="1092" t="s">
        <v>868</v>
      </c>
      <c r="E11" s="1093"/>
      <c r="F11" s="1093"/>
      <c r="G11" s="1093"/>
      <c r="H11" s="1094"/>
      <c r="I11" s="1094"/>
      <c r="J11" s="1093"/>
      <c r="K11" s="1093"/>
      <c r="L11" s="1093"/>
      <c r="M11" s="1094"/>
      <c r="N11" s="1093"/>
      <c r="O11" s="1093"/>
      <c r="P11" s="1094"/>
      <c r="Q11" s="1094"/>
      <c r="R11" s="1094"/>
      <c r="S11" s="1093"/>
      <c r="T11" s="1095"/>
      <c r="U11" s="1094"/>
      <c r="V11" s="1093"/>
      <c r="W11" s="1093"/>
      <c r="X11" s="1093"/>
      <c r="Y11" s="1093"/>
      <c r="Z11" s="1093"/>
      <c r="AA11" s="1093"/>
      <c r="AB11" s="1093"/>
      <c r="AC11" s="1093"/>
      <c r="AD11" s="1093"/>
      <c r="AE11" s="1093"/>
      <c r="AF11" s="1093"/>
      <c r="AG11" s="1093"/>
      <c r="AH11" s="1093"/>
      <c r="AI11" s="1093"/>
      <c r="AJ11" s="1093"/>
      <c r="AK11" s="1093"/>
      <c r="AL11" s="1093"/>
      <c r="AM11" s="1093"/>
      <c r="AN11" s="1096"/>
    </row>
    <row r="12" spans="1:40" ht="15" x14ac:dyDescent="0.2">
      <c r="A12" s="1089"/>
      <c r="B12" s="1090"/>
      <c r="C12" s="1097"/>
      <c r="D12" s="1090"/>
      <c r="E12" s="1098">
        <v>56</v>
      </c>
      <c r="F12" s="1099" t="s">
        <v>884</v>
      </c>
      <c r="G12" s="1100"/>
      <c r="H12" s="1101"/>
      <c r="I12" s="1101"/>
      <c r="J12" s="1100"/>
      <c r="K12" s="1100"/>
      <c r="L12" s="1100"/>
      <c r="M12" s="1101"/>
      <c r="N12" s="1100"/>
      <c r="O12" s="1100"/>
      <c r="P12" s="1101"/>
      <c r="Q12" s="1101"/>
      <c r="R12" s="1101"/>
      <c r="S12" s="1100"/>
      <c r="T12" s="1102"/>
      <c r="U12" s="1101"/>
      <c r="V12" s="1100"/>
      <c r="W12" s="1100"/>
      <c r="X12" s="1100"/>
      <c r="Y12" s="1100"/>
      <c r="Z12" s="1100"/>
      <c r="AA12" s="1100"/>
      <c r="AB12" s="1100"/>
      <c r="AC12" s="1100"/>
      <c r="AD12" s="1100"/>
      <c r="AE12" s="1100"/>
      <c r="AF12" s="1100"/>
      <c r="AG12" s="1100"/>
      <c r="AH12" s="1100"/>
      <c r="AI12" s="1100"/>
      <c r="AJ12" s="1100"/>
      <c r="AK12" s="1100"/>
      <c r="AL12" s="1100"/>
      <c r="AM12" s="1100"/>
      <c r="AN12" s="1103"/>
    </row>
    <row r="13" spans="1:40" ht="48.75" customHeight="1" x14ac:dyDescent="0.2">
      <c r="A13" s="1089"/>
      <c r="B13" s="1090"/>
      <c r="C13" s="1097"/>
      <c r="D13" s="1090"/>
      <c r="E13" s="4068"/>
      <c r="F13" s="4069"/>
      <c r="G13" s="3917">
        <v>180</v>
      </c>
      <c r="H13" s="3958" t="s">
        <v>885</v>
      </c>
      <c r="I13" s="3253" t="s">
        <v>886</v>
      </c>
      <c r="J13" s="3250">
        <v>1</v>
      </c>
      <c r="K13" s="3989" t="s">
        <v>887</v>
      </c>
      <c r="L13" s="4052" t="s">
        <v>888</v>
      </c>
      <c r="M13" s="3959" t="s">
        <v>889</v>
      </c>
      <c r="N13" s="3045">
        <f>SUM(S13:S16)/O13</f>
        <v>0.69789227166276346</v>
      </c>
      <c r="O13" s="3498">
        <f>SUM(S13:S20)</f>
        <v>64050000</v>
      </c>
      <c r="P13" s="3958" t="s">
        <v>890</v>
      </c>
      <c r="Q13" s="3247" t="s">
        <v>891</v>
      </c>
      <c r="R13" s="1104" t="s">
        <v>892</v>
      </c>
      <c r="S13" s="1105">
        <v>28960000</v>
      </c>
      <c r="T13" s="1106" t="s">
        <v>893</v>
      </c>
      <c r="U13" s="1106" t="s">
        <v>502</v>
      </c>
      <c r="V13" s="4062">
        <v>1813</v>
      </c>
      <c r="W13" s="4065">
        <v>1887</v>
      </c>
      <c r="X13" s="3955">
        <v>2000</v>
      </c>
      <c r="Y13" s="3955">
        <v>700</v>
      </c>
      <c r="Z13" s="3955">
        <v>1000</v>
      </c>
      <c r="AA13" s="3955"/>
      <c r="AB13" s="3955"/>
      <c r="AC13" s="3955"/>
      <c r="AD13" s="3955"/>
      <c r="AE13" s="3955"/>
      <c r="AF13" s="3955"/>
      <c r="AG13" s="3955"/>
      <c r="AH13" s="3955"/>
      <c r="AI13" s="3955"/>
      <c r="AJ13" s="3955"/>
      <c r="AK13" s="3955">
        <v>3700</v>
      </c>
      <c r="AL13" s="2957">
        <v>43467</v>
      </c>
      <c r="AM13" s="2957">
        <v>43830</v>
      </c>
      <c r="AN13" s="2972" t="s">
        <v>894</v>
      </c>
    </row>
    <row r="14" spans="1:40" ht="51.75" customHeight="1" x14ac:dyDescent="0.2">
      <c r="A14" s="1089"/>
      <c r="B14" s="1090"/>
      <c r="C14" s="1097"/>
      <c r="D14" s="1090"/>
      <c r="E14" s="3941"/>
      <c r="F14" s="3942"/>
      <c r="G14" s="3945"/>
      <c r="H14" s="3959"/>
      <c r="I14" s="3254"/>
      <c r="J14" s="3251"/>
      <c r="K14" s="3990"/>
      <c r="L14" s="4053"/>
      <c r="M14" s="3959"/>
      <c r="N14" s="3029"/>
      <c r="O14" s="3498"/>
      <c r="P14" s="3959"/>
      <c r="Q14" s="3248"/>
      <c r="R14" s="1107" t="s">
        <v>895</v>
      </c>
      <c r="S14" s="1105">
        <v>3500000</v>
      </c>
      <c r="T14" s="1106" t="s">
        <v>893</v>
      </c>
      <c r="U14" s="1106" t="s">
        <v>502</v>
      </c>
      <c r="V14" s="4063"/>
      <c r="W14" s="4066"/>
      <c r="X14" s="3956"/>
      <c r="Y14" s="3956"/>
      <c r="Z14" s="3956"/>
      <c r="AA14" s="3956"/>
      <c r="AB14" s="3956"/>
      <c r="AC14" s="3956"/>
      <c r="AD14" s="3956"/>
      <c r="AE14" s="3956"/>
      <c r="AF14" s="3956"/>
      <c r="AG14" s="3956"/>
      <c r="AH14" s="3956"/>
      <c r="AI14" s="3956"/>
      <c r="AJ14" s="3956"/>
      <c r="AK14" s="3956"/>
      <c r="AL14" s="2957"/>
      <c r="AM14" s="2957"/>
      <c r="AN14" s="2973"/>
    </row>
    <row r="15" spans="1:40" ht="63.75" customHeight="1" x14ac:dyDescent="0.2">
      <c r="A15" s="1089"/>
      <c r="B15" s="1090"/>
      <c r="C15" s="1097"/>
      <c r="D15" s="1090"/>
      <c r="E15" s="3941"/>
      <c r="F15" s="3942"/>
      <c r="G15" s="3945"/>
      <c r="H15" s="3959"/>
      <c r="I15" s="3254"/>
      <c r="J15" s="3251"/>
      <c r="K15" s="3990"/>
      <c r="L15" s="4053"/>
      <c r="M15" s="3959"/>
      <c r="N15" s="3029"/>
      <c r="O15" s="3498"/>
      <c r="P15" s="3959"/>
      <c r="Q15" s="3248"/>
      <c r="R15" s="706" t="s">
        <v>896</v>
      </c>
      <c r="S15" s="1105">
        <v>4280000</v>
      </c>
      <c r="T15" s="1106" t="s">
        <v>893</v>
      </c>
      <c r="U15" s="1106" t="s">
        <v>502</v>
      </c>
      <c r="V15" s="4063"/>
      <c r="W15" s="4066"/>
      <c r="X15" s="3956"/>
      <c r="Y15" s="3956"/>
      <c r="Z15" s="3956"/>
      <c r="AA15" s="3956"/>
      <c r="AB15" s="3956"/>
      <c r="AC15" s="3956"/>
      <c r="AD15" s="3956"/>
      <c r="AE15" s="3956"/>
      <c r="AF15" s="3956"/>
      <c r="AG15" s="3956"/>
      <c r="AH15" s="3956"/>
      <c r="AI15" s="3956"/>
      <c r="AJ15" s="3956"/>
      <c r="AK15" s="3956"/>
      <c r="AL15" s="2957"/>
      <c r="AM15" s="2957"/>
      <c r="AN15" s="2973"/>
    </row>
    <row r="16" spans="1:40" ht="66" customHeight="1" x14ac:dyDescent="0.2">
      <c r="A16" s="1089"/>
      <c r="B16" s="1090"/>
      <c r="C16" s="1097"/>
      <c r="D16" s="1090"/>
      <c r="E16" s="3941"/>
      <c r="F16" s="3942"/>
      <c r="G16" s="3918"/>
      <c r="H16" s="3960"/>
      <c r="I16" s="3255"/>
      <c r="J16" s="3252"/>
      <c r="K16" s="3990"/>
      <c r="L16" s="4053"/>
      <c r="M16" s="3959"/>
      <c r="N16" s="3030"/>
      <c r="O16" s="3498"/>
      <c r="P16" s="3959"/>
      <c r="Q16" s="3249"/>
      <c r="R16" s="706" t="s">
        <v>897</v>
      </c>
      <c r="S16" s="1105">
        <v>7960000</v>
      </c>
      <c r="T16" s="1106" t="s">
        <v>893</v>
      </c>
      <c r="U16" s="1106" t="s">
        <v>502</v>
      </c>
      <c r="V16" s="4063"/>
      <c r="W16" s="4066"/>
      <c r="X16" s="3956"/>
      <c r="Y16" s="3956"/>
      <c r="Z16" s="3956"/>
      <c r="AA16" s="3956"/>
      <c r="AB16" s="3956"/>
      <c r="AC16" s="3956"/>
      <c r="AD16" s="3956"/>
      <c r="AE16" s="3956"/>
      <c r="AF16" s="3956"/>
      <c r="AG16" s="3956"/>
      <c r="AH16" s="3956"/>
      <c r="AI16" s="3956"/>
      <c r="AJ16" s="3956"/>
      <c r="AK16" s="3956"/>
      <c r="AL16" s="2957"/>
      <c r="AM16" s="2957"/>
      <c r="AN16" s="2973"/>
    </row>
    <row r="17" spans="1:44" ht="66" customHeight="1" x14ac:dyDescent="0.2">
      <c r="A17" s="1089"/>
      <c r="B17" s="1090"/>
      <c r="C17" s="1097"/>
      <c r="D17" s="1090"/>
      <c r="E17" s="3941"/>
      <c r="F17" s="3942"/>
      <c r="G17" s="3917">
        <v>181</v>
      </c>
      <c r="H17" s="3958" t="s">
        <v>898</v>
      </c>
      <c r="I17" s="3253" t="s">
        <v>899</v>
      </c>
      <c r="J17" s="3250">
        <v>6</v>
      </c>
      <c r="K17" s="3990"/>
      <c r="L17" s="4053"/>
      <c r="M17" s="3959"/>
      <c r="N17" s="3045">
        <f>SUM(S17:S20)/O13</f>
        <v>0.30210772833723654</v>
      </c>
      <c r="O17" s="3498"/>
      <c r="P17" s="3959"/>
      <c r="Q17" s="3247" t="s">
        <v>900</v>
      </c>
      <c r="R17" s="1104" t="s">
        <v>901</v>
      </c>
      <c r="S17" s="1105">
        <v>4750000</v>
      </c>
      <c r="T17" s="1106" t="s">
        <v>893</v>
      </c>
      <c r="U17" s="1106" t="s">
        <v>502</v>
      </c>
      <c r="V17" s="4063"/>
      <c r="W17" s="4066"/>
      <c r="X17" s="3956"/>
      <c r="Y17" s="3956"/>
      <c r="Z17" s="3956"/>
      <c r="AA17" s="3956"/>
      <c r="AB17" s="3956"/>
      <c r="AC17" s="3956"/>
      <c r="AD17" s="3956"/>
      <c r="AE17" s="3956"/>
      <c r="AF17" s="3956"/>
      <c r="AG17" s="3956"/>
      <c r="AH17" s="3956"/>
      <c r="AI17" s="3956"/>
      <c r="AJ17" s="3956"/>
      <c r="AK17" s="3956"/>
      <c r="AL17" s="2957"/>
      <c r="AM17" s="2957"/>
      <c r="AN17" s="2973"/>
      <c r="AO17" s="668"/>
      <c r="AP17" s="668"/>
      <c r="AQ17" s="668"/>
      <c r="AR17" s="668"/>
    </row>
    <row r="18" spans="1:44" ht="72" customHeight="1" x14ac:dyDescent="0.2">
      <c r="A18" s="1089"/>
      <c r="B18" s="1090"/>
      <c r="C18" s="1097"/>
      <c r="D18" s="1090"/>
      <c r="E18" s="3941"/>
      <c r="F18" s="3942"/>
      <c r="G18" s="3945"/>
      <c r="H18" s="3959"/>
      <c r="I18" s="3254"/>
      <c r="J18" s="3251"/>
      <c r="K18" s="3990"/>
      <c r="L18" s="4053"/>
      <c r="M18" s="3959"/>
      <c r="N18" s="3029"/>
      <c r="O18" s="3498"/>
      <c r="P18" s="3959"/>
      <c r="Q18" s="3248"/>
      <c r="R18" s="1104" t="s">
        <v>902</v>
      </c>
      <c r="S18" s="1105">
        <v>5750000</v>
      </c>
      <c r="T18" s="1106" t="s">
        <v>893</v>
      </c>
      <c r="U18" s="1106" t="s">
        <v>502</v>
      </c>
      <c r="V18" s="4063"/>
      <c r="W18" s="4066"/>
      <c r="X18" s="3956"/>
      <c r="Y18" s="3956"/>
      <c r="Z18" s="3956"/>
      <c r="AA18" s="3956"/>
      <c r="AB18" s="3956"/>
      <c r="AC18" s="3956"/>
      <c r="AD18" s="3956"/>
      <c r="AE18" s="3956"/>
      <c r="AF18" s="3956"/>
      <c r="AG18" s="3956"/>
      <c r="AH18" s="3956"/>
      <c r="AI18" s="3956"/>
      <c r="AJ18" s="3956"/>
      <c r="AK18" s="3956"/>
      <c r="AL18" s="2957"/>
      <c r="AM18" s="2957"/>
      <c r="AN18" s="2973"/>
      <c r="AO18" s="668"/>
      <c r="AP18" s="668"/>
      <c r="AQ18" s="668"/>
      <c r="AR18" s="668"/>
    </row>
    <row r="19" spans="1:44" ht="66" customHeight="1" x14ac:dyDescent="0.2">
      <c r="A19" s="1089"/>
      <c r="B19" s="1090"/>
      <c r="C19" s="1097"/>
      <c r="D19" s="1090"/>
      <c r="E19" s="3941"/>
      <c r="F19" s="3942"/>
      <c r="G19" s="3945"/>
      <c r="H19" s="3959"/>
      <c r="I19" s="3254"/>
      <c r="J19" s="3251"/>
      <c r="K19" s="3990"/>
      <c r="L19" s="4053"/>
      <c r="M19" s="3959"/>
      <c r="N19" s="3029"/>
      <c r="O19" s="3498"/>
      <c r="P19" s="3959"/>
      <c r="Q19" s="3248"/>
      <c r="R19" s="1104" t="s">
        <v>903</v>
      </c>
      <c r="S19" s="1105">
        <v>4750000</v>
      </c>
      <c r="T19" s="1106" t="s">
        <v>893</v>
      </c>
      <c r="U19" s="1106" t="s">
        <v>502</v>
      </c>
      <c r="V19" s="4063"/>
      <c r="W19" s="4066"/>
      <c r="X19" s="3956"/>
      <c r="Y19" s="3956"/>
      <c r="Z19" s="3956"/>
      <c r="AA19" s="3956"/>
      <c r="AB19" s="3956"/>
      <c r="AC19" s="3956"/>
      <c r="AD19" s="3956"/>
      <c r="AE19" s="3956"/>
      <c r="AF19" s="3956"/>
      <c r="AG19" s="3956"/>
      <c r="AH19" s="3956"/>
      <c r="AI19" s="3956"/>
      <c r="AJ19" s="3956"/>
      <c r="AK19" s="3956"/>
      <c r="AL19" s="2957"/>
      <c r="AM19" s="2957"/>
      <c r="AN19" s="2973"/>
      <c r="AO19" s="668"/>
      <c r="AP19" s="668"/>
      <c r="AQ19" s="668"/>
      <c r="AR19" s="668"/>
    </row>
    <row r="20" spans="1:44" ht="57.75" customHeight="1" x14ac:dyDescent="0.2">
      <c r="A20" s="1089"/>
      <c r="B20" s="1090"/>
      <c r="C20" s="1108"/>
      <c r="D20" s="1109"/>
      <c r="E20" s="3943"/>
      <c r="F20" s="3944"/>
      <c r="G20" s="3918"/>
      <c r="H20" s="3960"/>
      <c r="I20" s="3255"/>
      <c r="J20" s="3252"/>
      <c r="K20" s="3991"/>
      <c r="L20" s="4054"/>
      <c r="M20" s="3960"/>
      <c r="N20" s="3030"/>
      <c r="O20" s="3971"/>
      <c r="P20" s="3960"/>
      <c r="Q20" s="3249"/>
      <c r="R20" s="1107" t="s">
        <v>904</v>
      </c>
      <c r="S20" s="1105">
        <v>4100000</v>
      </c>
      <c r="T20" s="1106" t="s">
        <v>893</v>
      </c>
      <c r="U20" s="1106" t="s">
        <v>502</v>
      </c>
      <c r="V20" s="4064"/>
      <c r="W20" s="4067"/>
      <c r="X20" s="3957"/>
      <c r="Y20" s="3957"/>
      <c r="Z20" s="3957"/>
      <c r="AA20" s="3957"/>
      <c r="AB20" s="3957"/>
      <c r="AC20" s="3957"/>
      <c r="AD20" s="3957"/>
      <c r="AE20" s="3957"/>
      <c r="AF20" s="3957"/>
      <c r="AG20" s="3957"/>
      <c r="AH20" s="3957"/>
      <c r="AI20" s="3957"/>
      <c r="AJ20" s="3957"/>
      <c r="AK20" s="3957"/>
      <c r="AL20" s="3930"/>
      <c r="AM20" s="3930"/>
      <c r="AN20" s="2974"/>
      <c r="AO20" s="668"/>
      <c r="AP20" s="668"/>
      <c r="AQ20" s="668"/>
      <c r="AR20" s="668"/>
    </row>
    <row r="21" spans="1:44" ht="15" x14ac:dyDescent="0.2">
      <c r="A21" s="1089"/>
      <c r="B21" s="1090"/>
      <c r="C21" s="1110">
        <v>17</v>
      </c>
      <c r="D21" s="1111" t="s">
        <v>905</v>
      </c>
      <c r="E21" s="1112"/>
      <c r="F21" s="1112"/>
      <c r="G21" s="1112"/>
      <c r="H21" s="1113"/>
      <c r="I21" s="1113"/>
      <c r="J21" s="1112"/>
      <c r="K21" s="1112"/>
      <c r="L21" s="1112"/>
      <c r="M21" s="1114"/>
      <c r="N21" s="1112"/>
      <c r="O21" s="1115"/>
      <c r="P21" s="1113"/>
      <c r="Q21" s="1113"/>
      <c r="R21" s="1113"/>
      <c r="S21" s="1116"/>
      <c r="T21" s="1117"/>
      <c r="U21" s="1118"/>
      <c r="V21" s="1119"/>
      <c r="W21" s="1119"/>
      <c r="X21" s="1119"/>
      <c r="Y21" s="1119"/>
      <c r="Z21" s="1119"/>
      <c r="AA21" s="1119"/>
      <c r="AB21" s="1119"/>
      <c r="AC21" s="1119"/>
      <c r="AD21" s="1119"/>
      <c r="AE21" s="1119"/>
      <c r="AF21" s="1119"/>
      <c r="AG21" s="1119"/>
      <c r="AH21" s="1119"/>
      <c r="AI21" s="1119"/>
      <c r="AJ21" s="1119"/>
      <c r="AK21" s="1119"/>
      <c r="AL21" s="1119"/>
      <c r="AM21" s="1119"/>
      <c r="AN21" s="1120"/>
      <c r="AO21" s="668"/>
      <c r="AP21" s="668"/>
      <c r="AQ21" s="668"/>
      <c r="AR21" s="668"/>
    </row>
    <row r="22" spans="1:44" ht="15" x14ac:dyDescent="0.2">
      <c r="A22" s="1089"/>
      <c r="B22" s="1090"/>
      <c r="C22" s="1121"/>
      <c r="D22" s="677"/>
      <c r="E22" s="228">
        <v>58</v>
      </c>
      <c r="F22" s="1122" t="s">
        <v>906</v>
      </c>
      <c r="G22" s="1123"/>
      <c r="H22" s="1124"/>
      <c r="I22" s="1124"/>
      <c r="J22" s="1123"/>
      <c r="K22" s="1123"/>
      <c r="L22" s="1123"/>
      <c r="M22" s="1125"/>
      <c r="N22" s="1123"/>
      <c r="O22" s="1126"/>
      <c r="P22" s="1124"/>
      <c r="Q22" s="1124"/>
      <c r="R22" s="1127"/>
      <c r="S22" s="1128"/>
      <c r="T22" s="1129"/>
      <c r="U22" s="1130"/>
      <c r="V22" s="1123"/>
      <c r="W22" s="1123"/>
      <c r="X22" s="1123"/>
      <c r="Y22" s="1123"/>
      <c r="Z22" s="1123"/>
      <c r="AA22" s="1123"/>
      <c r="AB22" s="1123"/>
      <c r="AC22" s="1123"/>
      <c r="AD22" s="1123"/>
      <c r="AE22" s="1123"/>
      <c r="AF22" s="1123"/>
      <c r="AG22" s="1123"/>
      <c r="AH22" s="1123"/>
      <c r="AI22" s="1123"/>
      <c r="AJ22" s="1123"/>
      <c r="AK22" s="1123"/>
      <c r="AL22" s="1123"/>
      <c r="AM22" s="1123"/>
      <c r="AN22" s="1131"/>
      <c r="AO22" s="668"/>
      <c r="AP22" s="668"/>
      <c r="AQ22" s="668"/>
      <c r="AR22" s="668"/>
    </row>
    <row r="23" spans="1:44" ht="51.75" customHeight="1" x14ac:dyDescent="0.2">
      <c r="A23" s="1089"/>
      <c r="B23" s="1090"/>
      <c r="C23" s="1121"/>
      <c r="D23" s="677"/>
      <c r="E23" s="708"/>
      <c r="F23" s="1132"/>
      <c r="G23" s="2564">
        <v>183</v>
      </c>
      <c r="H23" s="3938" t="s">
        <v>907</v>
      </c>
      <c r="I23" s="3938" t="s">
        <v>908</v>
      </c>
      <c r="J23" s="4060">
        <v>1</v>
      </c>
      <c r="K23" s="3989" t="s">
        <v>909</v>
      </c>
      <c r="L23" s="4053" t="s">
        <v>910</v>
      </c>
      <c r="M23" s="3959" t="s">
        <v>911</v>
      </c>
      <c r="N23" s="3029">
        <f>SUM(S23:S29)/O23</f>
        <v>1</v>
      </c>
      <c r="O23" s="3498">
        <f>SUM(S23:S29)</f>
        <v>178850000</v>
      </c>
      <c r="P23" s="3959" t="s">
        <v>912</v>
      </c>
      <c r="Q23" s="3285" t="s">
        <v>913</v>
      </c>
      <c r="R23" s="1104" t="s">
        <v>914</v>
      </c>
      <c r="S23" s="1105">
        <v>18590000</v>
      </c>
      <c r="T23" s="1106">
        <v>20</v>
      </c>
      <c r="U23" s="1106" t="s">
        <v>62</v>
      </c>
      <c r="V23" s="4059">
        <v>3625</v>
      </c>
      <c r="W23" s="4056">
        <v>3875</v>
      </c>
      <c r="X23" s="4056">
        <v>2000</v>
      </c>
      <c r="Y23" s="4056">
        <v>4000</v>
      </c>
      <c r="Z23" s="4056">
        <v>1000</v>
      </c>
      <c r="AA23" s="4056">
        <v>500</v>
      </c>
      <c r="AB23" s="4056"/>
      <c r="AC23" s="4056"/>
      <c r="AD23" s="4056"/>
      <c r="AE23" s="4056"/>
      <c r="AF23" s="4056"/>
      <c r="AG23" s="4056"/>
      <c r="AH23" s="4056"/>
      <c r="AI23" s="4056"/>
      <c r="AJ23" s="4056"/>
      <c r="AK23" s="4057">
        <v>7500</v>
      </c>
      <c r="AL23" s="2956">
        <v>43467</v>
      </c>
      <c r="AM23" s="2956">
        <v>43830</v>
      </c>
      <c r="AN23" s="2973" t="s">
        <v>894</v>
      </c>
      <c r="AO23" s="668"/>
      <c r="AP23" s="668"/>
      <c r="AQ23" s="668"/>
      <c r="AR23" s="668"/>
    </row>
    <row r="24" spans="1:44" ht="86.25" customHeight="1" x14ac:dyDescent="0.2">
      <c r="A24" s="1089"/>
      <c r="B24" s="1090"/>
      <c r="C24" s="1121"/>
      <c r="D24" s="677"/>
      <c r="E24" s="1121"/>
      <c r="F24" s="677"/>
      <c r="G24" s="2564"/>
      <c r="H24" s="3938"/>
      <c r="I24" s="3938"/>
      <c r="J24" s="4060"/>
      <c r="K24" s="3990"/>
      <c r="L24" s="4053"/>
      <c r="M24" s="3959"/>
      <c r="N24" s="3029"/>
      <c r="O24" s="3498"/>
      <c r="P24" s="3959"/>
      <c r="Q24" s="4058"/>
      <c r="R24" s="1104" t="s">
        <v>915</v>
      </c>
      <c r="S24" s="1105">
        <v>55751000</v>
      </c>
      <c r="T24" s="1106">
        <v>20</v>
      </c>
      <c r="U24" s="1106" t="s">
        <v>62</v>
      </c>
      <c r="V24" s="4059"/>
      <c r="W24" s="4056"/>
      <c r="X24" s="4056"/>
      <c r="Y24" s="4056"/>
      <c r="Z24" s="4056"/>
      <c r="AA24" s="4056"/>
      <c r="AB24" s="4056"/>
      <c r="AC24" s="4056"/>
      <c r="AD24" s="4056"/>
      <c r="AE24" s="4056"/>
      <c r="AF24" s="4056"/>
      <c r="AG24" s="4056"/>
      <c r="AH24" s="4056"/>
      <c r="AI24" s="4056"/>
      <c r="AJ24" s="4056"/>
      <c r="AK24" s="4056"/>
      <c r="AL24" s="3008"/>
      <c r="AM24" s="3008"/>
      <c r="AN24" s="2973"/>
      <c r="AO24" s="668"/>
      <c r="AP24" s="668"/>
      <c r="AQ24" s="668"/>
      <c r="AR24" s="668"/>
    </row>
    <row r="25" spans="1:44" ht="55.5" customHeight="1" x14ac:dyDescent="0.2">
      <c r="A25" s="1089"/>
      <c r="B25" s="1090"/>
      <c r="C25" s="1121"/>
      <c r="D25" s="677"/>
      <c r="E25" s="1121"/>
      <c r="F25" s="677"/>
      <c r="G25" s="2564"/>
      <c r="H25" s="3938"/>
      <c r="I25" s="3938"/>
      <c r="J25" s="4060"/>
      <c r="K25" s="3990"/>
      <c r="L25" s="4053"/>
      <c r="M25" s="3959"/>
      <c r="N25" s="3029"/>
      <c r="O25" s="3498"/>
      <c r="P25" s="3959"/>
      <c r="Q25" s="4058"/>
      <c r="R25" s="1104" t="s">
        <v>916</v>
      </c>
      <c r="S25" s="1105">
        <v>30000000</v>
      </c>
      <c r="T25" s="1106">
        <v>20</v>
      </c>
      <c r="U25" s="1106" t="s">
        <v>62</v>
      </c>
      <c r="V25" s="4059"/>
      <c r="W25" s="4056"/>
      <c r="X25" s="4056"/>
      <c r="Y25" s="4056"/>
      <c r="Z25" s="4056"/>
      <c r="AA25" s="4056"/>
      <c r="AB25" s="4056"/>
      <c r="AC25" s="4056"/>
      <c r="AD25" s="4056"/>
      <c r="AE25" s="4056"/>
      <c r="AF25" s="4056"/>
      <c r="AG25" s="4056"/>
      <c r="AH25" s="4056"/>
      <c r="AI25" s="4056"/>
      <c r="AJ25" s="4056"/>
      <c r="AK25" s="4056"/>
      <c r="AL25" s="3008"/>
      <c r="AM25" s="3008"/>
      <c r="AN25" s="2973"/>
      <c r="AO25" s="668"/>
      <c r="AP25" s="668"/>
      <c r="AQ25" s="668"/>
      <c r="AR25" s="668"/>
    </row>
    <row r="26" spans="1:44" ht="51.75" customHeight="1" x14ac:dyDescent="0.2">
      <c r="A26" s="1089"/>
      <c r="B26" s="1090"/>
      <c r="C26" s="1121"/>
      <c r="D26" s="677"/>
      <c r="E26" s="1121"/>
      <c r="F26" s="677"/>
      <c r="G26" s="2564"/>
      <c r="H26" s="3938"/>
      <c r="I26" s="3938"/>
      <c r="J26" s="4060"/>
      <c r="K26" s="3990"/>
      <c r="L26" s="4053"/>
      <c r="M26" s="3959"/>
      <c r="N26" s="3029"/>
      <c r="O26" s="3498"/>
      <c r="P26" s="3959"/>
      <c r="Q26" s="4058"/>
      <c r="R26" s="1104" t="s">
        <v>917</v>
      </c>
      <c r="S26" s="1105">
        <v>29379000</v>
      </c>
      <c r="T26" s="1133">
        <v>20</v>
      </c>
      <c r="U26" s="1133" t="s">
        <v>62</v>
      </c>
      <c r="V26" s="4059"/>
      <c r="W26" s="4056"/>
      <c r="X26" s="4056"/>
      <c r="Y26" s="4056"/>
      <c r="Z26" s="4056"/>
      <c r="AA26" s="4056"/>
      <c r="AB26" s="4056"/>
      <c r="AC26" s="4056"/>
      <c r="AD26" s="4056"/>
      <c r="AE26" s="4056"/>
      <c r="AF26" s="4056"/>
      <c r="AG26" s="4056"/>
      <c r="AH26" s="4056"/>
      <c r="AI26" s="4056"/>
      <c r="AJ26" s="4056"/>
      <c r="AK26" s="4056"/>
      <c r="AL26" s="3008"/>
      <c r="AM26" s="3008"/>
      <c r="AN26" s="2973"/>
      <c r="AO26" s="668"/>
      <c r="AP26" s="668"/>
      <c r="AQ26" s="668"/>
      <c r="AR26" s="668"/>
    </row>
    <row r="27" spans="1:44" ht="45.75" customHeight="1" x14ac:dyDescent="0.2">
      <c r="A27" s="1089"/>
      <c r="B27" s="1090"/>
      <c r="C27" s="1121"/>
      <c r="D27" s="677"/>
      <c r="E27" s="1121"/>
      <c r="F27" s="677"/>
      <c r="G27" s="2564"/>
      <c r="H27" s="3938"/>
      <c r="I27" s="3938"/>
      <c r="J27" s="4060"/>
      <c r="K27" s="3990"/>
      <c r="L27" s="4053"/>
      <c r="M27" s="3959"/>
      <c r="N27" s="3029"/>
      <c r="O27" s="3498"/>
      <c r="P27" s="3959"/>
      <c r="Q27" s="4058"/>
      <c r="R27" s="1104" t="s">
        <v>918</v>
      </c>
      <c r="S27" s="1105">
        <v>31130000</v>
      </c>
      <c r="T27" s="1133">
        <v>20</v>
      </c>
      <c r="U27" s="1133" t="s">
        <v>62</v>
      </c>
      <c r="V27" s="4059"/>
      <c r="W27" s="4056"/>
      <c r="X27" s="4056"/>
      <c r="Y27" s="4056"/>
      <c r="Z27" s="4056"/>
      <c r="AA27" s="4056"/>
      <c r="AB27" s="4056"/>
      <c r="AC27" s="4056"/>
      <c r="AD27" s="4056"/>
      <c r="AE27" s="4056"/>
      <c r="AF27" s="4056"/>
      <c r="AG27" s="4056"/>
      <c r="AH27" s="4056"/>
      <c r="AI27" s="4056"/>
      <c r="AJ27" s="4056"/>
      <c r="AK27" s="4056"/>
      <c r="AL27" s="3008"/>
      <c r="AM27" s="3008"/>
      <c r="AN27" s="2973"/>
      <c r="AO27" s="668"/>
      <c r="AP27" s="668"/>
      <c r="AQ27" s="668"/>
      <c r="AR27" s="668"/>
    </row>
    <row r="28" spans="1:44" ht="33.75" customHeight="1" x14ac:dyDescent="0.2">
      <c r="A28" s="1089"/>
      <c r="B28" s="1090"/>
      <c r="C28" s="1121"/>
      <c r="D28" s="677"/>
      <c r="E28" s="1121"/>
      <c r="F28" s="677"/>
      <c r="G28" s="2564"/>
      <c r="H28" s="3938"/>
      <c r="I28" s="3938"/>
      <c r="J28" s="4060"/>
      <c r="K28" s="3990"/>
      <c r="L28" s="4053"/>
      <c r="M28" s="3959"/>
      <c r="N28" s="3029"/>
      <c r="O28" s="3498"/>
      <c r="P28" s="3959"/>
      <c r="Q28" s="3247" t="s">
        <v>919</v>
      </c>
      <c r="R28" s="1107" t="s">
        <v>920</v>
      </c>
      <c r="S28" s="1105">
        <v>6000000</v>
      </c>
      <c r="T28" s="1133">
        <v>20</v>
      </c>
      <c r="U28" s="1133" t="s">
        <v>62</v>
      </c>
      <c r="V28" s="4059"/>
      <c r="W28" s="4056"/>
      <c r="X28" s="4056"/>
      <c r="Y28" s="4056"/>
      <c r="Z28" s="4056"/>
      <c r="AA28" s="4056"/>
      <c r="AB28" s="4056"/>
      <c r="AC28" s="4056"/>
      <c r="AD28" s="4056"/>
      <c r="AE28" s="4056"/>
      <c r="AF28" s="4056"/>
      <c r="AG28" s="4056"/>
      <c r="AH28" s="4056"/>
      <c r="AI28" s="4056"/>
      <c r="AJ28" s="4056"/>
      <c r="AK28" s="4056"/>
      <c r="AL28" s="3008"/>
      <c r="AM28" s="3008"/>
      <c r="AN28" s="2973"/>
      <c r="AO28" s="668"/>
      <c r="AP28" s="668"/>
      <c r="AQ28" s="668"/>
      <c r="AR28" s="668"/>
    </row>
    <row r="29" spans="1:44" ht="31.5" customHeight="1" x14ac:dyDescent="0.2">
      <c r="A29" s="1089"/>
      <c r="B29" s="1090"/>
      <c r="C29" s="1121"/>
      <c r="D29" s="677"/>
      <c r="E29" s="1121"/>
      <c r="F29" s="677"/>
      <c r="G29" s="2564"/>
      <c r="H29" s="3938"/>
      <c r="I29" s="3938"/>
      <c r="J29" s="4061"/>
      <c r="K29" s="3990"/>
      <c r="L29" s="4053"/>
      <c r="M29" s="3959"/>
      <c r="N29" s="3029"/>
      <c r="O29" s="3496"/>
      <c r="P29" s="3959"/>
      <c r="Q29" s="3248"/>
      <c r="R29" s="1107" t="s">
        <v>921</v>
      </c>
      <c r="S29" s="1105">
        <v>8000000</v>
      </c>
      <c r="T29" s="1133">
        <v>20</v>
      </c>
      <c r="U29" s="1133" t="s">
        <v>62</v>
      </c>
      <c r="V29" s="4059"/>
      <c r="W29" s="4056"/>
      <c r="X29" s="4056"/>
      <c r="Y29" s="4056"/>
      <c r="Z29" s="4056"/>
      <c r="AA29" s="4056"/>
      <c r="AB29" s="4056"/>
      <c r="AC29" s="4056"/>
      <c r="AD29" s="4056"/>
      <c r="AE29" s="4056"/>
      <c r="AF29" s="4056"/>
      <c r="AG29" s="4056"/>
      <c r="AH29" s="4056"/>
      <c r="AI29" s="4056"/>
      <c r="AJ29" s="4056"/>
      <c r="AK29" s="3003"/>
      <c r="AL29" s="2957"/>
      <c r="AM29" s="2957"/>
      <c r="AN29" s="2973"/>
      <c r="AO29" s="668"/>
      <c r="AP29" s="668"/>
      <c r="AQ29" s="668"/>
      <c r="AR29" s="668"/>
    </row>
    <row r="30" spans="1:44" ht="28.5" customHeight="1" x14ac:dyDescent="0.2">
      <c r="A30" s="1089"/>
      <c r="B30" s="1090"/>
      <c r="C30" s="1121"/>
      <c r="D30" s="677"/>
      <c r="E30" s="228">
        <v>59</v>
      </c>
      <c r="F30" s="1122" t="s">
        <v>922</v>
      </c>
      <c r="G30" s="1134"/>
      <c r="H30" s="1124"/>
      <c r="I30" s="1124"/>
      <c r="J30" s="1123"/>
      <c r="K30" s="1123"/>
      <c r="L30" s="1123"/>
      <c r="M30" s="1125"/>
      <c r="N30" s="1123"/>
      <c r="O30" s="1126"/>
      <c r="P30" s="1124"/>
      <c r="Q30" s="1127"/>
      <c r="R30" s="1124" t="s">
        <v>923</v>
      </c>
      <c r="S30" s="1128"/>
      <c r="T30" s="1129"/>
      <c r="U30" s="1130"/>
      <c r="V30" s="1123"/>
      <c r="W30" s="1123"/>
      <c r="X30" s="1123"/>
      <c r="Y30" s="1123"/>
      <c r="Z30" s="1123"/>
      <c r="AA30" s="1123"/>
      <c r="AB30" s="1123"/>
      <c r="AC30" s="1123"/>
      <c r="AD30" s="1123"/>
      <c r="AE30" s="1123"/>
      <c r="AF30" s="1123"/>
      <c r="AG30" s="1123"/>
      <c r="AH30" s="1123"/>
      <c r="AI30" s="1123"/>
      <c r="AJ30" s="1123"/>
      <c r="AK30" s="1123"/>
      <c r="AL30" s="1123"/>
      <c r="AM30" s="1123"/>
      <c r="AN30" s="1131"/>
      <c r="AO30" s="668"/>
      <c r="AP30" s="668"/>
      <c r="AQ30" s="668"/>
      <c r="AR30" s="668"/>
    </row>
    <row r="31" spans="1:44" ht="52.5" customHeight="1" x14ac:dyDescent="0.2">
      <c r="A31" s="1089"/>
      <c r="B31" s="1090"/>
      <c r="C31" s="1121"/>
      <c r="D31" s="677"/>
      <c r="E31" s="1121"/>
      <c r="F31" s="1135"/>
      <c r="G31" s="3097">
        <v>184</v>
      </c>
      <c r="H31" s="4049" t="s">
        <v>924</v>
      </c>
      <c r="I31" s="3253" t="s">
        <v>925</v>
      </c>
      <c r="J31" s="3493">
        <v>1</v>
      </c>
      <c r="K31" s="4051" t="s">
        <v>926</v>
      </c>
      <c r="L31" s="4052" t="s">
        <v>927</v>
      </c>
      <c r="M31" s="4044" t="s">
        <v>928</v>
      </c>
      <c r="N31" s="3045">
        <f>SUM(S31:S37)/O31</f>
        <v>0.52774498229043687</v>
      </c>
      <c r="O31" s="3971">
        <f>SUM(S31:S43)</f>
        <v>169400000</v>
      </c>
      <c r="P31" s="4047" t="s">
        <v>929</v>
      </c>
      <c r="Q31" s="3259" t="s">
        <v>930</v>
      </c>
      <c r="R31" s="1104" t="s">
        <v>931</v>
      </c>
      <c r="S31" s="1136">
        <v>6500000</v>
      </c>
      <c r="T31" s="3984" t="s">
        <v>893</v>
      </c>
      <c r="U31" s="3984" t="s">
        <v>502</v>
      </c>
      <c r="V31" s="4041">
        <v>8575</v>
      </c>
      <c r="W31" s="4042">
        <v>8925</v>
      </c>
      <c r="X31" s="4028">
        <v>12000</v>
      </c>
      <c r="Y31" s="4043">
        <v>4000</v>
      </c>
      <c r="Z31" s="4043">
        <v>1500</v>
      </c>
      <c r="AA31" s="4028"/>
      <c r="AB31" s="4028"/>
      <c r="AC31" s="4028"/>
      <c r="AD31" s="4028"/>
      <c r="AE31" s="4028"/>
      <c r="AF31" s="4028"/>
      <c r="AG31" s="4028"/>
      <c r="AH31" s="4028"/>
      <c r="AI31" s="4028"/>
      <c r="AJ31" s="4028"/>
      <c r="AK31" s="4040">
        <v>17500</v>
      </c>
      <c r="AL31" s="3930">
        <v>43467</v>
      </c>
      <c r="AM31" s="3930">
        <v>43830</v>
      </c>
      <c r="AN31" s="3097" t="s">
        <v>894</v>
      </c>
      <c r="AO31" s="668"/>
      <c r="AP31" s="668"/>
      <c r="AQ31" s="668"/>
      <c r="AR31" s="668"/>
    </row>
    <row r="32" spans="1:44" ht="54.75" customHeight="1" x14ac:dyDescent="0.2">
      <c r="A32" s="1089"/>
      <c r="B32" s="1090"/>
      <c r="C32" s="1121"/>
      <c r="D32" s="677"/>
      <c r="E32" s="1121"/>
      <c r="F32" s="1135"/>
      <c r="G32" s="3097"/>
      <c r="H32" s="4050"/>
      <c r="I32" s="3254"/>
      <c r="J32" s="3494"/>
      <c r="K32" s="4051"/>
      <c r="L32" s="4053"/>
      <c r="M32" s="4045"/>
      <c r="N32" s="3029"/>
      <c r="O32" s="3971"/>
      <c r="P32" s="4047"/>
      <c r="Q32" s="3259"/>
      <c r="R32" s="706" t="s">
        <v>932</v>
      </c>
      <c r="S32" s="1136">
        <v>6500000</v>
      </c>
      <c r="T32" s="3984"/>
      <c r="U32" s="3984"/>
      <c r="V32" s="4041"/>
      <c r="W32" s="4042"/>
      <c r="X32" s="4028"/>
      <c r="Y32" s="4043"/>
      <c r="Z32" s="4043"/>
      <c r="AA32" s="4028"/>
      <c r="AB32" s="4028"/>
      <c r="AC32" s="4028"/>
      <c r="AD32" s="4028"/>
      <c r="AE32" s="4028"/>
      <c r="AF32" s="4028"/>
      <c r="AG32" s="4028"/>
      <c r="AH32" s="4028"/>
      <c r="AI32" s="4028"/>
      <c r="AJ32" s="4028"/>
      <c r="AK32" s="4040"/>
      <c r="AL32" s="3930"/>
      <c r="AM32" s="3930"/>
      <c r="AN32" s="3097"/>
      <c r="AO32" s="668"/>
      <c r="AP32" s="668"/>
      <c r="AQ32" s="668"/>
      <c r="AR32" s="668"/>
    </row>
    <row r="33" spans="1:44" ht="60.75" customHeight="1" x14ac:dyDescent="0.2">
      <c r="A33" s="1089"/>
      <c r="B33" s="1090"/>
      <c r="C33" s="1121"/>
      <c r="D33" s="677"/>
      <c r="E33" s="1121"/>
      <c r="F33" s="1135"/>
      <c r="G33" s="3097"/>
      <c r="H33" s="4050"/>
      <c r="I33" s="3254"/>
      <c r="J33" s="3494"/>
      <c r="K33" s="4051"/>
      <c r="L33" s="4053"/>
      <c r="M33" s="4045"/>
      <c r="N33" s="3029"/>
      <c r="O33" s="3971"/>
      <c r="P33" s="4047"/>
      <c r="Q33" s="3259"/>
      <c r="R33" s="706" t="s">
        <v>933</v>
      </c>
      <c r="S33" s="1105">
        <v>37170000</v>
      </c>
      <c r="T33" s="3984"/>
      <c r="U33" s="3984"/>
      <c r="V33" s="4041"/>
      <c r="W33" s="4042"/>
      <c r="X33" s="4028"/>
      <c r="Y33" s="4043"/>
      <c r="Z33" s="4043"/>
      <c r="AA33" s="4028"/>
      <c r="AB33" s="4028"/>
      <c r="AC33" s="4028"/>
      <c r="AD33" s="4028"/>
      <c r="AE33" s="4028"/>
      <c r="AF33" s="4028"/>
      <c r="AG33" s="4028"/>
      <c r="AH33" s="4028"/>
      <c r="AI33" s="4028"/>
      <c r="AJ33" s="4028"/>
      <c r="AK33" s="4040"/>
      <c r="AL33" s="3930"/>
      <c r="AM33" s="3930"/>
      <c r="AN33" s="3097"/>
      <c r="AO33" s="668"/>
      <c r="AP33" s="668"/>
      <c r="AQ33" s="668"/>
      <c r="AR33" s="668"/>
    </row>
    <row r="34" spans="1:44" ht="69" customHeight="1" x14ac:dyDescent="0.2">
      <c r="A34" s="1089"/>
      <c r="B34" s="1090"/>
      <c r="C34" s="1121"/>
      <c r="D34" s="677"/>
      <c r="E34" s="1121"/>
      <c r="F34" s="1135"/>
      <c r="G34" s="3097"/>
      <c r="H34" s="4050"/>
      <c r="I34" s="3254"/>
      <c r="J34" s="3494"/>
      <c r="K34" s="4051"/>
      <c r="L34" s="4053"/>
      <c r="M34" s="4045"/>
      <c r="N34" s="3029"/>
      <c r="O34" s="3971"/>
      <c r="P34" s="4047"/>
      <c r="Q34" s="3259"/>
      <c r="R34" s="706" t="s">
        <v>934</v>
      </c>
      <c r="S34" s="1136">
        <v>29400000</v>
      </c>
      <c r="T34" s="3984"/>
      <c r="U34" s="3984"/>
      <c r="V34" s="4041"/>
      <c r="W34" s="4042"/>
      <c r="X34" s="4028"/>
      <c r="Y34" s="4043"/>
      <c r="Z34" s="4043"/>
      <c r="AA34" s="4028"/>
      <c r="AB34" s="4028"/>
      <c r="AC34" s="4028"/>
      <c r="AD34" s="4028"/>
      <c r="AE34" s="4028"/>
      <c r="AF34" s="4028"/>
      <c r="AG34" s="4028"/>
      <c r="AH34" s="4028"/>
      <c r="AI34" s="4028"/>
      <c r="AJ34" s="4028"/>
      <c r="AK34" s="4040"/>
      <c r="AL34" s="3930"/>
      <c r="AM34" s="3930"/>
      <c r="AN34" s="3097"/>
      <c r="AO34" s="668"/>
      <c r="AP34" s="668"/>
      <c r="AQ34" s="668"/>
      <c r="AR34" s="668"/>
    </row>
    <row r="35" spans="1:44" ht="89.25" customHeight="1" x14ac:dyDescent="0.2">
      <c r="A35" s="1089"/>
      <c r="B35" s="1090"/>
      <c r="C35" s="1121"/>
      <c r="D35" s="677"/>
      <c r="E35" s="1121"/>
      <c r="F35" s="1135"/>
      <c r="G35" s="3097"/>
      <c r="H35" s="4050"/>
      <c r="I35" s="3254"/>
      <c r="J35" s="3494"/>
      <c r="K35" s="4051"/>
      <c r="L35" s="4053"/>
      <c r="M35" s="4045"/>
      <c r="N35" s="3029"/>
      <c r="O35" s="3971"/>
      <c r="P35" s="4047"/>
      <c r="Q35" s="3259"/>
      <c r="R35" s="706" t="s">
        <v>935</v>
      </c>
      <c r="S35" s="1136">
        <v>1830000</v>
      </c>
      <c r="T35" s="3984"/>
      <c r="U35" s="3984"/>
      <c r="V35" s="4041"/>
      <c r="W35" s="4042"/>
      <c r="X35" s="4028"/>
      <c r="Y35" s="4043"/>
      <c r="Z35" s="4043"/>
      <c r="AA35" s="4028"/>
      <c r="AB35" s="4028"/>
      <c r="AC35" s="4028"/>
      <c r="AD35" s="4028"/>
      <c r="AE35" s="4028"/>
      <c r="AF35" s="4028"/>
      <c r="AG35" s="4028"/>
      <c r="AH35" s="4028"/>
      <c r="AI35" s="4028"/>
      <c r="AJ35" s="4028"/>
      <c r="AK35" s="4040"/>
      <c r="AL35" s="3930"/>
      <c r="AM35" s="3930"/>
      <c r="AN35" s="3097"/>
      <c r="AO35" s="668"/>
      <c r="AP35" s="668"/>
      <c r="AQ35" s="668"/>
      <c r="AR35" s="668"/>
    </row>
    <row r="36" spans="1:44" ht="82.5" customHeight="1" x14ac:dyDescent="0.2">
      <c r="A36" s="1089"/>
      <c r="B36" s="1090"/>
      <c r="C36" s="1121"/>
      <c r="D36" s="677"/>
      <c r="E36" s="1121"/>
      <c r="F36" s="1135"/>
      <c r="G36" s="3097"/>
      <c r="H36" s="4050"/>
      <c r="I36" s="3254"/>
      <c r="J36" s="3494"/>
      <c r="K36" s="4051"/>
      <c r="L36" s="4053"/>
      <c r="M36" s="4045"/>
      <c r="N36" s="3029"/>
      <c r="O36" s="3971"/>
      <c r="P36" s="4047"/>
      <c r="Q36" s="3259"/>
      <c r="R36" s="1104" t="s">
        <v>936</v>
      </c>
      <c r="S36" s="1136">
        <v>0</v>
      </c>
      <c r="T36" s="3984"/>
      <c r="U36" s="3984"/>
      <c r="V36" s="4041"/>
      <c r="W36" s="4042"/>
      <c r="X36" s="4028"/>
      <c r="Y36" s="4043"/>
      <c r="Z36" s="4043"/>
      <c r="AA36" s="4028"/>
      <c r="AB36" s="4028"/>
      <c r="AC36" s="4028"/>
      <c r="AD36" s="4028"/>
      <c r="AE36" s="4028"/>
      <c r="AF36" s="4028"/>
      <c r="AG36" s="4028"/>
      <c r="AH36" s="4028"/>
      <c r="AI36" s="4028"/>
      <c r="AJ36" s="4028"/>
      <c r="AK36" s="4040"/>
      <c r="AL36" s="3930"/>
      <c r="AM36" s="3930"/>
      <c r="AN36" s="3097"/>
      <c r="AO36" s="668"/>
      <c r="AP36" s="668"/>
      <c r="AQ36" s="668"/>
      <c r="AR36" s="668"/>
    </row>
    <row r="37" spans="1:44" ht="27.75" customHeight="1" x14ac:dyDescent="0.2">
      <c r="A37" s="1089"/>
      <c r="B37" s="1090"/>
      <c r="C37" s="1121"/>
      <c r="D37" s="677"/>
      <c r="E37" s="1121"/>
      <c r="F37" s="1135"/>
      <c r="G37" s="3097"/>
      <c r="H37" s="4050"/>
      <c r="I37" s="3254"/>
      <c r="J37" s="3494"/>
      <c r="K37" s="4051"/>
      <c r="L37" s="4053"/>
      <c r="M37" s="4045"/>
      <c r="N37" s="3029"/>
      <c r="O37" s="3971"/>
      <c r="P37" s="4047"/>
      <c r="Q37" s="3259"/>
      <c r="R37" s="1104" t="s">
        <v>937</v>
      </c>
      <c r="S37" s="1105">
        <v>8000000</v>
      </c>
      <c r="T37" s="3984"/>
      <c r="U37" s="3984"/>
      <c r="V37" s="4041"/>
      <c r="W37" s="4042"/>
      <c r="X37" s="4028"/>
      <c r="Y37" s="4043"/>
      <c r="Z37" s="4043"/>
      <c r="AA37" s="4028"/>
      <c r="AB37" s="4028"/>
      <c r="AC37" s="4028"/>
      <c r="AD37" s="4028"/>
      <c r="AE37" s="4028"/>
      <c r="AF37" s="4028"/>
      <c r="AG37" s="4028"/>
      <c r="AH37" s="4028"/>
      <c r="AI37" s="4028"/>
      <c r="AJ37" s="4028"/>
      <c r="AK37" s="4040"/>
      <c r="AL37" s="3930"/>
      <c r="AM37" s="3930"/>
      <c r="AN37" s="3097"/>
      <c r="AO37" s="668"/>
      <c r="AP37" s="668"/>
      <c r="AQ37" s="668"/>
      <c r="AR37" s="668"/>
    </row>
    <row r="38" spans="1:44" ht="57" customHeight="1" x14ac:dyDescent="0.2">
      <c r="A38" s="1089"/>
      <c r="B38" s="1090"/>
      <c r="C38" s="1121"/>
      <c r="D38" s="677"/>
      <c r="E38" s="1121"/>
      <c r="F38" s="677"/>
      <c r="G38" s="2973">
        <v>185</v>
      </c>
      <c r="H38" s="3946" t="s">
        <v>938</v>
      </c>
      <c r="I38" s="3253" t="s">
        <v>939</v>
      </c>
      <c r="J38" s="3493">
        <v>1</v>
      </c>
      <c r="K38" s="4051"/>
      <c r="L38" s="4053"/>
      <c r="M38" s="4045"/>
      <c r="N38" s="3045">
        <f>SUM(S38:S40)/O31</f>
        <v>0.23612750885478159</v>
      </c>
      <c r="O38" s="3971"/>
      <c r="P38" s="4004"/>
      <c r="Q38" s="4037" t="s">
        <v>940</v>
      </c>
      <c r="R38" s="1104" t="s">
        <v>941</v>
      </c>
      <c r="S38" s="1136">
        <v>19000000</v>
      </c>
      <c r="T38" s="3984"/>
      <c r="U38" s="3984"/>
      <c r="V38" s="4041"/>
      <c r="W38" s="4042"/>
      <c r="X38" s="4028"/>
      <c r="Y38" s="4043"/>
      <c r="Z38" s="4043"/>
      <c r="AA38" s="4028"/>
      <c r="AB38" s="4028"/>
      <c r="AC38" s="4028"/>
      <c r="AD38" s="4028"/>
      <c r="AE38" s="4028"/>
      <c r="AF38" s="4028"/>
      <c r="AG38" s="4028"/>
      <c r="AH38" s="4028"/>
      <c r="AI38" s="4028"/>
      <c r="AJ38" s="4028"/>
      <c r="AK38" s="4040"/>
      <c r="AL38" s="3930"/>
      <c r="AM38" s="3930"/>
      <c r="AN38" s="3097"/>
      <c r="AO38" s="668"/>
      <c r="AP38" s="668"/>
      <c r="AQ38" s="668"/>
      <c r="AR38" s="668"/>
    </row>
    <row r="39" spans="1:44" ht="46.5" customHeight="1" x14ac:dyDescent="0.2">
      <c r="A39" s="1089"/>
      <c r="B39" s="1090"/>
      <c r="C39" s="1121"/>
      <c r="D39" s="677"/>
      <c r="E39" s="1121"/>
      <c r="F39" s="677"/>
      <c r="G39" s="2973"/>
      <c r="H39" s="3938"/>
      <c r="I39" s="3254"/>
      <c r="J39" s="3494"/>
      <c r="K39" s="4051"/>
      <c r="L39" s="4053"/>
      <c r="M39" s="4045"/>
      <c r="N39" s="3029"/>
      <c r="O39" s="3971"/>
      <c r="P39" s="4004"/>
      <c r="Q39" s="4037"/>
      <c r="R39" s="1104" t="s">
        <v>942</v>
      </c>
      <c r="S39" s="1136">
        <v>18600000</v>
      </c>
      <c r="T39" s="3984"/>
      <c r="U39" s="3984"/>
      <c r="V39" s="4041"/>
      <c r="W39" s="4042"/>
      <c r="X39" s="4028"/>
      <c r="Y39" s="4043"/>
      <c r="Z39" s="4043"/>
      <c r="AA39" s="4028"/>
      <c r="AB39" s="4028"/>
      <c r="AC39" s="4028"/>
      <c r="AD39" s="4028"/>
      <c r="AE39" s="4028"/>
      <c r="AF39" s="4028"/>
      <c r="AG39" s="4028"/>
      <c r="AH39" s="4028"/>
      <c r="AI39" s="4028"/>
      <c r="AJ39" s="4028"/>
      <c r="AK39" s="4040"/>
      <c r="AL39" s="3930"/>
      <c r="AM39" s="3930"/>
      <c r="AN39" s="3097"/>
      <c r="AO39" s="668"/>
      <c r="AP39" s="668"/>
      <c r="AQ39" s="668"/>
      <c r="AR39" s="668"/>
    </row>
    <row r="40" spans="1:44" ht="70.5" customHeight="1" x14ac:dyDescent="0.2">
      <c r="A40" s="1089"/>
      <c r="B40" s="1090"/>
      <c r="C40" s="1121"/>
      <c r="D40" s="677"/>
      <c r="E40" s="1121"/>
      <c r="F40" s="677"/>
      <c r="G40" s="2974"/>
      <c r="H40" s="3939"/>
      <c r="I40" s="3255"/>
      <c r="J40" s="3495"/>
      <c r="K40" s="4051"/>
      <c r="L40" s="4053"/>
      <c r="M40" s="4045"/>
      <c r="N40" s="3030"/>
      <c r="O40" s="3971"/>
      <c r="P40" s="4004"/>
      <c r="Q40" s="4038"/>
      <c r="R40" s="1104" t="s">
        <v>943</v>
      </c>
      <c r="S40" s="1136">
        <v>2400000</v>
      </c>
      <c r="T40" s="3984"/>
      <c r="U40" s="3984"/>
      <c r="V40" s="4041"/>
      <c r="W40" s="4042"/>
      <c r="X40" s="4028"/>
      <c r="Y40" s="4043"/>
      <c r="Z40" s="4043"/>
      <c r="AA40" s="4028"/>
      <c r="AB40" s="4028"/>
      <c r="AC40" s="4028"/>
      <c r="AD40" s="4028"/>
      <c r="AE40" s="4028"/>
      <c r="AF40" s="4028"/>
      <c r="AG40" s="4028"/>
      <c r="AH40" s="4028"/>
      <c r="AI40" s="4028"/>
      <c r="AJ40" s="4028"/>
      <c r="AK40" s="4040"/>
      <c r="AL40" s="3930"/>
      <c r="AM40" s="3930"/>
      <c r="AN40" s="3097"/>
      <c r="AO40" s="668"/>
      <c r="AP40" s="668"/>
      <c r="AQ40" s="668"/>
      <c r="AR40" s="668"/>
    </row>
    <row r="41" spans="1:44" ht="85.5" customHeight="1" x14ac:dyDescent="0.2">
      <c r="A41" s="1089"/>
      <c r="B41" s="1090"/>
      <c r="C41" s="1121"/>
      <c r="D41" s="677"/>
      <c r="E41" s="1121"/>
      <c r="F41" s="1135"/>
      <c r="G41" s="3097">
        <v>186</v>
      </c>
      <c r="H41" s="4039" t="s">
        <v>944</v>
      </c>
      <c r="I41" s="3274" t="s">
        <v>945</v>
      </c>
      <c r="J41" s="4055">
        <v>1</v>
      </c>
      <c r="K41" s="4051"/>
      <c r="L41" s="4053"/>
      <c r="M41" s="4045"/>
      <c r="N41" s="3040">
        <f>SUM(S41:S43)/O31</f>
        <v>0.23612750885478159</v>
      </c>
      <c r="O41" s="3971"/>
      <c r="P41" s="4004"/>
      <c r="Q41" s="4048" t="s">
        <v>946</v>
      </c>
      <c r="R41" s="1107" t="s">
        <v>947</v>
      </c>
      <c r="S41" s="1136">
        <f>25000000+1451000</f>
        <v>26451000</v>
      </c>
      <c r="T41" s="3984"/>
      <c r="U41" s="3984"/>
      <c r="V41" s="4041"/>
      <c r="W41" s="4042"/>
      <c r="X41" s="4028"/>
      <c r="Y41" s="4043"/>
      <c r="Z41" s="4043"/>
      <c r="AA41" s="4028"/>
      <c r="AB41" s="4028"/>
      <c r="AC41" s="4028"/>
      <c r="AD41" s="4028"/>
      <c r="AE41" s="4028"/>
      <c r="AF41" s="4028"/>
      <c r="AG41" s="4028"/>
      <c r="AH41" s="4028"/>
      <c r="AI41" s="4028"/>
      <c r="AJ41" s="4028"/>
      <c r="AK41" s="4040"/>
      <c r="AL41" s="3930"/>
      <c r="AM41" s="3930"/>
      <c r="AN41" s="3097"/>
      <c r="AO41" s="668"/>
      <c r="AP41" s="668"/>
      <c r="AQ41" s="668"/>
      <c r="AR41" s="668"/>
    </row>
    <row r="42" spans="1:44" ht="64.5" customHeight="1" x14ac:dyDescent="0.2">
      <c r="A42" s="1089"/>
      <c r="B42" s="1090"/>
      <c r="C42" s="1121"/>
      <c r="D42" s="677"/>
      <c r="E42" s="1121"/>
      <c r="F42" s="1135"/>
      <c r="G42" s="3097"/>
      <c r="H42" s="4039"/>
      <c r="I42" s="3274"/>
      <c r="J42" s="4055"/>
      <c r="K42" s="4051"/>
      <c r="L42" s="4053"/>
      <c r="M42" s="4045"/>
      <c r="N42" s="3040"/>
      <c r="O42" s="3971"/>
      <c r="P42" s="4004"/>
      <c r="Q42" s="4037"/>
      <c r="R42" s="1107" t="s">
        <v>948</v>
      </c>
      <c r="S42" s="1136">
        <f>8500000-1451000</f>
        <v>7049000</v>
      </c>
      <c r="T42" s="3984"/>
      <c r="U42" s="3984"/>
      <c r="V42" s="4041"/>
      <c r="W42" s="4042"/>
      <c r="X42" s="4028"/>
      <c r="Y42" s="4043"/>
      <c r="Z42" s="4043"/>
      <c r="AA42" s="4028"/>
      <c r="AB42" s="4028"/>
      <c r="AC42" s="4028"/>
      <c r="AD42" s="4028"/>
      <c r="AE42" s="4028"/>
      <c r="AF42" s="4028"/>
      <c r="AG42" s="4028"/>
      <c r="AH42" s="4028"/>
      <c r="AI42" s="4028"/>
      <c r="AJ42" s="4028"/>
      <c r="AK42" s="4040"/>
      <c r="AL42" s="3930"/>
      <c r="AM42" s="3930"/>
      <c r="AN42" s="3097"/>
      <c r="AO42" s="668"/>
      <c r="AP42" s="668"/>
      <c r="AQ42" s="668"/>
      <c r="AR42" s="668"/>
    </row>
    <row r="43" spans="1:44" ht="57" x14ac:dyDescent="0.2">
      <c r="A43" s="1089"/>
      <c r="B43" s="1090"/>
      <c r="C43" s="1121"/>
      <c r="D43" s="677"/>
      <c r="E43" s="1121"/>
      <c r="F43" s="1135"/>
      <c r="G43" s="3097"/>
      <c r="H43" s="4039"/>
      <c r="I43" s="3274"/>
      <c r="J43" s="4055"/>
      <c r="K43" s="4051"/>
      <c r="L43" s="4054"/>
      <c r="M43" s="4046"/>
      <c r="N43" s="3040"/>
      <c r="O43" s="3971"/>
      <c r="P43" s="4004"/>
      <c r="Q43" s="4038"/>
      <c r="R43" s="706" t="s">
        <v>949</v>
      </c>
      <c r="S43" s="1136">
        <v>6500000</v>
      </c>
      <c r="T43" s="3984"/>
      <c r="U43" s="3984"/>
      <c r="V43" s="4041"/>
      <c r="W43" s="4042"/>
      <c r="X43" s="4028"/>
      <c r="Y43" s="4043"/>
      <c r="Z43" s="4043"/>
      <c r="AA43" s="4028"/>
      <c r="AB43" s="4028"/>
      <c r="AC43" s="4028"/>
      <c r="AD43" s="4028"/>
      <c r="AE43" s="4028"/>
      <c r="AF43" s="4028"/>
      <c r="AG43" s="4028"/>
      <c r="AH43" s="4028"/>
      <c r="AI43" s="4028"/>
      <c r="AJ43" s="4028"/>
      <c r="AK43" s="4040"/>
      <c r="AL43" s="3930"/>
      <c r="AM43" s="3930"/>
      <c r="AN43" s="3097"/>
      <c r="AO43" s="668"/>
      <c r="AP43" s="668"/>
      <c r="AQ43" s="668"/>
      <c r="AR43" s="668"/>
    </row>
    <row r="44" spans="1:44" ht="15" x14ac:dyDescent="0.2">
      <c r="A44" s="1089"/>
      <c r="B44" s="1090"/>
      <c r="C44" s="1121"/>
      <c r="D44" s="677"/>
      <c r="E44" s="1137">
        <v>60</v>
      </c>
      <c r="F44" s="1122" t="s">
        <v>950</v>
      </c>
      <c r="G44" s="1123"/>
      <c r="H44" s="1124"/>
      <c r="I44" s="1124"/>
      <c r="J44" s="1123"/>
      <c r="K44" s="1123"/>
      <c r="L44" s="1123"/>
      <c r="M44" s="1125"/>
      <c r="N44" s="1123"/>
      <c r="O44" s="1126"/>
      <c r="P44" s="1124"/>
      <c r="Q44" s="1124"/>
      <c r="R44" s="1124"/>
      <c r="S44" s="1128"/>
      <c r="T44" s="1129"/>
      <c r="U44" s="1130"/>
      <c r="V44" s="1123"/>
      <c r="W44" s="1123"/>
      <c r="X44" s="1123"/>
      <c r="Y44" s="1123"/>
      <c r="Z44" s="1123"/>
      <c r="AA44" s="1123"/>
      <c r="AB44" s="1123"/>
      <c r="AC44" s="1123"/>
      <c r="AD44" s="1123"/>
      <c r="AE44" s="1123"/>
      <c r="AF44" s="1123"/>
      <c r="AG44" s="1123"/>
      <c r="AH44" s="1123"/>
      <c r="AI44" s="1123"/>
      <c r="AJ44" s="1123"/>
      <c r="AK44" s="1123"/>
      <c r="AL44" s="1123"/>
      <c r="AM44" s="1123"/>
      <c r="AN44" s="1131"/>
      <c r="AO44" s="668"/>
      <c r="AP44" s="668"/>
      <c r="AQ44" s="668"/>
      <c r="AR44" s="668"/>
    </row>
    <row r="45" spans="1:44" ht="52.5" customHeight="1" x14ac:dyDescent="0.2">
      <c r="A45" s="1089"/>
      <c r="B45" s="1090"/>
      <c r="C45" s="1121"/>
      <c r="D45" s="677"/>
      <c r="E45" s="708"/>
      <c r="F45" s="1132"/>
      <c r="G45" s="2972">
        <v>187</v>
      </c>
      <c r="H45" s="3946" t="s">
        <v>951</v>
      </c>
      <c r="I45" s="3247" t="s">
        <v>952</v>
      </c>
      <c r="J45" s="3482">
        <v>1</v>
      </c>
      <c r="K45" s="3989" t="s">
        <v>953</v>
      </c>
      <c r="L45" s="3969" t="s">
        <v>954</v>
      </c>
      <c r="M45" s="3959" t="s">
        <v>955</v>
      </c>
      <c r="N45" s="4024">
        <f>(S45+S46+S47+S48+S49+S50)/(O45)</f>
        <v>0.33333333333333331</v>
      </c>
      <c r="O45" s="3498">
        <f>SUM(S45:S56)</f>
        <v>120000000</v>
      </c>
      <c r="P45" s="3959" t="s">
        <v>956</v>
      </c>
      <c r="Q45" s="3274" t="s">
        <v>957</v>
      </c>
      <c r="R45" s="1104" t="s">
        <v>958</v>
      </c>
      <c r="S45" s="1136">
        <v>10000000</v>
      </c>
      <c r="T45" s="3984" t="s">
        <v>893</v>
      </c>
      <c r="U45" s="3962" t="s">
        <v>502</v>
      </c>
      <c r="V45" s="4031">
        <v>2500</v>
      </c>
      <c r="W45" s="4033">
        <v>1500</v>
      </c>
      <c r="X45" s="3955"/>
      <c r="Y45" s="3955">
        <v>2500</v>
      </c>
      <c r="Z45" s="3955">
        <v>1500</v>
      </c>
      <c r="AA45" s="3955"/>
      <c r="AB45" s="4029"/>
      <c r="AC45" s="3955"/>
      <c r="AD45" s="3002"/>
      <c r="AE45" s="3002"/>
      <c r="AF45" s="3002"/>
      <c r="AG45" s="3002"/>
      <c r="AH45" s="3002"/>
      <c r="AI45" s="3002"/>
      <c r="AJ45" s="3002"/>
      <c r="AK45" s="2570">
        <f>+V45+W45</f>
        <v>4000</v>
      </c>
      <c r="AL45" s="4027">
        <v>43467</v>
      </c>
      <c r="AM45" s="2957">
        <v>43830</v>
      </c>
      <c r="AN45" s="2974" t="s">
        <v>894</v>
      </c>
      <c r="AO45" s="668"/>
      <c r="AP45" s="668"/>
      <c r="AQ45" s="668"/>
      <c r="AR45" s="668"/>
    </row>
    <row r="46" spans="1:44" ht="45" customHeight="1" x14ac:dyDescent="0.2">
      <c r="A46" s="1089"/>
      <c r="B46" s="1090"/>
      <c r="C46" s="1121"/>
      <c r="D46" s="677"/>
      <c r="E46" s="1121"/>
      <c r="F46" s="677"/>
      <c r="G46" s="2973"/>
      <c r="H46" s="3938"/>
      <c r="I46" s="3248"/>
      <c r="J46" s="3483"/>
      <c r="K46" s="3990"/>
      <c r="L46" s="3969"/>
      <c r="M46" s="3959"/>
      <c r="N46" s="4025"/>
      <c r="O46" s="3498"/>
      <c r="P46" s="3959"/>
      <c r="Q46" s="3274"/>
      <c r="R46" s="1104" t="s">
        <v>959</v>
      </c>
      <c r="S46" s="1136">
        <v>8000000</v>
      </c>
      <c r="T46" s="3984"/>
      <c r="U46" s="3962"/>
      <c r="V46" s="4032"/>
      <c r="W46" s="4034"/>
      <c r="X46" s="3956"/>
      <c r="Y46" s="3956"/>
      <c r="Z46" s="3956"/>
      <c r="AA46" s="3956"/>
      <c r="AB46" s="4030"/>
      <c r="AC46" s="3956"/>
      <c r="AD46" s="3003"/>
      <c r="AE46" s="3003"/>
      <c r="AF46" s="3003"/>
      <c r="AG46" s="3003"/>
      <c r="AH46" s="3003"/>
      <c r="AI46" s="3003"/>
      <c r="AJ46" s="3003"/>
      <c r="AK46" s="3003"/>
      <c r="AL46" s="4027"/>
      <c r="AM46" s="2957"/>
      <c r="AN46" s="2974"/>
      <c r="AO46" s="668"/>
      <c r="AP46" s="668"/>
      <c r="AQ46" s="668"/>
      <c r="AR46" s="668"/>
    </row>
    <row r="47" spans="1:44" ht="51" customHeight="1" x14ac:dyDescent="0.2">
      <c r="A47" s="1089"/>
      <c r="B47" s="1090"/>
      <c r="C47" s="1121"/>
      <c r="D47" s="677"/>
      <c r="E47" s="1121"/>
      <c r="F47" s="677"/>
      <c r="G47" s="2973"/>
      <c r="H47" s="3938"/>
      <c r="I47" s="3248"/>
      <c r="J47" s="3483"/>
      <c r="K47" s="3990"/>
      <c r="L47" s="3969"/>
      <c r="M47" s="3959"/>
      <c r="N47" s="4025"/>
      <c r="O47" s="3498"/>
      <c r="P47" s="3959"/>
      <c r="Q47" s="3274"/>
      <c r="R47" s="1104" t="s">
        <v>960</v>
      </c>
      <c r="S47" s="1136">
        <v>8000000</v>
      </c>
      <c r="T47" s="3984"/>
      <c r="U47" s="3962"/>
      <c r="V47" s="4032"/>
      <c r="W47" s="4034"/>
      <c r="X47" s="3956"/>
      <c r="Y47" s="3956"/>
      <c r="Z47" s="3956"/>
      <c r="AA47" s="3956"/>
      <c r="AB47" s="4030"/>
      <c r="AC47" s="3956"/>
      <c r="AD47" s="3003"/>
      <c r="AE47" s="3003"/>
      <c r="AF47" s="3003"/>
      <c r="AG47" s="3003"/>
      <c r="AH47" s="3003"/>
      <c r="AI47" s="3003"/>
      <c r="AJ47" s="3003"/>
      <c r="AK47" s="3003"/>
      <c r="AL47" s="4027"/>
      <c r="AM47" s="2957"/>
      <c r="AN47" s="2974"/>
      <c r="AO47" s="668"/>
      <c r="AP47" s="668"/>
      <c r="AQ47" s="668"/>
      <c r="AR47" s="668"/>
    </row>
    <row r="48" spans="1:44" ht="63.75" customHeight="1" x14ac:dyDescent="0.2">
      <c r="A48" s="1089"/>
      <c r="B48" s="1090"/>
      <c r="C48" s="1121"/>
      <c r="D48" s="677"/>
      <c r="E48" s="1121"/>
      <c r="F48" s="677"/>
      <c r="G48" s="2973"/>
      <c r="H48" s="3938"/>
      <c r="I48" s="3248"/>
      <c r="J48" s="3483"/>
      <c r="K48" s="3990"/>
      <c r="L48" s="3969"/>
      <c r="M48" s="3959"/>
      <c r="N48" s="4025"/>
      <c r="O48" s="3498"/>
      <c r="P48" s="3959"/>
      <c r="Q48" s="3274"/>
      <c r="R48" s="1104" t="s">
        <v>961</v>
      </c>
      <c r="S48" s="1136">
        <v>4000000</v>
      </c>
      <c r="T48" s="3984"/>
      <c r="U48" s="3962"/>
      <c r="V48" s="4032"/>
      <c r="W48" s="4034"/>
      <c r="X48" s="3956"/>
      <c r="Y48" s="3956"/>
      <c r="Z48" s="3956"/>
      <c r="AA48" s="3956"/>
      <c r="AB48" s="4030"/>
      <c r="AC48" s="3956"/>
      <c r="AD48" s="3003"/>
      <c r="AE48" s="3003"/>
      <c r="AF48" s="3003"/>
      <c r="AG48" s="3003"/>
      <c r="AH48" s="3003"/>
      <c r="AI48" s="3003"/>
      <c r="AJ48" s="3003"/>
      <c r="AK48" s="3003"/>
      <c r="AL48" s="4027"/>
      <c r="AM48" s="2957"/>
      <c r="AN48" s="2974"/>
      <c r="AO48" s="668"/>
      <c r="AP48" s="668"/>
      <c r="AQ48" s="668"/>
      <c r="AR48" s="668"/>
    </row>
    <row r="49" spans="1:44" ht="46.5" customHeight="1" x14ac:dyDescent="0.2">
      <c r="A49" s="1089"/>
      <c r="B49" s="1090"/>
      <c r="C49" s="1121"/>
      <c r="D49" s="677"/>
      <c r="E49" s="1121"/>
      <c r="F49" s="677"/>
      <c r="G49" s="2973"/>
      <c r="H49" s="3938"/>
      <c r="I49" s="3248"/>
      <c r="J49" s="3483"/>
      <c r="K49" s="3990"/>
      <c r="L49" s="3969"/>
      <c r="M49" s="3959"/>
      <c r="N49" s="4025"/>
      <c r="O49" s="3498"/>
      <c r="P49" s="3959"/>
      <c r="Q49" s="3274"/>
      <c r="R49" s="1104" t="s">
        <v>962</v>
      </c>
      <c r="S49" s="1136">
        <v>9000000</v>
      </c>
      <c r="T49" s="3984"/>
      <c r="U49" s="3962"/>
      <c r="V49" s="4032"/>
      <c r="W49" s="4034"/>
      <c r="X49" s="3956"/>
      <c r="Y49" s="3956"/>
      <c r="Z49" s="3956"/>
      <c r="AA49" s="3956"/>
      <c r="AB49" s="4030"/>
      <c r="AC49" s="3956"/>
      <c r="AD49" s="3003"/>
      <c r="AE49" s="3003"/>
      <c r="AF49" s="3003"/>
      <c r="AG49" s="3003"/>
      <c r="AH49" s="3003"/>
      <c r="AI49" s="3003"/>
      <c r="AJ49" s="3003"/>
      <c r="AK49" s="3003"/>
      <c r="AL49" s="4027"/>
      <c r="AM49" s="2957"/>
      <c r="AN49" s="2974"/>
      <c r="AO49" s="668"/>
      <c r="AP49" s="668"/>
      <c r="AQ49" s="668"/>
      <c r="AR49" s="668"/>
    </row>
    <row r="50" spans="1:44" ht="35.25" customHeight="1" x14ac:dyDescent="0.2">
      <c r="A50" s="1089"/>
      <c r="B50" s="1090"/>
      <c r="C50" s="1121"/>
      <c r="D50" s="677"/>
      <c r="E50" s="1121"/>
      <c r="F50" s="677"/>
      <c r="G50" s="2974"/>
      <c r="H50" s="3939"/>
      <c r="I50" s="3249"/>
      <c r="J50" s="3484"/>
      <c r="K50" s="3990"/>
      <c r="L50" s="3969"/>
      <c r="M50" s="3959"/>
      <c r="N50" s="4026"/>
      <c r="O50" s="3498"/>
      <c r="P50" s="3959"/>
      <c r="Q50" s="3274"/>
      <c r="R50" s="1104" t="s">
        <v>963</v>
      </c>
      <c r="S50" s="1136">
        <v>1000000</v>
      </c>
      <c r="T50" s="3984"/>
      <c r="U50" s="3962"/>
      <c r="V50" s="4032"/>
      <c r="W50" s="4034"/>
      <c r="X50" s="3956"/>
      <c r="Y50" s="3956"/>
      <c r="Z50" s="3956"/>
      <c r="AA50" s="3956"/>
      <c r="AB50" s="4030"/>
      <c r="AC50" s="3956"/>
      <c r="AD50" s="3003"/>
      <c r="AE50" s="3003"/>
      <c r="AF50" s="3003"/>
      <c r="AG50" s="3003"/>
      <c r="AH50" s="3003"/>
      <c r="AI50" s="3003"/>
      <c r="AJ50" s="3003"/>
      <c r="AK50" s="3003"/>
      <c r="AL50" s="4027"/>
      <c r="AM50" s="2957"/>
      <c r="AN50" s="2974"/>
      <c r="AO50" s="668"/>
      <c r="AP50" s="668"/>
      <c r="AQ50" s="668"/>
      <c r="AR50" s="668"/>
    </row>
    <row r="51" spans="1:44" ht="89.25" customHeight="1" x14ac:dyDescent="0.2">
      <c r="A51" s="1089"/>
      <c r="B51" s="1090"/>
      <c r="C51" s="1121"/>
      <c r="D51" s="677"/>
      <c r="E51" s="1121"/>
      <c r="F51" s="677"/>
      <c r="G51" s="2972">
        <v>188</v>
      </c>
      <c r="H51" s="3946" t="s">
        <v>964</v>
      </c>
      <c r="I51" s="3247" t="s">
        <v>965</v>
      </c>
      <c r="J51" s="3482">
        <v>2</v>
      </c>
      <c r="K51" s="3990"/>
      <c r="L51" s="3969"/>
      <c r="M51" s="3959"/>
      <c r="N51" s="4024">
        <f>SUM(S51:S53)/O45</f>
        <v>0.33333333333333331</v>
      </c>
      <c r="O51" s="3498"/>
      <c r="P51" s="3959"/>
      <c r="Q51" s="3247" t="s">
        <v>964</v>
      </c>
      <c r="R51" s="706" t="s">
        <v>966</v>
      </c>
      <c r="S51" s="1136">
        <v>30000000</v>
      </c>
      <c r="T51" s="3984"/>
      <c r="U51" s="3962"/>
      <c r="V51" s="4032"/>
      <c r="W51" s="4034"/>
      <c r="X51" s="3956"/>
      <c r="Y51" s="3956"/>
      <c r="Z51" s="3956"/>
      <c r="AA51" s="3956"/>
      <c r="AB51" s="4030"/>
      <c r="AC51" s="3956"/>
      <c r="AD51" s="3003"/>
      <c r="AE51" s="3003"/>
      <c r="AF51" s="3003"/>
      <c r="AG51" s="3003"/>
      <c r="AH51" s="3003"/>
      <c r="AI51" s="3003"/>
      <c r="AJ51" s="3003"/>
      <c r="AK51" s="3003"/>
      <c r="AL51" s="4027"/>
      <c r="AM51" s="2957"/>
      <c r="AN51" s="2974"/>
      <c r="AO51" s="668"/>
      <c r="AP51" s="668"/>
      <c r="AQ51" s="668"/>
      <c r="AR51" s="668"/>
    </row>
    <row r="52" spans="1:44" ht="52.5" customHeight="1" x14ac:dyDescent="0.2">
      <c r="A52" s="1089"/>
      <c r="B52" s="1090"/>
      <c r="C52" s="1121"/>
      <c r="D52" s="677"/>
      <c r="E52" s="1121"/>
      <c r="F52" s="677"/>
      <c r="G52" s="2973"/>
      <c r="H52" s="3938"/>
      <c r="I52" s="3248"/>
      <c r="J52" s="3483"/>
      <c r="K52" s="3990"/>
      <c r="L52" s="3969"/>
      <c r="M52" s="3959"/>
      <c r="N52" s="4025"/>
      <c r="O52" s="3498"/>
      <c r="P52" s="3959"/>
      <c r="Q52" s="3248"/>
      <c r="R52" s="706" t="s">
        <v>967</v>
      </c>
      <c r="S52" s="1136">
        <v>7000000</v>
      </c>
      <c r="T52" s="3984"/>
      <c r="U52" s="3962"/>
      <c r="V52" s="4032"/>
      <c r="W52" s="4034"/>
      <c r="X52" s="3956"/>
      <c r="Y52" s="3956"/>
      <c r="Z52" s="3956"/>
      <c r="AA52" s="3956"/>
      <c r="AB52" s="4030"/>
      <c r="AC52" s="3956"/>
      <c r="AD52" s="3003"/>
      <c r="AE52" s="3003"/>
      <c r="AF52" s="3003"/>
      <c r="AG52" s="3003"/>
      <c r="AH52" s="3003"/>
      <c r="AI52" s="3003"/>
      <c r="AJ52" s="3003"/>
      <c r="AK52" s="3003"/>
      <c r="AL52" s="4027"/>
      <c r="AM52" s="2957"/>
      <c r="AN52" s="2974"/>
      <c r="AO52" s="668"/>
      <c r="AP52" s="668"/>
      <c r="AQ52" s="668"/>
      <c r="AR52" s="668"/>
    </row>
    <row r="53" spans="1:44" ht="45" customHeight="1" x14ac:dyDescent="0.2">
      <c r="A53" s="1089"/>
      <c r="B53" s="1090"/>
      <c r="C53" s="1121"/>
      <c r="D53" s="677"/>
      <c r="E53" s="1121"/>
      <c r="F53" s="677"/>
      <c r="G53" s="2974"/>
      <c r="H53" s="3939"/>
      <c r="I53" s="3249"/>
      <c r="J53" s="3484"/>
      <c r="K53" s="3990"/>
      <c r="L53" s="3969"/>
      <c r="M53" s="3959"/>
      <c r="N53" s="4026"/>
      <c r="O53" s="3971"/>
      <c r="P53" s="3959"/>
      <c r="Q53" s="3249"/>
      <c r="R53" s="706" t="s">
        <v>968</v>
      </c>
      <c r="S53" s="1136">
        <v>3000000</v>
      </c>
      <c r="T53" s="3984"/>
      <c r="U53" s="3962"/>
      <c r="V53" s="4032"/>
      <c r="W53" s="4034"/>
      <c r="X53" s="3956"/>
      <c r="Y53" s="3956"/>
      <c r="Z53" s="3956"/>
      <c r="AA53" s="3956"/>
      <c r="AB53" s="4030"/>
      <c r="AC53" s="3956"/>
      <c r="AD53" s="3003"/>
      <c r="AE53" s="3003"/>
      <c r="AF53" s="3003"/>
      <c r="AG53" s="3003"/>
      <c r="AH53" s="3003"/>
      <c r="AI53" s="3003"/>
      <c r="AJ53" s="3003"/>
      <c r="AK53" s="3003"/>
      <c r="AL53" s="4028"/>
      <c r="AM53" s="2904"/>
      <c r="AN53" s="3097"/>
      <c r="AO53" s="668"/>
      <c r="AP53" s="668"/>
      <c r="AQ53" s="668"/>
      <c r="AR53" s="668"/>
    </row>
    <row r="54" spans="1:44" ht="50.25" customHeight="1" x14ac:dyDescent="0.2">
      <c r="A54" s="1089"/>
      <c r="B54" s="1090"/>
      <c r="C54" s="1121"/>
      <c r="D54" s="677"/>
      <c r="E54" s="1121"/>
      <c r="F54" s="677"/>
      <c r="G54" s="2972">
        <v>189</v>
      </c>
      <c r="H54" s="3946" t="s">
        <v>969</v>
      </c>
      <c r="I54" s="3253" t="s">
        <v>970</v>
      </c>
      <c r="J54" s="3493">
        <v>1</v>
      </c>
      <c r="K54" s="3990"/>
      <c r="L54" s="3969"/>
      <c r="M54" s="3959"/>
      <c r="N54" s="4035">
        <f>SUM(S54:S56)/O45</f>
        <v>0.33333333333333331</v>
      </c>
      <c r="O54" s="3971"/>
      <c r="P54" s="3959"/>
      <c r="Q54" s="3253" t="s">
        <v>971</v>
      </c>
      <c r="R54" s="1138" t="s">
        <v>972</v>
      </c>
      <c r="S54" s="1136">
        <v>32000000</v>
      </c>
      <c r="T54" s="3984"/>
      <c r="U54" s="3962"/>
      <c r="V54" s="4032"/>
      <c r="W54" s="4034"/>
      <c r="X54" s="3956"/>
      <c r="Y54" s="3956"/>
      <c r="Z54" s="3956"/>
      <c r="AA54" s="3956"/>
      <c r="AB54" s="4030"/>
      <c r="AC54" s="3956"/>
      <c r="AD54" s="3003"/>
      <c r="AE54" s="3003"/>
      <c r="AF54" s="3003"/>
      <c r="AG54" s="3003"/>
      <c r="AH54" s="3003"/>
      <c r="AI54" s="3003"/>
      <c r="AJ54" s="3003"/>
      <c r="AK54" s="3003"/>
      <c r="AL54" s="4028"/>
      <c r="AM54" s="2904"/>
      <c r="AN54" s="3097"/>
      <c r="AO54" s="668"/>
      <c r="AP54" s="668"/>
      <c r="AQ54" s="668"/>
      <c r="AR54" s="668"/>
    </row>
    <row r="55" spans="1:44" ht="54" customHeight="1" x14ac:dyDescent="0.2">
      <c r="A55" s="1089"/>
      <c r="B55" s="1090"/>
      <c r="C55" s="1121"/>
      <c r="D55" s="677"/>
      <c r="E55" s="1121"/>
      <c r="F55" s="677"/>
      <c r="G55" s="2973"/>
      <c r="H55" s="3938"/>
      <c r="I55" s="3254"/>
      <c r="J55" s="3494"/>
      <c r="K55" s="3990"/>
      <c r="L55" s="3969"/>
      <c r="M55" s="3959"/>
      <c r="N55" s="4036"/>
      <c r="O55" s="3971"/>
      <c r="P55" s="3959"/>
      <c r="Q55" s="3254"/>
      <c r="R55" s="1138" t="s">
        <v>973</v>
      </c>
      <c r="S55" s="1136">
        <v>4000000</v>
      </c>
      <c r="T55" s="3984"/>
      <c r="U55" s="3962"/>
      <c r="V55" s="4032"/>
      <c r="W55" s="4034"/>
      <c r="X55" s="3956"/>
      <c r="Y55" s="3956"/>
      <c r="Z55" s="3956"/>
      <c r="AA55" s="3956"/>
      <c r="AB55" s="4030"/>
      <c r="AC55" s="3956"/>
      <c r="AD55" s="3003"/>
      <c r="AE55" s="3003"/>
      <c r="AF55" s="3003"/>
      <c r="AG55" s="3003"/>
      <c r="AH55" s="3003"/>
      <c r="AI55" s="3003"/>
      <c r="AJ55" s="3003"/>
      <c r="AK55" s="3003"/>
      <c r="AL55" s="4028"/>
      <c r="AM55" s="2904"/>
      <c r="AN55" s="3097"/>
      <c r="AO55" s="668"/>
      <c r="AP55" s="668"/>
      <c r="AQ55" s="668"/>
      <c r="AR55" s="668"/>
    </row>
    <row r="56" spans="1:44" ht="48.75" customHeight="1" x14ac:dyDescent="0.2">
      <c r="A56" s="1089"/>
      <c r="B56" s="1090"/>
      <c r="C56" s="1121"/>
      <c r="D56" s="677"/>
      <c r="E56" s="1121"/>
      <c r="F56" s="677"/>
      <c r="G56" s="2973"/>
      <c r="H56" s="3938"/>
      <c r="I56" s="3254"/>
      <c r="J56" s="3494"/>
      <c r="K56" s="3990"/>
      <c r="L56" s="3969"/>
      <c r="M56" s="3959"/>
      <c r="N56" s="4036"/>
      <c r="O56" s="3971"/>
      <c r="P56" s="3959"/>
      <c r="Q56" s="3254"/>
      <c r="R56" s="1138" t="s">
        <v>974</v>
      </c>
      <c r="S56" s="1136">
        <v>4000000</v>
      </c>
      <c r="T56" s="3984"/>
      <c r="U56" s="3962"/>
      <c r="V56" s="4032"/>
      <c r="W56" s="4034"/>
      <c r="X56" s="3956"/>
      <c r="Y56" s="3956"/>
      <c r="Z56" s="3956"/>
      <c r="AA56" s="3956"/>
      <c r="AB56" s="4030"/>
      <c r="AC56" s="3956"/>
      <c r="AD56" s="3003"/>
      <c r="AE56" s="3003"/>
      <c r="AF56" s="3003"/>
      <c r="AG56" s="3003"/>
      <c r="AH56" s="3003"/>
      <c r="AI56" s="3003"/>
      <c r="AJ56" s="3003"/>
      <c r="AK56" s="3003"/>
      <c r="AL56" s="4028"/>
      <c r="AM56" s="2904"/>
      <c r="AN56" s="3097"/>
      <c r="AO56" s="668"/>
      <c r="AP56" s="668"/>
      <c r="AQ56" s="668"/>
      <c r="AR56" s="668"/>
    </row>
    <row r="57" spans="1:44" ht="15" x14ac:dyDescent="0.2">
      <c r="A57" s="1089"/>
      <c r="B57" s="1090"/>
      <c r="C57" s="1121"/>
      <c r="D57" s="677"/>
      <c r="E57" s="228">
        <v>61</v>
      </c>
      <c r="F57" s="1122" t="s">
        <v>975</v>
      </c>
      <c r="G57" s="1123"/>
      <c r="H57" s="1124"/>
      <c r="I57" s="1124"/>
      <c r="J57" s="1123"/>
      <c r="K57" s="1123"/>
      <c r="L57" s="1123"/>
      <c r="M57" s="1125"/>
      <c r="N57" s="1123"/>
      <c r="O57" s="1126"/>
      <c r="P57" s="1124"/>
      <c r="Q57" s="1124"/>
      <c r="R57" s="1124"/>
      <c r="S57" s="1128"/>
      <c r="T57" s="1129"/>
      <c r="U57" s="1130"/>
      <c r="V57" s="1123"/>
      <c r="W57" s="1123"/>
      <c r="X57" s="1123"/>
      <c r="Y57" s="1123"/>
      <c r="Z57" s="1123"/>
      <c r="AA57" s="1123"/>
      <c r="AB57" s="1123"/>
      <c r="AC57" s="1123"/>
      <c r="AD57" s="1123"/>
      <c r="AE57" s="1123"/>
      <c r="AF57" s="1123"/>
      <c r="AG57" s="1123"/>
      <c r="AH57" s="1123"/>
      <c r="AI57" s="1123"/>
      <c r="AJ57" s="1123"/>
      <c r="AK57" s="1123"/>
      <c r="AL57" s="1123"/>
      <c r="AM57" s="1123"/>
      <c r="AN57" s="1131"/>
      <c r="AO57" s="668"/>
      <c r="AP57" s="668"/>
      <c r="AQ57" s="668"/>
      <c r="AR57" s="668"/>
    </row>
    <row r="58" spans="1:44" ht="57" x14ac:dyDescent="0.2">
      <c r="A58" s="1089"/>
      <c r="B58" s="1090"/>
      <c r="C58" s="1121"/>
      <c r="D58" s="677"/>
      <c r="E58" s="708"/>
      <c r="F58" s="677"/>
      <c r="G58" s="2972">
        <v>190</v>
      </c>
      <c r="H58" s="3946" t="s">
        <v>976</v>
      </c>
      <c r="I58" s="3946" t="s">
        <v>977</v>
      </c>
      <c r="J58" s="3250">
        <v>1</v>
      </c>
      <c r="K58" s="3989" t="s">
        <v>978</v>
      </c>
      <c r="L58" s="3992" t="s">
        <v>979</v>
      </c>
      <c r="M58" s="3958" t="s">
        <v>980</v>
      </c>
      <c r="N58" s="3045">
        <f>SUM(S58:S74)/O58</f>
        <v>1</v>
      </c>
      <c r="O58" s="3496">
        <f>SUM(S58:S74)</f>
        <v>190000000</v>
      </c>
      <c r="P58" s="4022" t="s">
        <v>981</v>
      </c>
      <c r="Q58" s="3259" t="s">
        <v>982</v>
      </c>
      <c r="R58" s="1139" t="s">
        <v>983</v>
      </c>
      <c r="S58" s="1136">
        <v>5280000</v>
      </c>
      <c r="T58" s="3984">
        <v>20</v>
      </c>
      <c r="U58" s="3962" t="s">
        <v>62</v>
      </c>
      <c r="V58" s="4020">
        <v>1500</v>
      </c>
      <c r="W58" s="4017">
        <v>1500</v>
      </c>
      <c r="X58" s="4017">
        <v>480</v>
      </c>
      <c r="Y58" s="4017">
        <v>480</v>
      </c>
      <c r="Z58" s="4017">
        <v>1000</v>
      </c>
      <c r="AA58" s="4017">
        <v>1000</v>
      </c>
      <c r="AB58" s="4017">
        <v>20</v>
      </c>
      <c r="AC58" s="4017">
        <v>20</v>
      </c>
      <c r="AD58" s="4017"/>
      <c r="AE58" s="4017"/>
      <c r="AF58" s="4017"/>
      <c r="AG58" s="4017"/>
      <c r="AH58" s="4017"/>
      <c r="AI58" s="4013"/>
      <c r="AJ58" s="4013"/>
      <c r="AK58" s="4019">
        <f>+V58+W58</f>
        <v>3000</v>
      </c>
      <c r="AL58" s="3930">
        <v>43467</v>
      </c>
      <c r="AM58" s="4015">
        <v>43830</v>
      </c>
      <c r="AN58" s="3097" t="s">
        <v>894</v>
      </c>
      <c r="AO58" s="668"/>
      <c r="AP58" s="668"/>
      <c r="AQ58" s="668"/>
      <c r="AR58" s="668"/>
    </row>
    <row r="59" spans="1:44" ht="28.5" x14ac:dyDescent="0.2">
      <c r="A59" s="1089"/>
      <c r="B59" s="1090"/>
      <c r="C59" s="1121"/>
      <c r="D59" s="677"/>
      <c r="E59" s="1121"/>
      <c r="F59" s="677"/>
      <c r="G59" s="2973"/>
      <c r="H59" s="3938"/>
      <c r="I59" s="3938"/>
      <c r="J59" s="3251"/>
      <c r="K59" s="3990"/>
      <c r="L59" s="3969"/>
      <c r="M59" s="3959"/>
      <c r="N59" s="3029"/>
      <c r="O59" s="3497"/>
      <c r="P59" s="4023"/>
      <c r="Q59" s="3259"/>
      <c r="R59" s="1139" t="s">
        <v>984</v>
      </c>
      <c r="S59" s="1136">
        <f>13080000-13080000</f>
        <v>0</v>
      </c>
      <c r="T59" s="3984"/>
      <c r="U59" s="3962"/>
      <c r="V59" s="4020"/>
      <c r="W59" s="4017"/>
      <c r="X59" s="4017"/>
      <c r="Y59" s="4017"/>
      <c r="Z59" s="4017"/>
      <c r="AA59" s="4017"/>
      <c r="AB59" s="4017"/>
      <c r="AC59" s="4017"/>
      <c r="AD59" s="4017"/>
      <c r="AE59" s="4017"/>
      <c r="AF59" s="4017"/>
      <c r="AG59" s="4017"/>
      <c r="AH59" s="4017"/>
      <c r="AI59" s="4013"/>
      <c r="AJ59" s="4013"/>
      <c r="AK59" s="4013"/>
      <c r="AL59" s="3930"/>
      <c r="AM59" s="4016"/>
      <c r="AN59" s="3097"/>
      <c r="AO59" s="668"/>
      <c r="AP59" s="668"/>
      <c r="AQ59" s="668"/>
      <c r="AR59" s="668"/>
    </row>
    <row r="60" spans="1:44" ht="57" x14ac:dyDescent="0.2">
      <c r="A60" s="1089"/>
      <c r="B60" s="1090"/>
      <c r="C60" s="1121"/>
      <c r="D60" s="677"/>
      <c r="E60" s="1121"/>
      <c r="F60" s="677"/>
      <c r="G60" s="2973"/>
      <c r="H60" s="3938"/>
      <c r="I60" s="3938"/>
      <c r="J60" s="3251"/>
      <c r="K60" s="3990"/>
      <c r="L60" s="3969"/>
      <c r="M60" s="3959"/>
      <c r="N60" s="3029"/>
      <c r="O60" s="3497"/>
      <c r="P60" s="4023"/>
      <c r="Q60" s="3259"/>
      <c r="R60" s="1139" t="s">
        <v>985</v>
      </c>
      <c r="S60" s="1136">
        <v>5000000</v>
      </c>
      <c r="T60" s="3984"/>
      <c r="U60" s="3962"/>
      <c r="V60" s="4020"/>
      <c r="W60" s="4017"/>
      <c r="X60" s="4017"/>
      <c r="Y60" s="4017"/>
      <c r="Z60" s="4017"/>
      <c r="AA60" s="4017"/>
      <c r="AB60" s="4017"/>
      <c r="AC60" s="4017"/>
      <c r="AD60" s="4017"/>
      <c r="AE60" s="4017"/>
      <c r="AF60" s="4017"/>
      <c r="AG60" s="4017"/>
      <c r="AH60" s="4017"/>
      <c r="AI60" s="4013"/>
      <c r="AJ60" s="4013"/>
      <c r="AK60" s="4013"/>
      <c r="AL60" s="3930"/>
      <c r="AM60" s="4016"/>
      <c r="AN60" s="3097"/>
      <c r="AO60" s="668"/>
      <c r="AP60" s="668"/>
      <c r="AQ60" s="668"/>
      <c r="AR60" s="668"/>
    </row>
    <row r="61" spans="1:44" ht="42.75" customHeight="1" x14ac:dyDescent="0.2">
      <c r="A61" s="1089"/>
      <c r="B61" s="1090"/>
      <c r="C61" s="1121"/>
      <c r="D61" s="677"/>
      <c r="E61" s="1121"/>
      <c r="F61" s="677"/>
      <c r="G61" s="2973"/>
      <c r="H61" s="3938"/>
      <c r="I61" s="3938"/>
      <c r="J61" s="3251"/>
      <c r="K61" s="3990"/>
      <c r="L61" s="3969"/>
      <c r="M61" s="3959"/>
      <c r="N61" s="3029"/>
      <c r="O61" s="3497"/>
      <c r="P61" s="4023"/>
      <c r="Q61" s="3259"/>
      <c r="R61" s="1139" t="s">
        <v>986</v>
      </c>
      <c r="S61" s="1136">
        <v>4000000</v>
      </c>
      <c r="T61" s="3984"/>
      <c r="U61" s="3962"/>
      <c r="V61" s="4020"/>
      <c r="W61" s="4017"/>
      <c r="X61" s="4017"/>
      <c r="Y61" s="4017"/>
      <c r="Z61" s="4017"/>
      <c r="AA61" s="4017"/>
      <c r="AB61" s="4017"/>
      <c r="AC61" s="4017"/>
      <c r="AD61" s="4017"/>
      <c r="AE61" s="4017"/>
      <c r="AF61" s="4017"/>
      <c r="AG61" s="4017"/>
      <c r="AH61" s="4017"/>
      <c r="AI61" s="4013"/>
      <c r="AJ61" s="4013"/>
      <c r="AK61" s="4013"/>
      <c r="AL61" s="3930"/>
      <c r="AM61" s="4016"/>
      <c r="AN61" s="3097"/>
      <c r="AO61" s="668"/>
      <c r="AP61" s="668"/>
      <c r="AQ61" s="668"/>
      <c r="AR61" s="668"/>
    </row>
    <row r="62" spans="1:44" ht="110.25" customHeight="1" x14ac:dyDescent="0.2">
      <c r="A62" s="1089"/>
      <c r="B62" s="1090"/>
      <c r="C62" s="1121"/>
      <c r="D62" s="677"/>
      <c r="E62" s="1121"/>
      <c r="F62" s="677"/>
      <c r="G62" s="2973"/>
      <c r="H62" s="3938"/>
      <c r="I62" s="3938"/>
      <c r="J62" s="3251"/>
      <c r="K62" s="3990"/>
      <c r="L62" s="3969"/>
      <c r="M62" s="3959"/>
      <c r="N62" s="3029"/>
      <c r="O62" s="3497"/>
      <c r="P62" s="4023"/>
      <c r="Q62" s="3259" t="s">
        <v>987</v>
      </c>
      <c r="R62" s="1139" t="s">
        <v>988</v>
      </c>
      <c r="S62" s="1136">
        <f>22000000-2299000</f>
        <v>19701000</v>
      </c>
      <c r="T62" s="3984"/>
      <c r="U62" s="3962"/>
      <c r="V62" s="4020"/>
      <c r="W62" s="4017"/>
      <c r="X62" s="4017"/>
      <c r="Y62" s="4017"/>
      <c r="Z62" s="4017"/>
      <c r="AA62" s="4017"/>
      <c r="AB62" s="4017"/>
      <c r="AC62" s="4017"/>
      <c r="AD62" s="4017"/>
      <c r="AE62" s="4017"/>
      <c r="AF62" s="4017"/>
      <c r="AG62" s="4017"/>
      <c r="AH62" s="4017"/>
      <c r="AI62" s="4013"/>
      <c r="AJ62" s="4013"/>
      <c r="AK62" s="4013"/>
      <c r="AL62" s="3930"/>
      <c r="AM62" s="4016"/>
      <c r="AN62" s="3097"/>
      <c r="AO62" s="668"/>
      <c r="AP62" s="668"/>
      <c r="AQ62" s="668"/>
      <c r="AR62" s="668"/>
    </row>
    <row r="63" spans="1:44" ht="55.5" customHeight="1" x14ac:dyDescent="0.2">
      <c r="A63" s="1089"/>
      <c r="B63" s="1090"/>
      <c r="C63" s="1121"/>
      <c r="D63" s="677"/>
      <c r="E63" s="1121"/>
      <c r="F63" s="677"/>
      <c r="G63" s="2973"/>
      <c r="H63" s="3938"/>
      <c r="I63" s="3938"/>
      <c r="J63" s="3251"/>
      <c r="K63" s="3990"/>
      <c r="L63" s="3969"/>
      <c r="M63" s="3959"/>
      <c r="N63" s="3029"/>
      <c r="O63" s="3497"/>
      <c r="P63" s="4023"/>
      <c r="Q63" s="3259"/>
      <c r="R63" s="1139" t="s">
        <v>989</v>
      </c>
      <c r="S63" s="1136">
        <f>13010000-5000000</f>
        <v>8010000</v>
      </c>
      <c r="T63" s="3984"/>
      <c r="U63" s="3962"/>
      <c r="V63" s="4020"/>
      <c r="W63" s="4017"/>
      <c r="X63" s="4017"/>
      <c r="Y63" s="4017"/>
      <c r="Z63" s="4017"/>
      <c r="AA63" s="4017"/>
      <c r="AB63" s="4017"/>
      <c r="AC63" s="4017"/>
      <c r="AD63" s="4017"/>
      <c r="AE63" s="4017"/>
      <c r="AF63" s="4017"/>
      <c r="AG63" s="4017"/>
      <c r="AH63" s="4017"/>
      <c r="AI63" s="4013"/>
      <c r="AJ63" s="4013"/>
      <c r="AK63" s="4013"/>
      <c r="AL63" s="3930"/>
      <c r="AM63" s="4016"/>
      <c r="AN63" s="3097"/>
      <c r="AO63" s="668"/>
      <c r="AP63" s="668"/>
      <c r="AQ63" s="668"/>
      <c r="AR63" s="668"/>
    </row>
    <row r="64" spans="1:44" ht="102.75" customHeight="1" x14ac:dyDescent="0.2">
      <c r="A64" s="1089"/>
      <c r="B64" s="1090"/>
      <c r="C64" s="1121"/>
      <c r="D64" s="677"/>
      <c r="E64" s="1121"/>
      <c r="F64" s="677"/>
      <c r="G64" s="2973"/>
      <c r="H64" s="3938"/>
      <c r="I64" s="3938"/>
      <c r="J64" s="3251"/>
      <c r="K64" s="3990"/>
      <c r="L64" s="3969"/>
      <c r="M64" s="3959"/>
      <c r="N64" s="3029"/>
      <c r="O64" s="3497"/>
      <c r="P64" s="4023"/>
      <c r="Q64" s="3259"/>
      <c r="R64" s="1139" t="s">
        <v>990</v>
      </c>
      <c r="S64" s="1136">
        <v>6000000</v>
      </c>
      <c r="T64" s="3984"/>
      <c r="U64" s="3962"/>
      <c r="V64" s="4020"/>
      <c r="W64" s="4017"/>
      <c r="X64" s="4017"/>
      <c r="Y64" s="4017"/>
      <c r="Z64" s="4017"/>
      <c r="AA64" s="4017"/>
      <c r="AB64" s="4017"/>
      <c r="AC64" s="4017"/>
      <c r="AD64" s="4017"/>
      <c r="AE64" s="4017"/>
      <c r="AF64" s="4017"/>
      <c r="AG64" s="4017"/>
      <c r="AH64" s="4017"/>
      <c r="AI64" s="4013"/>
      <c r="AJ64" s="4013"/>
      <c r="AK64" s="4013"/>
      <c r="AL64" s="3930"/>
      <c r="AM64" s="4016"/>
      <c r="AN64" s="3097"/>
      <c r="AO64" s="668"/>
      <c r="AP64" s="668"/>
      <c r="AQ64" s="668"/>
      <c r="AR64" s="668"/>
    </row>
    <row r="65" spans="1:255" ht="28.5" x14ac:dyDescent="0.2">
      <c r="A65" s="1089"/>
      <c r="B65" s="1090"/>
      <c r="C65" s="1121"/>
      <c r="D65" s="677"/>
      <c r="E65" s="1121"/>
      <c r="F65" s="677"/>
      <c r="G65" s="2973"/>
      <c r="H65" s="3938"/>
      <c r="I65" s="3938"/>
      <c r="J65" s="3251"/>
      <c r="K65" s="3990"/>
      <c r="L65" s="3969"/>
      <c r="M65" s="3959"/>
      <c r="N65" s="3029"/>
      <c r="O65" s="3497"/>
      <c r="P65" s="4023"/>
      <c r="Q65" s="3259"/>
      <c r="R65" s="1139" t="s">
        <v>991</v>
      </c>
      <c r="S65" s="1136">
        <f>12580000-2580000</f>
        <v>10000000</v>
      </c>
      <c r="T65" s="3984"/>
      <c r="U65" s="3962"/>
      <c r="V65" s="4020"/>
      <c r="W65" s="4017"/>
      <c r="X65" s="4017"/>
      <c r="Y65" s="4017"/>
      <c r="Z65" s="4017"/>
      <c r="AA65" s="4017"/>
      <c r="AB65" s="4017"/>
      <c r="AC65" s="4017"/>
      <c r="AD65" s="4017"/>
      <c r="AE65" s="4017"/>
      <c r="AF65" s="4017"/>
      <c r="AG65" s="4017"/>
      <c r="AH65" s="4017"/>
      <c r="AI65" s="4013"/>
      <c r="AJ65" s="4013"/>
      <c r="AK65" s="4013"/>
      <c r="AL65" s="3930"/>
      <c r="AM65" s="4016"/>
      <c r="AN65" s="3097"/>
    </row>
    <row r="66" spans="1:255" ht="28.5" x14ac:dyDescent="0.2">
      <c r="A66" s="1089"/>
      <c r="B66" s="1090"/>
      <c r="C66" s="1121"/>
      <c r="D66" s="677"/>
      <c r="E66" s="1121"/>
      <c r="F66" s="677"/>
      <c r="G66" s="2973"/>
      <c r="H66" s="3938"/>
      <c r="I66" s="3938"/>
      <c r="J66" s="3251"/>
      <c r="K66" s="3990"/>
      <c r="L66" s="3969"/>
      <c r="M66" s="3959"/>
      <c r="N66" s="3029"/>
      <c r="O66" s="3497"/>
      <c r="P66" s="4023"/>
      <c r="Q66" s="3259"/>
      <c r="R66" s="1139" t="s">
        <v>992</v>
      </c>
      <c r="S66" s="1136">
        <f>5000000+25959000</f>
        <v>30959000</v>
      </c>
      <c r="T66" s="3984"/>
      <c r="U66" s="3962"/>
      <c r="V66" s="4020"/>
      <c r="W66" s="4017"/>
      <c r="X66" s="4017"/>
      <c r="Y66" s="4017"/>
      <c r="Z66" s="4017"/>
      <c r="AA66" s="4017"/>
      <c r="AB66" s="4017"/>
      <c r="AC66" s="4017"/>
      <c r="AD66" s="4017"/>
      <c r="AE66" s="4017"/>
      <c r="AF66" s="4017"/>
      <c r="AG66" s="4017"/>
      <c r="AH66" s="4017"/>
      <c r="AI66" s="4013"/>
      <c r="AJ66" s="4013"/>
      <c r="AK66" s="4013"/>
      <c r="AL66" s="3930"/>
      <c r="AM66" s="4016"/>
      <c r="AN66" s="3097"/>
    </row>
    <row r="67" spans="1:255" ht="57" x14ac:dyDescent="0.2">
      <c r="A67" s="1089"/>
      <c r="B67" s="1090"/>
      <c r="C67" s="1121"/>
      <c r="D67" s="677"/>
      <c r="E67" s="1121"/>
      <c r="F67" s="677"/>
      <c r="G67" s="2973"/>
      <c r="H67" s="3938"/>
      <c r="I67" s="3938"/>
      <c r="J67" s="3251"/>
      <c r="K67" s="3990"/>
      <c r="L67" s="3969"/>
      <c r="M67" s="3959"/>
      <c r="N67" s="3029"/>
      <c r="O67" s="3497"/>
      <c r="P67" s="4023"/>
      <c r="Q67" s="3259"/>
      <c r="R67" s="1139" t="s">
        <v>993</v>
      </c>
      <c r="S67" s="1136">
        <v>7920000</v>
      </c>
      <c r="T67" s="3984"/>
      <c r="U67" s="3962"/>
      <c r="V67" s="4020"/>
      <c r="W67" s="4017"/>
      <c r="X67" s="4017"/>
      <c r="Y67" s="4017"/>
      <c r="Z67" s="4017"/>
      <c r="AA67" s="4017"/>
      <c r="AB67" s="4017"/>
      <c r="AC67" s="4017"/>
      <c r="AD67" s="4017"/>
      <c r="AE67" s="4017"/>
      <c r="AF67" s="4017"/>
      <c r="AG67" s="4017"/>
      <c r="AH67" s="4017"/>
      <c r="AI67" s="4013"/>
      <c r="AJ67" s="4013"/>
      <c r="AK67" s="4013"/>
      <c r="AL67" s="3930"/>
      <c r="AM67" s="4016"/>
      <c r="AN67" s="3097"/>
    </row>
    <row r="68" spans="1:255" ht="42.75" x14ac:dyDescent="0.2">
      <c r="A68" s="1089"/>
      <c r="B68" s="1090"/>
      <c r="C68" s="1121"/>
      <c r="D68" s="677"/>
      <c r="E68" s="1121"/>
      <c r="F68" s="677"/>
      <c r="G68" s="2973"/>
      <c r="H68" s="3938"/>
      <c r="I68" s="3938"/>
      <c r="J68" s="3251"/>
      <c r="K68" s="3990"/>
      <c r="L68" s="3969"/>
      <c r="M68" s="3959"/>
      <c r="N68" s="3029"/>
      <c r="O68" s="3497"/>
      <c r="P68" s="4023"/>
      <c r="Q68" s="3259"/>
      <c r="R68" s="1139" t="s">
        <v>994</v>
      </c>
      <c r="S68" s="1136">
        <v>8320000</v>
      </c>
      <c r="T68" s="3984"/>
      <c r="U68" s="3962"/>
      <c r="V68" s="4020"/>
      <c r="W68" s="4017"/>
      <c r="X68" s="4017"/>
      <c r="Y68" s="4017"/>
      <c r="Z68" s="4017"/>
      <c r="AA68" s="4017"/>
      <c r="AB68" s="4017"/>
      <c r="AC68" s="4017"/>
      <c r="AD68" s="4017"/>
      <c r="AE68" s="4017"/>
      <c r="AF68" s="4017"/>
      <c r="AG68" s="4017"/>
      <c r="AH68" s="4017"/>
      <c r="AI68" s="4013"/>
      <c r="AJ68" s="4013"/>
      <c r="AK68" s="4013"/>
      <c r="AL68" s="3930"/>
      <c r="AM68" s="4016"/>
      <c r="AN68" s="3097"/>
    </row>
    <row r="69" spans="1:255" ht="42.75" x14ac:dyDescent="0.2">
      <c r="A69" s="1089"/>
      <c r="B69" s="1090"/>
      <c r="C69" s="1121"/>
      <c r="D69" s="677"/>
      <c r="E69" s="1121"/>
      <c r="F69" s="677"/>
      <c r="G69" s="2973"/>
      <c r="H69" s="3938"/>
      <c r="I69" s="3938"/>
      <c r="J69" s="3251"/>
      <c r="K69" s="3990"/>
      <c r="L69" s="3969"/>
      <c r="M69" s="3959"/>
      <c r="N69" s="3029"/>
      <c r="O69" s="3497"/>
      <c r="P69" s="4023"/>
      <c r="Q69" s="3259"/>
      <c r="R69" s="1104" t="s">
        <v>995</v>
      </c>
      <c r="S69" s="1136">
        <v>10280000</v>
      </c>
      <c r="T69" s="3984"/>
      <c r="U69" s="3962"/>
      <c r="V69" s="4020"/>
      <c r="W69" s="4017"/>
      <c r="X69" s="4017"/>
      <c r="Y69" s="4017"/>
      <c r="Z69" s="4017"/>
      <c r="AA69" s="4017"/>
      <c r="AB69" s="4017"/>
      <c r="AC69" s="4017"/>
      <c r="AD69" s="4017"/>
      <c r="AE69" s="4017"/>
      <c r="AF69" s="4017"/>
      <c r="AG69" s="4017"/>
      <c r="AH69" s="4017"/>
      <c r="AI69" s="4013"/>
      <c r="AJ69" s="4013"/>
      <c r="AK69" s="4013"/>
      <c r="AL69" s="3930"/>
      <c r="AM69" s="4016"/>
      <c r="AN69" s="3097"/>
    </row>
    <row r="70" spans="1:255" ht="28.5" x14ac:dyDescent="0.2">
      <c r="A70" s="1089"/>
      <c r="B70" s="1090"/>
      <c r="C70" s="1121"/>
      <c r="D70" s="677"/>
      <c r="E70" s="1121"/>
      <c r="F70" s="677"/>
      <c r="G70" s="2973"/>
      <c r="H70" s="3938"/>
      <c r="I70" s="3938"/>
      <c r="J70" s="3251"/>
      <c r="K70" s="3990"/>
      <c r="L70" s="3969"/>
      <c r="M70" s="3959"/>
      <c r="N70" s="3029"/>
      <c r="O70" s="3497"/>
      <c r="P70" s="4023"/>
      <c r="Q70" s="3259"/>
      <c r="R70" s="1104" t="s">
        <v>996</v>
      </c>
      <c r="S70" s="1136">
        <v>2450000</v>
      </c>
      <c r="T70" s="3984"/>
      <c r="U70" s="3962"/>
      <c r="V70" s="4020"/>
      <c r="W70" s="4017"/>
      <c r="X70" s="4017"/>
      <c r="Y70" s="4017"/>
      <c r="Z70" s="4017"/>
      <c r="AA70" s="4017"/>
      <c r="AB70" s="4017"/>
      <c r="AC70" s="4017"/>
      <c r="AD70" s="4017"/>
      <c r="AE70" s="4017"/>
      <c r="AF70" s="4017"/>
      <c r="AG70" s="4017"/>
      <c r="AH70" s="4017"/>
      <c r="AI70" s="4013"/>
      <c r="AJ70" s="4013"/>
      <c r="AK70" s="4013"/>
      <c r="AL70" s="3930"/>
      <c r="AM70" s="4016"/>
      <c r="AN70" s="3097"/>
    </row>
    <row r="71" spans="1:255" ht="42.75" customHeight="1" x14ac:dyDescent="0.2">
      <c r="A71" s="1089"/>
      <c r="B71" s="1090"/>
      <c r="C71" s="1121"/>
      <c r="D71" s="677"/>
      <c r="E71" s="1121"/>
      <c r="F71" s="677"/>
      <c r="G71" s="2973"/>
      <c r="H71" s="3938"/>
      <c r="I71" s="3938"/>
      <c r="J71" s="3251"/>
      <c r="K71" s="3990"/>
      <c r="L71" s="3969"/>
      <c r="M71" s="3959"/>
      <c r="N71" s="3029"/>
      <c r="O71" s="3497"/>
      <c r="P71" s="4023"/>
      <c r="Q71" s="3259"/>
      <c r="R71" s="1104" t="s">
        <v>997</v>
      </c>
      <c r="S71" s="1136">
        <v>14800000</v>
      </c>
      <c r="T71" s="3984"/>
      <c r="U71" s="3962"/>
      <c r="V71" s="4020"/>
      <c r="W71" s="4017"/>
      <c r="X71" s="4017"/>
      <c r="Y71" s="4017"/>
      <c r="Z71" s="4017"/>
      <c r="AA71" s="4017"/>
      <c r="AB71" s="4017"/>
      <c r="AC71" s="4017"/>
      <c r="AD71" s="4017"/>
      <c r="AE71" s="4017"/>
      <c r="AF71" s="4017"/>
      <c r="AG71" s="4017"/>
      <c r="AH71" s="4017"/>
      <c r="AI71" s="4013"/>
      <c r="AJ71" s="4013"/>
      <c r="AK71" s="4013"/>
      <c r="AL71" s="3930"/>
      <c r="AM71" s="4016"/>
      <c r="AN71" s="3097"/>
    </row>
    <row r="72" spans="1:255" ht="28.5" x14ac:dyDescent="0.2">
      <c r="A72" s="1089"/>
      <c r="B72" s="1090"/>
      <c r="C72" s="1121"/>
      <c r="D72" s="677"/>
      <c r="E72" s="1121"/>
      <c r="F72" s="677"/>
      <c r="G72" s="2973"/>
      <c r="H72" s="3938"/>
      <c r="I72" s="3938"/>
      <c r="J72" s="3251"/>
      <c r="K72" s="3990"/>
      <c r="L72" s="3969"/>
      <c r="M72" s="3959"/>
      <c r="N72" s="3029"/>
      <c r="O72" s="3497"/>
      <c r="P72" s="4023"/>
      <c r="Q72" s="3259"/>
      <c r="R72" s="1139" t="s">
        <v>998</v>
      </c>
      <c r="S72" s="1136">
        <v>5280000</v>
      </c>
      <c r="T72" s="3984"/>
      <c r="U72" s="3962"/>
      <c r="V72" s="4020"/>
      <c r="W72" s="4017"/>
      <c r="X72" s="4017"/>
      <c r="Y72" s="4017"/>
      <c r="Z72" s="4017"/>
      <c r="AA72" s="4017"/>
      <c r="AB72" s="4017"/>
      <c r="AC72" s="4017"/>
      <c r="AD72" s="4017"/>
      <c r="AE72" s="4017"/>
      <c r="AF72" s="4017"/>
      <c r="AG72" s="4017"/>
      <c r="AH72" s="4017"/>
      <c r="AI72" s="4013"/>
      <c r="AJ72" s="4013"/>
      <c r="AK72" s="4013"/>
      <c r="AL72" s="3930"/>
      <c r="AM72" s="4016"/>
      <c r="AN72" s="3097"/>
    </row>
    <row r="73" spans="1:255" ht="28.5" x14ac:dyDescent="0.2">
      <c r="A73" s="1089"/>
      <c r="B73" s="1090"/>
      <c r="C73" s="1121"/>
      <c r="D73" s="677"/>
      <c r="E73" s="1121"/>
      <c r="F73" s="677"/>
      <c r="G73" s="2973"/>
      <c r="H73" s="3938"/>
      <c r="I73" s="3938"/>
      <c r="J73" s="3251"/>
      <c r="K73" s="3990"/>
      <c r="L73" s="3969"/>
      <c r="M73" s="3959"/>
      <c r="N73" s="3029"/>
      <c r="O73" s="3497"/>
      <c r="P73" s="4023"/>
      <c r="Q73" s="3259"/>
      <c r="R73" s="1139" t="s">
        <v>999</v>
      </c>
      <c r="S73" s="1136">
        <v>35000000</v>
      </c>
      <c r="T73" s="3984"/>
      <c r="U73" s="3962"/>
      <c r="V73" s="4020"/>
      <c r="W73" s="4017"/>
      <c r="X73" s="4017"/>
      <c r="Y73" s="4017"/>
      <c r="Z73" s="4017"/>
      <c r="AA73" s="4017"/>
      <c r="AB73" s="4017"/>
      <c r="AC73" s="4017"/>
      <c r="AD73" s="4017"/>
      <c r="AE73" s="4017"/>
      <c r="AF73" s="4017"/>
      <c r="AG73" s="4017"/>
      <c r="AH73" s="4017"/>
      <c r="AI73" s="4013"/>
      <c r="AJ73" s="4013"/>
      <c r="AK73" s="4013"/>
      <c r="AL73" s="3930"/>
      <c r="AM73" s="4016"/>
      <c r="AN73" s="3097"/>
    </row>
    <row r="74" spans="1:255" ht="28.5" x14ac:dyDescent="0.2">
      <c r="A74" s="1089"/>
      <c r="B74" s="1090"/>
      <c r="C74" s="1121"/>
      <c r="D74" s="677"/>
      <c r="E74" s="1121"/>
      <c r="F74" s="677"/>
      <c r="G74" s="2973"/>
      <c r="H74" s="3938"/>
      <c r="I74" s="3938"/>
      <c r="J74" s="3251"/>
      <c r="K74" s="3990"/>
      <c r="L74" s="3969"/>
      <c r="M74" s="3959"/>
      <c r="N74" s="3029"/>
      <c r="O74" s="3497"/>
      <c r="P74" s="4023"/>
      <c r="Q74" s="3247"/>
      <c r="R74" s="1139" t="s">
        <v>1000</v>
      </c>
      <c r="S74" s="1136">
        <f>20000000-3000000</f>
        <v>17000000</v>
      </c>
      <c r="T74" s="3984"/>
      <c r="U74" s="3962"/>
      <c r="V74" s="4021"/>
      <c r="W74" s="4018"/>
      <c r="X74" s="4018"/>
      <c r="Y74" s="4018"/>
      <c r="Z74" s="4018"/>
      <c r="AA74" s="4018"/>
      <c r="AB74" s="4018"/>
      <c r="AC74" s="4018"/>
      <c r="AD74" s="4018"/>
      <c r="AE74" s="4018"/>
      <c r="AF74" s="4018"/>
      <c r="AG74" s="4018"/>
      <c r="AH74" s="4018"/>
      <c r="AI74" s="3932"/>
      <c r="AJ74" s="3932"/>
      <c r="AK74" s="3932"/>
      <c r="AL74" s="2956"/>
      <c r="AM74" s="4016"/>
      <c r="AN74" s="2972"/>
    </row>
    <row r="75" spans="1:255" ht="15" x14ac:dyDescent="0.25">
      <c r="A75" s="1089"/>
      <c r="B75" s="1090"/>
      <c r="C75" s="1110">
        <v>18</v>
      </c>
      <c r="D75" s="1140" t="s">
        <v>1001</v>
      </c>
      <c r="E75" s="1141"/>
      <c r="F75" s="1141"/>
      <c r="G75" s="1141"/>
      <c r="H75" s="1113"/>
      <c r="I75" s="1113"/>
      <c r="J75" s="1141"/>
      <c r="K75" s="1141"/>
      <c r="L75" s="1141"/>
      <c r="M75" s="1114"/>
      <c r="N75" s="1141"/>
      <c r="O75" s="1142"/>
      <c r="P75" s="1113"/>
      <c r="Q75" s="1113"/>
      <c r="R75" s="1113"/>
      <c r="S75" s="1116"/>
      <c r="T75" s="1117"/>
      <c r="U75" s="1118"/>
      <c r="V75" s="1143"/>
      <c r="W75" s="1143"/>
      <c r="X75" s="1143"/>
      <c r="Y75" s="1143"/>
      <c r="Z75" s="1143"/>
      <c r="AA75" s="1143"/>
      <c r="AB75" s="1143"/>
      <c r="AC75" s="1143"/>
      <c r="AD75" s="1143"/>
      <c r="AE75" s="1143"/>
      <c r="AF75" s="1143"/>
      <c r="AG75" s="1143"/>
      <c r="AH75" s="1143"/>
      <c r="AI75" s="1143"/>
      <c r="AJ75" s="1143"/>
      <c r="AK75" s="1143"/>
      <c r="AL75" s="1143"/>
      <c r="AM75" s="1143"/>
      <c r="AN75" s="1144"/>
      <c r="AO75" s="1145"/>
      <c r="AP75" s="1145"/>
      <c r="AQ75" s="1145"/>
      <c r="AR75" s="1145"/>
      <c r="AS75" s="1146"/>
      <c r="AT75" s="1146"/>
      <c r="AU75" s="1146"/>
      <c r="AV75" s="1146"/>
      <c r="AW75" s="1146"/>
      <c r="AX75" s="1146"/>
      <c r="AY75" s="1146"/>
      <c r="AZ75" s="1146"/>
      <c r="BA75" s="1146"/>
      <c r="BB75" s="1146"/>
      <c r="BC75" s="1146"/>
      <c r="BD75" s="1146"/>
      <c r="BE75" s="1146"/>
      <c r="BF75" s="1146"/>
      <c r="BG75" s="1146"/>
      <c r="BH75" s="1146"/>
      <c r="BI75" s="1146"/>
      <c r="BJ75" s="1146"/>
      <c r="BK75" s="1146"/>
      <c r="BL75" s="1146"/>
      <c r="BM75" s="1146"/>
      <c r="BN75" s="1146"/>
      <c r="BO75" s="1146"/>
      <c r="BP75" s="1146"/>
      <c r="BQ75" s="1146"/>
      <c r="BR75" s="1146"/>
      <c r="BS75" s="1146"/>
      <c r="BT75" s="1146"/>
      <c r="BU75" s="1146"/>
      <c r="BV75" s="1146"/>
      <c r="BW75" s="1146"/>
      <c r="BX75" s="1146"/>
      <c r="BY75" s="1146"/>
      <c r="BZ75" s="1146"/>
      <c r="CA75" s="1146"/>
      <c r="CB75" s="1146"/>
      <c r="CC75" s="1146"/>
      <c r="CD75" s="1146"/>
      <c r="CE75" s="1146"/>
      <c r="CF75" s="1146"/>
      <c r="CG75" s="1146"/>
      <c r="CH75" s="1146"/>
      <c r="CI75" s="1146"/>
      <c r="CJ75" s="1146"/>
      <c r="CK75" s="1146"/>
      <c r="CL75" s="1146"/>
      <c r="CM75" s="1146"/>
      <c r="CN75" s="1146"/>
      <c r="CO75" s="1146"/>
      <c r="CP75" s="1146"/>
      <c r="CQ75" s="1146"/>
      <c r="CR75" s="1146"/>
      <c r="CS75" s="1146"/>
      <c r="CT75" s="1146"/>
      <c r="CU75" s="1146"/>
      <c r="CV75" s="1146"/>
      <c r="CW75" s="1146"/>
      <c r="CX75" s="1146"/>
      <c r="CY75" s="1146"/>
      <c r="CZ75" s="1146"/>
      <c r="DA75" s="1146"/>
      <c r="DB75" s="1146"/>
      <c r="DC75" s="1146"/>
      <c r="DD75" s="1146"/>
      <c r="DE75" s="1146"/>
      <c r="DF75" s="1146"/>
      <c r="DG75" s="1146"/>
      <c r="DH75" s="1146"/>
      <c r="DI75" s="1146"/>
      <c r="DJ75" s="1146"/>
      <c r="DK75" s="1146"/>
      <c r="DL75" s="1146"/>
      <c r="DM75" s="1146"/>
      <c r="DN75" s="1146"/>
      <c r="DO75" s="1146"/>
      <c r="DP75" s="1146"/>
      <c r="DQ75" s="1146"/>
      <c r="DR75" s="1146"/>
      <c r="DS75" s="1146"/>
      <c r="DT75" s="1146"/>
      <c r="DU75" s="1146"/>
      <c r="DV75" s="1146"/>
      <c r="DW75" s="1146"/>
      <c r="DX75" s="1146"/>
      <c r="DY75" s="1146"/>
      <c r="DZ75" s="1146"/>
      <c r="EA75" s="1146"/>
      <c r="EB75" s="1146"/>
      <c r="EC75" s="1146"/>
      <c r="ED75" s="1146"/>
      <c r="EE75" s="1146"/>
      <c r="EF75" s="1146"/>
      <c r="EG75" s="1146"/>
      <c r="EH75" s="1146"/>
      <c r="EI75" s="1146"/>
      <c r="EJ75" s="1146"/>
      <c r="EK75" s="1146"/>
      <c r="EL75" s="1146"/>
      <c r="EM75" s="1146"/>
      <c r="EN75" s="1146"/>
      <c r="EO75" s="1146"/>
      <c r="EP75" s="1146"/>
      <c r="EQ75" s="1146"/>
      <c r="ER75" s="1146"/>
      <c r="ES75" s="1146"/>
      <c r="ET75" s="1146"/>
      <c r="EU75" s="1146"/>
      <c r="EV75" s="1146"/>
      <c r="EW75" s="1146"/>
      <c r="EX75" s="1146"/>
      <c r="EY75" s="1146"/>
      <c r="EZ75" s="1146"/>
      <c r="FA75" s="1146"/>
      <c r="FB75" s="1146"/>
      <c r="FC75" s="1146"/>
      <c r="FD75" s="1146"/>
      <c r="FE75" s="1146"/>
      <c r="FF75" s="1146"/>
      <c r="FG75" s="1146"/>
      <c r="FH75" s="1146"/>
      <c r="FI75" s="1146"/>
      <c r="FJ75" s="1146"/>
      <c r="FK75" s="1146"/>
      <c r="FL75" s="1146"/>
      <c r="FM75" s="1146"/>
      <c r="FN75" s="1146"/>
      <c r="FO75" s="1146"/>
      <c r="FP75" s="1146"/>
      <c r="FQ75" s="1146"/>
      <c r="FR75" s="1146"/>
      <c r="FS75" s="1146"/>
      <c r="FT75" s="1146"/>
      <c r="FU75" s="1146"/>
      <c r="FV75" s="1146"/>
      <c r="FW75" s="1146"/>
      <c r="FX75" s="1146"/>
      <c r="FY75" s="1146"/>
      <c r="FZ75" s="1146"/>
      <c r="GA75" s="1146"/>
      <c r="GB75" s="1146"/>
      <c r="GC75" s="1146"/>
      <c r="GD75" s="1146"/>
      <c r="GE75" s="1146"/>
      <c r="GF75" s="1146"/>
      <c r="GG75" s="1146"/>
      <c r="GH75" s="1146"/>
      <c r="GI75" s="1146"/>
      <c r="GJ75" s="1146"/>
      <c r="GK75" s="1146"/>
      <c r="GL75" s="1146"/>
      <c r="GM75" s="1146"/>
      <c r="GN75" s="1146"/>
      <c r="GO75" s="1146"/>
      <c r="GP75" s="1146"/>
      <c r="GQ75" s="1146"/>
      <c r="GR75" s="1146"/>
      <c r="GS75" s="1146"/>
      <c r="GT75" s="1146"/>
      <c r="GU75" s="1146"/>
      <c r="GV75" s="1146"/>
      <c r="GW75" s="1146"/>
      <c r="GX75" s="1146"/>
      <c r="GY75" s="1146"/>
      <c r="GZ75" s="1146"/>
      <c r="HA75" s="1146"/>
      <c r="HB75" s="1146"/>
      <c r="HC75" s="1146"/>
      <c r="HD75" s="1146"/>
      <c r="HE75" s="1146"/>
      <c r="HF75" s="1146"/>
      <c r="HG75" s="1146"/>
      <c r="HH75" s="1146"/>
      <c r="HI75" s="1146"/>
      <c r="HJ75" s="1146"/>
      <c r="HK75" s="1146"/>
      <c r="HL75" s="1146"/>
      <c r="HM75" s="1146"/>
      <c r="HN75" s="1146"/>
      <c r="HO75" s="1146"/>
      <c r="HP75" s="1146"/>
      <c r="HQ75" s="1146"/>
      <c r="HR75" s="1146"/>
      <c r="HS75" s="1146"/>
      <c r="HT75" s="1146"/>
      <c r="HU75" s="1146"/>
      <c r="HV75" s="1146"/>
      <c r="HW75" s="1146"/>
      <c r="HX75" s="1146"/>
      <c r="HY75" s="1146"/>
      <c r="HZ75" s="1146"/>
      <c r="IA75" s="1146"/>
      <c r="IB75" s="1146"/>
      <c r="IC75" s="1146"/>
      <c r="ID75" s="1146"/>
      <c r="IE75" s="1146"/>
      <c r="IF75" s="1146"/>
      <c r="IG75" s="1146"/>
      <c r="IH75" s="1146"/>
      <c r="II75" s="1146"/>
      <c r="IJ75" s="1146"/>
      <c r="IK75" s="1146"/>
      <c r="IL75" s="1146"/>
      <c r="IM75" s="1146"/>
      <c r="IN75" s="1146"/>
      <c r="IO75" s="1146"/>
      <c r="IP75" s="1146"/>
      <c r="IQ75" s="1146"/>
      <c r="IR75" s="1146"/>
      <c r="IS75" s="1146"/>
      <c r="IT75" s="1146"/>
      <c r="IU75" s="1146"/>
    </row>
    <row r="76" spans="1:255" ht="15" x14ac:dyDescent="0.2">
      <c r="A76" s="1089"/>
      <c r="B76" s="1090"/>
      <c r="C76" s="1121"/>
      <c r="D76" s="677"/>
      <c r="E76" s="228">
        <v>62</v>
      </c>
      <c r="F76" s="1122" t="s">
        <v>1002</v>
      </c>
      <c r="G76" s="1123"/>
      <c r="H76" s="1124"/>
      <c r="I76" s="1124"/>
      <c r="J76" s="1123"/>
      <c r="K76" s="1123"/>
      <c r="L76" s="1123"/>
      <c r="M76" s="1125"/>
      <c r="N76" s="1123"/>
      <c r="O76" s="1126"/>
      <c r="P76" s="1124"/>
      <c r="Q76" s="1124"/>
      <c r="R76" s="1124"/>
      <c r="S76" s="1128"/>
      <c r="T76" s="1129"/>
      <c r="U76" s="1130"/>
      <c r="V76" s="1134"/>
      <c r="W76" s="1134"/>
      <c r="X76" s="1123"/>
      <c r="Y76" s="1123"/>
      <c r="Z76" s="1123"/>
      <c r="AA76" s="1123"/>
      <c r="AB76" s="1123"/>
      <c r="AC76" s="1123"/>
      <c r="AD76" s="1123"/>
      <c r="AE76" s="1123"/>
      <c r="AF76" s="1123"/>
      <c r="AG76" s="1123"/>
      <c r="AH76" s="1123"/>
      <c r="AI76" s="1123"/>
      <c r="AJ76" s="1123"/>
      <c r="AK76" s="1123"/>
      <c r="AL76" s="1123"/>
      <c r="AM76" s="1123"/>
      <c r="AN76" s="1131"/>
    </row>
    <row r="77" spans="1:255" ht="53.25" customHeight="1" x14ac:dyDescent="0.2">
      <c r="A77" s="1089"/>
      <c r="B77" s="1090"/>
      <c r="C77" s="1121"/>
      <c r="D77" s="677"/>
      <c r="E77" s="708"/>
      <c r="F77" s="1132"/>
      <c r="G77" s="4010">
        <v>191</v>
      </c>
      <c r="H77" s="4004" t="s">
        <v>1003</v>
      </c>
      <c r="I77" s="3274" t="s">
        <v>1004</v>
      </c>
      <c r="J77" s="4003">
        <v>1</v>
      </c>
      <c r="K77" s="3989" t="s">
        <v>1005</v>
      </c>
      <c r="L77" s="3969" t="s">
        <v>1006</v>
      </c>
      <c r="M77" s="3960" t="s">
        <v>1007</v>
      </c>
      <c r="N77" s="3045">
        <v>1</v>
      </c>
      <c r="O77" s="3012">
        <f>SUM(S77:S93)</f>
        <v>1008600000</v>
      </c>
      <c r="P77" s="3959" t="s">
        <v>1008</v>
      </c>
      <c r="Q77" s="3253" t="s">
        <v>1009</v>
      </c>
      <c r="R77" s="1147" t="s">
        <v>1010</v>
      </c>
      <c r="S77" s="1148">
        <v>50000000</v>
      </c>
      <c r="T77" s="4014">
        <v>20</v>
      </c>
      <c r="U77" s="4014" t="s">
        <v>62</v>
      </c>
      <c r="V77" s="4012">
        <v>1500</v>
      </c>
      <c r="W77" s="4013">
        <v>1000</v>
      </c>
      <c r="X77" s="3933">
        <v>500</v>
      </c>
      <c r="Y77" s="3932">
        <v>700</v>
      </c>
      <c r="Z77" s="3932">
        <v>1000</v>
      </c>
      <c r="AA77" s="3932">
        <v>300</v>
      </c>
      <c r="AB77" s="3932"/>
      <c r="AC77" s="3932"/>
      <c r="AD77" s="3932"/>
      <c r="AE77" s="3932"/>
      <c r="AF77" s="3932"/>
      <c r="AG77" s="3932"/>
      <c r="AH77" s="3932"/>
      <c r="AI77" s="3932"/>
      <c r="AJ77" s="3932"/>
      <c r="AK77" s="3932">
        <f>+V77+W77</f>
        <v>2500</v>
      </c>
      <c r="AL77" s="2957">
        <v>43467</v>
      </c>
      <c r="AM77" s="2957">
        <v>43830</v>
      </c>
      <c r="AN77" s="2974" t="s">
        <v>1011</v>
      </c>
    </row>
    <row r="78" spans="1:255" ht="60" customHeight="1" x14ac:dyDescent="0.2">
      <c r="A78" s="1089"/>
      <c r="B78" s="1090"/>
      <c r="C78" s="1121"/>
      <c r="D78" s="677"/>
      <c r="E78" s="1121"/>
      <c r="F78" s="677"/>
      <c r="G78" s="4010"/>
      <c r="H78" s="4004"/>
      <c r="I78" s="3274"/>
      <c r="J78" s="4003"/>
      <c r="K78" s="3990"/>
      <c r="L78" s="3969"/>
      <c r="M78" s="3960"/>
      <c r="N78" s="3029"/>
      <c r="O78" s="3012"/>
      <c r="P78" s="3959"/>
      <c r="Q78" s="3254"/>
      <c r="R78" s="1147" t="s">
        <v>1012</v>
      </c>
      <c r="S78" s="1148">
        <v>20000000</v>
      </c>
      <c r="T78" s="4014"/>
      <c r="U78" s="4014"/>
      <c r="V78" s="4012"/>
      <c r="W78" s="4013"/>
      <c r="X78" s="3934"/>
      <c r="Y78" s="3928"/>
      <c r="Z78" s="3928"/>
      <c r="AA78" s="3928"/>
      <c r="AB78" s="3928"/>
      <c r="AC78" s="3928"/>
      <c r="AD78" s="3928"/>
      <c r="AE78" s="3928"/>
      <c r="AF78" s="3928"/>
      <c r="AG78" s="3928"/>
      <c r="AH78" s="3928"/>
      <c r="AI78" s="3928"/>
      <c r="AJ78" s="3928"/>
      <c r="AK78" s="3928"/>
      <c r="AL78" s="2957"/>
      <c r="AM78" s="2957"/>
      <c r="AN78" s="2974"/>
    </row>
    <row r="79" spans="1:255" ht="56.25" customHeight="1" x14ac:dyDescent="0.2">
      <c r="A79" s="1089"/>
      <c r="B79" s="1090"/>
      <c r="C79" s="1121"/>
      <c r="D79" s="677"/>
      <c r="E79" s="1121"/>
      <c r="F79" s="677"/>
      <c r="G79" s="4010"/>
      <c r="H79" s="4004"/>
      <c r="I79" s="3274"/>
      <c r="J79" s="4003"/>
      <c r="K79" s="3990"/>
      <c r="L79" s="3969"/>
      <c r="M79" s="3960"/>
      <c r="N79" s="3029"/>
      <c r="O79" s="3012"/>
      <c r="P79" s="3959"/>
      <c r="Q79" s="3254"/>
      <c r="R79" s="1147" t="s">
        <v>1013</v>
      </c>
      <c r="S79" s="1148">
        <v>50000000</v>
      </c>
      <c r="T79" s="4014"/>
      <c r="U79" s="4014"/>
      <c r="V79" s="4012"/>
      <c r="W79" s="4013"/>
      <c r="X79" s="3934"/>
      <c r="Y79" s="3928"/>
      <c r="Z79" s="3928"/>
      <c r="AA79" s="3928"/>
      <c r="AB79" s="3928"/>
      <c r="AC79" s="3928"/>
      <c r="AD79" s="3928"/>
      <c r="AE79" s="3928"/>
      <c r="AF79" s="3928"/>
      <c r="AG79" s="3928"/>
      <c r="AH79" s="3928"/>
      <c r="AI79" s="3928"/>
      <c r="AJ79" s="3928"/>
      <c r="AK79" s="3928"/>
      <c r="AL79" s="2957"/>
      <c r="AM79" s="2957"/>
      <c r="AN79" s="2974"/>
    </row>
    <row r="80" spans="1:255" ht="59.25" customHeight="1" x14ac:dyDescent="0.2">
      <c r="A80" s="1089"/>
      <c r="B80" s="1090"/>
      <c r="C80" s="1121"/>
      <c r="D80" s="677"/>
      <c r="E80" s="1121"/>
      <c r="F80" s="677"/>
      <c r="G80" s="4010"/>
      <c r="H80" s="4004"/>
      <c r="I80" s="3274"/>
      <c r="J80" s="4003"/>
      <c r="K80" s="3990"/>
      <c r="L80" s="3969"/>
      <c r="M80" s="3960"/>
      <c r="N80" s="3029"/>
      <c r="O80" s="3012"/>
      <c r="P80" s="3959"/>
      <c r="Q80" s="3254"/>
      <c r="R80" s="1147" t="s">
        <v>1014</v>
      </c>
      <c r="S80" s="1148">
        <v>50000000</v>
      </c>
      <c r="T80" s="4014"/>
      <c r="U80" s="4014"/>
      <c r="V80" s="4012"/>
      <c r="W80" s="4013"/>
      <c r="X80" s="3934"/>
      <c r="Y80" s="3928"/>
      <c r="Z80" s="3928"/>
      <c r="AA80" s="3928"/>
      <c r="AB80" s="3928"/>
      <c r="AC80" s="3928"/>
      <c r="AD80" s="3928"/>
      <c r="AE80" s="3928"/>
      <c r="AF80" s="3928"/>
      <c r="AG80" s="3928"/>
      <c r="AH80" s="3928"/>
      <c r="AI80" s="3928"/>
      <c r="AJ80" s="3928"/>
      <c r="AK80" s="3928"/>
      <c r="AL80" s="2957"/>
      <c r="AM80" s="2957"/>
      <c r="AN80" s="2974"/>
    </row>
    <row r="81" spans="1:44" ht="71.25" x14ac:dyDescent="0.2">
      <c r="A81" s="1089"/>
      <c r="B81" s="1090"/>
      <c r="C81" s="1121"/>
      <c r="D81" s="677"/>
      <c r="E81" s="1121"/>
      <c r="F81" s="677"/>
      <c r="G81" s="4010"/>
      <c r="H81" s="4004"/>
      <c r="I81" s="3274"/>
      <c r="J81" s="4003"/>
      <c r="K81" s="3990"/>
      <c r="L81" s="3969"/>
      <c r="M81" s="3960"/>
      <c r="N81" s="3029"/>
      <c r="O81" s="3012"/>
      <c r="P81" s="3959"/>
      <c r="Q81" s="3254"/>
      <c r="R81" s="1147" t="s">
        <v>1015</v>
      </c>
      <c r="S81" s="1148">
        <v>270000000</v>
      </c>
      <c r="T81" s="4014"/>
      <c r="U81" s="4014"/>
      <c r="V81" s="4012"/>
      <c r="W81" s="4013"/>
      <c r="X81" s="3934"/>
      <c r="Y81" s="3928"/>
      <c r="Z81" s="3928"/>
      <c r="AA81" s="3928"/>
      <c r="AB81" s="3928"/>
      <c r="AC81" s="3928"/>
      <c r="AD81" s="3928"/>
      <c r="AE81" s="3928"/>
      <c r="AF81" s="3928"/>
      <c r="AG81" s="3928"/>
      <c r="AH81" s="3928"/>
      <c r="AI81" s="3928"/>
      <c r="AJ81" s="3928"/>
      <c r="AK81" s="3928"/>
      <c r="AL81" s="2957"/>
      <c r="AM81" s="2957"/>
      <c r="AN81" s="2974"/>
      <c r="AO81" s="668"/>
      <c r="AP81" s="668"/>
      <c r="AQ81" s="668"/>
      <c r="AR81" s="668"/>
    </row>
    <row r="82" spans="1:44" ht="100.5" customHeight="1" x14ac:dyDescent="0.2">
      <c r="A82" s="1089"/>
      <c r="B82" s="1090"/>
      <c r="C82" s="1121"/>
      <c r="D82" s="677"/>
      <c r="E82" s="1121"/>
      <c r="F82" s="677"/>
      <c r="G82" s="4010"/>
      <c r="H82" s="4004"/>
      <c r="I82" s="3274"/>
      <c r="J82" s="4003"/>
      <c r="K82" s="3990"/>
      <c r="L82" s="3969"/>
      <c r="M82" s="3960"/>
      <c r="N82" s="3029"/>
      <c r="O82" s="3012"/>
      <c r="P82" s="3959"/>
      <c r="Q82" s="3254"/>
      <c r="R82" s="1147" t="s">
        <v>1016</v>
      </c>
      <c r="S82" s="1148">
        <v>29040000</v>
      </c>
      <c r="T82" s="4014"/>
      <c r="U82" s="4014"/>
      <c r="V82" s="4012"/>
      <c r="W82" s="4013"/>
      <c r="X82" s="3934"/>
      <c r="Y82" s="3928"/>
      <c r="Z82" s="3928"/>
      <c r="AA82" s="3928"/>
      <c r="AB82" s="3928"/>
      <c r="AC82" s="3928"/>
      <c r="AD82" s="3928"/>
      <c r="AE82" s="3928"/>
      <c r="AF82" s="3928"/>
      <c r="AG82" s="3928"/>
      <c r="AH82" s="3928"/>
      <c r="AI82" s="3928"/>
      <c r="AJ82" s="3928"/>
      <c r="AK82" s="3928"/>
      <c r="AL82" s="2957"/>
      <c r="AM82" s="2957"/>
      <c r="AN82" s="2974"/>
      <c r="AO82" s="668"/>
      <c r="AP82" s="668"/>
      <c r="AQ82" s="668"/>
      <c r="AR82" s="668"/>
    </row>
    <row r="83" spans="1:44" ht="77.25" customHeight="1" x14ac:dyDescent="0.2">
      <c r="A83" s="1089"/>
      <c r="B83" s="1090"/>
      <c r="C83" s="1121"/>
      <c r="D83" s="677"/>
      <c r="E83" s="1121"/>
      <c r="F83" s="677"/>
      <c r="G83" s="4010"/>
      <c r="H83" s="4004"/>
      <c r="I83" s="3274"/>
      <c r="J83" s="4003"/>
      <c r="K83" s="3990"/>
      <c r="L83" s="3969"/>
      <c r="M83" s="3960"/>
      <c r="N83" s="3029"/>
      <c r="O83" s="3012"/>
      <c r="P83" s="3959"/>
      <c r="Q83" s="3254"/>
      <c r="R83" s="1147" t="s">
        <v>1017</v>
      </c>
      <c r="S83" s="1148">
        <v>24360000</v>
      </c>
      <c r="T83" s="4014"/>
      <c r="U83" s="4014"/>
      <c r="V83" s="4012"/>
      <c r="W83" s="4013"/>
      <c r="X83" s="3934"/>
      <c r="Y83" s="3928"/>
      <c r="Z83" s="3928"/>
      <c r="AA83" s="3928"/>
      <c r="AB83" s="3928"/>
      <c r="AC83" s="3928"/>
      <c r="AD83" s="3928"/>
      <c r="AE83" s="3928"/>
      <c r="AF83" s="3928"/>
      <c r="AG83" s="3928"/>
      <c r="AH83" s="3928"/>
      <c r="AI83" s="3928"/>
      <c r="AJ83" s="3928"/>
      <c r="AK83" s="3928"/>
      <c r="AL83" s="2957"/>
      <c r="AM83" s="2957"/>
      <c r="AN83" s="2974"/>
      <c r="AO83" s="668"/>
      <c r="AP83" s="668"/>
      <c r="AQ83" s="668"/>
      <c r="AR83" s="668"/>
    </row>
    <row r="84" spans="1:44" ht="60" customHeight="1" x14ac:dyDescent="0.2">
      <c r="A84" s="1089"/>
      <c r="B84" s="1090"/>
      <c r="C84" s="1121"/>
      <c r="D84" s="677"/>
      <c r="E84" s="1121"/>
      <c r="F84" s="677"/>
      <c r="G84" s="4010"/>
      <c r="H84" s="4004"/>
      <c r="I84" s="3274"/>
      <c r="J84" s="4003"/>
      <c r="K84" s="3990"/>
      <c r="L84" s="3969"/>
      <c r="M84" s="3960"/>
      <c r="N84" s="3029"/>
      <c r="O84" s="3012"/>
      <c r="P84" s="3959"/>
      <c r="Q84" s="3254"/>
      <c r="R84" s="1147" t="s">
        <v>1018</v>
      </c>
      <c r="S84" s="1148">
        <v>21610000</v>
      </c>
      <c r="T84" s="4014"/>
      <c r="U84" s="4014"/>
      <c r="V84" s="4012"/>
      <c r="W84" s="4013"/>
      <c r="X84" s="3934"/>
      <c r="Y84" s="3928"/>
      <c r="Z84" s="3928"/>
      <c r="AA84" s="3928"/>
      <c r="AB84" s="3928"/>
      <c r="AC84" s="3928"/>
      <c r="AD84" s="3928"/>
      <c r="AE84" s="3928"/>
      <c r="AF84" s="3928"/>
      <c r="AG84" s="3928"/>
      <c r="AH84" s="3928"/>
      <c r="AI84" s="3928"/>
      <c r="AJ84" s="3928"/>
      <c r="AK84" s="3928"/>
      <c r="AL84" s="2957"/>
      <c r="AM84" s="2957"/>
      <c r="AN84" s="2974"/>
      <c r="AO84" s="668"/>
      <c r="AP84" s="668"/>
      <c r="AQ84" s="668"/>
      <c r="AR84" s="668"/>
    </row>
    <row r="85" spans="1:44" ht="72" customHeight="1" x14ac:dyDescent="0.2">
      <c r="A85" s="1089"/>
      <c r="B85" s="1090"/>
      <c r="C85" s="1121"/>
      <c r="D85" s="677"/>
      <c r="E85" s="1121"/>
      <c r="F85" s="677"/>
      <c r="G85" s="4010"/>
      <c r="H85" s="4004"/>
      <c r="I85" s="3274"/>
      <c r="J85" s="4003"/>
      <c r="K85" s="3990"/>
      <c r="L85" s="3969"/>
      <c r="M85" s="3960"/>
      <c r="N85" s="3029"/>
      <c r="O85" s="3012"/>
      <c r="P85" s="3959"/>
      <c r="Q85" s="3254"/>
      <c r="R85" s="1147" t="s">
        <v>1019</v>
      </c>
      <c r="S85" s="1148">
        <v>18590000</v>
      </c>
      <c r="T85" s="4014"/>
      <c r="U85" s="4014"/>
      <c r="V85" s="4012"/>
      <c r="W85" s="4013"/>
      <c r="X85" s="3934"/>
      <c r="Y85" s="3928"/>
      <c r="Z85" s="3928"/>
      <c r="AA85" s="3928"/>
      <c r="AB85" s="3928"/>
      <c r="AC85" s="3928"/>
      <c r="AD85" s="3928"/>
      <c r="AE85" s="3928"/>
      <c r="AF85" s="3928"/>
      <c r="AG85" s="3928"/>
      <c r="AH85" s="3928"/>
      <c r="AI85" s="3928"/>
      <c r="AJ85" s="3928"/>
      <c r="AK85" s="3928"/>
      <c r="AL85" s="2957"/>
      <c r="AM85" s="2957"/>
      <c r="AN85" s="2974"/>
      <c r="AO85" s="668"/>
      <c r="AP85" s="668"/>
      <c r="AQ85" s="668"/>
      <c r="AR85" s="668"/>
    </row>
    <row r="86" spans="1:44" ht="99.75" x14ac:dyDescent="0.2">
      <c r="A86" s="1089"/>
      <c r="B86" s="1090"/>
      <c r="C86" s="1121"/>
      <c r="D86" s="677"/>
      <c r="E86" s="1121"/>
      <c r="F86" s="677"/>
      <c r="G86" s="4010"/>
      <c r="H86" s="4004"/>
      <c r="I86" s="3274"/>
      <c r="J86" s="4003"/>
      <c r="K86" s="3990"/>
      <c r="L86" s="3969"/>
      <c r="M86" s="3960"/>
      <c r="N86" s="3029"/>
      <c r="O86" s="3012"/>
      <c r="P86" s="3959"/>
      <c r="Q86" s="3254"/>
      <c r="R86" s="1147" t="s">
        <v>1020</v>
      </c>
      <c r="S86" s="1148">
        <v>30000000</v>
      </c>
      <c r="T86" s="4014"/>
      <c r="U86" s="4014"/>
      <c r="V86" s="4012"/>
      <c r="W86" s="4013"/>
      <c r="X86" s="3934"/>
      <c r="Y86" s="3928"/>
      <c r="Z86" s="3928"/>
      <c r="AA86" s="3928"/>
      <c r="AB86" s="3928"/>
      <c r="AC86" s="3928"/>
      <c r="AD86" s="3928"/>
      <c r="AE86" s="3928"/>
      <c r="AF86" s="3928"/>
      <c r="AG86" s="3928"/>
      <c r="AH86" s="3928"/>
      <c r="AI86" s="3928"/>
      <c r="AJ86" s="3928"/>
      <c r="AK86" s="3928"/>
      <c r="AL86" s="2957"/>
      <c r="AM86" s="2957"/>
      <c r="AN86" s="2974"/>
      <c r="AO86" s="668"/>
      <c r="AP86" s="668"/>
      <c r="AQ86" s="668"/>
      <c r="AR86" s="668"/>
    </row>
    <row r="87" spans="1:44" ht="67.5" customHeight="1" x14ac:dyDescent="0.2">
      <c r="A87" s="1089"/>
      <c r="B87" s="1090"/>
      <c r="C87" s="1121"/>
      <c r="D87" s="677"/>
      <c r="E87" s="1121"/>
      <c r="F87" s="677"/>
      <c r="G87" s="4010"/>
      <c r="H87" s="4004"/>
      <c r="I87" s="3274"/>
      <c r="J87" s="4003"/>
      <c r="K87" s="3990"/>
      <c r="L87" s="3969"/>
      <c r="M87" s="3960"/>
      <c r="N87" s="3029"/>
      <c r="O87" s="3012"/>
      <c r="P87" s="3959"/>
      <c r="Q87" s="3255"/>
      <c r="R87" s="1147" t="s">
        <v>1021</v>
      </c>
      <c r="S87" s="1148">
        <v>15000000</v>
      </c>
      <c r="T87" s="4014"/>
      <c r="U87" s="4014"/>
      <c r="V87" s="4012"/>
      <c r="W87" s="4013"/>
      <c r="X87" s="3934"/>
      <c r="Y87" s="3928"/>
      <c r="Z87" s="3928"/>
      <c r="AA87" s="3928"/>
      <c r="AB87" s="3928"/>
      <c r="AC87" s="3928"/>
      <c r="AD87" s="3928"/>
      <c r="AE87" s="3928"/>
      <c r="AF87" s="3928"/>
      <c r="AG87" s="3928"/>
      <c r="AH87" s="3928"/>
      <c r="AI87" s="3928"/>
      <c r="AJ87" s="3928"/>
      <c r="AK87" s="3928"/>
      <c r="AL87" s="2957"/>
      <c r="AM87" s="2957"/>
      <c r="AN87" s="2974"/>
      <c r="AO87" s="668"/>
      <c r="AP87" s="668"/>
      <c r="AQ87" s="668"/>
      <c r="AR87" s="668"/>
    </row>
    <row r="88" spans="1:44" ht="71.25" x14ac:dyDescent="0.2">
      <c r="A88" s="1089"/>
      <c r="B88" s="1090"/>
      <c r="C88" s="1121"/>
      <c r="D88" s="677"/>
      <c r="E88" s="1121"/>
      <c r="F88" s="677"/>
      <c r="G88" s="4010"/>
      <c r="H88" s="4004"/>
      <c r="I88" s="3274"/>
      <c r="J88" s="4003"/>
      <c r="K88" s="3990"/>
      <c r="L88" s="3969"/>
      <c r="M88" s="3960"/>
      <c r="N88" s="3029"/>
      <c r="O88" s="3012"/>
      <c r="P88" s="3959"/>
      <c r="Q88" s="3274" t="s">
        <v>1022</v>
      </c>
      <c r="R88" s="1149" t="s">
        <v>1023</v>
      </c>
      <c r="S88" s="1148">
        <v>125000000</v>
      </c>
      <c r="T88" s="4014"/>
      <c r="U88" s="4014"/>
      <c r="V88" s="4012"/>
      <c r="W88" s="4013"/>
      <c r="X88" s="3934"/>
      <c r="Y88" s="3928"/>
      <c r="Z88" s="3928"/>
      <c r="AA88" s="3928"/>
      <c r="AB88" s="3928"/>
      <c r="AC88" s="3928"/>
      <c r="AD88" s="3928"/>
      <c r="AE88" s="3928"/>
      <c r="AF88" s="3928"/>
      <c r="AG88" s="3928"/>
      <c r="AH88" s="3928"/>
      <c r="AI88" s="3928"/>
      <c r="AJ88" s="3928"/>
      <c r="AK88" s="3928"/>
      <c r="AL88" s="2957"/>
      <c r="AM88" s="2957"/>
      <c r="AN88" s="2974"/>
      <c r="AO88" s="668"/>
      <c r="AP88" s="668"/>
      <c r="AQ88" s="668"/>
      <c r="AR88" s="668"/>
    </row>
    <row r="89" spans="1:44" ht="71.25" x14ac:dyDescent="0.2">
      <c r="A89" s="1089"/>
      <c r="B89" s="1090"/>
      <c r="C89" s="1121"/>
      <c r="D89" s="677"/>
      <c r="E89" s="1121"/>
      <c r="F89" s="677"/>
      <c r="G89" s="4010"/>
      <c r="H89" s="4004"/>
      <c r="I89" s="3274"/>
      <c r="J89" s="4003"/>
      <c r="K89" s="3990"/>
      <c r="L89" s="3969"/>
      <c r="M89" s="3960"/>
      <c r="N89" s="3029"/>
      <c r="O89" s="3012"/>
      <c r="P89" s="3959"/>
      <c r="Q89" s="3274"/>
      <c r="R89" s="1147" t="s">
        <v>1024</v>
      </c>
      <c r="S89" s="1148">
        <v>50000000</v>
      </c>
      <c r="T89" s="4014"/>
      <c r="U89" s="4014"/>
      <c r="V89" s="4012"/>
      <c r="W89" s="4013"/>
      <c r="X89" s="3934"/>
      <c r="Y89" s="3928"/>
      <c r="Z89" s="3928"/>
      <c r="AA89" s="3928"/>
      <c r="AB89" s="3928"/>
      <c r="AC89" s="3928"/>
      <c r="AD89" s="3928"/>
      <c r="AE89" s="3928"/>
      <c r="AF89" s="3928"/>
      <c r="AG89" s="3928"/>
      <c r="AH89" s="3928"/>
      <c r="AI89" s="3928"/>
      <c r="AJ89" s="3928"/>
      <c r="AK89" s="3928"/>
      <c r="AL89" s="2957"/>
      <c r="AM89" s="2957"/>
      <c r="AN89" s="2974"/>
      <c r="AO89" s="668"/>
      <c r="AP89" s="668"/>
      <c r="AQ89" s="668"/>
      <c r="AR89" s="668"/>
    </row>
    <row r="90" spans="1:44" ht="90" customHeight="1" x14ac:dyDescent="0.2">
      <c r="A90" s="1089"/>
      <c r="B90" s="1090"/>
      <c r="C90" s="1121"/>
      <c r="D90" s="677"/>
      <c r="E90" s="1121"/>
      <c r="F90" s="677"/>
      <c r="G90" s="4010"/>
      <c r="H90" s="4004"/>
      <c r="I90" s="3274"/>
      <c r="J90" s="4003"/>
      <c r="K90" s="3990"/>
      <c r="L90" s="3969"/>
      <c r="M90" s="4004"/>
      <c r="N90" s="3029"/>
      <c r="O90" s="3041"/>
      <c r="P90" s="3959"/>
      <c r="Q90" s="3274"/>
      <c r="R90" s="1147" t="s">
        <v>1025</v>
      </c>
      <c r="S90" s="1148">
        <v>125000000</v>
      </c>
      <c r="T90" s="4014"/>
      <c r="U90" s="4014"/>
      <c r="V90" s="4012"/>
      <c r="W90" s="4013"/>
      <c r="X90" s="3934"/>
      <c r="Y90" s="3928"/>
      <c r="Z90" s="3928"/>
      <c r="AA90" s="3928"/>
      <c r="AB90" s="3928"/>
      <c r="AC90" s="3928"/>
      <c r="AD90" s="3928"/>
      <c r="AE90" s="3928"/>
      <c r="AF90" s="3928"/>
      <c r="AG90" s="3928"/>
      <c r="AH90" s="3928"/>
      <c r="AI90" s="3928"/>
      <c r="AJ90" s="3928"/>
      <c r="AK90" s="3928"/>
      <c r="AL90" s="2904"/>
      <c r="AM90" s="2904"/>
      <c r="AN90" s="3097"/>
      <c r="AO90" s="668"/>
      <c r="AP90" s="668"/>
      <c r="AQ90" s="668"/>
      <c r="AR90" s="668"/>
    </row>
    <row r="91" spans="1:44" ht="69" customHeight="1" x14ac:dyDescent="0.2">
      <c r="A91" s="1089"/>
      <c r="B91" s="1090"/>
      <c r="C91" s="1121"/>
      <c r="D91" s="677"/>
      <c r="E91" s="1121"/>
      <c r="F91" s="677"/>
      <c r="G91" s="4010"/>
      <c r="H91" s="4004"/>
      <c r="I91" s="3274"/>
      <c r="J91" s="4003"/>
      <c r="K91" s="3990"/>
      <c r="L91" s="3969"/>
      <c r="M91" s="4004"/>
      <c r="N91" s="3029"/>
      <c r="O91" s="3041"/>
      <c r="P91" s="3959"/>
      <c r="Q91" s="3274"/>
      <c r="R91" s="1147" t="s">
        <v>1026</v>
      </c>
      <c r="S91" s="1148">
        <v>50000000</v>
      </c>
      <c r="T91" s="4014"/>
      <c r="U91" s="4014"/>
      <c r="V91" s="4012"/>
      <c r="W91" s="4013"/>
      <c r="X91" s="3934"/>
      <c r="Y91" s="3928"/>
      <c r="Z91" s="3928"/>
      <c r="AA91" s="3928"/>
      <c r="AB91" s="3928"/>
      <c r="AC91" s="3928"/>
      <c r="AD91" s="3928"/>
      <c r="AE91" s="3928"/>
      <c r="AF91" s="3928"/>
      <c r="AG91" s="3928"/>
      <c r="AH91" s="3928"/>
      <c r="AI91" s="3928"/>
      <c r="AJ91" s="3928"/>
      <c r="AK91" s="3928"/>
      <c r="AL91" s="2904"/>
      <c r="AM91" s="2904"/>
      <c r="AN91" s="3097"/>
      <c r="AO91" s="668"/>
      <c r="AP91" s="668"/>
      <c r="AQ91" s="668"/>
      <c r="AR91" s="668"/>
    </row>
    <row r="92" spans="1:44" ht="28.5" customHeight="1" x14ac:dyDescent="0.2">
      <c r="A92" s="1089"/>
      <c r="B92" s="1090"/>
      <c r="C92" s="1121"/>
      <c r="D92" s="677"/>
      <c r="E92" s="1121"/>
      <c r="F92" s="677"/>
      <c r="G92" s="4010"/>
      <c r="H92" s="4004"/>
      <c r="I92" s="3274"/>
      <c r="J92" s="4003"/>
      <c r="K92" s="3990"/>
      <c r="L92" s="3969"/>
      <c r="M92" s="4004"/>
      <c r="N92" s="3029"/>
      <c r="O92" s="3041"/>
      <c r="P92" s="3959"/>
      <c r="Q92" s="3274"/>
      <c r="R92" s="1147" t="s">
        <v>1027</v>
      </c>
      <c r="S92" s="1148">
        <v>60000000</v>
      </c>
      <c r="T92" s="4014"/>
      <c r="U92" s="4014"/>
      <c r="V92" s="4012"/>
      <c r="W92" s="4013"/>
      <c r="X92" s="3934"/>
      <c r="Y92" s="3928"/>
      <c r="Z92" s="3928"/>
      <c r="AA92" s="3928"/>
      <c r="AB92" s="3928"/>
      <c r="AC92" s="3928"/>
      <c r="AD92" s="3928"/>
      <c r="AE92" s="3928"/>
      <c r="AF92" s="3928"/>
      <c r="AG92" s="3928"/>
      <c r="AH92" s="3928"/>
      <c r="AI92" s="3928"/>
      <c r="AJ92" s="3928"/>
      <c r="AK92" s="3928"/>
      <c r="AL92" s="2904"/>
      <c r="AM92" s="2904"/>
      <c r="AN92" s="3097"/>
      <c r="AO92" s="668"/>
      <c r="AP92" s="668"/>
      <c r="AQ92" s="668"/>
      <c r="AR92" s="668"/>
    </row>
    <row r="93" spans="1:44" ht="51" customHeight="1" x14ac:dyDescent="0.2">
      <c r="A93" s="1089"/>
      <c r="B93" s="1090"/>
      <c r="C93" s="1121"/>
      <c r="D93" s="677"/>
      <c r="E93" s="1121"/>
      <c r="F93" s="677"/>
      <c r="G93" s="4010"/>
      <c r="H93" s="4004"/>
      <c r="I93" s="3274"/>
      <c r="J93" s="4003"/>
      <c r="K93" s="3990"/>
      <c r="L93" s="3969"/>
      <c r="M93" s="4004"/>
      <c r="N93" s="3029"/>
      <c r="O93" s="3041"/>
      <c r="P93" s="3959"/>
      <c r="Q93" s="3274"/>
      <c r="R93" s="1147" t="s">
        <v>1028</v>
      </c>
      <c r="S93" s="1148">
        <v>20000000</v>
      </c>
      <c r="T93" s="4014"/>
      <c r="U93" s="4014"/>
      <c r="V93" s="4012"/>
      <c r="W93" s="4013"/>
      <c r="X93" s="3934"/>
      <c r="Y93" s="3928"/>
      <c r="Z93" s="3928"/>
      <c r="AA93" s="3928"/>
      <c r="AB93" s="3928"/>
      <c r="AC93" s="3928"/>
      <c r="AD93" s="3928"/>
      <c r="AE93" s="3928"/>
      <c r="AF93" s="3928"/>
      <c r="AG93" s="3928"/>
      <c r="AH93" s="3928"/>
      <c r="AI93" s="3928"/>
      <c r="AJ93" s="3928"/>
      <c r="AK93" s="3928"/>
      <c r="AL93" s="2904"/>
      <c r="AM93" s="2904"/>
      <c r="AN93" s="3097"/>
      <c r="AO93" s="668"/>
      <c r="AP93" s="668"/>
      <c r="AQ93" s="668"/>
      <c r="AR93" s="668"/>
    </row>
    <row r="94" spans="1:44" ht="66" customHeight="1" x14ac:dyDescent="0.2">
      <c r="A94" s="1089"/>
      <c r="B94" s="1090"/>
      <c r="C94" s="1121"/>
      <c r="D94" s="677"/>
      <c r="E94" s="1121"/>
      <c r="F94" s="677"/>
      <c r="G94" s="4010">
        <v>192</v>
      </c>
      <c r="H94" s="3958" t="s">
        <v>1029</v>
      </c>
      <c r="I94" s="3946" t="s">
        <v>1030</v>
      </c>
      <c r="J94" s="4011">
        <v>1</v>
      </c>
      <c r="K94" s="3989" t="s">
        <v>1031</v>
      </c>
      <c r="L94" s="3992" t="s">
        <v>1032</v>
      </c>
      <c r="M94" s="3958" t="s">
        <v>1033</v>
      </c>
      <c r="N94" s="3040">
        <f>SUM(S94:S97)/O94</f>
        <v>1</v>
      </c>
      <c r="O94" s="3971">
        <f>SUM(S94:S97)</f>
        <v>79500000</v>
      </c>
      <c r="P94" s="4004" t="s">
        <v>1034</v>
      </c>
      <c r="Q94" s="3247" t="s">
        <v>1035</v>
      </c>
      <c r="R94" s="1147" t="s">
        <v>1036</v>
      </c>
      <c r="S94" s="1136">
        <v>44500000</v>
      </c>
      <c r="T94" s="3984">
        <v>20</v>
      </c>
      <c r="U94" s="3962" t="s">
        <v>502</v>
      </c>
      <c r="V94" s="4008">
        <v>701</v>
      </c>
      <c r="W94" s="4006">
        <v>877</v>
      </c>
      <c r="X94" s="4006">
        <v>56</v>
      </c>
      <c r="Y94" s="4006">
        <v>150</v>
      </c>
      <c r="Z94" s="4006">
        <v>1250</v>
      </c>
      <c r="AA94" s="4006">
        <v>122</v>
      </c>
      <c r="AB94" s="4006">
        <v>0</v>
      </c>
      <c r="AC94" s="4006">
        <v>0</v>
      </c>
      <c r="AD94" s="4006">
        <v>0</v>
      </c>
      <c r="AE94" s="4006">
        <v>0</v>
      </c>
      <c r="AF94" s="4006">
        <v>0</v>
      </c>
      <c r="AG94" s="4006">
        <v>0</v>
      </c>
      <c r="AH94" s="4006">
        <v>0</v>
      </c>
      <c r="AI94" s="4006">
        <v>0</v>
      </c>
      <c r="AJ94" s="4006">
        <v>0</v>
      </c>
      <c r="AK94" s="4006">
        <f>+V94+W94</f>
        <v>1578</v>
      </c>
      <c r="AL94" s="3930">
        <v>43467</v>
      </c>
      <c r="AM94" s="3930">
        <v>43830</v>
      </c>
      <c r="AN94" s="2973" t="s">
        <v>894</v>
      </c>
      <c r="AO94" s="668"/>
      <c r="AP94" s="668"/>
      <c r="AQ94" s="668"/>
      <c r="AR94" s="668"/>
    </row>
    <row r="95" spans="1:44" ht="52.5" customHeight="1" x14ac:dyDescent="0.2">
      <c r="A95" s="1089"/>
      <c r="B95" s="1090"/>
      <c r="C95" s="1121"/>
      <c r="D95" s="677"/>
      <c r="E95" s="1121"/>
      <c r="F95" s="677"/>
      <c r="G95" s="4010"/>
      <c r="H95" s="3959"/>
      <c r="I95" s="3938"/>
      <c r="J95" s="4011"/>
      <c r="K95" s="3990"/>
      <c r="L95" s="3969"/>
      <c r="M95" s="3959"/>
      <c r="N95" s="3040"/>
      <c r="O95" s="3971"/>
      <c r="P95" s="4004"/>
      <c r="Q95" s="3248"/>
      <c r="R95" s="1147" t="s">
        <v>1037</v>
      </c>
      <c r="S95" s="1136">
        <v>0</v>
      </c>
      <c r="T95" s="3984"/>
      <c r="U95" s="3962"/>
      <c r="V95" s="4009"/>
      <c r="W95" s="4007"/>
      <c r="X95" s="4007"/>
      <c r="Y95" s="4007"/>
      <c r="Z95" s="4007"/>
      <c r="AA95" s="4007"/>
      <c r="AB95" s="4007"/>
      <c r="AC95" s="4007"/>
      <c r="AD95" s="4007"/>
      <c r="AE95" s="4007"/>
      <c r="AF95" s="4007"/>
      <c r="AG95" s="4007"/>
      <c r="AH95" s="4007"/>
      <c r="AI95" s="4007"/>
      <c r="AJ95" s="4007"/>
      <c r="AK95" s="4007"/>
      <c r="AL95" s="3930"/>
      <c r="AM95" s="3930"/>
      <c r="AN95" s="2973"/>
      <c r="AO95" s="668"/>
      <c r="AP95" s="668"/>
      <c r="AQ95" s="668"/>
      <c r="AR95" s="668"/>
    </row>
    <row r="96" spans="1:44" ht="43.5" customHeight="1" x14ac:dyDescent="0.2">
      <c r="A96" s="1089"/>
      <c r="B96" s="1090"/>
      <c r="C96" s="1121"/>
      <c r="D96" s="677"/>
      <c r="E96" s="1121"/>
      <c r="F96" s="677"/>
      <c r="G96" s="4010"/>
      <c r="H96" s="3959"/>
      <c r="I96" s="3938"/>
      <c r="J96" s="4011"/>
      <c r="K96" s="3990"/>
      <c r="L96" s="3969"/>
      <c r="M96" s="3959"/>
      <c r="N96" s="3040"/>
      <c r="O96" s="3971"/>
      <c r="P96" s="4004"/>
      <c r="Q96" s="3248"/>
      <c r="R96" s="1139" t="s">
        <v>1038</v>
      </c>
      <c r="S96" s="1136">
        <v>0</v>
      </c>
      <c r="T96" s="3984"/>
      <c r="U96" s="3962"/>
      <c r="V96" s="4008">
        <v>701</v>
      </c>
      <c r="W96" s="4006">
        <v>877</v>
      </c>
      <c r="X96" s="4006">
        <v>56</v>
      </c>
      <c r="Y96" s="4006">
        <v>150</v>
      </c>
      <c r="Z96" s="4006">
        <v>1250</v>
      </c>
      <c r="AA96" s="4006">
        <v>122</v>
      </c>
      <c r="AB96" s="4006">
        <v>0</v>
      </c>
      <c r="AC96" s="4006">
        <v>0</v>
      </c>
      <c r="AD96" s="4006">
        <v>0</v>
      </c>
      <c r="AE96" s="4006">
        <v>0</v>
      </c>
      <c r="AF96" s="4006">
        <v>0</v>
      </c>
      <c r="AG96" s="4006">
        <v>0</v>
      </c>
      <c r="AH96" s="4006">
        <v>0</v>
      </c>
      <c r="AI96" s="4006">
        <v>0</v>
      </c>
      <c r="AJ96" s="4006">
        <v>0</v>
      </c>
      <c r="AK96" s="4006">
        <f>+V96+W96</f>
        <v>1578</v>
      </c>
      <c r="AL96" s="3930"/>
      <c r="AM96" s="3930"/>
      <c r="AN96" s="2973"/>
      <c r="AO96" s="668"/>
      <c r="AP96" s="668"/>
      <c r="AQ96" s="668"/>
      <c r="AR96" s="668"/>
    </row>
    <row r="97" spans="1:44" ht="49.5" customHeight="1" x14ac:dyDescent="0.2">
      <c r="A97" s="1089"/>
      <c r="B97" s="1090"/>
      <c r="C97" s="1121"/>
      <c r="D97" s="677"/>
      <c r="E97" s="1150"/>
      <c r="F97" s="677"/>
      <c r="G97" s="4010"/>
      <c r="H97" s="3960"/>
      <c r="I97" s="3939"/>
      <c r="J97" s="4011"/>
      <c r="K97" s="3991"/>
      <c r="L97" s="3970"/>
      <c r="M97" s="3960"/>
      <c r="N97" s="3040"/>
      <c r="O97" s="3971"/>
      <c r="P97" s="4004"/>
      <c r="Q97" s="3249"/>
      <c r="R97" s="706" t="s">
        <v>1039</v>
      </c>
      <c r="S97" s="1136">
        <v>35000000</v>
      </c>
      <c r="T97" s="3984"/>
      <c r="U97" s="3962"/>
      <c r="V97" s="4009"/>
      <c r="W97" s="4007"/>
      <c r="X97" s="4007"/>
      <c r="Y97" s="4007"/>
      <c r="Z97" s="4007"/>
      <c r="AA97" s="4007"/>
      <c r="AB97" s="4007"/>
      <c r="AC97" s="4007"/>
      <c r="AD97" s="4007"/>
      <c r="AE97" s="4007"/>
      <c r="AF97" s="4007"/>
      <c r="AG97" s="4007"/>
      <c r="AH97" s="4007"/>
      <c r="AI97" s="4007"/>
      <c r="AJ97" s="4007"/>
      <c r="AK97" s="4007"/>
      <c r="AL97" s="2904"/>
      <c r="AM97" s="2904"/>
      <c r="AN97" s="2973"/>
      <c r="AO97" s="668"/>
      <c r="AP97" s="668"/>
      <c r="AQ97" s="668"/>
      <c r="AR97" s="668"/>
    </row>
    <row r="98" spans="1:44" ht="15" x14ac:dyDescent="0.2">
      <c r="A98" s="1089"/>
      <c r="B98" s="1090"/>
      <c r="C98" s="1121"/>
      <c r="D98" s="677"/>
      <c r="E98" s="1151">
        <v>63</v>
      </c>
      <c r="F98" s="1152" t="s">
        <v>1040</v>
      </c>
      <c r="G98" s="1153"/>
      <c r="H98" s="1154"/>
      <c r="I98" s="1154"/>
      <c r="J98" s="1153"/>
      <c r="K98" s="1153"/>
      <c r="L98" s="1153"/>
      <c r="M98" s="1155"/>
      <c r="N98" s="1153"/>
      <c r="O98" s="1156"/>
      <c r="P98" s="1154"/>
      <c r="Q98" s="1154"/>
      <c r="R98" s="1154"/>
      <c r="S98" s="1157"/>
      <c r="T98" s="1158"/>
      <c r="U98" s="1159"/>
      <c r="V98" s="1123"/>
      <c r="W98" s="1123"/>
      <c r="X98" s="1123"/>
      <c r="Y98" s="1123"/>
      <c r="Z98" s="1123"/>
      <c r="AA98" s="1123"/>
      <c r="AB98" s="1123"/>
      <c r="AC98" s="1123"/>
      <c r="AD98" s="1123"/>
      <c r="AE98" s="1123"/>
      <c r="AF98" s="1123"/>
      <c r="AG98" s="1123"/>
      <c r="AH98" s="1123"/>
      <c r="AI98" s="1123"/>
      <c r="AJ98" s="1123"/>
      <c r="AK98" s="1123"/>
      <c r="AL98" s="1123"/>
      <c r="AM98" s="1123"/>
      <c r="AN98" s="1131"/>
      <c r="AO98" s="668"/>
      <c r="AP98" s="668"/>
      <c r="AQ98" s="668"/>
      <c r="AR98" s="668"/>
    </row>
    <row r="99" spans="1:44" ht="72" customHeight="1" x14ac:dyDescent="0.2">
      <c r="A99" s="1089"/>
      <c r="B99" s="1090"/>
      <c r="C99" s="1121"/>
      <c r="D99" s="677"/>
      <c r="E99" s="708"/>
      <c r="F99" s="677"/>
      <c r="G99" s="3967">
        <v>193</v>
      </c>
      <c r="H99" s="3938" t="s">
        <v>1041</v>
      </c>
      <c r="I99" s="3938" t="s">
        <v>1042</v>
      </c>
      <c r="J99" s="4005">
        <v>1</v>
      </c>
      <c r="K99" s="3989" t="s">
        <v>1043</v>
      </c>
      <c r="L99" s="3969" t="s">
        <v>1044</v>
      </c>
      <c r="M99" s="3531" t="s">
        <v>1045</v>
      </c>
      <c r="N99" s="3040">
        <f>SUM(S99:S101)/O99</f>
        <v>1</v>
      </c>
      <c r="O99" s="3498">
        <f>SUM(S99:S101)</f>
        <v>29800000</v>
      </c>
      <c r="P99" s="4004" t="s">
        <v>1046</v>
      </c>
      <c r="Q99" s="3247" t="s">
        <v>1047</v>
      </c>
      <c r="R99" s="1139" t="s">
        <v>1048</v>
      </c>
      <c r="S99" s="1136">
        <v>7450000</v>
      </c>
      <c r="T99" s="3984">
        <v>20</v>
      </c>
      <c r="U99" s="3962" t="s">
        <v>62</v>
      </c>
      <c r="V99" s="3995">
        <v>13</v>
      </c>
      <c r="W99" s="3993">
        <v>21</v>
      </c>
      <c r="X99" s="3993">
        <v>0</v>
      </c>
      <c r="Y99" s="3993">
        <v>0</v>
      </c>
      <c r="Z99" s="3993">
        <v>0</v>
      </c>
      <c r="AA99" s="3993">
        <v>0</v>
      </c>
      <c r="AB99" s="3993">
        <f>+V99+W99</f>
        <v>34</v>
      </c>
      <c r="AC99" s="3993">
        <v>0</v>
      </c>
      <c r="AD99" s="3993">
        <v>0</v>
      </c>
      <c r="AE99" s="3993">
        <v>0</v>
      </c>
      <c r="AF99" s="3993">
        <v>0</v>
      </c>
      <c r="AG99" s="3993">
        <v>0</v>
      </c>
      <c r="AH99" s="3993">
        <v>0</v>
      </c>
      <c r="AI99" s="3993">
        <v>0</v>
      </c>
      <c r="AJ99" s="3993">
        <v>0</v>
      </c>
      <c r="AK99" s="3993">
        <f>+V99+W99</f>
        <v>34</v>
      </c>
      <c r="AL99" s="2956">
        <v>43467</v>
      </c>
      <c r="AM99" s="2956" t="s">
        <v>1049</v>
      </c>
      <c r="AN99" s="2973" t="s">
        <v>894</v>
      </c>
      <c r="AO99" s="668"/>
      <c r="AP99" s="668"/>
      <c r="AQ99" s="668"/>
      <c r="AR99" s="668"/>
    </row>
    <row r="100" spans="1:44" ht="72" customHeight="1" x14ac:dyDescent="0.2">
      <c r="A100" s="1089"/>
      <c r="B100" s="1090"/>
      <c r="C100" s="1121"/>
      <c r="D100" s="677"/>
      <c r="E100" s="1121"/>
      <c r="F100" s="677"/>
      <c r="G100" s="3967"/>
      <c r="H100" s="3938"/>
      <c r="I100" s="3938"/>
      <c r="J100" s="4005"/>
      <c r="K100" s="3990"/>
      <c r="L100" s="3969"/>
      <c r="M100" s="3531"/>
      <c r="N100" s="3040"/>
      <c r="O100" s="3498"/>
      <c r="P100" s="4004"/>
      <c r="Q100" s="3249"/>
      <c r="R100" s="1139" t="s">
        <v>1050</v>
      </c>
      <c r="S100" s="1136">
        <v>7450000</v>
      </c>
      <c r="T100" s="3984"/>
      <c r="U100" s="3962"/>
      <c r="V100" s="3996"/>
      <c r="W100" s="3994"/>
      <c r="X100" s="3994"/>
      <c r="Y100" s="3994"/>
      <c r="Z100" s="3994"/>
      <c r="AA100" s="3994"/>
      <c r="AB100" s="3994"/>
      <c r="AC100" s="3994"/>
      <c r="AD100" s="3994"/>
      <c r="AE100" s="3994"/>
      <c r="AF100" s="3994"/>
      <c r="AG100" s="3994"/>
      <c r="AH100" s="3994"/>
      <c r="AI100" s="3994"/>
      <c r="AJ100" s="3994"/>
      <c r="AK100" s="3994"/>
      <c r="AL100" s="3008"/>
      <c r="AM100" s="3008"/>
      <c r="AN100" s="2973"/>
      <c r="AO100" s="668"/>
      <c r="AP100" s="668"/>
      <c r="AQ100" s="668"/>
      <c r="AR100" s="668"/>
    </row>
    <row r="101" spans="1:44" ht="63.75" customHeight="1" x14ac:dyDescent="0.2">
      <c r="A101" s="1089"/>
      <c r="B101" s="1090"/>
      <c r="C101" s="1121"/>
      <c r="D101" s="677"/>
      <c r="E101" s="1121"/>
      <c r="F101" s="677"/>
      <c r="G101" s="3968"/>
      <c r="H101" s="3939"/>
      <c r="I101" s="3939"/>
      <c r="J101" s="4003"/>
      <c r="K101" s="3991"/>
      <c r="L101" s="3970"/>
      <c r="M101" s="3532"/>
      <c r="N101" s="3040"/>
      <c r="O101" s="3971"/>
      <c r="P101" s="4004"/>
      <c r="Q101" s="215" t="s">
        <v>1051</v>
      </c>
      <c r="R101" s="1139" t="s">
        <v>1052</v>
      </c>
      <c r="S101" s="1136">
        <v>14900000</v>
      </c>
      <c r="T101" s="3984"/>
      <c r="U101" s="3962"/>
      <c r="V101" s="4001"/>
      <c r="W101" s="3997"/>
      <c r="X101" s="3997"/>
      <c r="Y101" s="3997"/>
      <c r="Z101" s="3997"/>
      <c r="AA101" s="3997"/>
      <c r="AB101" s="3997"/>
      <c r="AC101" s="3997"/>
      <c r="AD101" s="3997"/>
      <c r="AE101" s="3997"/>
      <c r="AF101" s="3997"/>
      <c r="AG101" s="3997"/>
      <c r="AH101" s="3997"/>
      <c r="AI101" s="3997"/>
      <c r="AJ101" s="3997"/>
      <c r="AK101" s="3997"/>
      <c r="AL101" s="2957"/>
      <c r="AM101" s="2957"/>
      <c r="AN101" s="2973"/>
      <c r="AO101" s="668"/>
      <c r="AP101" s="668"/>
      <c r="AQ101" s="668"/>
      <c r="AR101" s="668"/>
    </row>
    <row r="102" spans="1:44" ht="60" customHeight="1" x14ac:dyDescent="0.2">
      <c r="A102" s="1089"/>
      <c r="B102" s="1090"/>
      <c r="C102" s="1121"/>
      <c r="D102" s="677"/>
      <c r="E102" s="1121"/>
      <c r="F102" s="677"/>
      <c r="G102" s="3966">
        <v>194</v>
      </c>
      <c r="H102" s="3946" t="s">
        <v>1053</v>
      </c>
      <c r="I102" s="4002" t="s">
        <v>1054</v>
      </c>
      <c r="J102" s="4003">
        <v>1</v>
      </c>
      <c r="K102" s="3989" t="s">
        <v>1055</v>
      </c>
      <c r="L102" s="3992" t="s">
        <v>1056</v>
      </c>
      <c r="M102" s="3958" t="s">
        <v>1057</v>
      </c>
      <c r="N102" s="3040">
        <f>SUM(S102:S103)/O102</f>
        <v>1</v>
      </c>
      <c r="O102" s="3971">
        <f>SUM(S102:S103)</f>
        <v>69560000</v>
      </c>
      <c r="P102" s="3958" t="s">
        <v>1058</v>
      </c>
      <c r="Q102" s="215" t="s">
        <v>1059</v>
      </c>
      <c r="R102" s="1139" t="s">
        <v>1060</v>
      </c>
      <c r="S102" s="1160">
        <v>64560000</v>
      </c>
      <c r="T102" s="3984" t="s">
        <v>893</v>
      </c>
      <c r="U102" s="3962" t="s">
        <v>502</v>
      </c>
      <c r="V102" s="3995">
        <v>454</v>
      </c>
      <c r="W102" s="3993">
        <v>455</v>
      </c>
      <c r="X102" s="3993">
        <v>105</v>
      </c>
      <c r="Y102" s="3993">
        <v>67</v>
      </c>
      <c r="Z102" s="3993">
        <v>630</v>
      </c>
      <c r="AA102" s="3993">
        <v>107</v>
      </c>
      <c r="AB102" s="3993">
        <f>+V102+W102</f>
        <v>909</v>
      </c>
      <c r="AC102" s="3993">
        <v>0</v>
      </c>
      <c r="AD102" s="3993">
        <v>0</v>
      </c>
      <c r="AE102" s="3993">
        <v>0</v>
      </c>
      <c r="AF102" s="3993">
        <v>0</v>
      </c>
      <c r="AG102" s="3993">
        <v>0</v>
      </c>
      <c r="AH102" s="3993">
        <v>0</v>
      </c>
      <c r="AI102" s="3993">
        <v>0</v>
      </c>
      <c r="AJ102" s="3993">
        <v>0</v>
      </c>
      <c r="AK102" s="3993">
        <f>+V102+W102</f>
        <v>909</v>
      </c>
      <c r="AL102" s="2956">
        <v>43467</v>
      </c>
      <c r="AM102" s="2956">
        <v>43830</v>
      </c>
      <c r="AN102" s="3097" t="s">
        <v>894</v>
      </c>
      <c r="AO102" s="668"/>
      <c r="AP102" s="668"/>
      <c r="AQ102" s="668"/>
      <c r="AR102" s="668"/>
    </row>
    <row r="103" spans="1:44" ht="60.75" customHeight="1" x14ac:dyDescent="0.2">
      <c r="A103" s="1089"/>
      <c r="B103" s="1090"/>
      <c r="C103" s="1121"/>
      <c r="D103" s="677"/>
      <c r="E103" s="1121"/>
      <c r="F103" s="677"/>
      <c r="G103" s="3967"/>
      <c r="H103" s="3938"/>
      <c r="I103" s="4002"/>
      <c r="J103" s="4003"/>
      <c r="K103" s="3991"/>
      <c r="L103" s="3969"/>
      <c r="M103" s="3959"/>
      <c r="N103" s="3040"/>
      <c r="O103" s="3971"/>
      <c r="P103" s="3960"/>
      <c r="Q103" s="661" t="s">
        <v>1061</v>
      </c>
      <c r="R103" s="1139" t="s">
        <v>1062</v>
      </c>
      <c r="S103" s="1136">
        <v>5000000</v>
      </c>
      <c r="T103" s="3984"/>
      <c r="U103" s="3962"/>
      <c r="V103" s="4001"/>
      <c r="W103" s="3997"/>
      <c r="X103" s="3997"/>
      <c r="Y103" s="3997"/>
      <c r="Z103" s="3997"/>
      <c r="AA103" s="3997"/>
      <c r="AB103" s="3997"/>
      <c r="AC103" s="3997"/>
      <c r="AD103" s="3997"/>
      <c r="AE103" s="3997"/>
      <c r="AF103" s="3997"/>
      <c r="AG103" s="3997"/>
      <c r="AH103" s="3997"/>
      <c r="AI103" s="3997"/>
      <c r="AJ103" s="3997"/>
      <c r="AK103" s="3997"/>
      <c r="AL103" s="3008"/>
      <c r="AM103" s="3008"/>
      <c r="AN103" s="3097"/>
      <c r="AO103" s="668"/>
      <c r="AP103" s="668"/>
      <c r="AQ103" s="668"/>
      <c r="AR103" s="668"/>
    </row>
    <row r="104" spans="1:44" ht="15" x14ac:dyDescent="0.2">
      <c r="A104" s="1089"/>
      <c r="B104" s="1090"/>
      <c r="C104" s="1121"/>
      <c r="D104" s="677"/>
      <c r="E104" s="228">
        <v>64</v>
      </c>
      <c r="F104" s="1161" t="s">
        <v>1063</v>
      </c>
      <c r="G104" s="1162"/>
      <c r="H104" s="1154"/>
      <c r="I104" s="1154"/>
      <c r="J104" s="1162"/>
      <c r="K104" s="1162"/>
      <c r="L104" s="1162"/>
      <c r="M104" s="1155"/>
      <c r="N104" s="1162"/>
      <c r="O104" s="1163"/>
      <c r="P104" s="1154"/>
      <c r="Q104" s="1154"/>
      <c r="R104" s="1154"/>
      <c r="S104" s="1164"/>
      <c r="T104" s="1158"/>
      <c r="U104" s="1159"/>
      <c r="V104" s="1165"/>
      <c r="W104" s="1165"/>
      <c r="X104" s="1165"/>
      <c r="Y104" s="1165"/>
      <c r="Z104" s="1165"/>
      <c r="AA104" s="1165"/>
      <c r="AB104" s="1165"/>
      <c r="AC104" s="1165"/>
      <c r="AD104" s="1165"/>
      <c r="AE104" s="1165"/>
      <c r="AF104" s="1165"/>
      <c r="AG104" s="1165"/>
      <c r="AH104" s="1165"/>
      <c r="AI104" s="1165"/>
      <c r="AJ104" s="1165"/>
      <c r="AK104" s="1165"/>
      <c r="AL104" s="1165"/>
      <c r="AM104" s="1165"/>
      <c r="AN104" s="1131"/>
      <c r="AO104" s="668"/>
      <c r="AP104" s="668"/>
      <c r="AQ104" s="668"/>
      <c r="AR104" s="668"/>
    </row>
    <row r="105" spans="1:44" ht="39" customHeight="1" x14ac:dyDescent="0.2">
      <c r="A105" s="1089"/>
      <c r="B105" s="1090"/>
      <c r="C105" s="1121"/>
      <c r="D105" s="677"/>
      <c r="E105" s="1097"/>
      <c r="F105" s="1090"/>
      <c r="G105" s="3966">
        <v>195</v>
      </c>
      <c r="H105" s="3946" t="s">
        <v>1064</v>
      </c>
      <c r="I105" s="3998" t="s">
        <v>1065</v>
      </c>
      <c r="J105" s="3276">
        <v>1</v>
      </c>
      <c r="K105" s="3989" t="s">
        <v>1066</v>
      </c>
      <c r="L105" s="3992" t="s">
        <v>1067</v>
      </c>
      <c r="M105" s="3530" t="s">
        <v>1068</v>
      </c>
      <c r="N105" s="3040">
        <f>SUM(S105:S107)/O105</f>
        <v>1</v>
      </c>
      <c r="O105" s="3971">
        <f>SUM(S105:S107)</f>
        <v>100000000</v>
      </c>
      <c r="P105" s="3958" t="s">
        <v>1069</v>
      </c>
      <c r="Q105" s="3259" t="s">
        <v>1070</v>
      </c>
      <c r="R105" s="706" t="s">
        <v>1071</v>
      </c>
      <c r="S105" s="1136">
        <v>40000000</v>
      </c>
      <c r="T105" s="3961" t="s">
        <v>893</v>
      </c>
      <c r="U105" s="3962" t="s">
        <v>502</v>
      </c>
      <c r="V105" s="3995">
        <v>3698</v>
      </c>
      <c r="W105" s="3993">
        <v>3552</v>
      </c>
      <c r="X105" s="3993">
        <v>0</v>
      </c>
      <c r="Y105" s="3993">
        <v>0</v>
      </c>
      <c r="Z105" s="3993">
        <v>0</v>
      </c>
      <c r="AA105" s="3993">
        <v>0</v>
      </c>
      <c r="AB105" s="3993">
        <v>0</v>
      </c>
      <c r="AC105" s="3993">
        <f>+V105+W105</f>
        <v>7250</v>
      </c>
      <c r="AD105" s="3993">
        <v>0</v>
      </c>
      <c r="AE105" s="3993">
        <v>0</v>
      </c>
      <c r="AF105" s="3993">
        <v>0</v>
      </c>
      <c r="AG105" s="3993">
        <v>0</v>
      </c>
      <c r="AH105" s="3993">
        <v>0</v>
      </c>
      <c r="AI105" s="3993">
        <v>0</v>
      </c>
      <c r="AJ105" s="3993">
        <v>0</v>
      </c>
      <c r="AK105" s="3993">
        <f>+V105+W105</f>
        <v>7250</v>
      </c>
      <c r="AL105" s="3985">
        <v>43467</v>
      </c>
      <c r="AM105" s="2956">
        <v>43830</v>
      </c>
      <c r="AN105" s="3097" t="s">
        <v>894</v>
      </c>
      <c r="AO105" s="668"/>
      <c r="AP105" s="668"/>
      <c r="AQ105" s="668"/>
      <c r="AR105" s="668"/>
    </row>
    <row r="106" spans="1:44" ht="63.75" customHeight="1" x14ac:dyDescent="0.2">
      <c r="A106" s="1089"/>
      <c r="B106" s="1090"/>
      <c r="C106" s="1121"/>
      <c r="D106" s="677"/>
      <c r="E106" s="1097"/>
      <c r="F106" s="1090"/>
      <c r="G106" s="3967"/>
      <c r="H106" s="3938"/>
      <c r="I106" s="3999"/>
      <c r="J106" s="3276"/>
      <c r="K106" s="3990"/>
      <c r="L106" s="3969"/>
      <c r="M106" s="3531"/>
      <c r="N106" s="3040"/>
      <c r="O106" s="3971"/>
      <c r="P106" s="3959"/>
      <c r="Q106" s="3259"/>
      <c r="R106" s="1166" t="s">
        <v>1072</v>
      </c>
      <c r="S106" s="1136">
        <v>55000000</v>
      </c>
      <c r="T106" s="3961"/>
      <c r="U106" s="3962"/>
      <c r="V106" s="3996"/>
      <c r="W106" s="3994"/>
      <c r="X106" s="3994"/>
      <c r="Y106" s="3994"/>
      <c r="Z106" s="3994"/>
      <c r="AA106" s="3994"/>
      <c r="AB106" s="3994"/>
      <c r="AC106" s="3994"/>
      <c r="AD106" s="3994"/>
      <c r="AE106" s="3994"/>
      <c r="AF106" s="3994"/>
      <c r="AG106" s="3994"/>
      <c r="AH106" s="3994"/>
      <c r="AI106" s="3994"/>
      <c r="AJ106" s="3994"/>
      <c r="AK106" s="3994"/>
      <c r="AL106" s="3986"/>
      <c r="AM106" s="3008"/>
      <c r="AN106" s="3097"/>
      <c r="AO106" s="668"/>
      <c r="AP106" s="668"/>
      <c r="AQ106" s="668"/>
      <c r="AR106" s="668"/>
    </row>
    <row r="107" spans="1:44" ht="74.25" customHeight="1" x14ac:dyDescent="0.2">
      <c r="A107" s="1089"/>
      <c r="B107" s="1090"/>
      <c r="C107" s="1121"/>
      <c r="D107" s="677"/>
      <c r="E107" s="1108"/>
      <c r="F107" s="1109"/>
      <c r="G107" s="3968"/>
      <c r="H107" s="3939"/>
      <c r="I107" s="4000"/>
      <c r="J107" s="3276"/>
      <c r="K107" s="3991"/>
      <c r="L107" s="3970"/>
      <c r="M107" s="3532"/>
      <c r="N107" s="3040"/>
      <c r="O107" s="3971"/>
      <c r="P107" s="3960"/>
      <c r="Q107" s="661" t="s">
        <v>1073</v>
      </c>
      <c r="R107" s="1166" t="s">
        <v>1062</v>
      </c>
      <c r="S107" s="1136">
        <v>5000000</v>
      </c>
      <c r="T107" s="3961"/>
      <c r="U107" s="3962"/>
      <c r="V107" s="3996"/>
      <c r="W107" s="3994"/>
      <c r="X107" s="3994"/>
      <c r="Y107" s="3994"/>
      <c r="Z107" s="3994"/>
      <c r="AA107" s="3994"/>
      <c r="AB107" s="3994"/>
      <c r="AC107" s="3994"/>
      <c r="AD107" s="3994"/>
      <c r="AE107" s="3994"/>
      <c r="AF107" s="3994"/>
      <c r="AG107" s="3994"/>
      <c r="AH107" s="3994"/>
      <c r="AI107" s="3994"/>
      <c r="AJ107" s="3994"/>
      <c r="AK107" s="3994"/>
      <c r="AL107" s="3987"/>
      <c r="AM107" s="2957"/>
      <c r="AN107" s="3097"/>
      <c r="AO107" s="668"/>
      <c r="AP107" s="668"/>
      <c r="AQ107" s="668"/>
      <c r="AR107" s="668"/>
    </row>
    <row r="108" spans="1:44" ht="15" x14ac:dyDescent="0.2">
      <c r="A108" s="1089"/>
      <c r="B108" s="1090"/>
      <c r="C108" s="1121"/>
      <c r="D108" s="677"/>
      <c r="E108" s="1137">
        <v>65</v>
      </c>
      <c r="F108" s="1152" t="s">
        <v>1074</v>
      </c>
      <c r="G108" s="1153"/>
      <c r="H108" s="1154"/>
      <c r="I108" s="1154"/>
      <c r="J108" s="1153"/>
      <c r="K108" s="1153"/>
      <c r="L108" s="1153"/>
      <c r="M108" s="1155"/>
      <c r="N108" s="1153"/>
      <c r="O108" s="1156"/>
      <c r="P108" s="1154"/>
      <c r="Q108" s="1154"/>
      <c r="R108" s="1154"/>
      <c r="S108" s="1157"/>
      <c r="T108" s="1158"/>
      <c r="U108" s="1159"/>
      <c r="V108" s="1123"/>
      <c r="W108" s="1123"/>
      <c r="X108" s="1123"/>
      <c r="Y108" s="1123"/>
      <c r="Z108" s="1123"/>
      <c r="AA108" s="1123"/>
      <c r="AB108" s="1123"/>
      <c r="AC108" s="1123"/>
      <c r="AD108" s="1123"/>
      <c r="AE108" s="1123"/>
      <c r="AF108" s="1123"/>
      <c r="AG108" s="1123"/>
      <c r="AH108" s="1123"/>
      <c r="AI108" s="1123"/>
      <c r="AJ108" s="1123"/>
      <c r="AK108" s="1123"/>
      <c r="AL108" s="1123"/>
      <c r="AM108" s="1123"/>
      <c r="AN108" s="1131"/>
      <c r="AO108" s="668"/>
      <c r="AP108" s="668"/>
      <c r="AQ108" s="668"/>
      <c r="AR108" s="668"/>
    </row>
    <row r="109" spans="1:44" ht="43.5" customHeight="1" x14ac:dyDescent="0.2">
      <c r="A109" s="1089"/>
      <c r="B109" s="1090"/>
      <c r="C109" s="1121"/>
      <c r="D109" s="677"/>
      <c r="E109" s="708"/>
      <c r="F109" s="1132"/>
      <c r="G109" s="3966">
        <v>196</v>
      </c>
      <c r="H109" s="3946" t="s">
        <v>1075</v>
      </c>
      <c r="I109" s="3946" t="s">
        <v>1076</v>
      </c>
      <c r="J109" s="3988">
        <v>1</v>
      </c>
      <c r="K109" s="3989" t="s">
        <v>1077</v>
      </c>
      <c r="L109" s="3992" t="s">
        <v>1078</v>
      </c>
      <c r="M109" s="3958" t="s">
        <v>1079</v>
      </c>
      <c r="N109" s="3040">
        <f>SUM(S109:S112)/O109</f>
        <v>1</v>
      </c>
      <c r="O109" s="3971">
        <f>SUM(S109:S112)</f>
        <v>30000000</v>
      </c>
      <c r="P109" s="3958" t="s">
        <v>1080</v>
      </c>
      <c r="Q109" s="3259" t="s">
        <v>1081</v>
      </c>
      <c r="R109" s="1104" t="s">
        <v>1082</v>
      </c>
      <c r="S109" s="1167">
        <v>12000000</v>
      </c>
      <c r="T109" s="3984" t="s">
        <v>61</v>
      </c>
      <c r="U109" s="3962" t="s">
        <v>1083</v>
      </c>
      <c r="V109" s="3981">
        <v>503</v>
      </c>
      <c r="W109" s="3975">
        <v>503</v>
      </c>
      <c r="X109" s="3975">
        <v>0</v>
      </c>
      <c r="Y109" s="3978">
        <v>100</v>
      </c>
      <c r="Z109" s="3972">
        <v>800</v>
      </c>
      <c r="AA109" s="3972">
        <v>60</v>
      </c>
      <c r="AB109" s="3972">
        <v>0</v>
      </c>
      <c r="AC109" s="3975">
        <v>0</v>
      </c>
      <c r="AD109" s="3975"/>
      <c r="AE109" s="3975"/>
      <c r="AF109" s="3975"/>
      <c r="AG109" s="3978"/>
      <c r="AH109" s="3972">
        <v>10</v>
      </c>
      <c r="AI109" s="3972">
        <v>10</v>
      </c>
      <c r="AJ109" s="3972">
        <v>30</v>
      </c>
      <c r="AK109" s="3975">
        <f>+V109+W109</f>
        <v>1006</v>
      </c>
      <c r="AL109" s="2956">
        <v>43467</v>
      </c>
      <c r="AM109" s="2956">
        <v>43830</v>
      </c>
      <c r="AN109" s="2973" t="s">
        <v>894</v>
      </c>
      <c r="AO109" s="668"/>
      <c r="AP109" s="668"/>
      <c r="AQ109" s="668"/>
      <c r="AR109" s="668"/>
    </row>
    <row r="110" spans="1:44" ht="43.5" customHeight="1" x14ac:dyDescent="0.2">
      <c r="A110" s="1089"/>
      <c r="B110" s="1090"/>
      <c r="C110" s="1121"/>
      <c r="D110" s="677"/>
      <c r="E110" s="1121"/>
      <c r="F110" s="677"/>
      <c r="G110" s="3967"/>
      <c r="H110" s="3938"/>
      <c r="I110" s="3938"/>
      <c r="J110" s="3988"/>
      <c r="K110" s="3990"/>
      <c r="L110" s="3969"/>
      <c r="M110" s="3959"/>
      <c r="N110" s="3040"/>
      <c r="O110" s="3971"/>
      <c r="P110" s="3959"/>
      <c r="Q110" s="3259"/>
      <c r="R110" s="1104" t="s">
        <v>1084</v>
      </c>
      <c r="S110" s="1167">
        <v>10000000</v>
      </c>
      <c r="T110" s="3984"/>
      <c r="U110" s="3962"/>
      <c r="V110" s="3982"/>
      <c r="W110" s="3976"/>
      <c r="X110" s="3976"/>
      <c r="Y110" s="3979"/>
      <c r="Z110" s="3973"/>
      <c r="AA110" s="3973"/>
      <c r="AB110" s="3973"/>
      <c r="AC110" s="3976"/>
      <c r="AD110" s="3976"/>
      <c r="AE110" s="3976"/>
      <c r="AF110" s="3976"/>
      <c r="AG110" s="3979"/>
      <c r="AH110" s="3973"/>
      <c r="AI110" s="3973"/>
      <c r="AJ110" s="3973"/>
      <c r="AK110" s="3976"/>
      <c r="AL110" s="3008"/>
      <c r="AM110" s="3008"/>
      <c r="AN110" s="2973"/>
      <c r="AO110" s="668"/>
      <c r="AP110" s="668"/>
      <c r="AQ110" s="668"/>
      <c r="AR110" s="668"/>
    </row>
    <row r="111" spans="1:44" ht="36.75" customHeight="1" x14ac:dyDescent="0.2">
      <c r="A111" s="1089"/>
      <c r="B111" s="1090"/>
      <c r="C111" s="1121"/>
      <c r="D111" s="677"/>
      <c r="E111" s="1121"/>
      <c r="F111" s="677"/>
      <c r="G111" s="3967"/>
      <c r="H111" s="3938"/>
      <c r="I111" s="3938"/>
      <c r="J111" s="3988"/>
      <c r="K111" s="3990"/>
      <c r="L111" s="3969"/>
      <c r="M111" s="3959"/>
      <c r="N111" s="3040"/>
      <c r="O111" s="3971"/>
      <c r="P111" s="3959"/>
      <c r="Q111" s="3248" t="s">
        <v>1085</v>
      </c>
      <c r="R111" s="1104" t="s">
        <v>1086</v>
      </c>
      <c r="S111" s="1167">
        <v>3000000</v>
      </c>
      <c r="T111" s="3984"/>
      <c r="U111" s="3962"/>
      <c r="V111" s="3982"/>
      <c r="W111" s="3976"/>
      <c r="X111" s="3976"/>
      <c r="Y111" s="3979"/>
      <c r="Z111" s="3973"/>
      <c r="AA111" s="3973"/>
      <c r="AB111" s="3973"/>
      <c r="AC111" s="3976"/>
      <c r="AD111" s="3976"/>
      <c r="AE111" s="3976"/>
      <c r="AF111" s="3976"/>
      <c r="AG111" s="3979"/>
      <c r="AH111" s="3973"/>
      <c r="AI111" s="3973"/>
      <c r="AJ111" s="3973"/>
      <c r="AK111" s="3976"/>
      <c r="AL111" s="3008"/>
      <c r="AM111" s="3008"/>
      <c r="AN111" s="2973"/>
      <c r="AO111" s="668"/>
      <c r="AP111" s="668"/>
      <c r="AQ111" s="668"/>
      <c r="AR111" s="668"/>
    </row>
    <row r="112" spans="1:44" ht="50.25" customHeight="1" x14ac:dyDescent="0.2">
      <c r="A112" s="1089"/>
      <c r="B112" s="1090"/>
      <c r="C112" s="1121"/>
      <c r="D112" s="677"/>
      <c r="E112" s="1121"/>
      <c r="F112" s="677"/>
      <c r="G112" s="3967"/>
      <c r="H112" s="3938"/>
      <c r="I112" s="3938"/>
      <c r="J112" s="3988"/>
      <c r="K112" s="3991"/>
      <c r="L112" s="3969"/>
      <c r="M112" s="3959"/>
      <c r="N112" s="3040"/>
      <c r="O112" s="3971"/>
      <c r="P112" s="3959"/>
      <c r="Q112" s="3249"/>
      <c r="R112" s="1104" t="s">
        <v>1087</v>
      </c>
      <c r="S112" s="1167">
        <v>5000000</v>
      </c>
      <c r="T112" s="3984"/>
      <c r="U112" s="3962"/>
      <c r="V112" s="3983"/>
      <c r="W112" s="3977"/>
      <c r="X112" s="3977"/>
      <c r="Y112" s="3980"/>
      <c r="Z112" s="3974"/>
      <c r="AA112" s="3974"/>
      <c r="AB112" s="3974"/>
      <c r="AC112" s="3977"/>
      <c r="AD112" s="3977"/>
      <c r="AE112" s="3977"/>
      <c r="AF112" s="3977"/>
      <c r="AG112" s="3980"/>
      <c r="AH112" s="3974"/>
      <c r="AI112" s="3974"/>
      <c r="AJ112" s="3974"/>
      <c r="AK112" s="3977"/>
      <c r="AL112" s="2957"/>
      <c r="AM112" s="2957"/>
      <c r="AN112" s="2973"/>
      <c r="AO112" s="668"/>
      <c r="AP112" s="668"/>
      <c r="AQ112" s="668"/>
      <c r="AR112" s="668"/>
    </row>
    <row r="113" spans="1:44" ht="15" x14ac:dyDescent="0.2">
      <c r="A113" s="1089"/>
      <c r="B113" s="1090"/>
      <c r="C113" s="1121"/>
      <c r="D113" s="677"/>
      <c r="E113" s="249">
        <v>66</v>
      </c>
      <c r="F113" s="1152" t="s">
        <v>1088</v>
      </c>
      <c r="G113" s="1153"/>
      <c r="H113" s="1154"/>
      <c r="I113" s="1154"/>
      <c r="J113" s="1153"/>
      <c r="K113" s="1153"/>
      <c r="L113" s="1153"/>
      <c r="M113" s="1155"/>
      <c r="N113" s="1153"/>
      <c r="O113" s="1156"/>
      <c r="P113" s="1154"/>
      <c r="Q113" s="1154"/>
      <c r="R113" s="1154"/>
      <c r="S113" s="1157"/>
      <c r="T113" s="1158"/>
      <c r="U113" s="1159"/>
      <c r="V113" s="1123"/>
      <c r="W113" s="1123"/>
      <c r="X113" s="1123"/>
      <c r="Y113" s="1123"/>
      <c r="Z113" s="1123"/>
      <c r="AA113" s="1123"/>
      <c r="AB113" s="1123"/>
      <c r="AC113" s="1123"/>
      <c r="AD113" s="1123"/>
      <c r="AE113" s="1123"/>
      <c r="AF113" s="1123"/>
      <c r="AG113" s="1123"/>
      <c r="AH113" s="1123"/>
      <c r="AI113" s="1123"/>
      <c r="AJ113" s="1123"/>
      <c r="AK113" s="1123"/>
      <c r="AL113" s="1123"/>
      <c r="AM113" s="1123"/>
      <c r="AN113" s="1131"/>
      <c r="AO113" s="668"/>
      <c r="AP113" s="668"/>
      <c r="AQ113" s="668"/>
      <c r="AR113" s="668"/>
    </row>
    <row r="114" spans="1:44" ht="55.5" customHeight="1" x14ac:dyDescent="0.2">
      <c r="A114" s="1089"/>
      <c r="B114" s="1090"/>
      <c r="C114" s="1121"/>
      <c r="D114" s="677"/>
      <c r="E114" s="1121"/>
      <c r="F114" s="677"/>
      <c r="G114" s="3966">
        <v>197</v>
      </c>
      <c r="H114" s="2586" t="s">
        <v>1089</v>
      </c>
      <c r="I114" s="3946" t="s">
        <v>1090</v>
      </c>
      <c r="J114" s="3276">
        <v>1</v>
      </c>
      <c r="K114" s="1168"/>
      <c r="L114" s="3969" t="s">
        <v>1091</v>
      </c>
      <c r="M114" s="3958" t="s">
        <v>1092</v>
      </c>
      <c r="N114" s="3045">
        <f>SUM(S114:S120)/O114</f>
        <v>1</v>
      </c>
      <c r="O114" s="3971">
        <f>SUM(S114:S120)</f>
        <v>50000000</v>
      </c>
      <c r="P114" s="3958" t="s">
        <v>1093</v>
      </c>
      <c r="Q114" s="3259" t="s">
        <v>1094</v>
      </c>
      <c r="R114" s="1139" t="s">
        <v>1095</v>
      </c>
      <c r="S114" s="1136">
        <f>5000000-5000000</f>
        <v>0</v>
      </c>
      <c r="T114" s="3961" t="s">
        <v>61</v>
      </c>
      <c r="U114" s="3962" t="s">
        <v>1083</v>
      </c>
      <c r="V114" s="3963">
        <v>1026</v>
      </c>
      <c r="W114" s="3033"/>
      <c r="X114" s="3033">
        <v>60</v>
      </c>
      <c r="Y114" s="3033">
        <v>350</v>
      </c>
      <c r="Z114" s="3033">
        <v>410</v>
      </c>
      <c r="AA114" s="3033">
        <v>50</v>
      </c>
      <c r="AB114" s="3002">
        <v>45</v>
      </c>
      <c r="AC114" s="3033">
        <v>60</v>
      </c>
      <c r="AD114" s="3033"/>
      <c r="AE114" s="3955"/>
      <c r="AF114" s="3033"/>
      <c r="AG114" s="3033"/>
      <c r="AH114" s="3033">
        <v>9</v>
      </c>
      <c r="AI114" s="3033">
        <v>10</v>
      </c>
      <c r="AJ114" s="3033">
        <v>32</v>
      </c>
      <c r="AK114" s="3033">
        <f>+V114</f>
        <v>1026</v>
      </c>
      <c r="AL114" s="3930">
        <v>43467</v>
      </c>
      <c r="AM114" s="3930">
        <v>43830</v>
      </c>
      <c r="AN114" s="3097" t="s">
        <v>894</v>
      </c>
      <c r="AO114" s="668"/>
      <c r="AP114" s="668"/>
      <c r="AQ114" s="668"/>
      <c r="AR114" s="668"/>
    </row>
    <row r="115" spans="1:44" ht="54" customHeight="1" x14ac:dyDescent="0.2">
      <c r="A115" s="1089"/>
      <c r="B115" s="1090"/>
      <c r="C115" s="1121"/>
      <c r="D115" s="677"/>
      <c r="E115" s="1121"/>
      <c r="F115" s="677"/>
      <c r="G115" s="3967"/>
      <c r="H115" s="2566"/>
      <c r="I115" s="3938"/>
      <c r="J115" s="3276"/>
      <c r="K115" s="1169"/>
      <c r="L115" s="3969"/>
      <c r="M115" s="3959"/>
      <c r="N115" s="3029"/>
      <c r="O115" s="3971"/>
      <c r="P115" s="3959"/>
      <c r="Q115" s="3259"/>
      <c r="R115" s="1139" t="s">
        <v>1096</v>
      </c>
      <c r="S115" s="1136">
        <f>5000000-5000000</f>
        <v>0</v>
      </c>
      <c r="T115" s="3961"/>
      <c r="U115" s="3962"/>
      <c r="V115" s="3964"/>
      <c r="W115" s="3034"/>
      <c r="X115" s="3034"/>
      <c r="Y115" s="3034"/>
      <c r="Z115" s="3034"/>
      <c r="AA115" s="3034"/>
      <c r="AB115" s="3003"/>
      <c r="AC115" s="3034"/>
      <c r="AD115" s="3034"/>
      <c r="AE115" s="3956"/>
      <c r="AF115" s="3034"/>
      <c r="AG115" s="3034"/>
      <c r="AH115" s="3034"/>
      <c r="AI115" s="3034"/>
      <c r="AJ115" s="3034"/>
      <c r="AK115" s="3034"/>
      <c r="AL115" s="3930"/>
      <c r="AM115" s="3930"/>
      <c r="AN115" s="3097"/>
      <c r="AO115" s="668"/>
      <c r="AP115" s="668"/>
      <c r="AQ115" s="668"/>
      <c r="AR115" s="668"/>
    </row>
    <row r="116" spans="1:44" ht="52.5" customHeight="1" x14ac:dyDescent="0.2">
      <c r="A116" s="1089"/>
      <c r="B116" s="1090"/>
      <c r="C116" s="1121"/>
      <c r="D116" s="677"/>
      <c r="E116" s="1121"/>
      <c r="F116" s="677"/>
      <c r="G116" s="3967"/>
      <c r="H116" s="2566"/>
      <c r="I116" s="3938"/>
      <c r="J116" s="3276"/>
      <c r="K116" s="1169"/>
      <c r="L116" s="3969"/>
      <c r="M116" s="3959"/>
      <c r="N116" s="3029"/>
      <c r="O116" s="3971"/>
      <c r="P116" s="3959"/>
      <c r="Q116" s="3259"/>
      <c r="R116" s="706" t="s">
        <v>1097</v>
      </c>
      <c r="S116" s="1136">
        <v>0</v>
      </c>
      <c r="T116" s="3961"/>
      <c r="U116" s="3962"/>
      <c r="V116" s="3964"/>
      <c r="W116" s="3034"/>
      <c r="X116" s="3034"/>
      <c r="Y116" s="3034"/>
      <c r="Z116" s="3034"/>
      <c r="AA116" s="3034"/>
      <c r="AB116" s="3003"/>
      <c r="AC116" s="3034"/>
      <c r="AD116" s="3034"/>
      <c r="AE116" s="3956"/>
      <c r="AF116" s="3034"/>
      <c r="AG116" s="3034"/>
      <c r="AH116" s="3034"/>
      <c r="AI116" s="3034"/>
      <c r="AJ116" s="3034"/>
      <c r="AK116" s="3034"/>
      <c r="AL116" s="2904"/>
      <c r="AM116" s="2904"/>
      <c r="AN116" s="3097"/>
      <c r="AO116" s="668"/>
      <c r="AP116" s="668"/>
      <c r="AQ116" s="668"/>
      <c r="AR116" s="668"/>
    </row>
    <row r="117" spans="1:44" ht="60" customHeight="1" x14ac:dyDescent="0.2">
      <c r="A117" s="1089"/>
      <c r="B117" s="1090"/>
      <c r="C117" s="1121"/>
      <c r="D117" s="677"/>
      <c r="E117" s="1121"/>
      <c r="F117" s="677"/>
      <c r="G117" s="3967"/>
      <c r="H117" s="2566"/>
      <c r="I117" s="3938"/>
      <c r="J117" s="3276"/>
      <c r="K117" s="1169" t="s">
        <v>1098</v>
      </c>
      <c r="L117" s="3969"/>
      <c r="M117" s="3959"/>
      <c r="N117" s="3029"/>
      <c r="O117" s="3971"/>
      <c r="P117" s="3959"/>
      <c r="Q117" s="3259" t="s">
        <v>1099</v>
      </c>
      <c r="R117" s="1139" t="s">
        <v>1100</v>
      </c>
      <c r="S117" s="1136">
        <f>30000000+10000000</f>
        <v>40000000</v>
      </c>
      <c r="T117" s="3961"/>
      <c r="U117" s="3962"/>
      <c r="V117" s="3964"/>
      <c r="W117" s="3034"/>
      <c r="X117" s="3034"/>
      <c r="Y117" s="3034"/>
      <c r="Z117" s="3034"/>
      <c r="AA117" s="3034"/>
      <c r="AB117" s="3003"/>
      <c r="AC117" s="3034"/>
      <c r="AD117" s="3034"/>
      <c r="AE117" s="3956"/>
      <c r="AF117" s="3034"/>
      <c r="AG117" s="3034"/>
      <c r="AH117" s="3034"/>
      <c r="AI117" s="3034"/>
      <c r="AJ117" s="3034"/>
      <c r="AK117" s="3034"/>
      <c r="AL117" s="2904"/>
      <c r="AM117" s="2904"/>
      <c r="AN117" s="3097"/>
      <c r="AO117" s="668"/>
      <c r="AP117" s="668"/>
      <c r="AQ117" s="668"/>
      <c r="AR117" s="668"/>
    </row>
    <row r="118" spans="1:44" ht="42.75" x14ac:dyDescent="0.2">
      <c r="A118" s="1089"/>
      <c r="B118" s="1090"/>
      <c r="C118" s="1121"/>
      <c r="D118" s="677"/>
      <c r="E118" s="1121"/>
      <c r="F118" s="677"/>
      <c r="G118" s="3967"/>
      <c r="H118" s="2566"/>
      <c r="I118" s="3938"/>
      <c r="J118" s="3276"/>
      <c r="K118" s="1169"/>
      <c r="L118" s="3969"/>
      <c r="M118" s="3959"/>
      <c r="N118" s="3029"/>
      <c r="O118" s="3971"/>
      <c r="P118" s="3959"/>
      <c r="Q118" s="3259"/>
      <c r="R118" s="1139" t="s">
        <v>1101</v>
      </c>
      <c r="S118" s="1136">
        <v>5000000</v>
      </c>
      <c r="T118" s="3961"/>
      <c r="U118" s="3962"/>
      <c r="V118" s="3964"/>
      <c r="W118" s="3034"/>
      <c r="X118" s="3034"/>
      <c r="Y118" s="3034"/>
      <c r="Z118" s="3034"/>
      <c r="AA118" s="3034"/>
      <c r="AB118" s="3003"/>
      <c r="AC118" s="3034"/>
      <c r="AD118" s="3034"/>
      <c r="AE118" s="3956"/>
      <c r="AF118" s="3034"/>
      <c r="AG118" s="3034"/>
      <c r="AH118" s="3034"/>
      <c r="AI118" s="3034"/>
      <c r="AJ118" s="3034"/>
      <c r="AK118" s="3034"/>
      <c r="AL118" s="2904"/>
      <c r="AM118" s="2904"/>
      <c r="AN118" s="3097"/>
      <c r="AO118" s="668"/>
      <c r="AP118" s="668"/>
      <c r="AQ118" s="668"/>
      <c r="AR118" s="668"/>
    </row>
    <row r="119" spans="1:44" ht="33" customHeight="1" x14ac:dyDescent="0.2">
      <c r="A119" s="1089"/>
      <c r="B119" s="1090"/>
      <c r="C119" s="1121"/>
      <c r="D119" s="677"/>
      <c r="E119" s="1121"/>
      <c r="F119" s="677"/>
      <c r="G119" s="3967"/>
      <c r="H119" s="2566"/>
      <c r="I119" s="3938"/>
      <c r="J119" s="3276"/>
      <c r="K119" s="1169"/>
      <c r="L119" s="3969"/>
      <c r="M119" s="3959"/>
      <c r="N119" s="3029"/>
      <c r="O119" s="3971"/>
      <c r="P119" s="3959"/>
      <c r="Q119" s="3259"/>
      <c r="R119" s="1139" t="s">
        <v>1086</v>
      </c>
      <c r="S119" s="1136">
        <v>1000000</v>
      </c>
      <c r="T119" s="3961"/>
      <c r="U119" s="3962"/>
      <c r="V119" s="3964"/>
      <c r="W119" s="3034"/>
      <c r="X119" s="3034"/>
      <c r="Y119" s="3034"/>
      <c r="Z119" s="3034"/>
      <c r="AA119" s="3034"/>
      <c r="AB119" s="3003"/>
      <c r="AC119" s="3034"/>
      <c r="AD119" s="3034"/>
      <c r="AE119" s="3956"/>
      <c r="AF119" s="3034"/>
      <c r="AG119" s="3034"/>
      <c r="AH119" s="3034"/>
      <c r="AI119" s="3034"/>
      <c r="AJ119" s="3034"/>
      <c r="AK119" s="3034"/>
      <c r="AL119" s="2904"/>
      <c r="AM119" s="2904"/>
      <c r="AN119" s="3097"/>
      <c r="AO119" s="668"/>
      <c r="AP119" s="668"/>
      <c r="AQ119" s="668"/>
      <c r="AR119" s="668"/>
    </row>
    <row r="120" spans="1:44" ht="51.75" customHeight="1" x14ac:dyDescent="0.2">
      <c r="A120" s="1089"/>
      <c r="B120" s="1090"/>
      <c r="C120" s="1150"/>
      <c r="D120" s="714"/>
      <c r="E120" s="1150"/>
      <c r="F120" s="714"/>
      <c r="G120" s="3968"/>
      <c r="H120" s="2590"/>
      <c r="I120" s="3939"/>
      <c r="J120" s="3276"/>
      <c r="K120" s="1170"/>
      <c r="L120" s="3970"/>
      <c r="M120" s="3960"/>
      <c r="N120" s="3030"/>
      <c r="O120" s="3971"/>
      <c r="P120" s="3960"/>
      <c r="Q120" s="3259"/>
      <c r="R120" s="1139" t="s">
        <v>1087</v>
      </c>
      <c r="S120" s="1136">
        <v>4000000</v>
      </c>
      <c r="T120" s="3961"/>
      <c r="U120" s="3962"/>
      <c r="V120" s="3965"/>
      <c r="W120" s="3035"/>
      <c r="X120" s="3035"/>
      <c r="Y120" s="3035"/>
      <c r="Z120" s="3035"/>
      <c r="AA120" s="3035"/>
      <c r="AB120" s="3004"/>
      <c r="AC120" s="3035"/>
      <c r="AD120" s="3035"/>
      <c r="AE120" s="3957"/>
      <c r="AF120" s="3035"/>
      <c r="AG120" s="3035"/>
      <c r="AH120" s="3035"/>
      <c r="AI120" s="3035"/>
      <c r="AJ120" s="3035"/>
      <c r="AK120" s="3035"/>
      <c r="AL120" s="2904"/>
      <c r="AM120" s="2904"/>
      <c r="AN120" s="3097"/>
      <c r="AO120" s="668"/>
      <c r="AP120" s="668"/>
      <c r="AQ120" s="668"/>
      <c r="AR120" s="668"/>
    </row>
    <row r="121" spans="1:44" ht="15" x14ac:dyDescent="0.2">
      <c r="A121" s="1089"/>
      <c r="B121" s="1090"/>
      <c r="C121" s="1171">
        <v>19</v>
      </c>
      <c r="D121" s="1140" t="s">
        <v>1102</v>
      </c>
      <c r="E121" s="1141"/>
      <c r="F121" s="1141"/>
      <c r="G121" s="1141"/>
      <c r="H121" s="1113"/>
      <c r="I121" s="1113"/>
      <c r="J121" s="1141"/>
      <c r="K121" s="1141"/>
      <c r="L121" s="1141"/>
      <c r="M121" s="1114"/>
      <c r="N121" s="1141"/>
      <c r="O121" s="1142"/>
      <c r="P121" s="1113"/>
      <c r="Q121" s="1113"/>
      <c r="R121" s="1113"/>
      <c r="S121" s="1172"/>
      <c r="T121" s="1117"/>
      <c r="U121" s="1118"/>
      <c r="V121" s="1143"/>
      <c r="W121" s="1143"/>
      <c r="X121" s="1143"/>
      <c r="Y121" s="1143"/>
      <c r="Z121" s="1143"/>
      <c r="AA121" s="1143"/>
      <c r="AB121" s="1143"/>
      <c r="AC121" s="1143"/>
      <c r="AD121" s="1143"/>
      <c r="AE121" s="1143"/>
      <c r="AF121" s="1143"/>
      <c r="AG121" s="1143"/>
      <c r="AH121" s="1143"/>
      <c r="AI121" s="1143"/>
      <c r="AJ121" s="1143"/>
      <c r="AK121" s="1143"/>
      <c r="AL121" s="1143"/>
      <c r="AM121" s="1143"/>
      <c r="AN121" s="1144"/>
      <c r="AO121" s="668"/>
      <c r="AP121" s="668"/>
      <c r="AQ121" s="668"/>
      <c r="AR121" s="668"/>
    </row>
    <row r="122" spans="1:44" ht="15" x14ac:dyDescent="0.2">
      <c r="A122" s="1089"/>
      <c r="B122" s="1090"/>
      <c r="C122" s="3941"/>
      <c r="D122" s="3942"/>
      <c r="E122" s="228">
        <v>67</v>
      </c>
      <c r="F122" s="1161" t="s">
        <v>1103</v>
      </c>
      <c r="G122" s="1162"/>
      <c r="H122" s="1154"/>
      <c r="I122" s="1154"/>
      <c r="J122" s="1162"/>
      <c r="K122" s="1173"/>
      <c r="L122" s="1162"/>
      <c r="M122" s="1155"/>
      <c r="N122" s="1162"/>
      <c r="O122" s="1163"/>
      <c r="P122" s="1154"/>
      <c r="Q122" s="1154"/>
      <c r="R122" s="1154"/>
      <c r="S122" s="1164"/>
      <c r="T122" s="1158"/>
      <c r="U122" s="1159"/>
      <c r="V122" s="1165"/>
      <c r="W122" s="1165"/>
      <c r="X122" s="1165"/>
      <c r="Y122" s="1165"/>
      <c r="Z122" s="1165"/>
      <c r="AA122" s="1165"/>
      <c r="AB122" s="1165"/>
      <c r="AC122" s="1165"/>
      <c r="AD122" s="1165"/>
      <c r="AE122" s="1165"/>
      <c r="AF122" s="1165"/>
      <c r="AG122" s="1165"/>
      <c r="AH122" s="1165"/>
      <c r="AI122" s="1165"/>
      <c r="AJ122" s="1165"/>
      <c r="AK122" s="1165"/>
      <c r="AL122" s="1165"/>
      <c r="AM122" s="1165"/>
      <c r="AN122" s="1131"/>
      <c r="AO122" s="668"/>
      <c r="AP122" s="668"/>
      <c r="AQ122" s="668"/>
      <c r="AR122" s="668"/>
    </row>
    <row r="123" spans="1:44" ht="57.75" customHeight="1" x14ac:dyDescent="0.2">
      <c r="A123" s="1089"/>
      <c r="B123" s="1090"/>
      <c r="C123" s="3941"/>
      <c r="D123" s="3942"/>
      <c r="E123" s="708"/>
      <c r="F123" s="1132"/>
      <c r="G123" s="3917">
        <v>198</v>
      </c>
      <c r="H123" s="3946" t="s">
        <v>1104</v>
      </c>
      <c r="I123" s="3247" t="s">
        <v>1105</v>
      </c>
      <c r="J123" s="3947">
        <v>1</v>
      </c>
      <c r="K123" s="3949" t="s">
        <v>1106</v>
      </c>
      <c r="L123" s="3936" t="s">
        <v>1107</v>
      </c>
      <c r="M123" s="3938" t="s">
        <v>1108</v>
      </c>
      <c r="N123" s="3924">
        <f>SUM(S123:S129)/O123</f>
        <v>1.1019292128613386E-2</v>
      </c>
      <c r="O123" s="3544">
        <f>SUM(S123:S134)</f>
        <v>3977405943</v>
      </c>
      <c r="P123" s="3938" t="s">
        <v>1109</v>
      </c>
      <c r="Q123" s="3259" t="s">
        <v>1110</v>
      </c>
      <c r="R123" s="1174" t="s">
        <v>1111</v>
      </c>
      <c r="S123" s="1160">
        <v>10000000</v>
      </c>
      <c r="T123" s="1175">
        <v>20</v>
      </c>
      <c r="U123" s="1133" t="s">
        <v>62</v>
      </c>
      <c r="V123" s="3933">
        <v>2500</v>
      </c>
      <c r="W123" s="3932">
        <v>2000</v>
      </c>
      <c r="X123" s="3932"/>
      <c r="Y123" s="3932"/>
      <c r="Z123" s="3932"/>
      <c r="AA123" s="3932">
        <v>4500</v>
      </c>
      <c r="AB123" s="3931"/>
      <c r="AC123" s="3932"/>
      <c r="AD123" s="3932"/>
      <c r="AE123" s="3926"/>
      <c r="AF123" s="3926"/>
      <c r="AG123" s="3926"/>
      <c r="AH123" s="3926"/>
      <c r="AI123" s="3926"/>
      <c r="AJ123" s="3926"/>
      <c r="AK123" s="3928">
        <f>SUM(AA123)</f>
        <v>4500</v>
      </c>
      <c r="AL123" s="3930">
        <v>43467</v>
      </c>
      <c r="AM123" s="3930">
        <v>43830</v>
      </c>
      <c r="AN123" s="2972" t="s">
        <v>894</v>
      </c>
      <c r="AO123" s="668"/>
      <c r="AP123" s="668"/>
      <c r="AQ123" s="668"/>
      <c r="AR123" s="668"/>
    </row>
    <row r="124" spans="1:44" ht="68.25" customHeight="1" x14ac:dyDescent="0.2">
      <c r="A124" s="1089"/>
      <c r="B124" s="1090"/>
      <c r="C124" s="3941"/>
      <c r="D124" s="3942"/>
      <c r="E124" s="1121"/>
      <c r="F124" s="677"/>
      <c r="G124" s="3945"/>
      <c r="H124" s="3938"/>
      <c r="I124" s="3248"/>
      <c r="J124" s="3948"/>
      <c r="K124" s="3950"/>
      <c r="L124" s="3936"/>
      <c r="M124" s="3938"/>
      <c r="N124" s="3940"/>
      <c r="O124" s="3545"/>
      <c r="P124" s="3938"/>
      <c r="Q124" s="3259"/>
      <c r="R124" s="1174" t="s">
        <v>1112</v>
      </c>
      <c r="S124" s="1160">
        <v>10968198</v>
      </c>
      <c r="T124" s="1175">
        <v>20</v>
      </c>
      <c r="U124" s="1133" t="s">
        <v>62</v>
      </c>
      <c r="V124" s="3934"/>
      <c r="W124" s="3928"/>
      <c r="X124" s="3928"/>
      <c r="Y124" s="3928"/>
      <c r="Z124" s="3928"/>
      <c r="AA124" s="3928"/>
      <c r="AB124" s="3926"/>
      <c r="AC124" s="3928"/>
      <c r="AD124" s="3928"/>
      <c r="AE124" s="3926"/>
      <c r="AF124" s="3926"/>
      <c r="AG124" s="3926"/>
      <c r="AH124" s="3926"/>
      <c r="AI124" s="3926"/>
      <c r="AJ124" s="3926"/>
      <c r="AK124" s="3928"/>
      <c r="AL124" s="3930"/>
      <c r="AM124" s="3930"/>
      <c r="AN124" s="2973"/>
      <c r="AO124" s="668"/>
      <c r="AP124" s="668"/>
      <c r="AQ124" s="668"/>
      <c r="AR124" s="668"/>
    </row>
    <row r="125" spans="1:44" ht="57" x14ac:dyDescent="0.2">
      <c r="A125" s="1089"/>
      <c r="B125" s="1090"/>
      <c r="C125" s="3941"/>
      <c r="D125" s="3942"/>
      <c r="E125" s="1121"/>
      <c r="F125" s="677"/>
      <c r="G125" s="3945"/>
      <c r="H125" s="3938"/>
      <c r="I125" s="3248"/>
      <c r="J125" s="3948"/>
      <c r="K125" s="3950"/>
      <c r="L125" s="3936"/>
      <c r="M125" s="3938"/>
      <c r="N125" s="3940"/>
      <c r="O125" s="3545"/>
      <c r="P125" s="3938"/>
      <c r="Q125" s="3259"/>
      <c r="R125" s="1139" t="s">
        <v>1113</v>
      </c>
      <c r="S125" s="1160">
        <v>500000</v>
      </c>
      <c r="T125" s="1175">
        <v>20</v>
      </c>
      <c r="U125" s="1133" t="s">
        <v>62</v>
      </c>
      <c r="V125" s="3934"/>
      <c r="W125" s="3928"/>
      <c r="X125" s="3928"/>
      <c r="Y125" s="3928"/>
      <c r="Z125" s="3928"/>
      <c r="AA125" s="3928"/>
      <c r="AB125" s="3926"/>
      <c r="AC125" s="3928"/>
      <c r="AD125" s="3928"/>
      <c r="AE125" s="3926"/>
      <c r="AF125" s="3926"/>
      <c r="AG125" s="3926"/>
      <c r="AH125" s="3926"/>
      <c r="AI125" s="3926"/>
      <c r="AJ125" s="3926"/>
      <c r="AK125" s="3928"/>
      <c r="AL125" s="3930"/>
      <c r="AM125" s="3930"/>
      <c r="AN125" s="2973"/>
      <c r="AO125" s="668"/>
      <c r="AP125" s="668"/>
      <c r="AQ125" s="668"/>
      <c r="AR125" s="668"/>
    </row>
    <row r="126" spans="1:44" ht="57" x14ac:dyDescent="0.2">
      <c r="A126" s="1089"/>
      <c r="B126" s="1090"/>
      <c r="C126" s="3941"/>
      <c r="D126" s="3942"/>
      <c r="E126" s="1121"/>
      <c r="F126" s="677"/>
      <c r="G126" s="3945"/>
      <c r="H126" s="3938"/>
      <c r="I126" s="3248"/>
      <c r="J126" s="3948"/>
      <c r="K126" s="3950"/>
      <c r="L126" s="3936"/>
      <c r="M126" s="3938"/>
      <c r="N126" s="3940"/>
      <c r="O126" s="3545"/>
      <c r="P126" s="3938"/>
      <c r="Q126" s="3259"/>
      <c r="R126" s="1139" t="s">
        <v>1114</v>
      </c>
      <c r="S126" s="1160">
        <f>5940000+500000</f>
        <v>6440000</v>
      </c>
      <c r="T126" s="1175">
        <v>20</v>
      </c>
      <c r="U126" s="1133" t="s">
        <v>62</v>
      </c>
      <c r="V126" s="3934"/>
      <c r="W126" s="3928"/>
      <c r="X126" s="3928"/>
      <c r="Y126" s="3928"/>
      <c r="Z126" s="3928"/>
      <c r="AA126" s="3928"/>
      <c r="AB126" s="3926"/>
      <c r="AC126" s="3928"/>
      <c r="AD126" s="3928"/>
      <c r="AE126" s="3926"/>
      <c r="AF126" s="3926"/>
      <c r="AG126" s="3926"/>
      <c r="AH126" s="3926"/>
      <c r="AI126" s="3926"/>
      <c r="AJ126" s="3926"/>
      <c r="AK126" s="3928"/>
      <c r="AL126" s="3930"/>
      <c r="AM126" s="3930"/>
      <c r="AN126" s="2973"/>
      <c r="AO126" s="668"/>
      <c r="AP126" s="668"/>
      <c r="AQ126" s="668"/>
      <c r="AR126" s="668"/>
    </row>
    <row r="127" spans="1:44" ht="57" x14ac:dyDescent="0.2">
      <c r="A127" s="1089"/>
      <c r="B127" s="1090"/>
      <c r="C127" s="3941"/>
      <c r="D127" s="3942"/>
      <c r="E127" s="1121"/>
      <c r="F127" s="677"/>
      <c r="G127" s="3945"/>
      <c r="H127" s="3938"/>
      <c r="I127" s="3248"/>
      <c r="J127" s="3948"/>
      <c r="K127" s="3950"/>
      <c r="L127" s="3936"/>
      <c r="M127" s="3938"/>
      <c r="N127" s="3940"/>
      <c r="O127" s="3545"/>
      <c r="P127" s="3938"/>
      <c r="Q127" s="3259"/>
      <c r="R127" s="1139" t="s">
        <v>1115</v>
      </c>
      <c r="S127" s="1160">
        <f>7920000-500000</f>
        <v>7420000</v>
      </c>
      <c r="T127" s="1175">
        <v>20</v>
      </c>
      <c r="U127" s="1133" t="s">
        <v>62</v>
      </c>
      <c r="V127" s="3934"/>
      <c r="W127" s="3928"/>
      <c r="X127" s="3928"/>
      <c r="Y127" s="3928"/>
      <c r="Z127" s="3928"/>
      <c r="AA127" s="3928"/>
      <c r="AB127" s="3926"/>
      <c r="AC127" s="3928"/>
      <c r="AD127" s="3928"/>
      <c r="AE127" s="3926"/>
      <c r="AF127" s="3926"/>
      <c r="AG127" s="3926"/>
      <c r="AH127" s="3926"/>
      <c r="AI127" s="3926"/>
      <c r="AJ127" s="3926"/>
      <c r="AK127" s="3928"/>
      <c r="AL127" s="3930"/>
      <c r="AM127" s="3930"/>
      <c r="AN127" s="2973"/>
      <c r="AO127" s="668"/>
      <c r="AP127" s="668"/>
      <c r="AQ127" s="668"/>
      <c r="AR127" s="668"/>
    </row>
    <row r="128" spans="1:44" ht="41.25" customHeight="1" x14ac:dyDescent="0.2">
      <c r="A128" s="1089"/>
      <c r="B128" s="1090"/>
      <c r="C128" s="3941"/>
      <c r="D128" s="3942"/>
      <c r="E128" s="1121"/>
      <c r="F128" s="677"/>
      <c r="G128" s="3945"/>
      <c r="H128" s="3938"/>
      <c r="I128" s="3248"/>
      <c r="J128" s="3948"/>
      <c r="K128" s="3950"/>
      <c r="L128" s="3936"/>
      <c r="M128" s="3938"/>
      <c r="N128" s="3940"/>
      <c r="O128" s="3545"/>
      <c r="P128" s="3938"/>
      <c r="Q128" s="3259"/>
      <c r="R128" s="1176" t="s">
        <v>1116</v>
      </c>
      <c r="S128" s="1160">
        <v>5000000</v>
      </c>
      <c r="T128" s="1175">
        <v>20</v>
      </c>
      <c r="U128" s="1133" t="s">
        <v>62</v>
      </c>
      <c r="V128" s="3934"/>
      <c r="W128" s="3928"/>
      <c r="X128" s="3928"/>
      <c r="Y128" s="3928"/>
      <c r="Z128" s="3928"/>
      <c r="AA128" s="3928"/>
      <c r="AB128" s="3926"/>
      <c r="AC128" s="3928"/>
      <c r="AD128" s="3928"/>
      <c r="AE128" s="3926"/>
      <c r="AF128" s="3926"/>
      <c r="AG128" s="3926"/>
      <c r="AH128" s="3926"/>
      <c r="AI128" s="3926"/>
      <c r="AJ128" s="3926"/>
      <c r="AK128" s="3928"/>
      <c r="AL128" s="3930"/>
      <c r="AM128" s="3930"/>
      <c r="AN128" s="2973"/>
      <c r="AO128" s="668"/>
      <c r="AP128" s="668"/>
      <c r="AQ128" s="668"/>
      <c r="AR128" s="668"/>
    </row>
    <row r="129" spans="1:44" ht="57" customHeight="1" x14ac:dyDescent="0.2">
      <c r="A129" s="1089"/>
      <c r="B129" s="1090"/>
      <c r="C129" s="3941"/>
      <c r="D129" s="3942"/>
      <c r="E129" s="1121"/>
      <c r="F129" s="677"/>
      <c r="G129" s="3945"/>
      <c r="H129" s="3938"/>
      <c r="I129" s="3248"/>
      <c r="J129" s="3948"/>
      <c r="K129" s="3950"/>
      <c r="L129" s="3936"/>
      <c r="M129" s="3938"/>
      <c r="N129" s="3940"/>
      <c r="O129" s="3545"/>
      <c r="P129" s="3938"/>
      <c r="Q129" s="3259"/>
      <c r="R129" s="1176" t="s">
        <v>1117</v>
      </c>
      <c r="S129" s="1160">
        <v>3500000</v>
      </c>
      <c r="T129" s="1175">
        <v>20</v>
      </c>
      <c r="U129" s="1133" t="s">
        <v>62</v>
      </c>
      <c r="V129" s="3934"/>
      <c r="W129" s="3928"/>
      <c r="X129" s="3928"/>
      <c r="Y129" s="3928"/>
      <c r="Z129" s="3928"/>
      <c r="AA129" s="3928"/>
      <c r="AB129" s="3926"/>
      <c r="AC129" s="3928"/>
      <c r="AD129" s="3928"/>
      <c r="AE129" s="3926"/>
      <c r="AF129" s="3926"/>
      <c r="AG129" s="3926"/>
      <c r="AH129" s="3926"/>
      <c r="AI129" s="3926"/>
      <c r="AJ129" s="3926"/>
      <c r="AK129" s="3928"/>
      <c r="AL129" s="3930"/>
      <c r="AM129" s="3930"/>
      <c r="AN129" s="2973"/>
    </row>
    <row r="130" spans="1:44" ht="72.75" customHeight="1" x14ac:dyDescent="0.2">
      <c r="A130" s="1089"/>
      <c r="B130" s="1090"/>
      <c r="C130" s="3941"/>
      <c r="D130" s="3942"/>
      <c r="E130" s="1121"/>
      <c r="F130" s="677"/>
      <c r="G130" s="1177">
        <v>199</v>
      </c>
      <c r="H130" s="1178" t="s">
        <v>1118</v>
      </c>
      <c r="I130" s="1179" t="s">
        <v>1119</v>
      </c>
      <c r="J130" s="1180">
        <v>4</v>
      </c>
      <c r="K130" s="1181" t="s">
        <v>1120</v>
      </c>
      <c r="L130" s="3936"/>
      <c r="M130" s="3938"/>
      <c r="N130" s="1182">
        <f>+S130/O123</f>
        <v>1.0056806012068655E-2</v>
      </c>
      <c r="O130" s="3545"/>
      <c r="P130" s="3938"/>
      <c r="Q130" s="3259"/>
      <c r="R130" s="1183" t="s">
        <v>1121</v>
      </c>
      <c r="S130" s="1160">
        <v>40000000</v>
      </c>
      <c r="T130" s="1175">
        <v>20</v>
      </c>
      <c r="U130" s="1133" t="s">
        <v>62</v>
      </c>
      <c r="V130" s="3934"/>
      <c r="W130" s="3928"/>
      <c r="X130" s="3928"/>
      <c r="Y130" s="3928"/>
      <c r="Z130" s="3928"/>
      <c r="AA130" s="3928"/>
      <c r="AB130" s="3926"/>
      <c r="AC130" s="3928"/>
      <c r="AD130" s="3928"/>
      <c r="AE130" s="3926"/>
      <c r="AF130" s="3926"/>
      <c r="AG130" s="3926"/>
      <c r="AH130" s="3926"/>
      <c r="AI130" s="3926"/>
      <c r="AJ130" s="3926"/>
      <c r="AK130" s="3928"/>
      <c r="AL130" s="3930"/>
      <c r="AM130" s="3930"/>
      <c r="AN130" s="2973"/>
    </row>
    <row r="131" spans="1:44" ht="33.75" customHeight="1" x14ac:dyDescent="0.2">
      <c r="A131" s="1089"/>
      <c r="B131" s="1090"/>
      <c r="C131" s="3941"/>
      <c r="D131" s="3942"/>
      <c r="E131" s="1121"/>
      <c r="F131" s="677"/>
      <c r="G131" s="3917">
        <v>200</v>
      </c>
      <c r="H131" s="3919" t="s">
        <v>1122</v>
      </c>
      <c r="I131" s="3921" t="s">
        <v>1123</v>
      </c>
      <c r="J131" s="3922">
        <v>12</v>
      </c>
      <c r="K131" s="3923" t="s">
        <v>1124</v>
      </c>
      <c r="L131" s="3936"/>
      <c r="M131" s="3938"/>
      <c r="N131" s="3924">
        <f>+SUM(S131:S132)/O123</f>
        <v>0.29367717068350546</v>
      </c>
      <c r="O131" s="3545"/>
      <c r="P131" s="3938"/>
      <c r="Q131" s="3488" t="s">
        <v>1125</v>
      </c>
      <c r="R131" s="3911" t="s">
        <v>1126</v>
      </c>
      <c r="S131" s="1160">
        <v>1111986335</v>
      </c>
      <c r="T131" s="1184">
        <v>6</v>
      </c>
      <c r="U131" s="1106" t="s">
        <v>1127</v>
      </c>
      <c r="V131" s="3934"/>
      <c r="W131" s="3928"/>
      <c r="X131" s="3928"/>
      <c r="Y131" s="3928"/>
      <c r="Z131" s="3928"/>
      <c r="AA131" s="3928"/>
      <c r="AB131" s="3926"/>
      <c r="AC131" s="3928"/>
      <c r="AD131" s="3928"/>
      <c r="AE131" s="3926"/>
      <c r="AF131" s="3926"/>
      <c r="AG131" s="3926"/>
      <c r="AH131" s="3926"/>
      <c r="AI131" s="3926"/>
      <c r="AJ131" s="3926"/>
      <c r="AK131" s="3928"/>
      <c r="AL131" s="3930"/>
      <c r="AM131" s="3930"/>
      <c r="AN131" s="2973"/>
    </row>
    <row r="132" spans="1:44" ht="35.25" customHeight="1" x14ac:dyDescent="0.2">
      <c r="A132" s="1089"/>
      <c r="B132" s="1090"/>
      <c r="C132" s="3941"/>
      <c r="D132" s="3942"/>
      <c r="E132" s="1121"/>
      <c r="F132" s="677"/>
      <c r="G132" s="3918"/>
      <c r="H132" s="3920"/>
      <c r="I132" s="3921"/>
      <c r="J132" s="3922"/>
      <c r="K132" s="3923"/>
      <c r="L132" s="3936"/>
      <c r="M132" s="3938"/>
      <c r="N132" s="3925"/>
      <c r="O132" s="3545"/>
      <c r="P132" s="3938"/>
      <c r="Q132" s="3489"/>
      <c r="R132" s="3912"/>
      <c r="S132" s="1160">
        <f>0+56086989</f>
        <v>56086989</v>
      </c>
      <c r="T132" s="1185">
        <v>84</v>
      </c>
      <c r="U132" s="1133" t="s">
        <v>1128</v>
      </c>
      <c r="V132" s="3934"/>
      <c r="W132" s="3928"/>
      <c r="X132" s="3928"/>
      <c r="Y132" s="3928"/>
      <c r="Z132" s="3928"/>
      <c r="AA132" s="3928"/>
      <c r="AB132" s="3926"/>
      <c r="AC132" s="3928"/>
      <c r="AD132" s="3928"/>
      <c r="AE132" s="3926"/>
      <c r="AF132" s="3926"/>
      <c r="AG132" s="3926"/>
      <c r="AH132" s="3926"/>
      <c r="AI132" s="3926"/>
      <c r="AJ132" s="3926"/>
      <c r="AK132" s="3928"/>
      <c r="AL132" s="3930"/>
      <c r="AM132" s="3930"/>
      <c r="AN132" s="2973"/>
    </row>
    <row r="133" spans="1:44" ht="36.75" customHeight="1" x14ac:dyDescent="0.2">
      <c r="A133" s="1089"/>
      <c r="B133" s="1090"/>
      <c r="C133" s="3941"/>
      <c r="D133" s="3942"/>
      <c r="E133" s="1121"/>
      <c r="F133" s="677"/>
      <c r="G133" s="3917">
        <v>201</v>
      </c>
      <c r="H133" s="3951" t="s">
        <v>1129</v>
      </c>
      <c r="I133" s="3953" t="s">
        <v>1130</v>
      </c>
      <c r="J133" s="3922">
        <v>14</v>
      </c>
      <c r="K133" s="3923"/>
      <c r="L133" s="3936"/>
      <c r="M133" s="3938"/>
      <c r="N133" s="3924">
        <f>+SUM(S133:S134)/O123</f>
        <v>0.68524673117581247</v>
      </c>
      <c r="O133" s="3545"/>
      <c r="P133" s="3938"/>
      <c r="Q133" s="3489"/>
      <c r="R133" s="3911" t="s">
        <v>1131</v>
      </c>
      <c r="S133" s="1160">
        <v>2594634781</v>
      </c>
      <c r="T133" s="1184">
        <v>6</v>
      </c>
      <c r="U133" s="1106" t="s">
        <v>1127</v>
      </c>
      <c r="V133" s="3934"/>
      <c r="W133" s="3928"/>
      <c r="X133" s="3928"/>
      <c r="Y133" s="3928"/>
      <c r="Z133" s="3928"/>
      <c r="AA133" s="3928"/>
      <c r="AB133" s="3926"/>
      <c r="AC133" s="3928"/>
      <c r="AD133" s="3928"/>
      <c r="AE133" s="3926"/>
      <c r="AF133" s="3926"/>
      <c r="AG133" s="3926"/>
      <c r="AH133" s="3926"/>
      <c r="AI133" s="3926"/>
      <c r="AJ133" s="3926"/>
      <c r="AK133" s="3928"/>
      <c r="AL133" s="3930"/>
      <c r="AM133" s="3930"/>
      <c r="AN133" s="2973"/>
    </row>
    <row r="134" spans="1:44" ht="33" customHeight="1" x14ac:dyDescent="0.2">
      <c r="A134" s="1186"/>
      <c r="B134" s="1109"/>
      <c r="C134" s="3943"/>
      <c r="D134" s="3944"/>
      <c r="E134" s="1150"/>
      <c r="F134" s="714"/>
      <c r="G134" s="3918"/>
      <c r="H134" s="3952"/>
      <c r="I134" s="3954"/>
      <c r="J134" s="3922"/>
      <c r="K134" s="3923"/>
      <c r="L134" s="3937"/>
      <c r="M134" s="3939"/>
      <c r="N134" s="3925"/>
      <c r="O134" s="3546"/>
      <c r="P134" s="3939"/>
      <c r="Q134" s="3490"/>
      <c r="R134" s="3912"/>
      <c r="S134" s="1160">
        <f>0+130869640</f>
        <v>130869640</v>
      </c>
      <c r="T134" s="1184">
        <v>84</v>
      </c>
      <c r="U134" s="1133" t="s">
        <v>1128</v>
      </c>
      <c r="V134" s="3935"/>
      <c r="W134" s="3929"/>
      <c r="X134" s="3929"/>
      <c r="Y134" s="3929"/>
      <c r="Z134" s="3929"/>
      <c r="AA134" s="3929"/>
      <c r="AB134" s="3927"/>
      <c r="AC134" s="3929"/>
      <c r="AD134" s="3929"/>
      <c r="AE134" s="3927"/>
      <c r="AF134" s="3927"/>
      <c r="AG134" s="3927"/>
      <c r="AH134" s="3927"/>
      <c r="AI134" s="3927"/>
      <c r="AJ134" s="3927"/>
      <c r="AK134" s="3929"/>
      <c r="AL134" s="3930"/>
      <c r="AM134" s="3930"/>
      <c r="AN134" s="2974"/>
    </row>
    <row r="135" spans="1:44" s="1146" customFormat="1" ht="15" x14ac:dyDescent="0.25">
      <c r="A135" s="3913" t="s">
        <v>467</v>
      </c>
      <c r="B135" s="3913"/>
      <c r="C135" s="3913"/>
      <c r="D135" s="3913"/>
      <c r="E135" s="3913"/>
      <c r="F135" s="3913"/>
      <c r="G135" s="3913"/>
      <c r="H135" s="3913"/>
      <c r="I135" s="3913"/>
      <c r="J135" s="3913"/>
      <c r="K135" s="3914"/>
      <c r="L135" s="3913"/>
      <c r="M135" s="3913"/>
      <c r="N135" s="3913"/>
      <c r="O135" s="1187">
        <f>SUM(O13:O134)</f>
        <v>6067165943</v>
      </c>
      <c r="P135" s="1188"/>
      <c r="Q135" s="1189"/>
      <c r="R135" s="1190"/>
      <c r="S135" s="1191">
        <f>SUM(S13:S134)</f>
        <v>6067165943</v>
      </c>
      <c r="T135" s="1192"/>
      <c r="U135" s="1193"/>
      <c r="V135" s="1194"/>
      <c r="W135" s="1195"/>
      <c r="X135" s="1195"/>
      <c r="Y135" s="1195"/>
      <c r="Z135" s="1195"/>
      <c r="AA135" s="1195"/>
      <c r="AB135" s="1195"/>
      <c r="AC135" s="1195"/>
      <c r="AD135" s="1195"/>
      <c r="AE135" s="1195"/>
      <c r="AF135" s="1195"/>
      <c r="AG135" s="1195"/>
      <c r="AH135" s="1195"/>
      <c r="AI135" s="1195"/>
      <c r="AJ135" s="1195"/>
      <c r="AK135" s="1195"/>
      <c r="AL135" s="1195"/>
      <c r="AM135" s="1195"/>
      <c r="AN135" s="1189"/>
      <c r="AO135" s="1145"/>
      <c r="AP135" s="1145"/>
      <c r="AQ135" s="1145"/>
      <c r="AR135" s="1145"/>
    </row>
    <row r="136" spans="1:44" ht="15" x14ac:dyDescent="0.25">
      <c r="A136" s="1196"/>
      <c r="B136" s="1196"/>
      <c r="C136" s="1196"/>
      <c r="D136" s="1196"/>
      <c r="E136" s="1196"/>
      <c r="F136" s="1197"/>
      <c r="G136" s="1198"/>
      <c r="H136" s="1199"/>
      <c r="I136" s="1200"/>
      <c r="J136" s="1196"/>
      <c r="K136" s="1196"/>
      <c r="L136" s="1196"/>
      <c r="M136" s="1200"/>
      <c r="N136" s="1196"/>
      <c r="O136" s="1201"/>
      <c r="P136" s="1199"/>
      <c r="Q136" s="1202"/>
      <c r="R136" s="1202"/>
      <c r="S136" s="1203"/>
      <c r="T136" s="1197"/>
      <c r="U136" s="1204"/>
      <c r="V136" s="1196"/>
      <c r="W136" s="1196"/>
      <c r="X136" s="1196"/>
      <c r="Y136" s="1196"/>
      <c r="Z136" s="1196"/>
      <c r="AA136" s="1196"/>
      <c r="AB136" s="1196"/>
      <c r="AC136" s="1196"/>
      <c r="AD136" s="1196"/>
      <c r="AE136" s="1196"/>
      <c r="AF136" s="1196"/>
      <c r="AG136" s="1196"/>
      <c r="AH136" s="1196"/>
      <c r="AI136" s="1196"/>
      <c r="AJ136" s="1196"/>
      <c r="AN136" s="1202"/>
    </row>
    <row r="137" spans="1:44" x14ac:dyDescent="0.2">
      <c r="A137" s="1196"/>
      <c r="B137" s="1196"/>
      <c r="C137" s="1196"/>
      <c r="D137" s="1196"/>
      <c r="E137" s="1196"/>
      <c r="F137" s="1197"/>
      <c r="G137" s="1196"/>
      <c r="H137" s="1204"/>
      <c r="I137" s="1204"/>
      <c r="J137" s="1196"/>
      <c r="K137" s="1196"/>
      <c r="L137" s="1196"/>
      <c r="M137" s="1204"/>
      <c r="N137" s="1196"/>
      <c r="O137" s="1205"/>
      <c r="P137" s="1204"/>
      <c r="Q137" s="1204"/>
      <c r="R137" s="1202"/>
      <c r="S137" s="1206"/>
      <c r="T137" s="1197"/>
      <c r="U137" s="1204"/>
      <c r="V137" s="1196"/>
      <c r="W137" s="1196"/>
      <c r="X137" s="1196"/>
      <c r="Y137" s="1196"/>
      <c r="Z137" s="1196"/>
      <c r="AA137" s="1196"/>
      <c r="AB137" s="1196"/>
      <c r="AC137" s="1196"/>
      <c r="AD137" s="1196"/>
      <c r="AE137" s="1196"/>
      <c r="AF137" s="1196"/>
      <c r="AG137" s="1196"/>
      <c r="AH137" s="1196"/>
      <c r="AI137" s="1196"/>
      <c r="AJ137" s="1196"/>
    </row>
    <row r="138" spans="1:44" x14ac:dyDescent="0.2">
      <c r="E138" s="1196"/>
      <c r="F138" s="1197"/>
      <c r="G138" s="1196"/>
      <c r="H138" s="1204"/>
      <c r="I138" s="1204"/>
      <c r="J138" s="1196"/>
      <c r="K138" s="1196"/>
      <c r="L138" s="1196"/>
      <c r="M138" s="1204"/>
      <c r="N138" s="1196"/>
      <c r="O138" s="1205"/>
      <c r="P138" s="1204"/>
      <c r="Q138" s="1204"/>
      <c r="R138" s="1202"/>
      <c r="S138" s="1206"/>
      <c r="T138" s="1197"/>
      <c r="U138" s="1204"/>
      <c r="V138" s="1196"/>
      <c r="W138" s="1196"/>
      <c r="X138" s="1196"/>
      <c r="Y138" s="1196"/>
      <c r="Z138" s="1196"/>
      <c r="AA138" s="1196"/>
      <c r="AB138" s="1196"/>
      <c r="AC138" s="1196"/>
      <c r="AD138" s="1196"/>
      <c r="AE138" s="1196"/>
      <c r="AF138" s="1196"/>
      <c r="AG138" s="1196"/>
      <c r="AH138" s="1196"/>
      <c r="AI138" s="1196"/>
      <c r="AJ138" s="1196"/>
    </row>
    <row r="139" spans="1:44" x14ac:dyDescent="0.2">
      <c r="A139" s="1196"/>
      <c r="B139" s="1196"/>
      <c r="C139" s="1196"/>
      <c r="D139" s="1196"/>
      <c r="E139" s="1196"/>
      <c r="F139" s="1197"/>
      <c r="G139" s="1196"/>
      <c r="H139" s="1204"/>
      <c r="I139" s="1204"/>
      <c r="J139" s="1196"/>
      <c r="K139" s="1196"/>
      <c r="L139" s="1196"/>
      <c r="M139" s="1204"/>
      <c r="N139" s="1196"/>
      <c r="O139" s="1205"/>
      <c r="P139" s="1204"/>
      <c r="Q139" s="1204"/>
      <c r="R139" s="1202"/>
      <c r="S139" s="1206"/>
      <c r="T139" s="1197"/>
      <c r="U139" s="1204"/>
      <c r="V139" s="1196"/>
      <c r="W139" s="1196"/>
      <c r="X139" s="1196"/>
      <c r="Y139" s="1196"/>
      <c r="Z139" s="1196"/>
      <c r="AA139" s="1196"/>
      <c r="AB139" s="1196"/>
      <c r="AC139" s="1196"/>
      <c r="AD139" s="1196"/>
      <c r="AE139" s="1196"/>
      <c r="AF139" s="1196"/>
      <c r="AG139" s="1196"/>
      <c r="AH139" s="1196"/>
      <c r="AI139" s="1196"/>
      <c r="AJ139" s="1196"/>
    </row>
    <row r="140" spans="1:44" x14ac:dyDescent="0.2">
      <c r="A140" s="3915" t="s">
        <v>1132</v>
      </c>
      <c r="B140" s="3915"/>
      <c r="C140" s="3915"/>
      <c r="D140" s="3915"/>
      <c r="E140" s="3915"/>
      <c r="F140" s="3915"/>
      <c r="G140" s="3915"/>
      <c r="H140" s="3915"/>
      <c r="I140" s="3915"/>
      <c r="J140" s="1196"/>
      <c r="K140" s="1196"/>
      <c r="L140" s="1196"/>
      <c r="M140" s="1204"/>
      <c r="N140" s="1196"/>
      <c r="O140" s="1205"/>
      <c r="P140" s="1204"/>
      <c r="Q140" s="1204"/>
      <c r="R140" s="1202"/>
      <c r="S140" s="1206"/>
      <c r="T140" s="1197"/>
      <c r="U140" s="1204"/>
      <c r="V140" s="1196"/>
      <c r="W140" s="1196"/>
      <c r="X140" s="1196"/>
      <c r="Y140" s="1196"/>
      <c r="Z140" s="1196"/>
      <c r="AA140" s="1196"/>
      <c r="AB140" s="1196"/>
      <c r="AC140" s="1196"/>
      <c r="AD140" s="1196"/>
      <c r="AE140" s="1196"/>
      <c r="AF140" s="1196"/>
      <c r="AG140" s="1196"/>
      <c r="AH140" s="1196"/>
      <c r="AI140" s="1196"/>
      <c r="AJ140" s="1196"/>
    </row>
    <row r="141" spans="1:44" ht="12" customHeight="1" x14ac:dyDescent="0.2">
      <c r="A141" s="1196"/>
      <c r="B141" s="1196"/>
      <c r="C141" s="1196"/>
      <c r="D141" s="1196"/>
      <c r="E141" s="3916" t="s">
        <v>1133</v>
      </c>
      <c r="F141" s="3916"/>
      <c r="G141" s="3916"/>
      <c r="H141" s="3916"/>
      <c r="I141" s="1204"/>
      <c r="J141" s="1196"/>
      <c r="K141" s="1196"/>
      <c r="L141" s="1196"/>
      <c r="M141" s="1204"/>
      <c r="N141" s="1196"/>
      <c r="O141" s="1205"/>
      <c r="P141" s="1204"/>
      <c r="Q141" s="1204"/>
      <c r="R141" s="1202"/>
      <c r="S141" s="1206"/>
      <c r="T141" s="1197"/>
      <c r="U141" s="1204"/>
      <c r="V141" s="1196"/>
      <c r="W141" s="1196"/>
      <c r="X141" s="1196"/>
      <c r="Y141" s="1196"/>
      <c r="Z141" s="1196"/>
      <c r="AA141" s="1196"/>
      <c r="AB141" s="1196"/>
      <c r="AC141" s="1196"/>
      <c r="AD141" s="1196"/>
      <c r="AE141" s="1196"/>
      <c r="AF141" s="1196"/>
      <c r="AG141" s="1196"/>
      <c r="AH141" s="1196"/>
      <c r="AI141" s="1196"/>
      <c r="AJ141" s="1196"/>
    </row>
    <row r="142" spans="1:44" ht="14.25" customHeight="1" x14ac:dyDescent="0.2">
      <c r="A142" s="1196"/>
      <c r="B142" s="1196"/>
      <c r="C142" s="3916" t="s">
        <v>1134</v>
      </c>
      <c r="D142" s="3916"/>
      <c r="E142" s="3916"/>
      <c r="F142" s="3916"/>
      <c r="G142" s="3916"/>
      <c r="H142" s="3916"/>
      <c r="I142" s="3916"/>
      <c r="J142" s="1196"/>
      <c r="K142" s="1196"/>
      <c r="L142" s="1196"/>
      <c r="M142" s="1204"/>
      <c r="N142" s="1196"/>
      <c r="O142" s="1205"/>
      <c r="P142" s="1204"/>
      <c r="Q142" s="1204"/>
      <c r="R142" s="1202"/>
      <c r="S142" s="1206"/>
      <c r="T142" s="1197"/>
      <c r="U142" s="1204"/>
      <c r="V142" s="1196"/>
      <c r="W142" s="1196"/>
      <c r="X142" s="1196"/>
      <c r="Y142" s="1196"/>
      <c r="Z142" s="1196"/>
      <c r="AA142" s="1196"/>
      <c r="AB142" s="1196"/>
      <c r="AC142" s="1196"/>
      <c r="AD142" s="1196"/>
      <c r="AE142" s="1196"/>
      <c r="AF142" s="1196"/>
      <c r="AG142" s="1196"/>
      <c r="AH142" s="1196"/>
      <c r="AI142" s="1196"/>
      <c r="AJ142" s="1196"/>
      <c r="AN142" s="668"/>
      <c r="AO142" s="668"/>
      <c r="AP142" s="668"/>
      <c r="AQ142" s="668"/>
      <c r="AR142" s="668"/>
    </row>
    <row r="143" spans="1:44" x14ac:dyDescent="0.2">
      <c r="A143" s="1196"/>
      <c r="B143" s="1196"/>
      <c r="C143" s="1196"/>
      <c r="D143" s="1196"/>
      <c r="E143" s="1196"/>
      <c r="F143" s="1197"/>
      <c r="G143" s="1196"/>
      <c r="H143" s="1204"/>
      <c r="I143" s="1204"/>
      <c r="J143" s="1196"/>
      <c r="K143" s="1196"/>
      <c r="L143" s="1196"/>
      <c r="M143" s="1204"/>
      <c r="N143" s="1196"/>
      <c r="O143" s="1205"/>
      <c r="P143" s="1204"/>
      <c r="Q143" s="1204"/>
      <c r="R143" s="1202"/>
      <c r="S143" s="1206"/>
      <c r="T143" s="1197"/>
      <c r="U143" s="1204"/>
      <c r="V143" s="1196"/>
      <c r="W143" s="1196"/>
      <c r="X143" s="1196"/>
      <c r="Y143" s="1196"/>
      <c r="Z143" s="1196"/>
      <c r="AA143" s="1196"/>
      <c r="AB143" s="1196"/>
      <c r="AC143" s="1196"/>
      <c r="AD143" s="1196"/>
      <c r="AE143" s="1196"/>
      <c r="AF143" s="1196"/>
      <c r="AG143" s="1196"/>
      <c r="AH143" s="1196"/>
      <c r="AI143" s="1196"/>
      <c r="AJ143" s="1196"/>
      <c r="AN143" s="668"/>
      <c r="AO143" s="668"/>
      <c r="AP143" s="668"/>
      <c r="AQ143" s="668"/>
      <c r="AR143" s="668"/>
    </row>
    <row r="144" spans="1:44" x14ac:dyDescent="0.2">
      <c r="A144" s="1196"/>
      <c r="B144" s="1196"/>
      <c r="C144" s="1196"/>
      <c r="D144" s="1196"/>
      <c r="E144" s="1196"/>
      <c r="F144" s="1197"/>
      <c r="G144" s="1196"/>
      <c r="H144" s="1204"/>
      <c r="I144" s="1204"/>
      <c r="J144" s="1196"/>
      <c r="K144" s="1196"/>
      <c r="L144" s="1196"/>
      <c r="M144" s="1204"/>
      <c r="N144" s="1196"/>
      <c r="O144" s="1205"/>
      <c r="P144" s="1204"/>
      <c r="Q144" s="1204"/>
      <c r="R144" s="1202"/>
      <c r="S144" s="1206"/>
      <c r="T144" s="1197"/>
      <c r="U144" s="1204"/>
      <c r="V144" s="1196"/>
      <c r="W144" s="1196"/>
      <c r="X144" s="1196"/>
      <c r="Y144" s="1196"/>
      <c r="Z144" s="1196"/>
      <c r="AA144" s="1196"/>
      <c r="AB144" s="1196"/>
      <c r="AC144" s="1196"/>
      <c r="AD144" s="1196"/>
      <c r="AE144" s="1196"/>
      <c r="AF144" s="1196"/>
      <c r="AG144" s="1196"/>
      <c r="AH144" s="1196"/>
      <c r="AI144" s="1196"/>
      <c r="AJ144" s="1196"/>
      <c r="AN144" s="668"/>
      <c r="AO144" s="668"/>
      <c r="AP144" s="668"/>
      <c r="AQ144" s="668"/>
      <c r="AR144" s="668"/>
    </row>
    <row r="145" spans="1:44" x14ac:dyDescent="0.2">
      <c r="A145" s="1196"/>
      <c r="B145" s="1196"/>
      <c r="C145" s="1196"/>
      <c r="D145" s="1196"/>
      <c r="E145" s="1196"/>
      <c r="F145" s="1197"/>
      <c r="G145" s="1196"/>
      <c r="H145" s="1204"/>
      <c r="I145" s="1204"/>
      <c r="J145" s="1196"/>
      <c r="K145" s="1196"/>
      <c r="L145" s="1196"/>
      <c r="M145" s="1204"/>
      <c r="N145" s="1196"/>
      <c r="O145" s="1205"/>
      <c r="P145" s="1204"/>
      <c r="Q145" s="1204"/>
      <c r="R145" s="1202"/>
      <c r="S145" s="1206"/>
      <c r="T145" s="1197"/>
      <c r="U145" s="1204"/>
      <c r="V145" s="1196"/>
      <c r="W145" s="1196"/>
      <c r="X145" s="1196"/>
      <c r="Y145" s="1196"/>
      <c r="Z145" s="1196"/>
      <c r="AA145" s="1196"/>
      <c r="AB145" s="1196"/>
      <c r="AC145" s="1196"/>
      <c r="AD145" s="1196"/>
      <c r="AE145" s="1196"/>
      <c r="AF145" s="1196"/>
      <c r="AG145" s="1196"/>
      <c r="AH145" s="1196"/>
      <c r="AI145" s="1196"/>
      <c r="AJ145" s="1196"/>
      <c r="AN145" s="668"/>
      <c r="AO145" s="668"/>
      <c r="AP145" s="668"/>
      <c r="AQ145" s="668"/>
      <c r="AR145" s="668"/>
    </row>
    <row r="146" spans="1:44" x14ac:dyDescent="0.2">
      <c r="A146" s="1196"/>
      <c r="B146" s="1196"/>
      <c r="C146" s="1196"/>
      <c r="D146" s="1196"/>
      <c r="E146" s="1196"/>
      <c r="F146" s="1197"/>
      <c r="G146" s="1196"/>
      <c r="H146" s="1204"/>
      <c r="I146" s="1204"/>
      <c r="J146" s="1196"/>
      <c r="K146" s="1196"/>
      <c r="L146" s="1196"/>
      <c r="M146" s="1204"/>
      <c r="N146" s="1196"/>
      <c r="O146" s="1205"/>
      <c r="P146" s="1204"/>
      <c r="Q146" s="1204"/>
      <c r="R146" s="1202"/>
      <c r="S146" s="1206"/>
      <c r="T146" s="1197"/>
      <c r="U146" s="1204"/>
      <c r="V146" s="1196"/>
      <c r="W146" s="1196"/>
      <c r="X146" s="1196"/>
      <c r="Y146" s="1196"/>
      <c r="Z146" s="1196"/>
      <c r="AA146" s="1196"/>
      <c r="AB146" s="1196"/>
      <c r="AC146" s="1196"/>
      <c r="AD146" s="1196"/>
      <c r="AE146" s="1196"/>
      <c r="AF146" s="1196"/>
      <c r="AG146" s="1196"/>
      <c r="AH146" s="1196"/>
      <c r="AI146" s="1196"/>
      <c r="AJ146" s="1196"/>
      <c r="AN146" s="668"/>
      <c r="AO146" s="668"/>
      <c r="AP146" s="668"/>
      <c r="AQ146" s="668"/>
      <c r="AR146" s="668"/>
    </row>
    <row r="147" spans="1:44" x14ac:dyDescent="0.2">
      <c r="A147" s="1196"/>
      <c r="B147" s="1196"/>
      <c r="C147" s="1196"/>
      <c r="D147" s="1196"/>
      <c r="E147" s="1196"/>
      <c r="F147" s="1197"/>
      <c r="G147" s="1196"/>
      <c r="H147" s="1204"/>
      <c r="I147" s="1204"/>
      <c r="J147" s="1196"/>
      <c r="K147" s="1196"/>
      <c r="L147" s="1196"/>
      <c r="M147" s="1204"/>
      <c r="N147" s="1196"/>
      <c r="O147" s="1205"/>
      <c r="P147" s="1204"/>
      <c r="Q147" s="1204"/>
      <c r="R147" s="1202"/>
      <c r="S147" s="1206"/>
      <c r="T147" s="1197"/>
      <c r="U147" s="1204"/>
      <c r="V147" s="1196"/>
      <c r="W147" s="1196"/>
      <c r="X147" s="1196"/>
      <c r="Y147" s="1196"/>
      <c r="Z147" s="1196"/>
      <c r="AA147" s="1196"/>
      <c r="AB147" s="1196"/>
      <c r="AC147" s="1196"/>
      <c r="AD147" s="1196"/>
      <c r="AE147" s="1196"/>
      <c r="AF147" s="1196"/>
      <c r="AG147" s="1196"/>
      <c r="AH147" s="1196"/>
      <c r="AI147" s="1196"/>
      <c r="AJ147" s="1196"/>
      <c r="AN147" s="668"/>
      <c r="AO147" s="668"/>
      <c r="AP147" s="668"/>
      <c r="AQ147" s="668"/>
      <c r="AR147" s="668"/>
    </row>
    <row r="148" spans="1:44" x14ac:dyDescent="0.2">
      <c r="A148" s="1196"/>
      <c r="B148" s="1196"/>
      <c r="C148" s="1196"/>
      <c r="D148" s="1196"/>
      <c r="E148" s="1196"/>
      <c r="F148" s="1197"/>
      <c r="G148" s="1196"/>
      <c r="H148" s="1204"/>
      <c r="I148" s="1204"/>
      <c r="J148" s="1196"/>
      <c r="K148" s="1196"/>
      <c r="L148" s="1196"/>
      <c r="M148" s="1204"/>
      <c r="N148" s="1196"/>
      <c r="O148" s="1205"/>
      <c r="P148" s="1204"/>
      <c r="Q148" s="1204"/>
      <c r="R148" s="1202"/>
      <c r="S148" s="1206"/>
      <c r="T148" s="1197"/>
      <c r="U148" s="1204"/>
      <c r="V148" s="1196"/>
      <c r="W148" s="1196"/>
      <c r="X148" s="1196"/>
      <c r="Y148" s="1196"/>
      <c r="Z148" s="1196"/>
      <c r="AA148" s="1196"/>
      <c r="AB148" s="1196"/>
      <c r="AC148" s="1196"/>
      <c r="AD148" s="1196"/>
      <c r="AE148" s="1196"/>
      <c r="AF148" s="1196"/>
      <c r="AG148" s="1196"/>
      <c r="AH148" s="1196"/>
      <c r="AI148" s="1196"/>
      <c r="AJ148" s="1196"/>
      <c r="AN148" s="668"/>
      <c r="AO148" s="668"/>
      <c r="AP148" s="668"/>
      <c r="AQ148" s="668"/>
      <c r="AR148" s="668"/>
    </row>
    <row r="149" spans="1:44" x14ac:dyDescent="0.2">
      <c r="A149" s="1196"/>
      <c r="B149" s="1196"/>
      <c r="C149" s="1196"/>
      <c r="D149" s="1196"/>
      <c r="E149" s="1196"/>
      <c r="F149" s="1197"/>
      <c r="G149" s="1196"/>
      <c r="H149" s="1204"/>
      <c r="I149" s="1204"/>
      <c r="J149" s="1196"/>
      <c r="K149" s="1196"/>
      <c r="L149" s="1196"/>
      <c r="M149" s="1204"/>
      <c r="N149" s="1196"/>
      <c r="O149" s="1205"/>
      <c r="P149" s="1204"/>
      <c r="Q149" s="1204"/>
      <c r="AN149" s="668"/>
      <c r="AO149" s="668"/>
      <c r="AP149" s="668"/>
      <c r="AQ149" s="668"/>
      <c r="AR149" s="668"/>
    </row>
    <row r="150" spans="1:44" x14ac:dyDescent="0.2">
      <c r="A150" s="1196"/>
      <c r="B150" s="1196"/>
      <c r="C150" s="1196"/>
      <c r="D150" s="1196"/>
      <c r="E150" s="1196"/>
      <c r="F150" s="1197"/>
      <c r="G150" s="1196"/>
      <c r="H150" s="1204"/>
      <c r="I150" s="1204"/>
      <c r="J150" s="1196"/>
      <c r="K150" s="1196"/>
      <c r="L150" s="1196"/>
      <c r="M150" s="1204"/>
      <c r="N150" s="1196"/>
      <c r="O150" s="1205"/>
      <c r="P150" s="1204"/>
      <c r="Q150" s="1204"/>
      <c r="AN150" s="668"/>
      <c r="AO150" s="668"/>
      <c r="AP150" s="668"/>
      <c r="AQ150" s="668"/>
      <c r="AR150" s="668"/>
    </row>
  </sheetData>
  <sheetProtection password="A60F" sheet="1" objects="1" scenarios="1"/>
  <mergeCells count="513">
    <mergeCell ref="A1:AL4"/>
    <mergeCell ref="A5:O7"/>
    <mergeCell ref="P5:AN6"/>
    <mergeCell ref="V7:AK7"/>
    <mergeCell ref="AL7:AN7"/>
    <mergeCell ref="A8:A9"/>
    <mergeCell ref="B8:B9"/>
    <mergeCell ref="C8:C9"/>
    <mergeCell ref="D8:D9"/>
    <mergeCell ref="E8:E9"/>
    <mergeCell ref="AL8:AL9"/>
    <mergeCell ref="AM8:AM9"/>
    <mergeCell ref="AN8:AN9"/>
    <mergeCell ref="R8:R9"/>
    <mergeCell ref="S8:S9"/>
    <mergeCell ref="T8:T9"/>
    <mergeCell ref="U8:U9"/>
    <mergeCell ref="V8:W8"/>
    <mergeCell ref="X8:AA8"/>
    <mergeCell ref="E13:F20"/>
    <mergeCell ref="G13:G16"/>
    <mergeCell ref="H13:H16"/>
    <mergeCell ref="I13:I16"/>
    <mergeCell ref="J13:J16"/>
    <mergeCell ref="K13:K20"/>
    <mergeCell ref="AB8:AG8"/>
    <mergeCell ref="AH8:AJ8"/>
    <mergeCell ref="AK8:AK9"/>
    <mergeCell ref="L8:L9"/>
    <mergeCell ref="M8:M9"/>
    <mergeCell ref="N8:N9"/>
    <mergeCell ref="O8:O9"/>
    <mergeCell ref="P8:P9"/>
    <mergeCell ref="Q8:Q9"/>
    <mergeCell ref="F8:F9"/>
    <mergeCell ref="G8:G9"/>
    <mergeCell ref="H8:H9"/>
    <mergeCell ref="I8:I9"/>
    <mergeCell ref="J8:J9"/>
    <mergeCell ref="K8:K9"/>
    <mergeCell ref="W13:W20"/>
    <mergeCell ref="X13:X20"/>
    <mergeCell ref="Y13:Y20"/>
    <mergeCell ref="Z13:Z20"/>
    <mergeCell ref="AA13:AA20"/>
    <mergeCell ref="L13:L20"/>
    <mergeCell ref="M13:M20"/>
    <mergeCell ref="N13:N16"/>
    <mergeCell ref="O13:O20"/>
    <mergeCell ref="P13:P20"/>
    <mergeCell ref="Q13:Q16"/>
    <mergeCell ref="I23:I29"/>
    <mergeCell ref="J23:J29"/>
    <mergeCell ref="K23:K29"/>
    <mergeCell ref="L23:L29"/>
    <mergeCell ref="AN13:AN20"/>
    <mergeCell ref="G17:G20"/>
    <mergeCell ref="H17:H20"/>
    <mergeCell ref="I17:I20"/>
    <mergeCell ref="J17:J20"/>
    <mergeCell ref="N17:N20"/>
    <mergeCell ref="Q17:Q20"/>
    <mergeCell ref="AH13:AH20"/>
    <mergeCell ref="AI13:AI20"/>
    <mergeCell ref="AJ13:AJ20"/>
    <mergeCell ref="AK13:AK20"/>
    <mergeCell ref="AL13:AL20"/>
    <mergeCell ref="AM13:AM20"/>
    <mergeCell ref="AB13:AB20"/>
    <mergeCell ref="AC13:AC20"/>
    <mergeCell ref="AD13:AD20"/>
    <mergeCell ref="AE13:AE20"/>
    <mergeCell ref="AF13:AF20"/>
    <mergeCell ref="AG13:AG20"/>
    <mergeCell ref="V13:V20"/>
    <mergeCell ref="AJ23:AJ29"/>
    <mergeCell ref="AK23:AK29"/>
    <mergeCell ref="AL23:AL29"/>
    <mergeCell ref="AM23:AM29"/>
    <mergeCell ref="AN23:AN29"/>
    <mergeCell ref="AC23:AC29"/>
    <mergeCell ref="AD23:AD29"/>
    <mergeCell ref="AE23:AE29"/>
    <mergeCell ref="AF23:AF29"/>
    <mergeCell ref="AG23:AG29"/>
    <mergeCell ref="AH23:AH29"/>
    <mergeCell ref="G31:G37"/>
    <mergeCell ref="H31:H37"/>
    <mergeCell ref="I31:I37"/>
    <mergeCell ref="J31:J37"/>
    <mergeCell ref="K31:K43"/>
    <mergeCell ref="L31:L43"/>
    <mergeCell ref="I41:I43"/>
    <mergeCell ref="J41:J43"/>
    <mergeCell ref="AI23:AI29"/>
    <mergeCell ref="W23:W29"/>
    <mergeCell ref="X23:X29"/>
    <mergeCell ref="Y23:Y29"/>
    <mergeCell ref="Z23:Z29"/>
    <mergeCell ref="AA23:AA29"/>
    <mergeCell ref="AB23:AB29"/>
    <mergeCell ref="M23:M29"/>
    <mergeCell ref="N23:N29"/>
    <mergeCell ref="O23:O29"/>
    <mergeCell ref="P23:P29"/>
    <mergeCell ref="Q23:Q27"/>
    <mergeCell ref="V23:V29"/>
    <mergeCell ref="Q28:Q29"/>
    <mergeCell ref="G23:G29"/>
    <mergeCell ref="H23:H29"/>
    <mergeCell ref="W31:W43"/>
    <mergeCell ref="X31:X43"/>
    <mergeCell ref="Y31:Y43"/>
    <mergeCell ref="Z31:Z43"/>
    <mergeCell ref="M31:M43"/>
    <mergeCell ref="N31:N37"/>
    <mergeCell ref="O31:O43"/>
    <mergeCell ref="P31:P43"/>
    <mergeCell ref="Q31:Q37"/>
    <mergeCell ref="T31:T43"/>
    <mergeCell ref="N41:N43"/>
    <mergeCell ref="Q41:Q43"/>
    <mergeCell ref="AM31:AM43"/>
    <mergeCell ref="AN31:AN43"/>
    <mergeCell ref="G38:G40"/>
    <mergeCell ref="H38:H40"/>
    <mergeCell ref="I38:I40"/>
    <mergeCell ref="J38:J40"/>
    <mergeCell ref="N38:N40"/>
    <mergeCell ref="Q38:Q40"/>
    <mergeCell ref="G41:G43"/>
    <mergeCell ref="H41:H43"/>
    <mergeCell ref="AG31:AG43"/>
    <mergeCell ref="AH31:AH43"/>
    <mergeCell ref="AI31:AI43"/>
    <mergeCell ref="AJ31:AJ43"/>
    <mergeCell ref="AK31:AK43"/>
    <mergeCell ref="AL31:AL43"/>
    <mergeCell ref="AA31:AA43"/>
    <mergeCell ref="AB31:AB43"/>
    <mergeCell ref="AC31:AC43"/>
    <mergeCell ref="AD31:AD43"/>
    <mergeCell ref="AE31:AE43"/>
    <mergeCell ref="AF31:AF43"/>
    <mergeCell ref="U31:U43"/>
    <mergeCell ref="V31:V43"/>
    <mergeCell ref="M45:M56"/>
    <mergeCell ref="N45:N50"/>
    <mergeCell ref="O45:O56"/>
    <mergeCell ref="P45:P56"/>
    <mergeCell ref="Q45:Q50"/>
    <mergeCell ref="T45:T56"/>
    <mergeCell ref="N54:N56"/>
    <mergeCell ref="Q54:Q56"/>
    <mergeCell ref="G45:G50"/>
    <mergeCell ref="H45:H50"/>
    <mergeCell ref="I45:I50"/>
    <mergeCell ref="J45:J50"/>
    <mergeCell ref="K45:K56"/>
    <mergeCell ref="L45:L56"/>
    <mergeCell ref="I54:I56"/>
    <mergeCell ref="J54:J56"/>
    <mergeCell ref="AC45:AC56"/>
    <mergeCell ref="AD45:AD56"/>
    <mergeCell ref="AE45:AE56"/>
    <mergeCell ref="AF45:AF56"/>
    <mergeCell ref="U45:U56"/>
    <mergeCell ref="V45:V56"/>
    <mergeCell ref="W45:W56"/>
    <mergeCell ref="X45:X56"/>
    <mergeCell ref="Y45:Y56"/>
    <mergeCell ref="Z45:Z56"/>
    <mergeCell ref="G58:G74"/>
    <mergeCell ref="H58:H74"/>
    <mergeCell ref="I58:I74"/>
    <mergeCell ref="J58:J74"/>
    <mergeCell ref="K58:K74"/>
    <mergeCell ref="L58:L74"/>
    <mergeCell ref="AM45:AM56"/>
    <mergeCell ref="AN45:AN56"/>
    <mergeCell ref="G51:G53"/>
    <mergeCell ref="H51:H53"/>
    <mergeCell ref="I51:I53"/>
    <mergeCell ref="J51:J53"/>
    <mergeCell ref="N51:N53"/>
    <mergeCell ref="Q51:Q53"/>
    <mergeCell ref="G54:G56"/>
    <mergeCell ref="H54:H56"/>
    <mergeCell ref="AG45:AG56"/>
    <mergeCell ref="AH45:AH56"/>
    <mergeCell ref="AI45:AI56"/>
    <mergeCell ref="AJ45:AJ56"/>
    <mergeCell ref="AK45:AK56"/>
    <mergeCell ref="AL45:AL56"/>
    <mergeCell ref="AA45:AA56"/>
    <mergeCell ref="AB45:AB56"/>
    <mergeCell ref="W58:W74"/>
    <mergeCell ref="X58:X74"/>
    <mergeCell ref="Y58:Y74"/>
    <mergeCell ref="Z58:Z74"/>
    <mergeCell ref="M58:M74"/>
    <mergeCell ref="N58:N74"/>
    <mergeCell ref="O58:O74"/>
    <mergeCell ref="P58:P74"/>
    <mergeCell ref="Q58:Q61"/>
    <mergeCell ref="T58:T74"/>
    <mergeCell ref="AM58:AM74"/>
    <mergeCell ref="AN58:AN74"/>
    <mergeCell ref="Q62:Q74"/>
    <mergeCell ref="G77:G93"/>
    <mergeCell ref="H77:H93"/>
    <mergeCell ref="I77:I93"/>
    <mergeCell ref="J77:J93"/>
    <mergeCell ref="K77:K93"/>
    <mergeCell ref="L77:L93"/>
    <mergeCell ref="M77:M93"/>
    <mergeCell ref="AG58:AG74"/>
    <mergeCell ref="AH58:AH74"/>
    <mergeCell ref="AI58:AI74"/>
    <mergeCell ref="AJ58:AJ74"/>
    <mergeCell ref="AK58:AK74"/>
    <mergeCell ref="AL58:AL74"/>
    <mergeCell ref="AA58:AA74"/>
    <mergeCell ref="AB58:AB74"/>
    <mergeCell ref="AC58:AC74"/>
    <mergeCell ref="AD58:AD74"/>
    <mergeCell ref="AE58:AE74"/>
    <mergeCell ref="AF58:AF74"/>
    <mergeCell ref="U58:U74"/>
    <mergeCell ref="V58:V74"/>
    <mergeCell ref="X77:X93"/>
    <mergeCell ref="Y77:Y93"/>
    <mergeCell ref="Z77:Z93"/>
    <mergeCell ref="AA77:AA93"/>
    <mergeCell ref="N77:N93"/>
    <mergeCell ref="O77:O93"/>
    <mergeCell ref="P77:P93"/>
    <mergeCell ref="Q77:Q87"/>
    <mergeCell ref="T77:T93"/>
    <mergeCell ref="U77:U93"/>
    <mergeCell ref="AN77:AN93"/>
    <mergeCell ref="Q88:Q93"/>
    <mergeCell ref="G94:G97"/>
    <mergeCell ref="H94:H97"/>
    <mergeCell ref="I94:I97"/>
    <mergeCell ref="J94:J97"/>
    <mergeCell ref="K94:K97"/>
    <mergeCell ref="L94:L97"/>
    <mergeCell ref="M94:M97"/>
    <mergeCell ref="N94:N97"/>
    <mergeCell ref="AH77:AH93"/>
    <mergeCell ref="AI77:AI93"/>
    <mergeCell ref="AJ77:AJ93"/>
    <mergeCell ref="AK77:AK93"/>
    <mergeCell ref="AL77:AL93"/>
    <mergeCell ref="AM77:AM93"/>
    <mergeCell ref="AB77:AB93"/>
    <mergeCell ref="AC77:AC93"/>
    <mergeCell ref="AD77:AD93"/>
    <mergeCell ref="AE77:AE93"/>
    <mergeCell ref="AF77:AF93"/>
    <mergeCell ref="AG77:AG93"/>
    <mergeCell ref="V77:V93"/>
    <mergeCell ref="W77:W93"/>
    <mergeCell ref="AC94:AC95"/>
    <mergeCell ref="AD94:AD95"/>
    <mergeCell ref="AE94:AE95"/>
    <mergeCell ref="AF94:AF95"/>
    <mergeCell ref="AG94:AG95"/>
    <mergeCell ref="AH94:AH95"/>
    <mergeCell ref="W94:W95"/>
    <mergeCell ref="X94:X95"/>
    <mergeCell ref="Y94:Y95"/>
    <mergeCell ref="Z94:Z95"/>
    <mergeCell ref="AA94:AA95"/>
    <mergeCell ref="AB94:AB95"/>
    <mergeCell ref="AI94:AI95"/>
    <mergeCell ref="AJ94:AJ95"/>
    <mergeCell ref="AK94:AK95"/>
    <mergeCell ref="AL94:AL97"/>
    <mergeCell ref="AM94:AM97"/>
    <mergeCell ref="AN94:AN97"/>
    <mergeCell ref="AI96:AI97"/>
    <mergeCell ref="AJ96:AJ97"/>
    <mergeCell ref="AK96:AK97"/>
    <mergeCell ref="AF96:AF97"/>
    <mergeCell ref="AG96:AG97"/>
    <mergeCell ref="AH96:AH97"/>
    <mergeCell ref="W96:W97"/>
    <mergeCell ref="X96:X97"/>
    <mergeCell ref="Y96:Y97"/>
    <mergeCell ref="Z96:Z97"/>
    <mergeCell ref="AA96:AA97"/>
    <mergeCell ref="AB96:AB97"/>
    <mergeCell ref="G99:G101"/>
    <mergeCell ref="H99:H101"/>
    <mergeCell ref="I99:I101"/>
    <mergeCell ref="J99:J101"/>
    <mergeCell ref="K99:K101"/>
    <mergeCell ref="L99:L101"/>
    <mergeCell ref="AC96:AC97"/>
    <mergeCell ref="AD96:AD97"/>
    <mergeCell ref="AE96:AE97"/>
    <mergeCell ref="O94:O97"/>
    <mergeCell ref="P94:P97"/>
    <mergeCell ref="Q94:Q97"/>
    <mergeCell ref="T94:T97"/>
    <mergeCell ref="U94:U97"/>
    <mergeCell ref="V94:V95"/>
    <mergeCell ref="V96:V97"/>
    <mergeCell ref="AE99:AE101"/>
    <mergeCell ref="AF99:AF101"/>
    <mergeCell ref="U99:U101"/>
    <mergeCell ref="V99:V101"/>
    <mergeCell ref="W99:W101"/>
    <mergeCell ref="X99:X101"/>
    <mergeCell ref="Y99:Y101"/>
    <mergeCell ref="Z99:Z101"/>
    <mergeCell ref="M99:M101"/>
    <mergeCell ref="N99:N101"/>
    <mergeCell ref="O99:O101"/>
    <mergeCell ref="P99:P101"/>
    <mergeCell ref="Q99:Q100"/>
    <mergeCell ref="T99:T101"/>
    <mergeCell ref="T102:T103"/>
    <mergeCell ref="U102:U103"/>
    <mergeCell ref="V102:V103"/>
    <mergeCell ref="W102:W103"/>
    <mergeCell ref="AM99:AM101"/>
    <mergeCell ref="AN99:AN101"/>
    <mergeCell ref="G102:G103"/>
    <mergeCell ref="H102:H103"/>
    <mergeCell ref="I102:I103"/>
    <mergeCell ref="J102:J103"/>
    <mergeCell ref="K102:K103"/>
    <mergeCell ref="L102:L103"/>
    <mergeCell ref="M102:M103"/>
    <mergeCell ref="N102:N103"/>
    <mergeCell ref="AG99:AG101"/>
    <mergeCell ref="AH99:AH101"/>
    <mergeCell ref="AI99:AI101"/>
    <mergeCell ref="AJ99:AJ101"/>
    <mergeCell ref="AK99:AK101"/>
    <mergeCell ref="AL99:AL101"/>
    <mergeCell ref="AA99:AA101"/>
    <mergeCell ref="AB99:AB101"/>
    <mergeCell ref="AC99:AC101"/>
    <mergeCell ref="AD99:AD101"/>
    <mergeCell ref="AJ102:AJ103"/>
    <mergeCell ref="AK102:AK103"/>
    <mergeCell ref="AL102:AL103"/>
    <mergeCell ref="AM102:AM103"/>
    <mergeCell ref="AN102:AN103"/>
    <mergeCell ref="G105:G107"/>
    <mergeCell ref="H105:H107"/>
    <mergeCell ref="I105:I107"/>
    <mergeCell ref="J105:J107"/>
    <mergeCell ref="K105:K107"/>
    <mergeCell ref="AD102:AD103"/>
    <mergeCell ref="AE102:AE103"/>
    <mergeCell ref="AF102:AF103"/>
    <mergeCell ref="AG102:AG103"/>
    <mergeCell ref="AH102:AH103"/>
    <mergeCell ref="AI102:AI103"/>
    <mergeCell ref="X102:X103"/>
    <mergeCell ref="Y102:Y103"/>
    <mergeCell ref="Z102:Z103"/>
    <mergeCell ref="AA102:AA103"/>
    <mergeCell ref="AB102:AB103"/>
    <mergeCell ref="AC102:AC103"/>
    <mergeCell ref="O102:O103"/>
    <mergeCell ref="P102:P103"/>
    <mergeCell ref="G109:G112"/>
    <mergeCell ref="H109:H112"/>
    <mergeCell ref="I109:I112"/>
    <mergeCell ref="J109:J112"/>
    <mergeCell ref="K109:K112"/>
    <mergeCell ref="L109:L112"/>
    <mergeCell ref="M109:M112"/>
    <mergeCell ref="AF105:AF107"/>
    <mergeCell ref="AG105:AG107"/>
    <mergeCell ref="Z105:Z107"/>
    <mergeCell ref="AA105:AA107"/>
    <mergeCell ref="AB105:AB107"/>
    <mergeCell ref="AC105:AC107"/>
    <mergeCell ref="AD105:AD107"/>
    <mergeCell ref="AE105:AE107"/>
    <mergeCell ref="T105:T107"/>
    <mergeCell ref="U105:U107"/>
    <mergeCell ref="V105:V107"/>
    <mergeCell ref="W105:W107"/>
    <mergeCell ref="X105:X107"/>
    <mergeCell ref="Y105:Y107"/>
    <mergeCell ref="L105:L107"/>
    <mergeCell ref="M105:M107"/>
    <mergeCell ref="N105:N107"/>
    <mergeCell ref="N109:N112"/>
    <mergeCell ref="O109:O112"/>
    <mergeCell ref="P109:P112"/>
    <mergeCell ref="Q109:Q110"/>
    <mergeCell ref="T109:T112"/>
    <mergeCell ref="U109:U112"/>
    <mergeCell ref="AL105:AL107"/>
    <mergeCell ref="AM105:AM107"/>
    <mergeCell ref="AN105:AN107"/>
    <mergeCell ref="AH105:AH107"/>
    <mergeCell ref="AI105:AI107"/>
    <mergeCell ref="AJ105:AJ107"/>
    <mergeCell ref="AK105:AK107"/>
    <mergeCell ref="O105:O107"/>
    <mergeCell ref="P105:P107"/>
    <mergeCell ref="Q105:Q106"/>
    <mergeCell ref="AD109:AD112"/>
    <mergeCell ref="AE109:AE112"/>
    <mergeCell ref="AF109:AF112"/>
    <mergeCell ref="AG109:AG112"/>
    <mergeCell ref="V109:V112"/>
    <mergeCell ref="W109:W112"/>
    <mergeCell ref="X109:X112"/>
    <mergeCell ref="Y109:Y112"/>
    <mergeCell ref="Z109:Z112"/>
    <mergeCell ref="AA109:AA112"/>
    <mergeCell ref="P114:P120"/>
    <mergeCell ref="Q114:Q116"/>
    <mergeCell ref="T114:T120"/>
    <mergeCell ref="U114:U120"/>
    <mergeCell ref="V114:V120"/>
    <mergeCell ref="W114:W120"/>
    <mergeCell ref="AN109:AN112"/>
    <mergeCell ref="Q111:Q112"/>
    <mergeCell ref="G114:G120"/>
    <mergeCell ref="H114:H120"/>
    <mergeCell ref="I114:I120"/>
    <mergeCell ref="J114:J120"/>
    <mergeCell ref="L114:L120"/>
    <mergeCell ref="M114:M120"/>
    <mergeCell ref="N114:N120"/>
    <mergeCell ref="O114:O120"/>
    <mergeCell ref="AH109:AH112"/>
    <mergeCell ref="AI109:AI112"/>
    <mergeCell ref="AJ109:AJ112"/>
    <mergeCell ref="AK109:AK112"/>
    <mergeCell ref="AL109:AL112"/>
    <mergeCell ref="AM109:AM112"/>
    <mergeCell ref="AB109:AB112"/>
    <mergeCell ref="AC109:AC112"/>
    <mergeCell ref="AJ114:AJ120"/>
    <mergeCell ref="AK114:AK120"/>
    <mergeCell ref="AL114:AL120"/>
    <mergeCell ref="AM114:AM120"/>
    <mergeCell ref="AN114:AN120"/>
    <mergeCell ref="Q117:Q120"/>
    <mergeCell ref="AD114:AD120"/>
    <mergeCell ref="AE114:AE120"/>
    <mergeCell ref="AF114:AF120"/>
    <mergeCell ref="AG114:AG120"/>
    <mergeCell ref="AH114:AH120"/>
    <mergeCell ref="AI114:AI120"/>
    <mergeCell ref="X114:X120"/>
    <mergeCell ref="Y114:Y120"/>
    <mergeCell ref="Z114:Z120"/>
    <mergeCell ref="AA114:AA120"/>
    <mergeCell ref="AB114:AB120"/>
    <mergeCell ref="AC114:AC120"/>
    <mergeCell ref="L123:L134"/>
    <mergeCell ref="M123:M134"/>
    <mergeCell ref="N123:N129"/>
    <mergeCell ref="O123:O134"/>
    <mergeCell ref="P123:P134"/>
    <mergeCell ref="Q123:Q130"/>
    <mergeCell ref="N133:N134"/>
    <mergeCell ref="C122:D134"/>
    <mergeCell ref="G123:G129"/>
    <mergeCell ref="H123:H129"/>
    <mergeCell ref="I123:I129"/>
    <mergeCell ref="J123:J129"/>
    <mergeCell ref="K123:K129"/>
    <mergeCell ref="H133:H134"/>
    <mergeCell ref="I133:I134"/>
    <mergeCell ref="J133:J134"/>
    <mergeCell ref="AE123:AE134"/>
    <mergeCell ref="AF123:AF134"/>
    <mergeCell ref="AG123:AG134"/>
    <mergeCell ref="V123:V134"/>
    <mergeCell ref="W123:W134"/>
    <mergeCell ref="X123:X134"/>
    <mergeCell ref="Y123:Y134"/>
    <mergeCell ref="Z123:Z134"/>
    <mergeCell ref="AA123:AA134"/>
    <mergeCell ref="R133:R134"/>
    <mergeCell ref="A135:N135"/>
    <mergeCell ref="A140:I140"/>
    <mergeCell ref="E141:H141"/>
    <mergeCell ref="C142:I142"/>
    <mergeCell ref="AN123:AN134"/>
    <mergeCell ref="G131:G132"/>
    <mergeCell ref="H131:H132"/>
    <mergeCell ref="I131:I132"/>
    <mergeCell ref="J131:J132"/>
    <mergeCell ref="K131:K134"/>
    <mergeCell ref="N131:N132"/>
    <mergeCell ref="Q131:Q134"/>
    <mergeCell ref="R131:R132"/>
    <mergeCell ref="G133:G134"/>
    <mergeCell ref="AH123:AH134"/>
    <mergeCell ref="AI123:AI134"/>
    <mergeCell ref="AJ123:AJ134"/>
    <mergeCell ref="AK123:AK134"/>
    <mergeCell ref="AL123:AL134"/>
    <mergeCell ref="AM123:AM134"/>
    <mergeCell ref="AB123:AB134"/>
    <mergeCell ref="AC123:AC134"/>
    <mergeCell ref="AD123:AD134"/>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
  <sheetViews>
    <sheetView showGridLines="0" topLeftCell="N1" zoomScale="60" zoomScaleNormal="60" workbookViewId="0">
      <selection activeCell="V14" sqref="V14"/>
    </sheetView>
  </sheetViews>
  <sheetFormatPr baseColWidth="10" defaultColWidth="11.42578125" defaultRowHeight="14.25" x14ac:dyDescent="0.2"/>
  <cols>
    <col min="1" max="1" width="14.28515625" style="668" customWidth="1"/>
    <col min="2" max="2" width="8.42578125" style="668" customWidth="1"/>
    <col min="3" max="3" width="13.28515625" style="668" customWidth="1"/>
    <col min="4" max="4" width="13" style="668" customWidth="1"/>
    <col min="5" max="5" width="21.85546875" style="668" customWidth="1"/>
    <col min="6" max="6" width="0.7109375" style="668" hidden="1" customWidth="1"/>
    <col min="7" max="7" width="17.42578125" style="668" customWidth="1"/>
    <col min="8" max="8" width="11.140625" style="668" customWidth="1"/>
    <col min="9" max="9" width="13.28515625" style="668" customWidth="1"/>
    <col min="10" max="10" width="12.42578125" style="668" customWidth="1"/>
    <col min="11" max="11" width="34.7109375" style="668" customWidth="1"/>
    <col min="12" max="12" width="20.42578125" style="668" customWidth="1"/>
    <col min="13" max="13" width="27.28515625" style="668" customWidth="1"/>
    <col min="14" max="14" width="38.140625" style="668" customWidth="1"/>
    <col min="15" max="15" width="24.7109375" style="668" customWidth="1"/>
    <col min="16" max="16" width="26.85546875" style="668" customWidth="1"/>
    <col min="17" max="17" width="18.140625" style="668" customWidth="1"/>
    <col min="18" max="18" width="18.5703125" style="668" bestFit="1" customWidth="1"/>
    <col min="19" max="19" width="25" style="668" customWidth="1"/>
    <col min="20" max="20" width="29.7109375" style="668" customWidth="1"/>
    <col min="21" max="21" width="53" style="668" customWidth="1"/>
    <col min="22" max="22" width="21.85546875" style="668" customWidth="1"/>
    <col min="23" max="23" width="10.7109375" style="668" customWidth="1"/>
    <col min="24" max="24" width="14.85546875" style="668" customWidth="1"/>
    <col min="25" max="26" width="10.28515625" style="668" customWidth="1"/>
    <col min="27" max="27" width="9" style="668" customWidth="1"/>
    <col min="28" max="40" width="8.5703125" style="668" customWidth="1"/>
    <col min="41" max="42" width="17" style="668" customWidth="1"/>
    <col min="43" max="43" width="23.7109375" style="668" customWidth="1"/>
    <col min="44" max="56" width="14.85546875" style="668" customWidth="1"/>
    <col min="57" max="16384" width="11.42578125" style="668"/>
  </cols>
  <sheetData>
    <row r="1" spans="1:43" ht="15" customHeight="1" x14ac:dyDescent="0.25">
      <c r="A1" s="4128" t="s">
        <v>1885</v>
      </c>
      <c r="B1" s="4128"/>
      <c r="C1" s="4128"/>
      <c r="D1" s="4128"/>
      <c r="E1" s="4128"/>
      <c r="F1" s="4128"/>
      <c r="G1" s="4128"/>
      <c r="H1" s="4128"/>
      <c r="I1" s="4128"/>
      <c r="J1" s="4128"/>
      <c r="K1" s="4128"/>
      <c r="L1" s="4128"/>
      <c r="M1" s="4128"/>
      <c r="N1" s="4128"/>
      <c r="O1" s="4128"/>
      <c r="P1" s="4128"/>
      <c r="Q1" s="4128"/>
      <c r="R1" s="4128"/>
      <c r="S1" s="4128"/>
      <c r="T1" s="4128"/>
      <c r="U1" s="4128"/>
      <c r="V1" s="4128"/>
      <c r="W1" s="4128"/>
      <c r="X1" s="4128"/>
      <c r="Y1" s="4128"/>
      <c r="Z1" s="4128"/>
      <c r="AA1" s="4128"/>
      <c r="AB1" s="4128"/>
      <c r="AC1" s="4128"/>
      <c r="AD1" s="4128"/>
      <c r="AE1" s="4128"/>
      <c r="AF1" s="4128"/>
      <c r="AG1" s="4128"/>
      <c r="AH1" s="4128"/>
      <c r="AI1" s="4128"/>
      <c r="AJ1" s="4128"/>
      <c r="AK1" s="4128"/>
      <c r="AL1" s="4128"/>
      <c r="AM1" s="4128"/>
      <c r="AN1" s="4128"/>
      <c r="AO1" s="4128"/>
      <c r="AP1" s="2080" t="s">
        <v>1</v>
      </c>
      <c r="AQ1" s="2080" t="s">
        <v>2</v>
      </c>
    </row>
    <row r="2" spans="1:43" ht="15" x14ac:dyDescent="0.25">
      <c r="A2" s="4128"/>
      <c r="B2" s="4128"/>
      <c r="C2" s="4128"/>
      <c r="D2" s="4128"/>
      <c r="E2" s="4128"/>
      <c r="F2" s="4128"/>
      <c r="G2" s="4128"/>
      <c r="H2" s="4128"/>
      <c r="I2" s="4128"/>
      <c r="J2" s="4128"/>
      <c r="K2" s="4128"/>
      <c r="L2" s="4128"/>
      <c r="M2" s="4128"/>
      <c r="N2" s="4128"/>
      <c r="O2" s="4128"/>
      <c r="P2" s="4128"/>
      <c r="Q2" s="4128"/>
      <c r="R2" s="4128"/>
      <c r="S2" s="4128"/>
      <c r="T2" s="4128"/>
      <c r="U2" s="4128"/>
      <c r="V2" s="4128"/>
      <c r="W2" s="4128"/>
      <c r="X2" s="4128"/>
      <c r="Y2" s="4128"/>
      <c r="Z2" s="4128"/>
      <c r="AA2" s="4128"/>
      <c r="AB2" s="4128"/>
      <c r="AC2" s="4128"/>
      <c r="AD2" s="4128"/>
      <c r="AE2" s="4128"/>
      <c r="AF2" s="4128"/>
      <c r="AG2" s="4128"/>
      <c r="AH2" s="4128"/>
      <c r="AI2" s="4128"/>
      <c r="AJ2" s="4128"/>
      <c r="AK2" s="4128"/>
      <c r="AL2" s="4128"/>
      <c r="AM2" s="4128"/>
      <c r="AN2" s="4128"/>
      <c r="AO2" s="4128"/>
      <c r="AP2" s="2081" t="s">
        <v>3</v>
      </c>
      <c r="AQ2" s="2082">
        <v>6</v>
      </c>
    </row>
    <row r="3" spans="1:43" ht="15" x14ac:dyDescent="0.25">
      <c r="A3" s="4128"/>
      <c r="B3" s="4128"/>
      <c r="C3" s="4128"/>
      <c r="D3" s="4128"/>
      <c r="E3" s="4128"/>
      <c r="F3" s="4128"/>
      <c r="G3" s="4128"/>
      <c r="H3" s="4128"/>
      <c r="I3" s="4128"/>
      <c r="J3" s="4128"/>
      <c r="K3" s="4128"/>
      <c r="L3" s="4128"/>
      <c r="M3" s="4128"/>
      <c r="N3" s="4128"/>
      <c r="O3" s="4128"/>
      <c r="P3" s="4128"/>
      <c r="Q3" s="4128"/>
      <c r="R3" s="4128"/>
      <c r="S3" s="4128"/>
      <c r="T3" s="4128"/>
      <c r="U3" s="4128"/>
      <c r="V3" s="4128"/>
      <c r="W3" s="4128"/>
      <c r="X3" s="4128"/>
      <c r="Y3" s="4128"/>
      <c r="Z3" s="4128"/>
      <c r="AA3" s="4128"/>
      <c r="AB3" s="4128"/>
      <c r="AC3" s="4128"/>
      <c r="AD3" s="4128"/>
      <c r="AE3" s="4128"/>
      <c r="AF3" s="4128"/>
      <c r="AG3" s="4128"/>
      <c r="AH3" s="4128"/>
      <c r="AI3" s="4128"/>
      <c r="AJ3" s="4128"/>
      <c r="AK3" s="4128"/>
      <c r="AL3" s="4128"/>
      <c r="AM3" s="4128"/>
      <c r="AN3" s="4128"/>
      <c r="AO3" s="4128"/>
      <c r="AP3" s="2080" t="s">
        <v>5</v>
      </c>
      <c r="AQ3" s="2083" t="s">
        <v>6</v>
      </c>
    </row>
    <row r="4" spans="1:43" s="1196" customFormat="1" ht="15" x14ac:dyDescent="0.2">
      <c r="A4" s="4129"/>
      <c r="B4" s="4129"/>
      <c r="C4" s="4129"/>
      <c r="D4" s="4129"/>
      <c r="E4" s="4129"/>
      <c r="F4" s="4129"/>
      <c r="G4" s="4129"/>
      <c r="H4" s="4129"/>
      <c r="I4" s="4129"/>
      <c r="J4" s="4129"/>
      <c r="K4" s="4129"/>
      <c r="L4" s="4129"/>
      <c r="M4" s="4129"/>
      <c r="N4" s="4129"/>
      <c r="O4" s="4129"/>
      <c r="P4" s="4129"/>
      <c r="Q4" s="4129"/>
      <c r="R4" s="4129"/>
      <c r="S4" s="4129"/>
      <c r="T4" s="4129"/>
      <c r="U4" s="4129"/>
      <c r="V4" s="4129"/>
      <c r="W4" s="4129"/>
      <c r="X4" s="4129"/>
      <c r="Y4" s="4129"/>
      <c r="Z4" s="4129"/>
      <c r="AA4" s="4129"/>
      <c r="AB4" s="4129"/>
      <c r="AC4" s="4129"/>
      <c r="AD4" s="4129"/>
      <c r="AE4" s="4129"/>
      <c r="AF4" s="4129"/>
      <c r="AG4" s="4129"/>
      <c r="AH4" s="4129"/>
      <c r="AI4" s="4129"/>
      <c r="AJ4" s="4129"/>
      <c r="AK4" s="4129"/>
      <c r="AL4" s="4129"/>
      <c r="AM4" s="4129"/>
      <c r="AN4" s="4129"/>
      <c r="AO4" s="4129"/>
      <c r="AP4" s="167" t="s">
        <v>7</v>
      </c>
      <c r="AQ4" s="2084" t="s">
        <v>323</v>
      </c>
    </row>
    <row r="5" spans="1:43" ht="15" customHeight="1" x14ac:dyDescent="0.2">
      <c r="A5" s="3607" t="s">
        <v>9</v>
      </c>
      <c r="B5" s="3607"/>
      <c r="C5" s="3607"/>
      <c r="D5" s="3607"/>
      <c r="E5" s="3607"/>
      <c r="F5" s="3607"/>
      <c r="G5" s="3607"/>
      <c r="H5" s="3607"/>
      <c r="I5" s="3607"/>
      <c r="J5" s="3607"/>
      <c r="K5" s="3607"/>
      <c r="L5" s="3607"/>
      <c r="M5" s="3607"/>
      <c r="N5" s="3549" t="s">
        <v>10</v>
      </c>
      <c r="O5" s="3605"/>
      <c r="P5" s="3605"/>
      <c r="Q5" s="3605"/>
      <c r="R5" s="3605"/>
      <c r="S5" s="3605"/>
      <c r="T5" s="3605"/>
      <c r="U5" s="3605"/>
      <c r="V5" s="3605"/>
      <c r="W5" s="3605"/>
      <c r="X5" s="3605"/>
      <c r="Y5" s="3605"/>
      <c r="Z5" s="3605"/>
      <c r="AA5" s="3605"/>
      <c r="AB5" s="3605"/>
      <c r="AC5" s="3605"/>
      <c r="AD5" s="3605"/>
      <c r="AE5" s="3605"/>
      <c r="AF5" s="3605"/>
      <c r="AG5" s="3605"/>
      <c r="AH5" s="3605"/>
      <c r="AI5" s="3605"/>
      <c r="AJ5" s="3605"/>
      <c r="AK5" s="3605"/>
      <c r="AL5" s="3605"/>
      <c r="AM5" s="3605"/>
      <c r="AN5" s="3605"/>
      <c r="AO5" s="3605"/>
      <c r="AP5" s="3605"/>
      <c r="AQ5" s="3550"/>
    </row>
    <row r="6" spans="1:43" ht="15" customHeight="1" x14ac:dyDescent="0.2">
      <c r="A6" s="3607"/>
      <c r="B6" s="3607"/>
      <c r="C6" s="3607"/>
      <c r="D6" s="3607"/>
      <c r="E6" s="3607"/>
      <c r="F6" s="3607"/>
      <c r="G6" s="3607"/>
      <c r="H6" s="3607"/>
      <c r="I6" s="3607"/>
      <c r="J6" s="3607"/>
      <c r="K6" s="3607"/>
      <c r="L6" s="3607"/>
      <c r="M6" s="3607"/>
      <c r="N6" s="3608"/>
      <c r="O6" s="3606"/>
      <c r="P6" s="3606"/>
      <c r="Q6" s="3606"/>
      <c r="R6" s="3606"/>
      <c r="S6" s="3606"/>
      <c r="T6" s="3606"/>
      <c r="U6" s="3606"/>
      <c r="V6" s="3606"/>
      <c r="W6" s="3606"/>
      <c r="X6" s="3606"/>
      <c r="Y6" s="3606"/>
      <c r="Z6" s="3606"/>
      <c r="AA6" s="3606"/>
      <c r="AB6" s="3606"/>
      <c r="AC6" s="3606"/>
      <c r="AD6" s="3606"/>
      <c r="AE6" s="3606"/>
      <c r="AF6" s="3606"/>
      <c r="AG6" s="3606"/>
      <c r="AH6" s="3606"/>
      <c r="AI6" s="3606"/>
      <c r="AJ6" s="3606"/>
      <c r="AK6" s="3606"/>
      <c r="AL6" s="3606"/>
      <c r="AM6" s="3606"/>
      <c r="AN6" s="3606"/>
      <c r="AO6" s="3606"/>
      <c r="AP6" s="3606"/>
      <c r="AQ6" s="3609"/>
    </row>
    <row r="7" spans="1:43" s="2085" customFormat="1" ht="12" customHeight="1" x14ac:dyDescent="0.2">
      <c r="A7" s="3613" t="s">
        <v>12</v>
      </c>
      <c r="B7" s="3613" t="s">
        <v>13</v>
      </c>
      <c r="C7" s="3613"/>
      <c r="D7" s="3613" t="s">
        <v>12</v>
      </c>
      <c r="E7" s="3613" t="s">
        <v>14</v>
      </c>
      <c r="F7" s="3613"/>
      <c r="G7" s="3585" t="s">
        <v>12</v>
      </c>
      <c r="H7" s="3596" t="s">
        <v>15</v>
      </c>
      <c r="I7" s="3598"/>
      <c r="J7" s="3585" t="s">
        <v>12</v>
      </c>
      <c r="K7" s="3585" t="s">
        <v>16</v>
      </c>
      <c r="L7" s="3585" t="s">
        <v>17</v>
      </c>
      <c r="M7" s="3585" t="s">
        <v>18</v>
      </c>
      <c r="N7" s="3585" t="s">
        <v>19</v>
      </c>
      <c r="O7" s="4123" t="s">
        <v>324</v>
      </c>
      <c r="P7" s="3585" t="s">
        <v>10</v>
      </c>
      <c r="Q7" s="3585" t="s">
        <v>21</v>
      </c>
      <c r="R7" s="3585" t="s">
        <v>22</v>
      </c>
      <c r="S7" s="3585" t="s">
        <v>23</v>
      </c>
      <c r="T7" s="3585" t="s">
        <v>24</v>
      </c>
      <c r="U7" s="3613" t="s">
        <v>25</v>
      </c>
      <c r="V7" s="4125" t="s">
        <v>22</v>
      </c>
      <c r="W7" s="4123" t="s">
        <v>12</v>
      </c>
      <c r="X7" s="3613" t="s">
        <v>26</v>
      </c>
      <c r="Y7" s="2977" t="s">
        <v>27</v>
      </c>
      <c r="Z7" s="2978"/>
      <c r="AA7" s="2981" t="s">
        <v>28</v>
      </c>
      <c r="AB7" s="2982"/>
      <c r="AC7" s="2982"/>
      <c r="AD7" s="2982"/>
      <c r="AE7" s="2979" t="s">
        <v>29</v>
      </c>
      <c r="AF7" s="2980"/>
      <c r="AG7" s="2980"/>
      <c r="AH7" s="2980"/>
      <c r="AI7" s="2980"/>
      <c r="AJ7" s="2980"/>
      <c r="AK7" s="2981" t="s">
        <v>30</v>
      </c>
      <c r="AL7" s="2982"/>
      <c r="AM7" s="2982"/>
      <c r="AN7" s="4115" t="s">
        <v>31</v>
      </c>
      <c r="AO7" s="4117" t="s">
        <v>32</v>
      </c>
      <c r="AP7" s="4117" t="s">
        <v>33</v>
      </c>
      <c r="AQ7" s="4119" t="s">
        <v>34</v>
      </c>
    </row>
    <row r="8" spans="1:43" s="2085" customFormat="1" ht="122.25" customHeight="1" x14ac:dyDescent="0.2">
      <c r="A8" s="3613"/>
      <c r="B8" s="3613"/>
      <c r="C8" s="3613"/>
      <c r="D8" s="3613"/>
      <c r="E8" s="3613"/>
      <c r="F8" s="3613"/>
      <c r="G8" s="3600"/>
      <c r="H8" s="3612"/>
      <c r="I8" s="4130"/>
      <c r="J8" s="3600"/>
      <c r="K8" s="3600"/>
      <c r="L8" s="3600"/>
      <c r="M8" s="3600"/>
      <c r="N8" s="3600"/>
      <c r="O8" s="4127"/>
      <c r="P8" s="3600"/>
      <c r="Q8" s="3600"/>
      <c r="R8" s="3600"/>
      <c r="S8" s="3600"/>
      <c r="T8" s="3600"/>
      <c r="U8" s="3613"/>
      <c r="V8" s="4126"/>
      <c r="W8" s="4124"/>
      <c r="X8" s="3613"/>
      <c r="Y8" s="2086" t="s">
        <v>35</v>
      </c>
      <c r="Z8" s="2087" t="s">
        <v>36</v>
      </c>
      <c r="AA8" s="2086" t="s">
        <v>37</v>
      </c>
      <c r="AB8" s="2086" t="s">
        <v>118</v>
      </c>
      <c r="AC8" s="2086" t="s">
        <v>325</v>
      </c>
      <c r="AD8" s="2086" t="s">
        <v>120</v>
      </c>
      <c r="AE8" s="2086" t="s">
        <v>41</v>
      </c>
      <c r="AF8" s="2086" t="s">
        <v>42</v>
      </c>
      <c r="AG8" s="2086" t="s">
        <v>43</v>
      </c>
      <c r="AH8" s="2086" t="s">
        <v>44</v>
      </c>
      <c r="AI8" s="2086" t="s">
        <v>45</v>
      </c>
      <c r="AJ8" s="2086" t="s">
        <v>46</v>
      </c>
      <c r="AK8" s="2086" t="s">
        <v>47</v>
      </c>
      <c r="AL8" s="2086" t="s">
        <v>48</v>
      </c>
      <c r="AM8" s="2086" t="s">
        <v>49</v>
      </c>
      <c r="AN8" s="4116"/>
      <c r="AO8" s="4118"/>
      <c r="AP8" s="4118"/>
      <c r="AQ8" s="4119"/>
    </row>
    <row r="9" spans="1:43" ht="15" x14ac:dyDescent="0.2">
      <c r="A9" s="2088">
        <v>5</v>
      </c>
      <c r="B9" s="4120" t="s">
        <v>1886</v>
      </c>
      <c r="C9" s="4121"/>
      <c r="D9" s="2089"/>
      <c r="E9" s="2089"/>
      <c r="F9" s="2090"/>
      <c r="G9" s="2090"/>
      <c r="H9" s="2090"/>
      <c r="I9" s="2090"/>
      <c r="J9" s="2090"/>
      <c r="K9" s="2090"/>
      <c r="L9" s="2090"/>
      <c r="M9" s="2090"/>
      <c r="N9" s="2090"/>
      <c r="O9" s="2090"/>
      <c r="P9" s="2090"/>
      <c r="Q9" s="2090"/>
      <c r="R9" s="2090"/>
      <c r="S9" s="2090"/>
      <c r="T9" s="2090"/>
      <c r="U9" s="2090"/>
      <c r="V9" s="2090"/>
      <c r="W9" s="2090"/>
      <c r="X9" s="2090"/>
      <c r="Y9" s="2090"/>
      <c r="Z9" s="2090"/>
      <c r="AA9" s="2090"/>
      <c r="AB9" s="2090"/>
      <c r="AC9" s="2090"/>
      <c r="AD9" s="2090"/>
      <c r="AE9" s="2090"/>
      <c r="AF9" s="2090"/>
      <c r="AG9" s="2090"/>
      <c r="AH9" s="2090"/>
      <c r="AI9" s="2090"/>
      <c r="AJ9" s="2090"/>
      <c r="AK9" s="2090"/>
      <c r="AL9" s="2090"/>
      <c r="AM9" s="2090"/>
      <c r="AN9" s="2090"/>
      <c r="AO9" s="2090"/>
      <c r="AP9" s="2090"/>
      <c r="AQ9" s="2091"/>
    </row>
    <row r="10" spans="1:43" ht="15" x14ac:dyDescent="0.2">
      <c r="A10" s="3250"/>
      <c r="B10" s="3560"/>
      <c r="C10" s="3560"/>
      <c r="D10" s="2092">
        <v>25</v>
      </c>
      <c r="E10" s="1112" t="s">
        <v>1596</v>
      </c>
      <c r="F10" s="2093"/>
      <c r="G10" s="2094"/>
      <c r="H10" s="2093"/>
      <c r="I10" s="2093"/>
      <c r="J10" s="2093"/>
      <c r="K10" s="2093"/>
      <c r="L10" s="2093"/>
      <c r="M10" s="2093"/>
      <c r="N10" s="2093"/>
      <c r="O10" s="2093"/>
      <c r="P10" s="2093"/>
      <c r="Q10" s="2093"/>
      <c r="R10" s="2093"/>
      <c r="S10" s="2093"/>
      <c r="T10" s="2093"/>
      <c r="U10" s="2093"/>
      <c r="V10" s="2093"/>
      <c r="W10" s="2093"/>
      <c r="X10" s="2093"/>
      <c r="Y10" s="2093"/>
      <c r="Z10" s="2093"/>
      <c r="AA10" s="2093"/>
      <c r="AB10" s="2093"/>
      <c r="AC10" s="2093"/>
      <c r="AD10" s="2093"/>
      <c r="AE10" s="2093"/>
      <c r="AF10" s="2093"/>
      <c r="AG10" s="2093"/>
      <c r="AH10" s="2093"/>
      <c r="AI10" s="2093"/>
      <c r="AJ10" s="2093"/>
      <c r="AK10" s="2093"/>
      <c r="AL10" s="2093"/>
      <c r="AM10" s="2093"/>
      <c r="AN10" s="2093"/>
      <c r="AO10" s="2093"/>
      <c r="AP10" s="2093"/>
      <c r="AQ10" s="2095"/>
    </row>
    <row r="11" spans="1:43" ht="15" x14ac:dyDescent="0.2">
      <c r="A11" s="3251"/>
      <c r="B11" s="3560"/>
      <c r="C11" s="3560"/>
      <c r="D11" s="3560"/>
      <c r="E11" s="3560"/>
      <c r="F11" s="3560"/>
      <c r="G11" s="2096">
        <v>83</v>
      </c>
      <c r="H11" s="2097" t="s">
        <v>1597</v>
      </c>
      <c r="I11" s="2098"/>
      <c r="J11" s="2099"/>
      <c r="K11" s="2099"/>
      <c r="L11" s="2099"/>
      <c r="M11" s="2099"/>
      <c r="N11" s="2099"/>
      <c r="O11" s="2099"/>
      <c r="P11" s="2099"/>
      <c r="Q11" s="2099"/>
      <c r="R11" s="2099"/>
      <c r="S11" s="2099"/>
      <c r="T11" s="2099"/>
      <c r="U11" s="2099"/>
      <c r="V11" s="2099"/>
      <c r="W11" s="2099"/>
      <c r="X11" s="2099"/>
      <c r="Y11" s="2099"/>
      <c r="Z11" s="2099"/>
      <c r="AA11" s="2099"/>
      <c r="AB11" s="2099"/>
      <c r="AC11" s="2099"/>
      <c r="AD11" s="2099"/>
      <c r="AE11" s="2099"/>
      <c r="AF11" s="2099"/>
      <c r="AG11" s="2099"/>
      <c r="AH11" s="2099"/>
      <c r="AI11" s="2099"/>
      <c r="AJ11" s="2099"/>
      <c r="AK11" s="2099"/>
      <c r="AL11" s="2099"/>
      <c r="AM11" s="2099"/>
      <c r="AN11" s="2099"/>
      <c r="AO11" s="2099"/>
      <c r="AP11" s="2099"/>
      <c r="AQ11" s="2098"/>
    </row>
    <row r="12" spans="1:43" ht="99.75" x14ac:dyDescent="0.2">
      <c r="A12" s="3251"/>
      <c r="B12" s="3560"/>
      <c r="C12" s="3560"/>
      <c r="D12" s="3560"/>
      <c r="E12" s="3560"/>
      <c r="F12" s="3560"/>
      <c r="G12" s="3250"/>
      <c r="H12" s="3560"/>
      <c r="I12" s="3560"/>
      <c r="J12" s="3488">
        <v>243</v>
      </c>
      <c r="K12" s="3247" t="s">
        <v>1887</v>
      </c>
      <c r="L12" s="3247" t="s">
        <v>1888</v>
      </c>
      <c r="M12" s="3488">
        <v>6</v>
      </c>
      <c r="N12" s="3488" t="s">
        <v>1889</v>
      </c>
      <c r="O12" s="3488" t="s">
        <v>1890</v>
      </c>
      <c r="P12" s="3247" t="s">
        <v>1891</v>
      </c>
      <c r="Q12" s="4106">
        <v>1</v>
      </c>
      <c r="R12" s="4109">
        <v>71548128</v>
      </c>
      <c r="S12" s="4112" t="s">
        <v>1892</v>
      </c>
      <c r="T12" s="4096" t="s">
        <v>1893</v>
      </c>
      <c r="U12" s="215" t="s">
        <v>1894</v>
      </c>
      <c r="V12" s="2100">
        <v>17887032</v>
      </c>
      <c r="W12" s="4102">
        <v>20</v>
      </c>
      <c r="X12" s="3488" t="s">
        <v>1895</v>
      </c>
      <c r="Y12" s="3488">
        <v>292684</v>
      </c>
      <c r="Z12" s="3488">
        <v>282326</v>
      </c>
      <c r="AA12" s="3488">
        <v>135912</v>
      </c>
      <c r="AB12" s="3488">
        <v>45122</v>
      </c>
      <c r="AC12" s="3488">
        <v>307101</v>
      </c>
      <c r="AD12" s="3488">
        <v>86875</v>
      </c>
      <c r="AE12" s="3488">
        <v>2145</v>
      </c>
      <c r="AF12" s="3488">
        <v>12718</v>
      </c>
      <c r="AG12" s="3488">
        <v>26</v>
      </c>
      <c r="AH12" s="3488">
        <v>37</v>
      </c>
      <c r="AI12" s="3488"/>
      <c r="AJ12" s="3488"/>
      <c r="AK12" s="3488">
        <v>43029</v>
      </c>
      <c r="AL12" s="3488">
        <v>16982</v>
      </c>
      <c r="AM12" s="3488">
        <v>60013</v>
      </c>
      <c r="AN12" s="3488">
        <f>+Y12+Z12</f>
        <v>575010</v>
      </c>
      <c r="AO12" s="4092">
        <v>43497</v>
      </c>
      <c r="AP12" s="4092">
        <v>43676</v>
      </c>
      <c r="AQ12" s="4094" t="s">
        <v>1896</v>
      </c>
    </row>
    <row r="13" spans="1:43" ht="57" x14ac:dyDescent="0.2">
      <c r="A13" s="3251"/>
      <c r="B13" s="3250"/>
      <c r="C13" s="3250"/>
      <c r="D13" s="3250"/>
      <c r="E13" s="3250"/>
      <c r="F13" s="3560"/>
      <c r="G13" s="3251"/>
      <c r="H13" s="3560"/>
      <c r="I13" s="3560"/>
      <c r="J13" s="3489"/>
      <c r="K13" s="3248"/>
      <c r="L13" s="3248"/>
      <c r="M13" s="3489"/>
      <c r="N13" s="3489"/>
      <c r="O13" s="3489"/>
      <c r="P13" s="3248"/>
      <c r="Q13" s="4107"/>
      <c r="R13" s="4110"/>
      <c r="S13" s="4113"/>
      <c r="T13" s="4096"/>
      <c r="U13" s="215" t="s">
        <v>1897</v>
      </c>
      <c r="V13" s="2100">
        <v>17887032</v>
      </c>
      <c r="W13" s="4103"/>
      <c r="X13" s="3489"/>
      <c r="Y13" s="3489"/>
      <c r="Z13" s="3489"/>
      <c r="AA13" s="3489"/>
      <c r="AB13" s="3489"/>
      <c r="AC13" s="3489"/>
      <c r="AD13" s="3489"/>
      <c r="AE13" s="3489"/>
      <c r="AF13" s="3489"/>
      <c r="AG13" s="3489"/>
      <c r="AH13" s="3489"/>
      <c r="AI13" s="3489"/>
      <c r="AJ13" s="3489"/>
      <c r="AK13" s="3489"/>
      <c r="AL13" s="3489"/>
      <c r="AM13" s="3489"/>
      <c r="AN13" s="3489"/>
      <c r="AO13" s="4093"/>
      <c r="AP13" s="4093"/>
      <c r="AQ13" s="4095"/>
    </row>
    <row r="14" spans="1:43" ht="71.25" x14ac:dyDescent="0.2">
      <c r="A14" s="3251"/>
      <c r="B14" s="3250"/>
      <c r="C14" s="3250"/>
      <c r="D14" s="3250"/>
      <c r="E14" s="3250"/>
      <c r="F14" s="3560"/>
      <c r="G14" s="3251"/>
      <c r="H14" s="3560"/>
      <c r="I14" s="3560"/>
      <c r="J14" s="3489"/>
      <c r="K14" s="3248"/>
      <c r="L14" s="3248"/>
      <c r="M14" s="3489"/>
      <c r="N14" s="3489"/>
      <c r="O14" s="3489"/>
      <c r="P14" s="3248"/>
      <c r="Q14" s="4107"/>
      <c r="R14" s="4110"/>
      <c r="S14" s="4113"/>
      <c r="T14" s="4096" t="s">
        <v>1898</v>
      </c>
      <c r="U14" s="215" t="s">
        <v>1899</v>
      </c>
      <c r="V14" s="2100">
        <v>17887032</v>
      </c>
      <c r="W14" s="4103"/>
      <c r="X14" s="3489"/>
      <c r="Y14" s="3489"/>
      <c r="Z14" s="3489"/>
      <c r="AA14" s="3489"/>
      <c r="AB14" s="3489"/>
      <c r="AC14" s="3489"/>
      <c r="AD14" s="3489"/>
      <c r="AE14" s="3489"/>
      <c r="AF14" s="3489"/>
      <c r="AG14" s="3489"/>
      <c r="AH14" s="3489"/>
      <c r="AI14" s="3489"/>
      <c r="AJ14" s="3489"/>
      <c r="AK14" s="3489"/>
      <c r="AL14" s="3489"/>
      <c r="AM14" s="3489"/>
      <c r="AN14" s="3489"/>
      <c r="AO14" s="4093"/>
      <c r="AP14" s="4093"/>
      <c r="AQ14" s="4095"/>
    </row>
    <row r="15" spans="1:43" ht="43.5" thickBot="1" x14ac:dyDescent="0.25">
      <c r="A15" s="3251"/>
      <c r="B15" s="3250"/>
      <c r="C15" s="3250"/>
      <c r="D15" s="3250"/>
      <c r="E15" s="3250"/>
      <c r="F15" s="3560"/>
      <c r="G15" s="4122"/>
      <c r="H15" s="3560"/>
      <c r="I15" s="3560"/>
      <c r="J15" s="4101"/>
      <c r="K15" s="4105"/>
      <c r="L15" s="4105"/>
      <c r="M15" s="4101"/>
      <c r="N15" s="4101"/>
      <c r="O15" s="4101"/>
      <c r="P15" s="4105"/>
      <c r="Q15" s="4108"/>
      <c r="R15" s="4111"/>
      <c r="S15" s="4114"/>
      <c r="T15" s="4097"/>
      <c r="U15" s="215" t="s">
        <v>1900</v>
      </c>
      <c r="V15" s="2100">
        <v>17887032</v>
      </c>
      <c r="W15" s="4104"/>
      <c r="X15" s="4101"/>
      <c r="Y15" s="4101"/>
      <c r="Z15" s="4101"/>
      <c r="AA15" s="4101"/>
      <c r="AB15" s="4101"/>
      <c r="AC15" s="4101"/>
      <c r="AD15" s="4101"/>
      <c r="AE15" s="4101"/>
      <c r="AF15" s="4101"/>
      <c r="AG15" s="4101"/>
      <c r="AH15" s="4101"/>
      <c r="AI15" s="4101"/>
      <c r="AJ15" s="4101"/>
      <c r="AK15" s="4101"/>
      <c r="AL15" s="4101"/>
      <c r="AM15" s="4101"/>
      <c r="AN15" s="4101"/>
      <c r="AO15" s="4093"/>
      <c r="AP15" s="4093"/>
      <c r="AQ15" s="4095"/>
    </row>
    <row r="16" spans="1:43" s="2113" customFormat="1" ht="15.75" thickBot="1" x14ac:dyDescent="0.3">
      <c r="A16" s="2101"/>
      <c r="B16" s="2102"/>
      <c r="C16" s="2102"/>
      <c r="D16" s="2102"/>
      <c r="E16" s="2103"/>
      <c r="F16" s="1319"/>
      <c r="G16" s="4098" t="s">
        <v>319</v>
      </c>
      <c r="H16" s="4099"/>
      <c r="I16" s="4099"/>
      <c r="J16" s="4099"/>
      <c r="K16" s="4099"/>
      <c r="L16" s="4099"/>
      <c r="M16" s="4099"/>
      <c r="N16" s="4099"/>
      <c r="O16" s="4099"/>
      <c r="P16" s="4099"/>
      <c r="Q16" s="4100"/>
      <c r="R16" s="2104">
        <v>71548128</v>
      </c>
      <c r="S16" s="2101"/>
      <c r="T16" s="2105"/>
      <c r="U16" s="2106"/>
      <c r="V16" s="2107">
        <f>SUM(V12:V15)</f>
        <v>71548128</v>
      </c>
      <c r="W16" s="2108"/>
      <c r="X16" s="2109"/>
      <c r="Y16" s="2109"/>
      <c r="Z16" s="2109"/>
      <c r="AA16" s="2109"/>
      <c r="AB16" s="2109"/>
      <c r="AC16" s="2109"/>
      <c r="AD16" s="2109"/>
      <c r="AE16" s="2109"/>
      <c r="AF16" s="2109"/>
      <c r="AG16" s="2109"/>
      <c r="AH16" s="2109"/>
      <c r="AI16" s="2109"/>
      <c r="AJ16" s="2109"/>
      <c r="AK16" s="2109"/>
      <c r="AL16" s="2109"/>
      <c r="AM16" s="2109"/>
      <c r="AN16" s="2109"/>
      <c r="AO16" s="2110"/>
      <c r="AP16" s="2111"/>
      <c r="AQ16" s="2112"/>
    </row>
    <row r="17" spans="13:22" x14ac:dyDescent="0.2">
      <c r="R17" s="2114"/>
    </row>
    <row r="18" spans="13:22" ht="15" x14ac:dyDescent="0.25">
      <c r="R18" s="1210"/>
      <c r="V18"/>
    </row>
    <row r="19" spans="13:22" x14ac:dyDescent="0.2">
      <c r="V19" s="1210"/>
    </row>
    <row r="22" spans="13:22" ht="15" x14ac:dyDescent="0.25">
      <c r="M22" s="2115"/>
      <c r="N22" s="2116"/>
      <c r="O22" s="2116"/>
    </row>
    <row r="23" spans="13:22" ht="15" x14ac:dyDescent="0.25">
      <c r="M23" s="1146" t="s">
        <v>1851</v>
      </c>
      <c r="N23" s="1146"/>
    </row>
  </sheetData>
  <sheetProtection password="A60F" sheet="1" objects="1" scenarios="1"/>
  <mergeCells count="73">
    <mergeCell ref="A1:AO4"/>
    <mergeCell ref="A5:M6"/>
    <mergeCell ref="N5:AQ6"/>
    <mergeCell ref="A7:A8"/>
    <mergeCell ref="B7:C8"/>
    <mergeCell ref="D7:D8"/>
    <mergeCell ref="E7:F8"/>
    <mergeCell ref="G7:G8"/>
    <mergeCell ref="H7:I8"/>
    <mergeCell ref="J7:J8"/>
    <mergeCell ref="V7:V8"/>
    <mergeCell ref="K7:K8"/>
    <mergeCell ref="L7:L8"/>
    <mergeCell ref="M7:M8"/>
    <mergeCell ref="N7:N8"/>
    <mergeCell ref="O7:O8"/>
    <mergeCell ref="P7:P8"/>
    <mergeCell ref="A10:A15"/>
    <mergeCell ref="B10:C15"/>
    <mergeCell ref="D11:D15"/>
    <mergeCell ref="E11:F15"/>
    <mergeCell ref="G12:G15"/>
    <mergeCell ref="AN7:AN8"/>
    <mergeCell ref="AO7:AO8"/>
    <mergeCell ref="AP7:AP8"/>
    <mergeCell ref="AQ7:AQ8"/>
    <mergeCell ref="B9:C9"/>
    <mergeCell ref="W7:W8"/>
    <mergeCell ref="X7:X8"/>
    <mergeCell ref="Y7:Z7"/>
    <mergeCell ref="AA7:AD7"/>
    <mergeCell ref="AE7:AJ7"/>
    <mergeCell ref="AK7:AM7"/>
    <mergeCell ref="Q7:Q8"/>
    <mergeCell ref="R7:R8"/>
    <mergeCell ref="S7:S8"/>
    <mergeCell ref="T7:T8"/>
    <mergeCell ref="U7:U8"/>
    <mergeCell ref="T12:T13"/>
    <mergeCell ref="H12:I15"/>
    <mergeCell ref="J12:J15"/>
    <mergeCell ref="K12:K15"/>
    <mergeCell ref="L12:L15"/>
    <mergeCell ref="M12:M15"/>
    <mergeCell ref="N12:N15"/>
    <mergeCell ref="O12:O15"/>
    <mergeCell ref="P12:P15"/>
    <mergeCell ref="Q12:Q15"/>
    <mergeCell ref="R12:R15"/>
    <mergeCell ref="S12:S15"/>
    <mergeCell ref="AH12:AH15"/>
    <mergeCell ref="W12:W15"/>
    <mergeCell ref="X12:X15"/>
    <mergeCell ref="Y12:Y15"/>
    <mergeCell ref="Z12:Z15"/>
    <mergeCell ref="AA12:AA15"/>
    <mergeCell ref="AB12:AB15"/>
    <mergeCell ref="AO12:AO15"/>
    <mergeCell ref="AP12:AP15"/>
    <mergeCell ref="AQ12:AQ15"/>
    <mergeCell ref="T14:T15"/>
    <mergeCell ref="G16:Q16"/>
    <mergeCell ref="AI12:AI15"/>
    <mergeCell ref="AJ12:AJ15"/>
    <mergeCell ref="AK12:AK15"/>
    <mergeCell ref="AL12:AL15"/>
    <mergeCell ref="AM12:AM15"/>
    <mergeCell ref="AN12:AN15"/>
    <mergeCell ref="AC12:AC15"/>
    <mergeCell ref="AD12:AD15"/>
    <mergeCell ref="AE12:AE15"/>
    <mergeCell ref="AF12:AF15"/>
    <mergeCell ref="AG12:AG15"/>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S364"/>
  <sheetViews>
    <sheetView showGridLines="0" topLeftCell="H1" zoomScale="60" zoomScaleNormal="60" workbookViewId="0">
      <selection activeCell="J7" sqref="J7:J8"/>
    </sheetView>
  </sheetViews>
  <sheetFormatPr baseColWidth="10" defaultColWidth="30" defaultRowHeight="14.25" x14ac:dyDescent="0.2"/>
  <cols>
    <col min="1" max="1" width="13" style="2130" customWidth="1"/>
    <col min="2" max="2" width="7.140625" style="2130" customWidth="1"/>
    <col min="3" max="3" width="12.5703125" style="2130" customWidth="1"/>
    <col min="4" max="4" width="17" style="2130" customWidth="1"/>
    <col min="5" max="5" width="8.5703125" style="2130" customWidth="1"/>
    <col min="6" max="6" width="9.42578125" style="2130" customWidth="1"/>
    <col min="7" max="7" width="16.7109375" style="2130" customWidth="1"/>
    <col min="8" max="8" width="4.7109375" style="2130" customWidth="1"/>
    <col min="9" max="9" width="20" style="2130" customWidth="1"/>
    <col min="10" max="10" width="16.42578125" style="2130" customWidth="1"/>
    <col min="11" max="11" width="38.7109375" style="2356" customWidth="1"/>
    <col min="12" max="12" width="19.140625" style="2162" customWidth="1"/>
    <col min="13" max="13" width="25.7109375" style="2162" customWidth="1"/>
    <col min="14" max="14" width="39.42578125" style="2248" bestFit="1" customWidth="1"/>
    <col min="15" max="15" width="20.7109375" style="2162" customWidth="1"/>
    <col min="16" max="16" width="30.5703125" style="2356" customWidth="1"/>
    <col min="17" max="17" width="18.7109375" style="2357" customWidth="1"/>
    <col min="18" max="18" width="26.42578125" style="2248" customWidth="1"/>
    <col min="19" max="19" width="22.7109375" style="2162" customWidth="1"/>
    <col min="20" max="20" width="37.42578125" style="2356" customWidth="1"/>
    <col min="21" max="21" width="47.140625" style="2358" customWidth="1"/>
    <col min="22" max="22" width="27.7109375" style="2358" customWidth="1"/>
    <col min="23" max="23" width="18.7109375" style="2357" customWidth="1"/>
    <col min="24" max="24" width="30" style="2357"/>
    <col min="25" max="26" width="14.7109375" style="2360" customWidth="1"/>
    <col min="27" max="27" width="14.7109375" style="2361" customWidth="1"/>
    <col min="28" max="31" width="14.7109375" style="2360" customWidth="1"/>
    <col min="32" max="32" width="14.7109375" style="2362" customWidth="1"/>
    <col min="33" max="33" width="14.7109375" style="2360" customWidth="1"/>
    <col min="34" max="34" width="14.7109375" style="2361" customWidth="1"/>
    <col min="35" max="36" width="14.7109375" style="2360" customWidth="1"/>
    <col min="37" max="40" width="14.7109375" style="2361" customWidth="1"/>
    <col min="41" max="41" width="16.7109375" style="2130" customWidth="1"/>
    <col min="42" max="42" width="22.42578125" style="2130" customWidth="1"/>
    <col min="43" max="43" width="30.140625" style="2130" bestFit="1" customWidth="1"/>
    <col min="44" max="16384" width="30" style="2130"/>
  </cols>
  <sheetData>
    <row r="1" spans="1:43" s="399" customFormat="1" ht="15" x14ac:dyDescent="0.25">
      <c r="A1" s="4333" t="s">
        <v>1901</v>
      </c>
      <c r="B1" s="4334"/>
      <c r="C1" s="4334"/>
      <c r="D1" s="4334"/>
      <c r="E1" s="4334"/>
      <c r="F1" s="4334"/>
      <c r="G1" s="4334"/>
      <c r="H1" s="4334"/>
      <c r="I1" s="4334"/>
      <c r="J1" s="4334"/>
      <c r="K1" s="4334"/>
      <c r="L1" s="4334"/>
      <c r="M1" s="4334"/>
      <c r="N1" s="4334"/>
      <c r="O1" s="4334"/>
      <c r="P1" s="4334"/>
      <c r="Q1" s="4334"/>
      <c r="R1" s="4334"/>
      <c r="S1" s="4334"/>
      <c r="T1" s="4334"/>
      <c r="U1" s="4334"/>
      <c r="V1" s="4334"/>
      <c r="W1" s="4334"/>
      <c r="X1" s="4334"/>
      <c r="Y1" s="4334"/>
      <c r="Z1" s="4334"/>
      <c r="AA1" s="4334"/>
      <c r="AB1" s="4334"/>
      <c r="AC1" s="4334"/>
      <c r="AD1" s="4334"/>
      <c r="AE1" s="4334"/>
      <c r="AF1" s="4334"/>
      <c r="AG1" s="4334"/>
      <c r="AH1" s="4334"/>
      <c r="AI1" s="4334"/>
      <c r="AJ1" s="4334"/>
      <c r="AK1" s="4334"/>
      <c r="AL1" s="4334"/>
      <c r="AM1" s="4334"/>
      <c r="AN1" s="4334"/>
      <c r="AO1" s="4334"/>
      <c r="AP1" s="2117" t="s">
        <v>1</v>
      </c>
      <c r="AQ1" s="398" t="s">
        <v>2</v>
      </c>
    </row>
    <row r="2" spans="1:43" s="399" customFormat="1" ht="15" x14ac:dyDescent="0.25">
      <c r="A2" s="4335"/>
      <c r="B2" s="4336"/>
      <c r="C2" s="4336"/>
      <c r="D2" s="4336"/>
      <c r="E2" s="4336"/>
      <c r="F2" s="4336"/>
      <c r="G2" s="4336"/>
      <c r="H2" s="4336"/>
      <c r="I2" s="4336"/>
      <c r="J2" s="4336"/>
      <c r="K2" s="4336"/>
      <c r="L2" s="4336"/>
      <c r="M2" s="4336"/>
      <c r="N2" s="4336"/>
      <c r="O2" s="4336"/>
      <c r="P2" s="4336"/>
      <c r="Q2" s="4336"/>
      <c r="R2" s="4336"/>
      <c r="S2" s="4336"/>
      <c r="T2" s="4336"/>
      <c r="U2" s="4336"/>
      <c r="V2" s="4336"/>
      <c r="W2" s="4336"/>
      <c r="X2" s="4336"/>
      <c r="Y2" s="4336"/>
      <c r="Z2" s="4336"/>
      <c r="AA2" s="4336"/>
      <c r="AB2" s="4336"/>
      <c r="AC2" s="4336"/>
      <c r="AD2" s="4336"/>
      <c r="AE2" s="4336"/>
      <c r="AF2" s="4336"/>
      <c r="AG2" s="4336"/>
      <c r="AH2" s="4336"/>
      <c r="AI2" s="4336"/>
      <c r="AJ2" s="4336"/>
      <c r="AK2" s="4336"/>
      <c r="AL2" s="4336"/>
      <c r="AM2" s="4336"/>
      <c r="AN2" s="4336"/>
      <c r="AO2" s="4336"/>
      <c r="AP2" s="2117" t="s">
        <v>3</v>
      </c>
      <c r="AQ2" s="401">
        <v>6</v>
      </c>
    </row>
    <row r="3" spans="1:43" s="399" customFormat="1" ht="15" x14ac:dyDescent="0.25">
      <c r="A3" s="4335"/>
      <c r="B3" s="4336"/>
      <c r="C3" s="4336"/>
      <c r="D3" s="4336"/>
      <c r="E3" s="4336"/>
      <c r="F3" s="4336"/>
      <c r="G3" s="4336"/>
      <c r="H3" s="4336"/>
      <c r="I3" s="4336"/>
      <c r="J3" s="4336"/>
      <c r="K3" s="4336"/>
      <c r="L3" s="4336"/>
      <c r="M3" s="4336"/>
      <c r="N3" s="4336"/>
      <c r="O3" s="4336"/>
      <c r="P3" s="4336"/>
      <c r="Q3" s="4336"/>
      <c r="R3" s="4336"/>
      <c r="S3" s="4336"/>
      <c r="T3" s="4336"/>
      <c r="U3" s="4336"/>
      <c r="V3" s="4336"/>
      <c r="W3" s="4336"/>
      <c r="X3" s="4336"/>
      <c r="Y3" s="4336"/>
      <c r="Z3" s="4336"/>
      <c r="AA3" s="4336"/>
      <c r="AB3" s="4336"/>
      <c r="AC3" s="4336"/>
      <c r="AD3" s="4336"/>
      <c r="AE3" s="4336"/>
      <c r="AF3" s="4336"/>
      <c r="AG3" s="4336"/>
      <c r="AH3" s="4336"/>
      <c r="AI3" s="4336"/>
      <c r="AJ3" s="4336"/>
      <c r="AK3" s="4336"/>
      <c r="AL3" s="4336"/>
      <c r="AM3" s="4336"/>
      <c r="AN3" s="4336"/>
      <c r="AO3" s="4336"/>
      <c r="AP3" s="2117" t="s">
        <v>5</v>
      </c>
      <c r="AQ3" s="402" t="s">
        <v>6</v>
      </c>
    </row>
    <row r="4" spans="1:43" s="405" customFormat="1" ht="15" x14ac:dyDescent="0.2">
      <c r="A4" s="4337"/>
      <c r="B4" s="2994"/>
      <c r="C4" s="2994"/>
      <c r="D4" s="2994"/>
      <c r="E4" s="2994"/>
      <c r="F4" s="2994"/>
      <c r="G4" s="2994"/>
      <c r="H4" s="2994"/>
      <c r="I4" s="2994"/>
      <c r="J4" s="2994"/>
      <c r="K4" s="2994"/>
      <c r="L4" s="2994"/>
      <c r="M4" s="2994"/>
      <c r="N4" s="2994"/>
      <c r="O4" s="2994"/>
      <c r="P4" s="2994"/>
      <c r="Q4" s="2994"/>
      <c r="R4" s="2994"/>
      <c r="S4" s="2994"/>
      <c r="T4" s="2994"/>
      <c r="U4" s="2994"/>
      <c r="V4" s="2994"/>
      <c r="W4" s="2994"/>
      <c r="X4" s="2994"/>
      <c r="Y4" s="2994"/>
      <c r="Z4" s="2994"/>
      <c r="AA4" s="2994"/>
      <c r="AB4" s="2994"/>
      <c r="AC4" s="2994"/>
      <c r="AD4" s="2994"/>
      <c r="AE4" s="2994"/>
      <c r="AF4" s="2994"/>
      <c r="AG4" s="2994"/>
      <c r="AH4" s="2994"/>
      <c r="AI4" s="2994"/>
      <c r="AJ4" s="2994"/>
      <c r="AK4" s="2994"/>
      <c r="AL4" s="2994"/>
      <c r="AM4" s="2994"/>
      <c r="AN4" s="2994"/>
      <c r="AO4" s="2994"/>
      <c r="AP4" s="2118" t="s">
        <v>7</v>
      </c>
      <c r="AQ4" s="404" t="s">
        <v>323</v>
      </c>
    </row>
    <row r="5" spans="1:43" s="399" customFormat="1" x14ac:dyDescent="0.2">
      <c r="A5" s="4338" t="s">
        <v>9</v>
      </c>
      <c r="B5" s="4339"/>
      <c r="C5" s="4339"/>
      <c r="D5" s="4339"/>
      <c r="E5" s="4339"/>
      <c r="F5" s="4339"/>
      <c r="G5" s="4339"/>
      <c r="H5" s="4339"/>
      <c r="I5" s="4339"/>
      <c r="J5" s="4339"/>
      <c r="K5" s="4339"/>
      <c r="L5" s="4339"/>
      <c r="M5" s="4339"/>
      <c r="N5" s="4339"/>
      <c r="O5" s="4340"/>
      <c r="P5" s="4344" t="s">
        <v>10</v>
      </c>
      <c r="Q5" s="4339"/>
      <c r="R5" s="4339"/>
      <c r="S5" s="4339"/>
      <c r="T5" s="4339"/>
      <c r="U5" s="4339"/>
      <c r="V5" s="4339"/>
      <c r="W5" s="4339"/>
      <c r="X5" s="4339"/>
      <c r="Y5" s="4339"/>
      <c r="Z5" s="4339"/>
      <c r="AA5" s="4339"/>
      <c r="AB5" s="4339"/>
      <c r="AC5" s="4339"/>
      <c r="AD5" s="4339"/>
      <c r="AE5" s="4339"/>
      <c r="AF5" s="4339"/>
      <c r="AG5" s="4339"/>
      <c r="AH5" s="4339"/>
      <c r="AI5" s="4339"/>
      <c r="AJ5" s="4339"/>
      <c r="AK5" s="4339"/>
      <c r="AL5" s="4339"/>
      <c r="AM5" s="4339"/>
      <c r="AN5" s="4339"/>
      <c r="AO5" s="4339"/>
      <c r="AP5" s="4339"/>
      <c r="AQ5" s="4345"/>
    </row>
    <row r="6" spans="1:43" s="399" customFormat="1" x14ac:dyDescent="0.2">
      <c r="A6" s="4341"/>
      <c r="B6" s="4342"/>
      <c r="C6" s="4342"/>
      <c r="D6" s="4342"/>
      <c r="E6" s="4342"/>
      <c r="F6" s="4342"/>
      <c r="G6" s="4342"/>
      <c r="H6" s="4342"/>
      <c r="I6" s="4342"/>
      <c r="J6" s="4342"/>
      <c r="K6" s="4342"/>
      <c r="L6" s="4342"/>
      <c r="M6" s="4342"/>
      <c r="N6" s="4342"/>
      <c r="O6" s="4343"/>
      <c r="P6" s="4346"/>
      <c r="Q6" s="4347"/>
      <c r="R6" s="4347"/>
      <c r="S6" s="4347"/>
      <c r="T6" s="4347"/>
      <c r="U6" s="4347"/>
      <c r="V6" s="4347"/>
      <c r="W6" s="4347"/>
      <c r="X6" s="4347"/>
      <c r="Y6" s="4347"/>
      <c r="Z6" s="4347"/>
      <c r="AA6" s="4347"/>
      <c r="AB6" s="4347"/>
      <c r="AC6" s="4347"/>
      <c r="AD6" s="4347"/>
      <c r="AE6" s="4347"/>
      <c r="AF6" s="4347"/>
      <c r="AG6" s="4347"/>
      <c r="AH6" s="4347"/>
      <c r="AI6" s="4347"/>
      <c r="AJ6" s="4347"/>
      <c r="AK6" s="4347"/>
      <c r="AL6" s="4347"/>
      <c r="AM6" s="4347"/>
      <c r="AN6" s="4347"/>
      <c r="AO6" s="4347"/>
      <c r="AP6" s="4347"/>
      <c r="AQ6" s="4348"/>
    </row>
    <row r="7" spans="1:43" s="592" customFormat="1" ht="32.25" customHeight="1" x14ac:dyDescent="0.25">
      <c r="A7" s="2757" t="s">
        <v>12</v>
      </c>
      <c r="B7" s="2757" t="s">
        <v>13</v>
      </c>
      <c r="C7" s="2757"/>
      <c r="D7" s="2757" t="s">
        <v>12</v>
      </c>
      <c r="E7" s="2757" t="s">
        <v>14</v>
      </c>
      <c r="F7" s="2757"/>
      <c r="G7" s="2757" t="s">
        <v>12</v>
      </c>
      <c r="H7" s="2757" t="s">
        <v>15</v>
      </c>
      <c r="I7" s="2757"/>
      <c r="J7" s="2989" t="s">
        <v>12</v>
      </c>
      <c r="K7" s="2757" t="s">
        <v>16</v>
      </c>
      <c r="L7" s="2757" t="s">
        <v>17</v>
      </c>
      <c r="M7" s="4330" t="s">
        <v>18</v>
      </c>
      <c r="N7" s="2772" t="s">
        <v>19</v>
      </c>
      <c r="O7" s="2757" t="s">
        <v>324</v>
      </c>
      <c r="P7" s="2772" t="s">
        <v>10</v>
      </c>
      <c r="Q7" s="2757" t="s">
        <v>21</v>
      </c>
      <c r="R7" s="2772" t="s">
        <v>22</v>
      </c>
      <c r="S7" s="2757" t="s">
        <v>23</v>
      </c>
      <c r="T7" s="2772" t="s">
        <v>24</v>
      </c>
      <c r="U7" s="2757" t="s">
        <v>25</v>
      </c>
      <c r="V7" s="4330" t="s">
        <v>22</v>
      </c>
      <c r="W7" s="2772" t="s">
        <v>12</v>
      </c>
      <c r="X7" s="2757" t="s">
        <v>26</v>
      </c>
      <c r="Y7" s="4323" t="s">
        <v>27</v>
      </c>
      <c r="Z7" s="4324"/>
      <c r="AA7" s="4325" t="s">
        <v>28</v>
      </c>
      <c r="AB7" s="4326"/>
      <c r="AC7" s="4326"/>
      <c r="AD7" s="4326"/>
      <c r="AE7" s="4327" t="s">
        <v>29</v>
      </c>
      <c r="AF7" s="4328"/>
      <c r="AG7" s="4328"/>
      <c r="AH7" s="4328"/>
      <c r="AI7" s="4328"/>
      <c r="AJ7" s="4328"/>
      <c r="AK7" s="4325" t="s">
        <v>30</v>
      </c>
      <c r="AL7" s="4326"/>
      <c r="AM7" s="4329"/>
      <c r="AN7" s="4313" t="s">
        <v>31</v>
      </c>
      <c r="AO7" s="4315" t="s">
        <v>32</v>
      </c>
      <c r="AP7" s="4315" t="s">
        <v>33</v>
      </c>
      <c r="AQ7" s="4318" t="s">
        <v>34</v>
      </c>
    </row>
    <row r="8" spans="1:43" s="592" customFormat="1" ht="153.75" customHeight="1" x14ac:dyDescent="0.25">
      <c r="A8" s="2757"/>
      <c r="B8" s="2757"/>
      <c r="C8" s="2757"/>
      <c r="D8" s="2757"/>
      <c r="E8" s="2757"/>
      <c r="F8" s="2757"/>
      <c r="G8" s="2757"/>
      <c r="H8" s="2757"/>
      <c r="I8" s="2757"/>
      <c r="J8" s="2975"/>
      <c r="K8" s="2757"/>
      <c r="L8" s="2757"/>
      <c r="M8" s="4332"/>
      <c r="N8" s="2999"/>
      <c r="O8" s="2757"/>
      <c r="P8" s="2999"/>
      <c r="Q8" s="2757"/>
      <c r="R8" s="2999"/>
      <c r="S8" s="2757"/>
      <c r="T8" s="2999"/>
      <c r="U8" s="2757"/>
      <c r="V8" s="4331"/>
      <c r="W8" s="2999"/>
      <c r="X8" s="2757"/>
      <c r="Y8" s="2119" t="s">
        <v>35</v>
      </c>
      <c r="Z8" s="2119" t="s">
        <v>36</v>
      </c>
      <c r="AA8" s="2119" t="s">
        <v>37</v>
      </c>
      <c r="AB8" s="2119" t="s">
        <v>118</v>
      </c>
      <c r="AC8" s="2119" t="s">
        <v>325</v>
      </c>
      <c r="AD8" s="2119" t="s">
        <v>120</v>
      </c>
      <c r="AE8" s="2119" t="s">
        <v>41</v>
      </c>
      <c r="AF8" s="2119" t="s">
        <v>42</v>
      </c>
      <c r="AG8" s="2119" t="s">
        <v>43</v>
      </c>
      <c r="AH8" s="2119" t="s">
        <v>44</v>
      </c>
      <c r="AI8" s="2119" t="s">
        <v>45</v>
      </c>
      <c r="AJ8" s="2119" t="s">
        <v>46</v>
      </c>
      <c r="AK8" s="2119" t="s">
        <v>47</v>
      </c>
      <c r="AL8" s="2119" t="s">
        <v>48</v>
      </c>
      <c r="AM8" s="2120" t="s">
        <v>49</v>
      </c>
      <c r="AN8" s="4314"/>
      <c r="AO8" s="4316"/>
      <c r="AP8" s="4317"/>
      <c r="AQ8" s="4319"/>
    </row>
    <row r="9" spans="1:43" ht="15" x14ac:dyDescent="0.2">
      <c r="A9" s="2121">
        <v>3</v>
      </c>
      <c r="B9" s="2122" t="s">
        <v>1902</v>
      </c>
      <c r="C9" s="2122"/>
      <c r="D9" s="2122"/>
      <c r="E9" s="2122"/>
      <c r="F9" s="2122"/>
      <c r="G9" s="2122"/>
      <c r="H9" s="2122"/>
      <c r="I9" s="2122"/>
      <c r="J9" s="2122"/>
      <c r="K9" s="2123"/>
      <c r="L9" s="2122"/>
      <c r="M9" s="2122"/>
      <c r="N9" s="2124"/>
      <c r="O9" s="2122"/>
      <c r="P9" s="2123"/>
      <c r="Q9" s="2122"/>
      <c r="R9" s="2124"/>
      <c r="S9" s="2122"/>
      <c r="T9" s="2123"/>
      <c r="U9" s="2123"/>
      <c r="V9" s="2125"/>
      <c r="W9" s="2124"/>
      <c r="X9" s="2124"/>
      <c r="Y9" s="2126"/>
      <c r="Z9" s="2126"/>
      <c r="AA9" s="2127"/>
      <c r="AB9" s="2126"/>
      <c r="AC9" s="2126"/>
      <c r="AD9" s="2126"/>
      <c r="AE9" s="2126"/>
      <c r="AF9" s="2128"/>
      <c r="AG9" s="2126"/>
      <c r="AH9" s="2127"/>
      <c r="AI9" s="2126"/>
      <c r="AJ9" s="2126"/>
      <c r="AK9" s="2127"/>
      <c r="AL9" s="2127"/>
      <c r="AM9" s="2127"/>
      <c r="AN9" s="2127"/>
      <c r="AO9" s="2122"/>
      <c r="AP9" s="2122"/>
      <c r="AQ9" s="2129"/>
    </row>
    <row r="10" spans="1:43" ht="13.5" customHeight="1" x14ac:dyDescent="0.2">
      <c r="A10" s="4320"/>
      <c r="B10" s="4321"/>
      <c r="C10" s="4322"/>
      <c r="D10" s="2131">
        <v>11</v>
      </c>
      <c r="E10" s="2132" t="s">
        <v>294</v>
      </c>
      <c r="F10" s="2132"/>
      <c r="G10" s="2133"/>
      <c r="H10" s="2133"/>
      <c r="I10" s="2133"/>
      <c r="J10" s="2133"/>
      <c r="K10" s="2134"/>
      <c r="L10" s="2133"/>
      <c r="M10" s="2133"/>
      <c r="N10" s="2135"/>
      <c r="O10" s="2133"/>
      <c r="P10" s="2134"/>
      <c r="Q10" s="2133"/>
      <c r="R10" s="2135"/>
      <c r="S10" s="2133"/>
      <c r="T10" s="2134"/>
      <c r="U10" s="2134"/>
      <c r="V10" s="2136"/>
      <c r="W10" s="2135"/>
      <c r="X10" s="2135"/>
      <c r="Y10" s="2137"/>
      <c r="Z10" s="2137"/>
      <c r="AA10" s="2138"/>
      <c r="AB10" s="2137"/>
      <c r="AC10" s="2137"/>
      <c r="AD10" s="2137"/>
      <c r="AE10" s="2137"/>
      <c r="AF10" s="2139"/>
      <c r="AG10" s="2137"/>
      <c r="AH10" s="2138"/>
      <c r="AI10" s="2137"/>
      <c r="AJ10" s="2137"/>
      <c r="AK10" s="2138"/>
      <c r="AL10" s="2138"/>
      <c r="AM10" s="2138"/>
      <c r="AN10" s="2138"/>
      <c r="AO10" s="2133"/>
      <c r="AP10" s="2133"/>
      <c r="AQ10" s="2140"/>
    </row>
    <row r="11" spans="1:43" ht="27.75" customHeight="1" x14ac:dyDescent="0.2">
      <c r="A11" s="2141"/>
      <c r="B11" s="2142"/>
      <c r="C11" s="2143"/>
      <c r="D11" s="2144"/>
      <c r="E11" s="2144"/>
      <c r="F11" s="2145"/>
      <c r="G11" s="2146">
        <v>35</v>
      </c>
      <c r="H11" s="2147" t="s">
        <v>1903</v>
      </c>
      <c r="I11" s="2147"/>
      <c r="J11" s="2147"/>
      <c r="K11" s="2148"/>
      <c r="L11" s="2147"/>
      <c r="M11" s="2147"/>
      <c r="N11" s="2149"/>
      <c r="O11" s="2147"/>
      <c r="P11" s="2148"/>
      <c r="Q11" s="2147"/>
      <c r="R11" s="2149"/>
      <c r="S11" s="2147"/>
      <c r="T11" s="2148"/>
      <c r="U11" s="2148"/>
      <c r="V11" s="2150"/>
      <c r="W11" s="2149"/>
      <c r="X11" s="2149"/>
      <c r="Y11" s="2151"/>
      <c r="Z11" s="2151"/>
      <c r="AA11" s="2152"/>
      <c r="AB11" s="2151"/>
      <c r="AC11" s="2151"/>
      <c r="AD11" s="2151"/>
      <c r="AE11" s="2151"/>
      <c r="AF11" s="2153"/>
      <c r="AG11" s="2151"/>
      <c r="AH11" s="2152"/>
      <c r="AI11" s="2151"/>
      <c r="AJ11" s="2151"/>
      <c r="AK11" s="2152"/>
      <c r="AL11" s="2152"/>
      <c r="AM11" s="2152"/>
      <c r="AN11" s="2152"/>
      <c r="AO11" s="2147"/>
      <c r="AP11" s="2147"/>
      <c r="AQ11" s="2154"/>
    </row>
    <row r="12" spans="1:43" s="2162" customFormat="1" ht="29.25" customHeight="1" x14ac:dyDescent="0.2">
      <c r="A12" s="2155"/>
      <c r="B12" s="2156"/>
      <c r="C12" s="2157"/>
      <c r="D12" s="2156"/>
      <c r="E12" s="2156"/>
      <c r="F12" s="2157"/>
      <c r="G12" s="2158"/>
      <c r="H12" s="2159"/>
      <c r="I12" s="2160"/>
      <c r="J12" s="4163">
        <v>127</v>
      </c>
      <c r="K12" s="4141" t="s">
        <v>1904</v>
      </c>
      <c r="L12" s="4138" t="s">
        <v>1905</v>
      </c>
      <c r="M12" s="4138">
        <v>1</v>
      </c>
      <c r="N12" s="4138" t="s">
        <v>1906</v>
      </c>
      <c r="O12" s="4156" t="s">
        <v>1907</v>
      </c>
      <c r="P12" s="4141" t="s">
        <v>1908</v>
      </c>
      <c r="Q12" s="4166">
        <f>SUM(V12:V21)/R12</f>
        <v>0.32142857142857145</v>
      </c>
      <c r="R12" s="4158">
        <f>SUM(V12:V45)</f>
        <v>196000000</v>
      </c>
      <c r="S12" s="4141" t="s">
        <v>1909</v>
      </c>
      <c r="T12" s="4179" t="s">
        <v>1910</v>
      </c>
      <c r="U12" s="4226" t="s">
        <v>1911</v>
      </c>
      <c r="V12" s="1160">
        <v>4000000</v>
      </c>
      <c r="W12" s="2161">
        <v>61</v>
      </c>
      <c r="X12" s="4138" t="s">
        <v>1912</v>
      </c>
      <c r="Y12" s="4138" t="s">
        <v>1913</v>
      </c>
      <c r="Z12" s="4138" t="s">
        <v>1913</v>
      </c>
      <c r="AA12" s="4304">
        <v>64149</v>
      </c>
      <c r="AB12" s="4260" t="s">
        <v>1913</v>
      </c>
      <c r="AC12" s="4310" t="s">
        <v>1913</v>
      </c>
      <c r="AD12" s="4260" t="s">
        <v>1913</v>
      </c>
      <c r="AE12" s="4260" t="s">
        <v>1913</v>
      </c>
      <c r="AF12" s="4260" t="s">
        <v>1913</v>
      </c>
      <c r="AG12" s="4260" t="s">
        <v>1913</v>
      </c>
      <c r="AH12" s="4260" t="s">
        <v>1913</v>
      </c>
      <c r="AI12" s="4260" t="s">
        <v>1913</v>
      </c>
      <c r="AJ12" s="4310" t="s">
        <v>1913</v>
      </c>
      <c r="AK12" s="4260" t="s">
        <v>1913</v>
      </c>
      <c r="AL12" s="4260" t="s">
        <v>1913</v>
      </c>
      <c r="AM12" s="4310" t="s">
        <v>1913</v>
      </c>
      <c r="AN12" s="4310" t="s">
        <v>1913</v>
      </c>
      <c r="AO12" s="4149">
        <v>43467</v>
      </c>
      <c r="AP12" s="4149">
        <v>43830</v>
      </c>
      <c r="AQ12" s="4136" t="s">
        <v>1914</v>
      </c>
    </row>
    <row r="13" spans="1:43" s="2162" customFormat="1" ht="30.75" customHeight="1" x14ac:dyDescent="0.2">
      <c r="A13" s="2155"/>
      <c r="B13" s="2156"/>
      <c r="C13" s="2157"/>
      <c r="D13" s="2156"/>
      <c r="E13" s="2156"/>
      <c r="F13" s="2157"/>
      <c r="G13" s="2163"/>
      <c r="H13" s="2156"/>
      <c r="I13" s="2157"/>
      <c r="J13" s="4164"/>
      <c r="K13" s="4142"/>
      <c r="L13" s="4139"/>
      <c r="M13" s="4139"/>
      <c r="N13" s="4139"/>
      <c r="O13" s="4157"/>
      <c r="P13" s="4142"/>
      <c r="Q13" s="4146"/>
      <c r="R13" s="4159"/>
      <c r="S13" s="4142"/>
      <c r="T13" s="4204"/>
      <c r="U13" s="4240"/>
      <c r="V13" s="1160">
        <v>15000000</v>
      </c>
      <c r="W13" s="2161">
        <v>98</v>
      </c>
      <c r="X13" s="4139"/>
      <c r="Y13" s="4139"/>
      <c r="Z13" s="4139"/>
      <c r="AA13" s="4305"/>
      <c r="AB13" s="4199"/>
      <c r="AC13" s="4311"/>
      <c r="AD13" s="4199"/>
      <c r="AE13" s="4199"/>
      <c r="AF13" s="4199"/>
      <c r="AG13" s="4199"/>
      <c r="AH13" s="4199"/>
      <c r="AI13" s="4199"/>
      <c r="AJ13" s="4311"/>
      <c r="AK13" s="4199"/>
      <c r="AL13" s="4199"/>
      <c r="AM13" s="4311"/>
      <c r="AN13" s="4311"/>
      <c r="AO13" s="4150"/>
      <c r="AP13" s="4150"/>
      <c r="AQ13" s="4137"/>
    </row>
    <row r="14" spans="1:43" s="2162" customFormat="1" ht="92.25" customHeight="1" x14ac:dyDescent="0.2">
      <c r="A14" s="2155"/>
      <c r="B14" s="2156"/>
      <c r="C14" s="2157"/>
      <c r="D14" s="2156"/>
      <c r="E14" s="2156"/>
      <c r="F14" s="2157"/>
      <c r="G14" s="2163"/>
      <c r="H14" s="2156"/>
      <c r="I14" s="2157"/>
      <c r="J14" s="4164"/>
      <c r="K14" s="4142"/>
      <c r="L14" s="4139"/>
      <c r="M14" s="4139"/>
      <c r="N14" s="4139"/>
      <c r="O14" s="4157"/>
      <c r="P14" s="4142"/>
      <c r="Q14" s="4146"/>
      <c r="R14" s="4159"/>
      <c r="S14" s="4142"/>
      <c r="T14" s="4204"/>
      <c r="U14" s="2164" t="s">
        <v>1915</v>
      </c>
      <c r="V14" s="1160">
        <v>4000000</v>
      </c>
      <c r="W14" s="2161">
        <v>61</v>
      </c>
      <c r="X14" s="4139"/>
      <c r="Y14" s="4139"/>
      <c r="Z14" s="4139"/>
      <c r="AA14" s="4305"/>
      <c r="AB14" s="4199"/>
      <c r="AC14" s="4311"/>
      <c r="AD14" s="4199"/>
      <c r="AE14" s="4199"/>
      <c r="AF14" s="4199"/>
      <c r="AG14" s="4199"/>
      <c r="AH14" s="4199"/>
      <c r="AI14" s="4199"/>
      <c r="AJ14" s="4311"/>
      <c r="AK14" s="4199"/>
      <c r="AL14" s="4199"/>
      <c r="AM14" s="4311"/>
      <c r="AN14" s="4311"/>
      <c r="AO14" s="4150"/>
      <c r="AP14" s="4150"/>
      <c r="AQ14" s="4137"/>
    </row>
    <row r="15" spans="1:43" s="2162" customFormat="1" ht="29.25" customHeight="1" x14ac:dyDescent="0.2">
      <c r="A15" s="2155"/>
      <c r="B15" s="2156"/>
      <c r="C15" s="2157"/>
      <c r="D15" s="2156"/>
      <c r="E15" s="2156"/>
      <c r="F15" s="2157"/>
      <c r="G15" s="2163"/>
      <c r="H15" s="2156"/>
      <c r="I15" s="2157"/>
      <c r="J15" s="4164"/>
      <c r="K15" s="4142"/>
      <c r="L15" s="4139"/>
      <c r="M15" s="4139"/>
      <c r="N15" s="4139"/>
      <c r="O15" s="4157"/>
      <c r="P15" s="4142"/>
      <c r="Q15" s="4146"/>
      <c r="R15" s="4159"/>
      <c r="S15" s="4142"/>
      <c r="T15" s="4204"/>
      <c r="U15" s="4226" t="s">
        <v>1916</v>
      </c>
      <c r="V15" s="1160">
        <v>4000000</v>
      </c>
      <c r="W15" s="2161">
        <v>61</v>
      </c>
      <c r="X15" s="4139"/>
      <c r="Y15" s="4139"/>
      <c r="Z15" s="4139"/>
      <c r="AA15" s="4305"/>
      <c r="AB15" s="4199"/>
      <c r="AC15" s="4311"/>
      <c r="AD15" s="4199"/>
      <c r="AE15" s="4199"/>
      <c r="AF15" s="4199"/>
      <c r="AG15" s="4199"/>
      <c r="AH15" s="4199"/>
      <c r="AI15" s="4199"/>
      <c r="AJ15" s="4311"/>
      <c r="AK15" s="4199"/>
      <c r="AL15" s="4199"/>
      <c r="AM15" s="4311"/>
      <c r="AN15" s="4311"/>
      <c r="AO15" s="4150"/>
      <c r="AP15" s="4150"/>
      <c r="AQ15" s="4137"/>
    </row>
    <row r="16" spans="1:43" s="2162" customFormat="1" ht="30" customHeight="1" x14ac:dyDescent="0.2">
      <c r="A16" s="2155"/>
      <c r="B16" s="2156"/>
      <c r="C16" s="2157"/>
      <c r="D16" s="2156"/>
      <c r="E16" s="2156"/>
      <c r="F16" s="2157"/>
      <c r="G16" s="2163"/>
      <c r="H16" s="2156"/>
      <c r="I16" s="2157"/>
      <c r="J16" s="4164"/>
      <c r="K16" s="4142"/>
      <c r="L16" s="4139"/>
      <c r="M16" s="4139"/>
      <c r="N16" s="4139"/>
      <c r="O16" s="4157"/>
      <c r="P16" s="4142"/>
      <c r="Q16" s="4146"/>
      <c r="R16" s="4159"/>
      <c r="S16" s="4142"/>
      <c r="T16" s="4204"/>
      <c r="U16" s="4240"/>
      <c r="V16" s="1160">
        <v>10000000</v>
      </c>
      <c r="W16" s="2161">
        <v>98</v>
      </c>
      <c r="X16" s="4139"/>
      <c r="Y16" s="4139"/>
      <c r="Z16" s="4139"/>
      <c r="AA16" s="4305"/>
      <c r="AB16" s="4199"/>
      <c r="AC16" s="4311"/>
      <c r="AD16" s="4199"/>
      <c r="AE16" s="4199"/>
      <c r="AF16" s="4199"/>
      <c r="AG16" s="4199"/>
      <c r="AH16" s="4199"/>
      <c r="AI16" s="4199"/>
      <c r="AJ16" s="4311"/>
      <c r="AK16" s="4199"/>
      <c r="AL16" s="4199"/>
      <c r="AM16" s="4311"/>
      <c r="AN16" s="4311"/>
      <c r="AO16" s="4150"/>
      <c r="AP16" s="4150"/>
      <c r="AQ16" s="4137"/>
    </row>
    <row r="17" spans="1:43" s="2162" customFormat="1" ht="29.25" customHeight="1" x14ac:dyDescent="0.2">
      <c r="A17" s="2155"/>
      <c r="B17" s="2156"/>
      <c r="C17" s="2157"/>
      <c r="D17" s="2156"/>
      <c r="E17" s="2156"/>
      <c r="F17" s="2157"/>
      <c r="G17" s="2163"/>
      <c r="H17" s="2156"/>
      <c r="I17" s="2157"/>
      <c r="J17" s="4164"/>
      <c r="K17" s="4142"/>
      <c r="L17" s="4139"/>
      <c r="M17" s="4139"/>
      <c r="N17" s="4139"/>
      <c r="O17" s="4157"/>
      <c r="P17" s="4142"/>
      <c r="Q17" s="4146"/>
      <c r="R17" s="4159"/>
      <c r="S17" s="4142"/>
      <c r="T17" s="4204"/>
      <c r="U17" s="4226" t="s">
        <v>1917</v>
      </c>
      <c r="V17" s="1160">
        <v>1000000</v>
      </c>
      <c r="W17" s="2161">
        <v>61</v>
      </c>
      <c r="X17" s="4139"/>
      <c r="Y17" s="4139"/>
      <c r="Z17" s="4139"/>
      <c r="AA17" s="4305"/>
      <c r="AB17" s="4199"/>
      <c r="AC17" s="4311"/>
      <c r="AD17" s="4199"/>
      <c r="AE17" s="4199"/>
      <c r="AF17" s="4199"/>
      <c r="AG17" s="4199"/>
      <c r="AH17" s="4199"/>
      <c r="AI17" s="4199"/>
      <c r="AJ17" s="4311"/>
      <c r="AK17" s="4199"/>
      <c r="AL17" s="4199"/>
      <c r="AM17" s="4311"/>
      <c r="AN17" s="4311"/>
      <c r="AO17" s="4150"/>
      <c r="AP17" s="4150"/>
      <c r="AQ17" s="4137"/>
    </row>
    <row r="18" spans="1:43" s="2162" customFormat="1" ht="37.5" customHeight="1" x14ac:dyDescent="0.2">
      <c r="A18" s="2155"/>
      <c r="B18" s="2156"/>
      <c r="C18" s="2157"/>
      <c r="D18" s="2156"/>
      <c r="E18" s="2156"/>
      <c r="F18" s="2157"/>
      <c r="G18" s="2163"/>
      <c r="H18" s="2156"/>
      <c r="I18" s="2157"/>
      <c r="J18" s="4164"/>
      <c r="K18" s="4142"/>
      <c r="L18" s="4139"/>
      <c r="M18" s="4139"/>
      <c r="N18" s="4139"/>
      <c r="O18" s="4157"/>
      <c r="P18" s="4142"/>
      <c r="Q18" s="4146"/>
      <c r="R18" s="4159"/>
      <c r="S18" s="4142"/>
      <c r="T18" s="4204"/>
      <c r="U18" s="4240"/>
      <c r="V18" s="1160">
        <v>10000000</v>
      </c>
      <c r="W18" s="2161">
        <v>98</v>
      </c>
      <c r="X18" s="4139"/>
      <c r="Y18" s="4139"/>
      <c r="Z18" s="4139"/>
      <c r="AA18" s="4305"/>
      <c r="AB18" s="4199"/>
      <c r="AC18" s="4311"/>
      <c r="AD18" s="4199"/>
      <c r="AE18" s="4199"/>
      <c r="AF18" s="4199"/>
      <c r="AG18" s="4199"/>
      <c r="AH18" s="4199"/>
      <c r="AI18" s="4199"/>
      <c r="AJ18" s="4311"/>
      <c r="AK18" s="4199"/>
      <c r="AL18" s="4199"/>
      <c r="AM18" s="4311"/>
      <c r="AN18" s="4311"/>
      <c r="AO18" s="4150"/>
      <c r="AP18" s="4150"/>
      <c r="AQ18" s="4137"/>
    </row>
    <row r="19" spans="1:43" s="2162" customFormat="1" ht="57" x14ac:dyDescent="0.2">
      <c r="A19" s="2155"/>
      <c r="B19" s="2156"/>
      <c r="C19" s="2157"/>
      <c r="D19" s="2156"/>
      <c r="E19" s="2156"/>
      <c r="F19" s="2157"/>
      <c r="G19" s="2163"/>
      <c r="H19" s="2156"/>
      <c r="I19" s="2157"/>
      <c r="J19" s="4164"/>
      <c r="K19" s="4142"/>
      <c r="L19" s="4139"/>
      <c r="M19" s="4139"/>
      <c r="N19" s="4139"/>
      <c r="O19" s="4157"/>
      <c r="P19" s="4142"/>
      <c r="Q19" s="4146"/>
      <c r="R19" s="4159"/>
      <c r="S19" s="4142"/>
      <c r="T19" s="4204"/>
      <c r="U19" s="2164" t="s">
        <v>1918</v>
      </c>
      <c r="V19" s="1160">
        <v>4000000</v>
      </c>
      <c r="W19" s="2161">
        <v>61</v>
      </c>
      <c r="X19" s="4139"/>
      <c r="Y19" s="4139"/>
      <c r="Z19" s="4139"/>
      <c r="AA19" s="4305"/>
      <c r="AB19" s="4199"/>
      <c r="AC19" s="4311"/>
      <c r="AD19" s="4199"/>
      <c r="AE19" s="4199"/>
      <c r="AF19" s="4199"/>
      <c r="AG19" s="4199"/>
      <c r="AH19" s="4199"/>
      <c r="AI19" s="4199"/>
      <c r="AJ19" s="4311"/>
      <c r="AK19" s="4199"/>
      <c r="AL19" s="4199"/>
      <c r="AM19" s="4311"/>
      <c r="AN19" s="4311"/>
      <c r="AO19" s="4150"/>
      <c r="AP19" s="4150"/>
      <c r="AQ19" s="4137"/>
    </row>
    <row r="20" spans="1:43" s="2162" customFormat="1" ht="57" x14ac:dyDescent="0.2">
      <c r="A20" s="2155"/>
      <c r="B20" s="2156"/>
      <c r="C20" s="2157"/>
      <c r="D20" s="2156"/>
      <c r="E20" s="2156"/>
      <c r="F20" s="2157"/>
      <c r="G20" s="2163"/>
      <c r="H20" s="2156"/>
      <c r="I20" s="2157"/>
      <c r="J20" s="4164"/>
      <c r="K20" s="4142"/>
      <c r="L20" s="4139"/>
      <c r="M20" s="4139"/>
      <c r="N20" s="4139"/>
      <c r="O20" s="4157"/>
      <c r="P20" s="4142"/>
      <c r="Q20" s="4146"/>
      <c r="R20" s="4159"/>
      <c r="S20" s="4142"/>
      <c r="T20" s="4204"/>
      <c r="U20" s="2164" t="s">
        <v>1919</v>
      </c>
      <c r="V20" s="1160">
        <v>7000000</v>
      </c>
      <c r="W20" s="2161">
        <v>61</v>
      </c>
      <c r="X20" s="4139"/>
      <c r="Y20" s="4139"/>
      <c r="Z20" s="4139"/>
      <c r="AA20" s="4305"/>
      <c r="AB20" s="4199"/>
      <c r="AC20" s="4311"/>
      <c r="AD20" s="4199"/>
      <c r="AE20" s="4199"/>
      <c r="AF20" s="4199"/>
      <c r="AG20" s="4199"/>
      <c r="AH20" s="4199"/>
      <c r="AI20" s="4199"/>
      <c r="AJ20" s="4311"/>
      <c r="AK20" s="4199"/>
      <c r="AL20" s="4199"/>
      <c r="AM20" s="4311"/>
      <c r="AN20" s="4311"/>
      <c r="AO20" s="4150"/>
      <c r="AP20" s="4150"/>
      <c r="AQ20" s="4137"/>
    </row>
    <row r="21" spans="1:43" s="2162" customFormat="1" ht="68.25" customHeight="1" x14ac:dyDescent="0.2">
      <c r="A21" s="2155"/>
      <c r="B21" s="2156"/>
      <c r="C21" s="2157"/>
      <c r="D21" s="2156"/>
      <c r="E21" s="2156"/>
      <c r="F21" s="2157"/>
      <c r="G21" s="2163"/>
      <c r="H21" s="2156"/>
      <c r="I21" s="2157"/>
      <c r="J21" s="4165"/>
      <c r="K21" s="4143"/>
      <c r="L21" s="4140"/>
      <c r="M21" s="4140"/>
      <c r="N21" s="4139"/>
      <c r="O21" s="4157"/>
      <c r="P21" s="4142"/>
      <c r="Q21" s="4147"/>
      <c r="R21" s="4159"/>
      <c r="S21" s="4142"/>
      <c r="T21" s="4197"/>
      <c r="U21" s="2164" t="s">
        <v>1920</v>
      </c>
      <c r="V21" s="1160">
        <v>4000000</v>
      </c>
      <c r="W21" s="2161">
        <v>61</v>
      </c>
      <c r="X21" s="4139"/>
      <c r="Y21" s="4139"/>
      <c r="Z21" s="4139"/>
      <c r="AA21" s="4305"/>
      <c r="AB21" s="4199"/>
      <c r="AC21" s="4311"/>
      <c r="AD21" s="4199"/>
      <c r="AE21" s="4199"/>
      <c r="AF21" s="4199"/>
      <c r="AG21" s="4199"/>
      <c r="AH21" s="4199"/>
      <c r="AI21" s="4199"/>
      <c r="AJ21" s="4311"/>
      <c r="AK21" s="4199"/>
      <c r="AL21" s="4199"/>
      <c r="AM21" s="4311"/>
      <c r="AN21" s="4311"/>
      <c r="AO21" s="4150"/>
      <c r="AP21" s="4150"/>
      <c r="AQ21" s="4137"/>
    </row>
    <row r="22" spans="1:43" s="2162" customFormat="1" ht="48.75" customHeight="1" x14ac:dyDescent="0.2">
      <c r="A22" s="2155"/>
      <c r="B22" s="2156"/>
      <c r="C22" s="2157"/>
      <c r="D22" s="2156"/>
      <c r="E22" s="2156"/>
      <c r="F22" s="2157"/>
      <c r="G22" s="2163"/>
      <c r="H22" s="2156"/>
      <c r="I22" s="2157"/>
      <c r="J22" s="4163">
        <v>128</v>
      </c>
      <c r="K22" s="4141" t="s">
        <v>1921</v>
      </c>
      <c r="L22" s="4138" t="s">
        <v>1905</v>
      </c>
      <c r="M22" s="4138">
        <v>1</v>
      </c>
      <c r="N22" s="4139"/>
      <c r="O22" s="4157"/>
      <c r="P22" s="4142"/>
      <c r="Q22" s="4166">
        <f>+SUM(V22:V31)/R12</f>
        <v>0.20918367346938777</v>
      </c>
      <c r="R22" s="4159"/>
      <c r="S22" s="4142"/>
      <c r="T22" s="4141" t="s">
        <v>1922</v>
      </c>
      <c r="U22" s="4226" t="s">
        <v>1923</v>
      </c>
      <c r="V22" s="1160">
        <v>5600000</v>
      </c>
      <c r="W22" s="2161">
        <v>61</v>
      </c>
      <c r="X22" s="4139"/>
      <c r="Y22" s="4139"/>
      <c r="Z22" s="4139"/>
      <c r="AA22" s="4305"/>
      <c r="AB22" s="4199"/>
      <c r="AC22" s="4311"/>
      <c r="AD22" s="4199"/>
      <c r="AE22" s="4199"/>
      <c r="AF22" s="4199"/>
      <c r="AG22" s="4199"/>
      <c r="AH22" s="4199"/>
      <c r="AI22" s="4199"/>
      <c r="AJ22" s="4311"/>
      <c r="AK22" s="4199"/>
      <c r="AL22" s="4199"/>
      <c r="AM22" s="4311"/>
      <c r="AN22" s="4311"/>
      <c r="AO22" s="4150"/>
      <c r="AP22" s="4150"/>
      <c r="AQ22" s="4137"/>
    </row>
    <row r="23" spans="1:43" s="2162" customFormat="1" ht="26.25" customHeight="1" x14ac:dyDescent="0.2">
      <c r="A23" s="2155"/>
      <c r="B23" s="2156"/>
      <c r="C23" s="2157"/>
      <c r="D23" s="2156"/>
      <c r="E23" s="2156"/>
      <c r="F23" s="2157"/>
      <c r="G23" s="2163"/>
      <c r="H23" s="2156"/>
      <c r="I23" s="2157"/>
      <c r="J23" s="4164"/>
      <c r="K23" s="4142"/>
      <c r="L23" s="4139"/>
      <c r="M23" s="4139"/>
      <c r="N23" s="4139"/>
      <c r="O23" s="4157"/>
      <c r="P23" s="4142"/>
      <c r="Q23" s="4146"/>
      <c r="R23" s="4159"/>
      <c r="S23" s="4142"/>
      <c r="T23" s="4142"/>
      <c r="U23" s="4240"/>
      <c r="V23" s="1160">
        <v>2000000</v>
      </c>
      <c r="W23" s="2161">
        <v>98</v>
      </c>
      <c r="X23" s="4139"/>
      <c r="Y23" s="4139"/>
      <c r="Z23" s="4139"/>
      <c r="AA23" s="4305"/>
      <c r="AB23" s="4199"/>
      <c r="AC23" s="4311"/>
      <c r="AD23" s="4199"/>
      <c r="AE23" s="4199"/>
      <c r="AF23" s="4199"/>
      <c r="AG23" s="4199"/>
      <c r="AH23" s="4199"/>
      <c r="AI23" s="4199"/>
      <c r="AJ23" s="4311"/>
      <c r="AK23" s="4199"/>
      <c r="AL23" s="4199"/>
      <c r="AM23" s="4311"/>
      <c r="AN23" s="4311"/>
      <c r="AO23" s="4150"/>
      <c r="AP23" s="4150"/>
      <c r="AQ23" s="4137"/>
    </row>
    <row r="24" spans="1:43" s="2162" customFormat="1" ht="50.25" customHeight="1" x14ac:dyDescent="0.2">
      <c r="A24" s="2155"/>
      <c r="B24" s="2156"/>
      <c r="C24" s="2157"/>
      <c r="D24" s="2156"/>
      <c r="E24" s="2156"/>
      <c r="F24" s="2157"/>
      <c r="G24" s="2163"/>
      <c r="H24" s="2156"/>
      <c r="I24" s="2157"/>
      <c r="J24" s="4164"/>
      <c r="K24" s="4142"/>
      <c r="L24" s="4139"/>
      <c r="M24" s="4139"/>
      <c r="N24" s="4139"/>
      <c r="O24" s="4157"/>
      <c r="P24" s="4142"/>
      <c r="Q24" s="4146"/>
      <c r="R24" s="4159"/>
      <c r="S24" s="4142"/>
      <c r="T24" s="4142"/>
      <c r="U24" s="4226" t="s">
        <v>1924</v>
      </c>
      <c r="V24" s="1160">
        <v>5600000</v>
      </c>
      <c r="W24" s="2161">
        <v>61</v>
      </c>
      <c r="X24" s="4139"/>
      <c r="Y24" s="4139"/>
      <c r="Z24" s="4139"/>
      <c r="AA24" s="4305"/>
      <c r="AB24" s="4199"/>
      <c r="AC24" s="4311"/>
      <c r="AD24" s="4199"/>
      <c r="AE24" s="4199"/>
      <c r="AF24" s="4199"/>
      <c r="AG24" s="4199"/>
      <c r="AH24" s="4199"/>
      <c r="AI24" s="4199"/>
      <c r="AJ24" s="4311"/>
      <c r="AK24" s="4199"/>
      <c r="AL24" s="4199"/>
      <c r="AM24" s="4311"/>
      <c r="AN24" s="4311"/>
      <c r="AO24" s="4150"/>
      <c r="AP24" s="4150"/>
      <c r="AQ24" s="4137"/>
    </row>
    <row r="25" spans="1:43" s="2162" customFormat="1" ht="28.5" customHeight="1" x14ac:dyDescent="0.2">
      <c r="A25" s="2155"/>
      <c r="B25" s="2156"/>
      <c r="C25" s="2157"/>
      <c r="D25" s="2156"/>
      <c r="E25" s="2156"/>
      <c r="F25" s="2157"/>
      <c r="G25" s="2163"/>
      <c r="H25" s="2156"/>
      <c r="I25" s="2157"/>
      <c r="J25" s="4164"/>
      <c r="K25" s="4142"/>
      <c r="L25" s="4139"/>
      <c r="M25" s="4139"/>
      <c r="N25" s="4139"/>
      <c r="O25" s="4157"/>
      <c r="P25" s="4142"/>
      <c r="Q25" s="4146"/>
      <c r="R25" s="4159"/>
      <c r="S25" s="4142"/>
      <c r="T25" s="4142"/>
      <c r="U25" s="4240"/>
      <c r="V25" s="1160">
        <v>2000000</v>
      </c>
      <c r="W25" s="2161">
        <v>98</v>
      </c>
      <c r="X25" s="4139"/>
      <c r="Y25" s="4139"/>
      <c r="Z25" s="4139"/>
      <c r="AA25" s="4305"/>
      <c r="AB25" s="4199"/>
      <c r="AC25" s="4311"/>
      <c r="AD25" s="4199"/>
      <c r="AE25" s="4199"/>
      <c r="AF25" s="4199"/>
      <c r="AG25" s="4199"/>
      <c r="AH25" s="4199"/>
      <c r="AI25" s="4199"/>
      <c r="AJ25" s="4311"/>
      <c r="AK25" s="4199"/>
      <c r="AL25" s="4199"/>
      <c r="AM25" s="4311"/>
      <c r="AN25" s="4311"/>
      <c r="AO25" s="4150"/>
      <c r="AP25" s="4150"/>
      <c r="AQ25" s="4137"/>
    </row>
    <row r="26" spans="1:43" s="2162" customFormat="1" ht="27.75" customHeight="1" x14ac:dyDescent="0.2">
      <c r="A26" s="2155"/>
      <c r="B26" s="2156"/>
      <c r="C26" s="2157"/>
      <c r="D26" s="2156"/>
      <c r="E26" s="2156"/>
      <c r="F26" s="2157"/>
      <c r="G26" s="2163"/>
      <c r="H26" s="2156"/>
      <c r="I26" s="2157"/>
      <c r="J26" s="4164"/>
      <c r="K26" s="4142"/>
      <c r="L26" s="4139"/>
      <c r="M26" s="4139"/>
      <c r="N26" s="4139"/>
      <c r="O26" s="4157"/>
      <c r="P26" s="4142"/>
      <c r="Q26" s="4146"/>
      <c r="R26" s="4159"/>
      <c r="S26" s="4142"/>
      <c r="T26" s="4142"/>
      <c r="U26" s="4226" t="s">
        <v>1925</v>
      </c>
      <c r="V26" s="1160">
        <v>5600000</v>
      </c>
      <c r="W26" s="2161">
        <v>61</v>
      </c>
      <c r="X26" s="4139"/>
      <c r="Y26" s="4139"/>
      <c r="Z26" s="4139"/>
      <c r="AA26" s="4305"/>
      <c r="AB26" s="4199"/>
      <c r="AC26" s="4311"/>
      <c r="AD26" s="4199"/>
      <c r="AE26" s="4199"/>
      <c r="AF26" s="4199"/>
      <c r="AG26" s="4199"/>
      <c r="AH26" s="4199"/>
      <c r="AI26" s="4199"/>
      <c r="AJ26" s="4311"/>
      <c r="AK26" s="4199"/>
      <c r="AL26" s="4199"/>
      <c r="AM26" s="4311"/>
      <c r="AN26" s="4311"/>
      <c r="AO26" s="4150"/>
      <c r="AP26" s="4150"/>
      <c r="AQ26" s="4137"/>
    </row>
    <row r="27" spans="1:43" s="2162" customFormat="1" ht="28.5" customHeight="1" x14ac:dyDescent="0.2">
      <c r="A27" s="2155"/>
      <c r="B27" s="2156"/>
      <c r="C27" s="2157"/>
      <c r="D27" s="2156"/>
      <c r="E27" s="2156"/>
      <c r="F27" s="2157"/>
      <c r="G27" s="2163"/>
      <c r="H27" s="2156"/>
      <c r="I27" s="2157"/>
      <c r="J27" s="4164"/>
      <c r="K27" s="4142"/>
      <c r="L27" s="4139"/>
      <c r="M27" s="4139"/>
      <c r="N27" s="4139"/>
      <c r="O27" s="4157"/>
      <c r="P27" s="4142"/>
      <c r="Q27" s="4146"/>
      <c r="R27" s="4159"/>
      <c r="S27" s="4142"/>
      <c r="T27" s="4142"/>
      <c r="U27" s="4240"/>
      <c r="V27" s="1160">
        <v>3000000</v>
      </c>
      <c r="W27" s="2161">
        <v>98</v>
      </c>
      <c r="X27" s="4139"/>
      <c r="Y27" s="4139"/>
      <c r="Z27" s="4139"/>
      <c r="AA27" s="4305"/>
      <c r="AB27" s="4199"/>
      <c r="AC27" s="4311"/>
      <c r="AD27" s="4199"/>
      <c r="AE27" s="4199"/>
      <c r="AF27" s="4199"/>
      <c r="AG27" s="4199"/>
      <c r="AH27" s="4199"/>
      <c r="AI27" s="4199"/>
      <c r="AJ27" s="4311"/>
      <c r="AK27" s="4199"/>
      <c r="AL27" s="4199"/>
      <c r="AM27" s="4311"/>
      <c r="AN27" s="4311"/>
      <c r="AO27" s="4150"/>
      <c r="AP27" s="4150"/>
      <c r="AQ27" s="4137"/>
    </row>
    <row r="28" spans="1:43" s="2162" customFormat="1" ht="30.75" customHeight="1" x14ac:dyDescent="0.2">
      <c r="A28" s="2155"/>
      <c r="B28" s="2156"/>
      <c r="C28" s="2157"/>
      <c r="D28" s="2156"/>
      <c r="E28" s="2156"/>
      <c r="F28" s="2157"/>
      <c r="G28" s="2163"/>
      <c r="H28" s="2156"/>
      <c r="I28" s="2157"/>
      <c r="J28" s="4164"/>
      <c r="K28" s="4142"/>
      <c r="L28" s="4139"/>
      <c r="M28" s="4139"/>
      <c r="N28" s="4139"/>
      <c r="O28" s="4157"/>
      <c r="P28" s="4142"/>
      <c r="Q28" s="4146"/>
      <c r="R28" s="4159"/>
      <c r="S28" s="4142"/>
      <c r="T28" s="4142"/>
      <c r="U28" s="4226" t="s">
        <v>1926</v>
      </c>
      <c r="V28" s="1160">
        <v>5600000</v>
      </c>
      <c r="W28" s="2161">
        <v>61</v>
      </c>
      <c r="X28" s="4139"/>
      <c r="Y28" s="4139"/>
      <c r="Z28" s="4139"/>
      <c r="AA28" s="4305"/>
      <c r="AB28" s="4199"/>
      <c r="AC28" s="4311"/>
      <c r="AD28" s="4199"/>
      <c r="AE28" s="4199"/>
      <c r="AF28" s="4199"/>
      <c r="AG28" s="4199"/>
      <c r="AH28" s="4199"/>
      <c r="AI28" s="4199"/>
      <c r="AJ28" s="4311"/>
      <c r="AK28" s="4199"/>
      <c r="AL28" s="4199"/>
      <c r="AM28" s="4311"/>
      <c r="AN28" s="4311"/>
      <c r="AO28" s="4150"/>
      <c r="AP28" s="4150"/>
      <c r="AQ28" s="4137"/>
    </row>
    <row r="29" spans="1:43" s="2162" customFormat="1" ht="28.5" customHeight="1" x14ac:dyDescent="0.2">
      <c r="A29" s="2155"/>
      <c r="B29" s="2156"/>
      <c r="C29" s="2157"/>
      <c r="D29" s="2156"/>
      <c r="E29" s="2156"/>
      <c r="F29" s="2157"/>
      <c r="G29" s="2163"/>
      <c r="H29" s="2156"/>
      <c r="I29" s="2157"/>
      <c r="J29" s="4164"/>
      <c r="K29" s="4142"/>
      <c r="L29" s="4139"/>
      <c r="M29" s="4139"/>
      <c r="N29" s="4139"/>
      <c r="O29" s="4157"/>
      <c r="P29" s="4142"/>
      <c r="Q29" s="4146"/>
      <c r="R29" s="4159"/>
      <c r="S29" s="4142"/>
      <c r="T29" s="4142"/>
      <c r="U29" s="4240"/>
      <c r="V29" s="1160">
        <v>3000000</v>
      </c>
      <c r="W29" s="2161">
        <v>98</v>
      </c>
      <c r="X29" s="4139"/>
      <c r="Y29" s="4139"/>
      <c r="Z29" s="4139"/>
      <c r="AA29" s="4305"/>
      <c r="AB29" s="4199"/>
      <c r="AC29" s="4311"/>
      <c r="AD29" s="4199"/>
      <c r="AE29" s="4199"/>
      <c r="AF29" s="4199"/>
      <c r="AG29" s="4199"/>
      <c r="AH29" s="4199"/>
      <c r="AI29" s="4199"/>
      <c r="AJ29" s="4311"/>
      <c r="AK29" s="4199"/>
      <c r="AL29" s="4199"/>
      <c r="AM29" s="4311"/>
      <c r="AN29" s="4311"/>
      <c r="AO29" s="4150"/>
      <c r="AP29" s="4150"/>
      <c r="AQ29" s="4137"/>
    </row>
    <row r="30" spans="1:43" s="2162" customFormat="1" ht="28.5" customHeight="1" x14ac:dyDescent="0.2">
      <c r="A30" s="2155"/>
      <c r="B30" s="2156"/>
      <c r="C30" s="2157"/>
      <c r="D30" s="2156"/>
      <c r="E30" s="2156"/>
      <c r="F30" s="2157"/>
      <c r="G30" s="2163"/>
      <c r="H30" s="2156"/>
      <c r="I30" s="2157"/>
      <c r="J30" s="4164"/>
      <c r="K30" s="4142"/>
      <c r="L30" s="4139"/>
      <c r="M30" s="4139"/>
      <c r="N30" s="4139"/>
      <c r="O30" s="4157"/>
      <c r="P30" s="4142"/>
      <c r="Q30" s="4146"/>
      <c r="R30" s="4159"/>
      <c r="S30" s="4142"/>
      <c r="T30" s="4142"/>
      <c r="U30" s="4226" t="s">
        <v>1927</v>
      </c>
      <c r="V30" s="1160">
        <v>5600000</v>
      </c>
      <c r="W30" s="2161">
        <v>61</v>
      </c>
      <c r="X30" s="4139"/>
      <c r="Y30" s="4139"/>
      <c r="Z30" s="4139"/>
      <c r="AA30" s="4305"/>
      <c r="AB30" s="4199"/>
      <c r="AC30" s="4311"/>
      <c r="AD30" s="4199"/>
      <c r="AE30" s="4199"/>
      <c r="AF30" s="4199"/>
      <c r="AG30" s="4199"/>
      <c r="AH30" s="4199"/>
      <c r="AI30" s="4199"/>
      <c r="AJ30" s="4311"/>
      <c r="AK30" s="4199"/>
      <c r="AL30" s="4199"/>
      <c r="AM30" s="4311"/>
      <c r="AN30" s="4311"/>
      <c r="AO30" s="4150"/>
      <c r="AP30" s="4150"/>
      <c r="AQ30" s="4137"/>
    </row>
    <row r="31" spans="1:43" s="2162" customFormat="1" ht="30.75" customHeight="1" x14ac:dyDescent="0.2">
      <c r="A31" s="2155"/>
      <c r="B31" s="2156"/>
      <c r="C31" s="2157"/>
      <c r="D31" s="2156"/>
      <c r="E31" s="2156"/>
      <c r="F31" s="2157"/>
      <c r="G31" s="2163"/>
      <c r="H31" s="2156"/>
      <c r="I31" s="2157"/>
      <c r="J31" s="4165"/>
      <c r="K31" s="4142"/>
      <c r="L31" s="4139"/>
      <c r="M31" s="4139"/>
      <c r="N31" s="4139"/>
      <c r="O31" s="4157"/>
      <c r="P31" s="4142"/>
      <c r="Q31" s="4146"/>
      <c r="R31" s="4159"/>
      <c r="S31" s="4142"/>
      <c r="T31" s="4142"/>
      <c r="U31" s="4240"/>
      <c r="V31" s="1160">
        <v>3000000</v>
      </c>
      <c r="W31" s="2161">
        <v>98</v>
      </c>
      <c r="X31" s="4139"/>
      <c r="Y31" s="4139"/>
      <c r="Z31" s="4139"/>
      <c r="AA31" s="4305"/>
      <c r="AB31" s="4199"/>
      <c r="AC31" s="4311"/>
      <c r="AD31" s="4199"/>
      <c r="AE31" s="4199"/>
      <c r="AF31" s="4199"/>
      <c r="AG31" s="4199"/>
      <c r="AH31" s="4199"/>
      <c r="AI31" s="4199"/>
      <c r="AJ31" s="4311"/>
      <c r="AK31" s="4199"/>
      <c r="AL31" s="4199"/>
      <c r="AM31" s="4311"/>
      <c r="AN31" s="4311"/>
      <c r="AO31" s="4150"/>
      <c r="AP31" s="4150"/>
      <c r="AQ31" s="4137"/>
    </row>
    <row r="32" spans="1:43" s="2162" customFormat="1" ht="42" customHeight="1" x14ac:dyDescent="0.2">
      <c r="A32" s="2155"/>
      <c r="B32" s="2156"/>
      <c r="C32" s="2157"/>
      <c r="D32" s="2156"/>
      <c r="E32" s="2156"/>
      <c r="F32" s="2157"/>
      <c r="G32" s="2163"/>
      <c r="H32" s="2156"/>
      <c r="I32" s="2157"/>
      <c r="J32" s="4163">
        <v>129</v>
      </c>
      <c r="K32" s="4141" t="s">
        <v>1928</v>
      </c>
      <c r="L32" s="4138" t="s">
        <v>1905</v>
      </c>
      <c r="M32" s="4138">
        <v>6</v>
      </c>
      <c r="N32" s="4139"/>
      <c r="O32" s="4157"/>
      <c r="P32" s="4142"/>
      <c r="Q32" s="4166">
        <f>SUM(V32:V45)/R12</f>
        <v>0.46938775510204084</v>
      </c>
      <c r="R32" s="4159"/>
      <c r="S32" s="4142"/>
      <c r="T32" s="4141" t="s">
        <v>1929</v>
      </c>
      <c r="U32" s="4226" t="s">
        <v>1930</v>
      </c>
      <c r="V32" s="1160">
        <v>6000000</v>
      </c>
      <c r="W32" s="2161">
        <v>61</v>
      </c>
      <c r="X32" s="4139"/>
      <c r="Y32" s="4139"/>
      <c r="Z32" s="4139"/>
      <c r="AA32" s="4305"/>
      <c r="AB32" s="4199"/>
      <c r="AC32" s="4311"/>
      <c r="AD32" s="4199"/>
      <c r="AE32" s="4199"/>
      <c r="AF32" s="4199"/>
      <c r="AG32" s="4199"/>
      <c r="AH32" s="4199"/>
      <c r="AI32" s="4199"/>
      <c r="AJ32" s="4311"/>
      <c r="AK32" s="4199"/>
      <c r="AL32" s="4199"/>
      <c r="AM32" s="4311"/>
      <c r="AN32" s="4311"/>
      <c r="AO32" s="4150"/>
      <c r="AP32" s="4150"/>
      <c r="AQ32" s="4137"/>
    </row>
    <row r="33" spans="1:43" s="2162" customFormat="1" ht="28.5" customHeight="1" x14ac:dyDescent="0.2">
      <c r="A33" s="2155"/>
      <c r="B33" s="2156"/>
      <c r="C33" s="2157"/>
      <c r="D33" s="2156"/>
      <c r="E33" s="2156"/>
      <c r="F33" s="2157"/>
      <c r="G33" s="2163"/>
      <c r="H33" s="2156"/>
      <c r="I33" s="2157"/>
      <c r="J33" s="4164"/>
      <c r="K33" s="4142"/>
      <c r="L33" s="4139"/>
      <c r="M33" s="4139"/>
      <c r="N33" s="4139"/>
      <c r="O33" s="4157"/>
      <c r="P33" s="4142"/>
      <c r="Q33" s="4146"/>
      <c r="R33" s="4159"/>
      <c r="S33" s="4142"/>
      <c r="T33" s="4142"/>
      <c r="U33" s="4240"/>
      <c r="V33" s="1160">
        <v>3000000</v>
      </c>
      <c r="W33" s="2161">
        <v>98</v>
      </c>
      <c r="X33" s="4139"/>
      <c r="Y33" s="4139"/>
      <c r="Z33" s="4139"/>
      <c r="AA33" s="4305"/>
      <c r="AB33" s="4199"/>
      <c r="AC33" s="4311"/>
      <c r="AD33" s="4199"/>
      <c r="AE33" s="4199"/>
      <c r="AF33" s="4199"/>
      <c r="AG33" s="4199"/>
      <c r="AH33" s="4199"/>
      <c r="AI33" s="4199"/>
      <c r="AJ33" s="4311"/>
      <c r="AK33" s="4199"/>
      <c r="AL33" s="4199"/>
      <c r="AM33" s="4311"/>
      <c r="AN33" s="4311"/>
      <c r="AO33" s="4150"/>
      <c r="AP33" s="4150"/>
      <c r="AQ33" s="4137"/>
    </row>
    <row r="34" spans="1:43" s="2162" customFormat="1" ht="33" customHeight="1" x14ac:dyDescent="0.2">
      <c r="A34" s="2155"/>
      <c r="B34" s="2156"/>
      <c r="C34" s="2157"/>
      <c r="D34" s="2156"/>
      <c r="E34" s="2156"/>
      <c r="F34" s="2157"/>
      <c r="G34" s="2163"/>
      <c r="H34" s="2156"/>
      <c r="I34" s="2157"/>
      <c r="J34" s="4164"/>
      <c r="K34" s="4142"/>
      <c r="L34" s="4139"/>
      <c r="M34" s="4139"/>
      <c r="N34" s="4139"/>
      <c r="O34" s="4157"/>
      <c r="P34" s="4142"/>
      <c r="Q34" s="4146"/>
      <c r="R34" s="4159"/>
      <c r="S34" s="4142"/>
      <c r="T34" s="4142"/>
      <c r="U34" s="4226" t="s">
        <v>1931</v>
      </c>
      <c r="V34" s="1160">
        <v>6000000</v>
      </c>
      <c r="W34" s="2161">
        <v>61</v>
      </c>
      <c r="X34" s="4139"/>
      <c r="Y34" s="4139"/>
      <c r="Z34" s="4139"/>
      <c r="AA34" s="4305"/>
      <c r="AB34" s="4199"/>
      <c r="AC34" s="4311"/>
      <c r="AD34" s="4199"/>
      <c r="AE34" s="4199"/>
      <c r="AF34" s="4199"/>
      <c r="AG34" s="4199"/>
      <c r="AH34" s="4199"/>
      <c r="AI34" s="4199"/>
      <c r="AJ34" s="4311"/>
      <c r="AK34" s="4199"/>
      <c r="AL34" s="4199"/>
      <c r="AM34" s="4311"/>
      <c r="AN34" s="4311"/>
      <c r="AO34" s="4150"/>
      <c r="AP34" s="4150"/>
      <c r="AQ34" s="4137"/>
    </row>
    <row r="35" spans="1:43" s="2162" customFormat="1" ht="22.5" customHeight="1" x14ac:dyDescent="0.2">
      <c r="A35" s="2155"/>
      <c r="B35" s="2156"/>
      <c r="C35" s="2157"/>
      <c r="D35" s="2156"/>
      <c r="E35" s="2156"/>
      <c r="F35" s="2157"/>
      <c r="G35" s="2163"/>
      <c r="H35" s="2156"/>
      <c r="I35" s="2157"/>
      <c r="J35" s="4164"/>
      <c r="K35" s="4142"/>
      <c r="L35" s="4139"/>
      <c r="M35" s="4139"/>
      <c r="N35" s="4139"/>
      <c r="O35" s="4157"/>
      <c r="P35" s="4142"/>
      <c r="Q35" s="4146"/>
      <c r="R35" s="4159"/>
      <c r="S35" s="4142"/>
      <c r="T35" s="4142"/>
      <c r="U35" s="4240"/>
      <c r="V35" s="1160">
        <v>3000000</v>
      </c>
      <c r="W35" s="2161">
        <v>98</v>
      </c>
      <c r="X35" s="4139"/>
      <c r="Y35" s="4139"/>
      <c r="Z35" s="4139"/>
      <c r="AA35" s="4305"/>
      <c r="AB35" s="4199"/>
      <c r="AC35" s="4311"/>
      <c r="AD35" s="4199"/>
      <c r="AE35" s="4199"/>
      <c r="AF35" s="4199"/>
      <c r="AG35" s="4199"/>
      <c r="AH35" s="4199"/>
      <c r="AI35" s="4199"/>
      <c r="AJ35" s="4311"/>
      <c r="AK35" s="4199"/>
      <c r="AL35" s="4199"/>
      <c r="AM35" s="4311"/>
      <c r="AN35" s="4311"/>
      <c r="AO35" s="4150"/>
      <c r="AP35" s="4150"/>
      <c r="AQ35" s="4137"/>
    </row>
    <row r="36" spans="1:43" s="2162" customFormat="1" ht="28.5" customHeight="1" x14ac:dyDescent="0.2">
      <c r="A36" s="2155"/>
      <c r="B36" s="2156"/>
      <c r="C36" s="2157"/>
      <c r="D36" s="2156"/>
      <c r="E36" s="2156"/>
      <c r="F36" s="2157"/>
      <c r="G36" s="2163"/>
      <c r="H36" s="2156"/>
      <c r="I36" s="2157"/>
      <c r="J36" s="4164"/>
      <c r="K36" s="4142"/>
      <c r="L36" s="4139"/>
      <c r="M36" s="4139"/>
      <c r="N36" s="4139"/>
      <c r="O36" s="4157"/>
      <c r="P36" s="4142"/>
      <c r="Q36" s="4146"/>
      <c r="R36" s="4159"/>
      <c r="S36" s="4142"/>
      <c r="T36" s="4142"/>
      <c r="U36" s="4226" t="s">
        <v>1932</v>
      </c>
      <c r="V36" s="1160">
        <v>6000000</v>
      </c>
      <c r="W36" s="2161">
        <v>61</v>
      </c>
      <c r="X36" s="4139"/>
      <c r="Y36" s="4139"/>
      <c r="Z36" s="4139"/>
      <c r="AA36" s="4305"/>
      <c r="AB36" s="4199"/>
      <c r="AC36" s="4311"/>
      <c r="AD36" s="4199"/>
      <c r="AE36" s="4199"/>
      <c r="AF36" s="4199"/>
      <c r="AG36" s="4199"/>
      <c r="AH36" s="4199"/>
      <c r="AI36" s="4199"/>
      <c r="AJ36" s="4311"/>
      <c r="AK36" s="4199"/>
      <c r="AL36" s="4199"/>
      <c r="AM36" s="4311"/>
      <c r="AN36" s="4311"/>
      <c r="AO36" s="4150"/>
      <c r="AP36" s="4150"/>
      <c r="AQ36" s="4137"/>
    </row>
    <row r="37" spans="1:43" s="2162" customFormat="1" ht="38.25" customHeight="1" x14ac:dyDescent="0.2">
      <c r="A37" s="2155"/>
      <c r="B37" s="2156"/>
      <c r="C37" s="2157"/>
      <c r="D37" s="2156"/>
      <c r="E37" s="2156"/>
      <c r="F37" s="2157"/>
      <c r="G37" s="2163"/>
      <c r="H37" s="2156"/>
      <c r="I37" s="2157"/>
      <c r="J37" s="4164"/>
      <c r="K37" s="4142"/>
      <c r="L37" s="4139"/>
      <c r="M37" s="4139"/>
      <c r="N37" s="4139"/>
      <c r="O37" s="4157"/>
      <c r="P37" s="4142"/>
      <c r="Q37" s="4146"/>
      <c r="R37" s="4159"/>
      <c r="S37" s="4142"/>
      <c r="T37" s="4142"/>
      <c r="U37" s="4240"/>
      <c r="V37" s="1160">
        <v>3000000</v>
      </c>
      <c r="W37" s="2161">
        <v>98</v>
      </c>
      <c r="X37" s="4139"/>
      <c r="Y37" s="4139"/>
      <c r="Z37" s="4139"/>
      <c r="AA37" s="4305"/>
      <c r="AB37" s="4199"/>
      <c r="AC37" s="4311"/>
      <c r="AD37" s="4199"/>
      <c r="AE37" s="4199"/>
      <c r="AF37" s="4199"/>
      <c r="AG37" s="4199"/>
      <c r="AH37" s="4199"/>
      <c r="AI37" s="4199"/>
      <c r="AJ37" s="4311"/>
      <c r="AK37" s="4199"/>
      <c r="AL37" s="4199"/>
      <c r="AM37" s="4311"/>
      <c r="AN37" s="4311"/>
      <c r="AO37" s="4150"/>
      <c r="AP37" s="4150"/>
      <c r="AQ37" s="4137"/>
    </row>
    <row r="38" spans="1:43" s="2162" customFormat="1" ht="39" customHeight="1" x14ac:dyDescent="0.2">
      <c r="A38" s="2155"/>
      <c r="B38" s="2156"/>
      <c r="C38" s="2157"/>
      <c r="D38" s="2156"/>
      <c r="E38" s="2156"/>
      <c r="F38" s="2157"/>
      <c r="G38" s="2163"/>
      <c r="H38" s="2156"/>
      <c r="I38" s="2157"/>
      <c r="J38" s="4164"/>
      <c r="K38" s="4142"/>
      <c r="L38" s="4139"/>
      <c r="M38" s="4139"/>
      <c r="N38" s="4139"/>
      <c r="O38" s="4157"/>
      <c r="P38" s="4142"/>
      <c r="Q38" s="4146"/>
      <c r="R38" s="4159"/>
      <c r="S38" s="4142"/>
      <c r="T38" s="4142"/>
      <c r="U38" s="4226" t="s">
        <v>1933</v>
      </c>
      <c r="V38" s="1160">
        <v>28000000</v>
      </c>
      <c r="W38" s="2161">
        <v>61</v>
      </c>
      <c r="X38" s="4139"/>
      <c r="Y38" s="4139"/>
      <c r="Z38" s="4139"/>
      <c r="AA38" s="4305"/>
      <c r="AB38" s="4199"/>
      <c r="AC38" s="4311"/>
      <c r="AD38" s="4199"/>
      <c r="AE38" s="4199"/>
      <c r="AF38" s="4199"/>
      <c r="AG38" s="4199"/>
      <c r="AH38" s="4199"/>
      <c r="AI38" s="4199"/>
      <c r="AJ38" s="4311"/>
      <c r="AK38" s="4199"/>
      <c r="AL38" s="4199"/>
      <c r="AM38" s="4311"/>
      <c r="AN38" s="4311"/>
      <c r="AO38" s="4150"/>
      <c r="AP38" s="4150"/>
      <c r="AQ38" s="4137"/>
    </row>
    <row r="39" spans="1:43" s="2162" customFormat="1" ht="36" customHeight="1" x14ac:dyDescent="0.2">
      <c r="A39" s="2155"/>
      <c r="B39" s="2156"/>
      <c r="C39" s="2157"/>
      <c r="D39" s="2156"/>
      <c r="E39" s="2156"/>
      <c r="F39" s="2157"/>
      <c r="G39" s="2163"/>
      <c r="H39" s="2156"/>
      <c r="I39" s="2157"/>
      <c r="J39" s="4164"/>
      <c r="K39" s="4142"/>
      <c r="L39" s="4139"/>
      <c r="M39" s="4139"/>
      <c r="N39" s="4139"/>
      <c r="O39" s="4157"/>
      <c r="P39" s="4142"/>
      <c r="Q39" s="4146"/>
      <c r="R39" s="4159"/>
      <c r="S39" s="4142"/>
      <c r="T39" s="4142"/>
      <c r="U39" s="4240"/>
      <c r="V39" s="1160">
        <v>3000000</v>
      </c>
      <c r="W39" s="2161">
        <v>98</v>
      </c>
      <c r="X39" s="4139"/>
      <c r="Y39" s="4139"/>
      <c r="Z39" s="4139"/>
      <c r="AA39" s="4305"/>
      <c r="AB39" s="4199"/>
      <c r="AC39" s="4311"/>
      <c r="AD39" s="4199"/>
      <c r="AE39" s="4199"/>
      <c r="AF39" s="4199"/>
      <c r="AG39" s="4199"/>
      <c r="AH39" s="4199"/>
      <c r="AI39" s="4199"/>
      <c r="AJ39" s="4311"/>
      <c r="AK39" s="4199"/>
      <c r="AL39" s="4199"/>
      <c r="AM39" s="4311"/>
      <c r="AN39" s="4311"/>
      <c r="AO39" s="4150"/>
      <c r="AP39" s="4150"/>
      <c r="AQ39" s="4137"/>
    </row>
    <row r="40" spans="1:43" s="2162" customFormat="1" ht="36" customHeight="1" x14ac:dyDescent="0.2">
      <c r="A40" s="2155"/>
      <c r="B40" s="2156"/>
      <c r="C40" s="2157"/>
      <c r="D40" s="2156"/>
      <c r="E40" s="2156"/>
      <c r="F40" s="2157"/>
      <c r="G40" s="2163"/>
      <c r="H40" s="2156"/>
      <c r="I40" s="2157"/>
      <c r="J40" s="4164"/>
      <c r="K40" s="4142"/>
      <c r="L40" s="4139"/>
      <c r="M40" s="4139"/>
      <c r="N40" s="4139"/>
      <c r="O40" s="4157"/>
      <c r="P40" s="4142"/>
      <c r="Q40" s="4146"/>
      <c r="R40" s="4159"/>
      <c r="S40" s="4142"/>
      <c r="T40" s="4142"/>
      <c r="U40" s="4226" t="s">
        <v>1934</v>
      </c>
      <c r="V40" s="1160">
        <v>6000000</v>
      </c>
      <c r="W40" s="2161">
        <v>61</v>
      </c>
      <c r="X40" s="4139"/>
      <c r="Y40" s="4139"/>
      <c r="Z40" s="4139"/>
      <c r="AA40" s="4305"/>
      <c r="AB40" s="4199"/>
      <c r="AC40" s="4311"/>
      <c r="AD40" s="4199"/>
      <c r="AE40" s="4199"/>
      <c r="AF40" s="4199"/>
      <c r="AG40" s="4199"/>
      <c r="AH40" s="4199"/>
      <c r="AI40" s="4199"/>
      <c r="AJ40" s="4311"/>
      <c r="AK40" s="4199"/>
      <c r="AL40" s="4199"/>
      <c r="AM40" s="4311"/>
      <c r="AN40" s="4311"/>
      <c r="AO40" s="4150"/>
      <c r="AP40" s="4150"/>
      <c r="AQ40" s="4137"/>
    </row>
    <row r="41" spans="1:43" s="2162" customFormat="1" ht="24" customHeight="1" x14ac:dyDescent="0.2">
      <c r="A41" s="2155"/>
      <c r="B41" s="2156"/>
      <c r="C41" s="2157"/>
      <c r="D41" s="2156"/>
      <c r="E41" s="2156"/>
      <c r="F41" s="2157"/>
      <c r="G41" s="2163"/>
      <c r="H41" s="2156"/>
      <c r="I41" s="2157"/>
      <c r="J41" s="4164"/>
      <c r="K41" s="4142"/>
      <c r="L41" s="4139"/>
      <c r="M41" s="4139"/>
      <c r="N41" s="4139"/>
      <c r="O41" s="4157"/>
      <c r="P41" s="4142"/>
      <c r="Q41" s="4146"/>
      <c r="R41" s="4159"/>
      <c r="S41" s="4142"/>
      <c r="T41" s="4142"/>
      <c r="U41" s="4240"/>
      <c r="V41" s="1160">
        <v>3500000</v>
      </c>
      <c r="W41" s="2161">
        <v>98</v>
      </c>
      <c r="X41" s="4139"/>
      <c r="Y41" s="4139"/>
      <c r="Z41" s="4139"/>
      <c r="AA41" s="4305"/>
      <c r="AB41" s="4199"/>
      <c r="AC41" s="4311"/>
      <c r="AD41" s="4199"/>
      <c r="AE41" s="4199"/>
      <c r="AF41" s="4199"/>
      <c r="AG41" s="4199"/>
      <c r="AH41" s="4199"/>
      <c r="AI41" s="4199"/>
      <c r="AJ41" s="4311"/>
      <c r="AK41" s="4199"/>
      <c r="AL41" s="4199"/>
      <c r="AM41" s="4311"/>
      <c r="AN41" s="4311"/>
      <c r="AO41" s="4150"/>
      <c r="AP41" s="4150"/>
      <c r="AQ41" s="4137"/>
    </row>
    <row r="42" spans="1:43" s="2162" customFormat="1" ht="33" customHeight="1" x14ac:dyDescent="0.2">
      <c r="A42" s="2155"/>
      <c r="B42" s="2156"/>
      <c r="C42" s="2157"/>
      <c r="D42" s="2156"/>
      <c r="E42" s="2156"/>
      <c r="F42" s="2157"/>
      <c r="G42" s="2163"/>
      <c r="H42" s="2156"/>
      <c r="I42" s="2157"/>
      <c r="J42" s="4164"/>
      <c r="K42" s="4142"/>
      <c r="L42" s="4139"/>
      <c r="M42" s="4139"/>
      <c r="N42" s="4139"/>
      <c r="O42" s="4157"/>
      <c r="P42" s="4142"/>
      <c r="Q42" s="4146"/>
      <c r="R42" s="4159"/>
      <c r="S42" s="4142"/>
      <c r="T42" s="4142"/>
      <c r="U42" s="4226" t="s">
        <v>1935</v>
      </c>
      <c r="V42" s="1160">
        <v>6000000</v>
      </c>
      <c r="W42" s="2161">
        <v>61</v>
      </c>
      <c r="X42" s="4139"/>
      <c r="Y42" s="4139"/>
      <c r="Z42" s="4139"/>
      <c r="AA42" s="4305"/>
      <c r="AB42" s="4199"/>
      <c r="AC42" s="4311"/>
      <c r="AD42" s="4199"/>
      <c r="AE42" s="4199"/>
      <c r="AF42" s="4199"/>
      <c r="AG42" s="4199"/>
      <c r="AH42" s="4199"/>
      <c r="AI42" s="4199"/>
      <c r="AJ42" s="4311"/>
      <c r="AK42" s="4199"/>
      <c r="AL42" s="4199"/>
      <c r="AM42" s="4311"/>
      <c r="AN42" s="4311"/>
      <c r="AO42" s="4150"/>
      <c r="AP42" s="4150"/>
      <c r="AQ42" s="4137"/>
    </row>
    <row r="43" spans="1:43" s="2162" customFormat="1" ht="33" customHeight="1" x14ac:dyDescent="0.2">
      <c r="A43" s="2155"/>
      <c r="B43" s="2156"/>
      <c r="C43" s="2157"/>
      <c r="D43" s="2156"/>
      <c r="E43" s="2156"/>
      <c r="F43" s="2157"/>
      <c r="G43" s="2163"/>
      <c r="H43" s="2156"/>
      <c r="I43" s="2157"/>
      <c r="J43" s="4164"/>
      <c r="K43" s="4142"/>
      <c r="L43" s="4139"/>
      <c r="M43" s="4139"/>
      <c r="N43" s="4139"/>
      <c r="O43" s="4157"/>
      <c r="P43" s="4142"/>
      <c r="Q43" s="4146"/>
      <c r="R43" s="4159"/>
      <c r="S43" s="4142"/>
      <c r="T43" s="4142"/>
      <c r="U43" s="4240"/>
      <c r="V43" s="1160">
        <v>3500000</v>
      </c>
      <c r="W43" s="2161">
        <v>98</v>
      </c>
      <c r="X43" s="4139"/>
      <c r="Y43" s="4139"/>
      <c r="Z43" s="4139"/>
      <c r="AA43" s="4305"/>
      <c r="AB43" s="4199"/>
      <c r="AC43" s="4311"/>
      <c r="AD43" s="4199"/>
      <c r="AE43" s="4199"/>
      <c r="AF43" s="4199"/>
      <c r="AG43" s="4199"/>
      <c r="AH43" s="4199"/>
      <c r="AI43" s="4199"/>
      <c r="AJ43" s="4311"/>
      <c r="AK43" s="4199"/>
      <c r="AL43" s="4199"/>
      <c r="AM43" s="4311"/>
      <c r="AN43" s="4311"/>
      <c r="AO43" s="4150"/>
      <c r="AP43" s="4150"/>
      <c r="AQ43" s="4137"/>
    </row>
    <row r="44" spans="1:43" s="2162" customFormat="1" ht="33" customHeight="1" x14ac:dyDescent="0.2">
      <c r="A44" s="2155"/>
      <c r="B44" s="2156"/>
      <c r="C44" s="2157"/>
      <c r="D44" s="2156"/>
      <c r="E44" s="2156"/>
      <c r="F44" s="2157"/>
      <c r="G44" s="2163"/>
      <c r="H44" s="2156"/>
      <c r="I44" s="2157"/>
      <c r="J44" s="4164"/>
      <c r="K44" s="4142"/>
      <c r="L44" s="4139"/>
      <c r="M44" s="4139"/>
      <c r="N44" s="4139"/>
      <c r="O44" s="4157"/>
      <c r="P44" s="4142"/>
      <c r="Q44" s="4146"/>
      <c r="R44" s="4159"/>
      <c r="S44" s="4142"/>
      <c r="T44" s="4142"/>
      <c r="U44" s="4226" t="s">
        <v>1936</v>
      </c>
      <c r="V44" s="1160">
        <v>12000000</v>
      </c>
      <c r="W44" s="2161">
        <v>61</v>
      </c>
      <c r="X44" s="4139"/>
      <c r="Y44" s="4139"/>
      <c r="Z44" s="4139"/>
      <c r="AA44" s="4305"/>
      <c r="AB44" s="4199"/>
      <c r="AC44" s="4311"/>
      <c r="AD44" s="4199"/>
      <c r="AE44" s="4199"/>
      <c r="AF44" s="4199"/>
      <c r="AG44" s="4199"/>
      <c r="AH44" s="4199"/>
      <c r="AI44" s="4199"/>
      <c r="AJ44" s="4311"/>
      <c r="AK44" s="4199"/>
      <c r="AL44" s="4199"/>
      <c r="AM44" s="4311"/>
      <c r="AN44" s="4311"/>
      <c r="AO44" s="4150"/>
      <c r="AP44" s="4150"/>
      <c r="AQ44" s="4137"/>
    </row>
    <row r="45" spans="1:43" s="2162" customFormat="1" ht="28.5" customHeight="1" x14ac:dyDescent="0.2">
      <c r="A45" s="2155"/>
      <c r="B45" s="2156"/>
      <c r="C45" s="2157"/>
      <c r="D45" s="2165"/>
      <c r="E45" s="2165"/>
      <c r="F45" s="2166"/>
      <c r="G45" s="2167"/>
      <c r="H45" s="2165"/>
      <c r="I45" s="2166"/>
      <c r="J45" s="4165"/>
      <c r="K45" s="4143"/>
      <c r="L45" s="4140"/>
      <c r="M45" s="4140"/>
      <c r="N45" s="4140"/>
      <c r="O45" s="4190"/>
      <c r="P45" s="4143"/>
      <c r="Q45" s="4147"/>
      <c r="R45" s="4176"/>
      <c r="S45" s="4143"/>
      <c r="T45" s="4143"/>
      <c r="U45" s="4240"/>
      <c r="V45" s="1160">
        <v>3000000</v>
      </c>
      <c r="W45" s="2161">
        <v>98</v>
      </c>
      <c r="X45" s="4140"/>
      <c r="Y45" s="4140"/>
      <c r="Z45" s="4140"/>
      <c r="AA45" s="4306"/>
      <c r="AB45" s="4200"/>
      <c r="AC45" s="4312"/>
      <c r="AD45" s="4200"/>
      <c r="AE45" s="4200"/>
      <c r="AF45" s="4200"/>
      <c r="AG45" s="4200"/>
      <c r="AH45" s="4200"/>
      <c r="AI45" s="4200"/>
      <c r="AJ45" s="4312"/>
      <c r="AK45" s="4200"/>
      <c r="AL45" s="4200"/>
      <c r="AM45" s="4312"/>
      <c r="AN45" s="4312"/>
      <c r="AO45" s="4175"/>
      <c r="AP45" s="4175"/>
      <c r="AQ45" s="4153"/>
    </row>
    <row r="46" spans="1:43" ht="36" customHeight="1" x14ac:dyDescent="0.2">
      <c r="A46" s="2141"/>
      <c r="C46" s="2168"/>
      <c r="D46" s="2169">
        <v>12</v>
      </c>
      <c r="E46" s="2170" t="s">
        <v>1937</v>
      </c>
      <c r="F46" s="2171"/>
      <c r="G46" s="2133"/>
      <c r="H46" s="2133"/>
      <c r="I46" s="2133"/>
      <c r="J46" s="2133"/>
      <c r="K46" s="2134"/>
      <c r="L46" s="2133"/>
      <c r="M46" s="2133"/>
      <c r="N46" s="2135"/>
      <c r="O46" s="2172"/>
      <c r="P46" s="2134"/>
      <c r="Q46" s="2133"/>
      <c r="R46" s="2173"/>
      <c r="S46" s="2133"/>
      <c r="T46" s="2134"/>
      <c r="U46" s="2134"/>
      <c r="V46" s="2174"/>
      <c r="W46" s="2175"/>
      <c r="X46" s="2135"/>
      <c r="Y46" s="2135"/>
      <c r="Z46" s="2135"/>
      <c r="AA46" s="2135"/>
      <c r="AB46" s="2135"/>
      <c r="AC46" s="2135"/>
      <c r="AD46" s="2135"/>
      <c r="AE46" s="2135"/>
      <c r="AF46" s="2135"/>
      <c r="AG46" s="2135"/>
      <c r="AH46" s="2135"/>
      <c r="AI46" s="2135"/>
      <c r="AJ46" s="2135"/>
      <c r="AK46" s="2135"/>
      <c r="AL46" s="2135"/>
      <c r="AM46" s="2135"/>
      <c r="AN46" s="2135"/>
      <c r="AO46" s="2133"/>
      <c r="AP46" s="2133"/>
      <c r="AQ46" s="2140"/>
    </row>
    <row r="47" spans="1:43" ht="36" customHeight="1" x14ac:dyDescent="0.2">
      <c r="A47" s="2141"/>
      <c r="B47" s="2142"/>
      <c r="C47" s="2143"/>
      <c r="D47" s="2144"/>
      <c r="E47" s="2144"/>
      <c r="F47" s="2145"/>
      <c r="G47" s="2176">
        <v>36</v>
      </c>
      <c r="H47" s="2147" t="s">
        <v>1938</v>
      </c>
      <c r="I47" s="2147"/>
      <c r="J47" s="2147"/>
      <c r="K47" s="2148"/>
      <c r="L47" s="2147"/>
      <c r="M47" s="2147"/>
      <c r="N47" s="2149"/>
      <c r="O47" s="2177"/>
      <c r="P47" s="2148"/>
      <c r="Q47" s="2147"/>
      <c r="R47" s="2178"/>
      <c r="S47" s="2147"/>
      <c r="T47" s="2148"/>
      <c r="U47" s="2148"/>
      <c r="V47" s="2179"/>
      <c r="W47" s="2180"/>
      <c r="X47" s="2149"/>
      <c r="Y47" s="2149"/>
      <c r="Z47" s="2149"/>
      <c r="AA47" s="2149"/>
      <c r="AB47" s="2149"/>
      <c r="AC47" s="2149"/>
      <c r="AD47" s="2149"/>
      <c r="AE47" s="2149"/>
      <c r="AF47" s="2149"/>
      <c r="AG47" s="2149"/>
      <c r="AH47" s="2149"/>
      <c r="AI47" s="2149"/>
      <c r="AJ47" s="2149"/>
      <c r="AK47" s="2149"/>
      <c r="AL47" s="2149"/>
      <c r="AM47" s="2149"/>
      <c r="AN47" s="2149"/>
      <c r="AO47" s="2147"/>
      <c r="AP47" s="2147"/>
      <c r="AQ47" s="2154"/>
    </row>
    <row r="48" spans="1:43" s="2162" customFormat="1" ht="68.25" customHeight="1" x14ac:dyDescent="0.2">
      <c r="A48" s="2155"/>
      <c r="B48" s="2156"/>
      <c r="C48" s="2157"/>
      <c r="D48" s="2156"/>
      <c r="E48" s="2156"/>
      <c r="F48" s="2157"/>
      <c r="G48" s="2158"/>
      <c r="H48" s="2159"/>
      <c r="I48" s="2160"/>
      <c r="J48" s="4163">
        <v>130</v>
      </c>
      <c r="K48" s="4138" t="s">
        <v>1939</v>
      </c>
      <c r="L48" s="4138" t="s">
        <v>1905</v>
      </c>
      <c r="M48" s="4138">
        <v>1</v>
      </c>
      <c r="N48" s="4138" t="s">
        <v>1940</v>
      </c>
      <c r="O48" s="4156" t="s">
        <v>1941</v>
      </c>
      <c r="P48" s="4141" t="s">
        <v>1942</v>
      </c>
      <c r="Q48" s="4166">
        <f>(V48+V49)/R48</f>
        <v>0.40517241379310343</v>
      </c>
      <c r="R48" s="4158">
        <f>SUM(V48:V53)</f>
        <v>232000000</v>
      </c>
      <c r="S48" s="4141" t="s">
        <v>1943</v>
      </c>
      <c r="T48" s="4138" t="s">
        <v>1944</v>
      </c>
      <c r="U48" s="4226" t="s">
        <v>1945</v>
      </c>
      <c r="V48" s="2064">
        <f>60000000+24000000</f>
        <v>84000000</v>
      </c>
      <c r="W48" s="2161">
        <v>61</v>
      </c>
      <c r="X48" s="4138" t="s">
        <v>1946</v>
      </c>
      <c r="Y48" s="4304">
        <v>292684</v>
      </c>
      <c r="Z48" s="4304">
        <v>282326</v>
      </c>
      <c r="AA48" s="4307">
        <v>135912</v>
      </c>
      <c r="AB48" s="4300">
        <v>45122</v>
      </c>
      <c r="AC48" s="4300">
        <v>307101</v>
      </c>
      <c r="AD48" s="4300">
        <v>86875</v>
      </c>
      <c r="AE48" s="4300">
        <v>2145</v>
      </c>
      <c r="AF48" s="4300">
        <v>12718</v>
      </c>
      <c r="AG48" s="4300">
        <v>26</v>
      </c>
      <c r="AH48" s="4300">
        <v>37</v>
      </c>
      <c r="AI48" s="4300">
        <v>16897</v>
      </c>
      <c r="AJ48" s="4300" t="s">
        <v>1913</v>
      </c>
      <c r="AK48" s="4300">
        <v>53164</v>
      </c>
      <c r="AL48" s="4300">
        <v>16982</v>
      </c>
      <c r="AM48" s="4300">
        <v>60013</v>
      </c>
      <c r="AN48" s="4301">
        <v>575010</v>
      </c>
      <c r="AO48" s="4149">
        <v>43467</v>
      </c>
      <c r="AP48" s="4149">
        <v>43830</v>
      </c>
      <c r="AQ48" s="4136" t="s">
        <v>1914</v>
      </c>
    </row>
    <row r="49" spans="1:43" s="2162" customFormat="1" ht="51.75" customHeight="1" x14ac:dyDescent="0.2">
      <c r="A49" s="2155"/>
      <c r="B49" s="2156"/>
      <c r="C49" s="2157"/>
      <c r="D49" s="2156"/>
      <c r="E49" s="2156"/>
      <c r="F49" s="2157"/>
      <c r="G49" s="2163"/>
      <c r="H49" s="2156"/>
      <c r="I49" s="2157"/>
      <c r="J49" s="4165"/>
      <c r="K49" s="4140"/>
      <c r="L49" s="4140"/>
      <c r="M49" s="4140"/>
      <c r="N49" s="4139"/>
      <c r="O49" s="4157"/>
      <c r="P49" s="4142"/>
      <c r="Q49" s="4147"/>
      <c r="R49" s="4159"/>
      <c r="S49" s="4142"/>
      <c r="T49" s="4140"/>
      <c r="U49" s="4240"/>
      <c r="V49" s="2064">
        <v>10000000</v>
      </c>
      <c r="W49" s="2161">
        <v>98</v>
      </c>
      <c r="X49" s="4139"/>
      <c r="Y49" s="4305"/>
      <c r="Z49" s="4305"/>
      <c r="AA49" s="4308"/>
      <c r="AB49" s="4300"/>
      <c r="AC49" s="4300"/>
      <c r="AD49" s="4300"/>
      <c r="AE49" s="4300"/>
      <c r="AF49" s="4300"/>
      <c r="AG49" s="4300"/>
      <c r="AH49" s="4300"/>
      <c r="AI49" s="4300"/>
      <c r="AJ49" s="4300"/>
      <c r="AK49" s="4300"/>
      <c r="AL49" s="4300"/>
      <c r="AM49" s="4300"/>
      <c r="AN49" s="4302"/>
      <c r="AO49" s="4150"/>
      <c r="AP49" s="4150"/>
      <c r="AQ49" s="4137"/>
    </row>
    <row r="50" spans="1:43" s="2162" customFormat="1" ht="69" customHeight="1" x14ac:dyDescent="0.2">
      <c r="A50" s="2155"/>
      <c r="B50" s="2156"/>
      <c r="C50" s="2157"/>
      <c r="D50" s="2156"/>
      <c r="E50" s="2156"/>
      <c r="F50" s="2157"/>
      <c r="G50" s="2163"/>
      <c r="H50" s="2156"/>
      <c r="I50" s="2157"/>
      <c r="J50" s="4163">
        <v>131</v>
      </c>
      <c r="K50" s="4141" t="s">
        <v>1947</v>
      </c>
      <c r="L50" s="4138" t="s">
        <v>1905</v>
      </c>
      <c r="M50" s="4138">
        <v>5</v>
      </c>
      <c r="N50" s="4139"/>
      <c r="O50" s="4157"/>
      <c r="P50" s="4142"/>
      <c r="Q50" s="4166">
        <f>SUM(V50:V53)/R48</f>
        <v>0.59482758620689657</v>
      </c>
      <c r="R50" s="4159"/>
      <c r="S50" s="4142"/>
      <c r="T50" s="4141" t="s">
        <v>1948</v>
      </c>
      <c r="U50" s="2164" t="s">
        <v>1949</v>
      </c>
      <c r="V50" s="2064">
        <v>28000000</v>
      </c>
      <c r="W50" s="2161">
        <v>61</v>
      </c>
      <c r="X50" s="4139"/>
      <c r="Y50" s="4305"/>
      <c r="Z50" s="4305"/>
      <c r="AA50" s="4308"/>
      <c r="AB50" s="4300"/>
      <c r="AC50" s="4300"/>
      <c r="AD50" s="4300"/>
      <c r="AE50" s="4300"/>
      <c r="AF50" s="4300"/>
      <c r="AG50" s="4300"/>
      <c r="AH50" s="4300"/>
      <c r="AI50" s="4300"/>
      <c r="AJ50" s="4300"/>
      <c r="AK50" s="4300"/>
      <c r="AL50" s="4300"/>
      <c r="AM50" s="4300"/>
      <c r="AN50" s="4302"/>
      <c r="AO50" s="4150"/>
      <c r="AP50" s="4150"/>
      <c r="AQ50" s="4137"/>
    </row>
    <row r="51" spans="1:43" s="2162" customFormat="1" ht="40.5" customHeight="1" x14ac:dyDescent="0.2">
      <c r="A51" s="2155"/>
      <c r="B51" s="2156"/>
      <c r="C51" s="2157"/>
      <c r="D51" s="2156"/>
      <c r="E51" s="2156"/>
      <c r="F51" s="2157"/>
      <c r="G51" s="2163"/>
      <c r="H51" s="2156"/>
      <c r="I51" s="2157"/>
      <c r="J51" s="4164"/>
      <c r="K51" s="4142"/>
      <c r="L51" s="4139"/>
      <c r="M51" s="4139"/>
      <c r="N51" s="4139"/>
      <c r="O51" s="4157"/>
      <c r="P51" s="4142"/>
      <c r="Q51" s="4146"/>
      <c r="R51" s="4159"/>
      <c r="S51" s="4142"/>
      <c r="T51" s="4142"/>
      <c r="U51" s="4226" t="s">
        <v>1950</v>
      </c>
      <c r="V51" s="2064">
        <v>40000000</v>
      </c>
      <c r="W51" s="2161">
        <v>61</v>
      </c>
      <c r="X51" s="4139"/>
      <c r="Y51" s="4305"/>
      <c r="Z51" s="4305"/>
      <c r="AA51" s="4308"/>
      <c r="AB51" s="4300"/>
      <c r="AC51" s="4300"/>
      <c r="AD51" s="4300"/>
      <c r="AE51" s="4300"/>
      <c r="AF51" s="4300"/>
      <c r="AG51" s="4300"/>
      <c r="AH51" s="4300"/>
      <c r="AI51" s="4300"/>
      <c r="AJ51" s="4300"/>
      <c r="AK51" s="4300"/>
      <c r="AL51" s="4300"/>
      <c r="AM51" s="4300"/>
      <c r="AN51" s="4302"/>
      <c r="AO51" s="4150"/>
      <c r="AP51" s="4150"/>
      <c r="AQ51" s="4137"/>
    </row>
    <row r="52" spans="1:43" s="2162" customFormat="1" ht="37.5" customHeight="1" x14ac:dyDescent="0.2">
      <c r="A52" s="2155"/>
      <c r="B52" s="2156"/>
      <c r="C52" s="2157"/>
      <c r="D52" s="2156"/>
      <c r="E52" s="2156"/>
      <c r="F52" s="2157"/>
      <c r="G52" s="2163"/>
      <c r="H52" s="2156"/>
      <c r="I52" s="2157"/>
      <c r="J52" s="4164"/>
      <c r="K52" s="4142"/>
      <c r="L52" s="4139"/>
      <c r="M52" s="4139"/>
      <c r="N52" s="4139"/>
      <c r="O52" s="4157"/>
      <c r="P52" s="4142"/>
      <c r="Q52" s="4146"/>
      <c r="R52" s="4159"/>
      <c r="S52" s="4142"/>
      <c r="T52" s="4142"/>
      <c r="U52" s="4240"/>
      <c r="V52" s="2064">
        <v>10000000</v>
      </c>
      <c r="W52" s="2161">
        <v>98</v>
      </c>
      <c r="X52" s="4139"/>
      <c r="Y52" s="4305"/>
      <c r="Z52" s="4305"/>
      <c r="AA52" s="4308"/>
      <c r="AB52" s="4300"/>
      <c r="AC52" s="4300"/>
      <c r="AD52" s="4300"/>
      <c r="AE52" s="4300"/>
      <c r="AF52" s="4300"/>
      <c r="AG52" s="4300"/>
      <c r="AH52" s="4300"/>
      <c r="AI52" s="4300"/>
      <c r="AJ52" s="4300"/>
      <c r="AK52" s="4300"/>
      <c r="AL52" s="4300"/>
      <c r="AM52" s="4300"/>
      <c r="AN52" s="4302"/>
      <c r="AO52" s="4150"/>
      <c r="AP52" s="4150"/>
      <c r="AQ52" s="4137"/>
    </row>
    <row r="53" spans="1:43" s="2162" customFormat="1" ht="71.25" x14ac:dyDescent="0.2">
      <c r="A53" s="2155"/>
      <c r="B53" s="2156"/>
      <c r="C53" s="2157"/>
      <c r="D53" s="2156"/>
      <c r="E53" s="2156"/>
      <c r="F53" s="2157"/>
      <c r="G53" s="2167"/>
      <c r="H53" s="2165"/>
      <c r="I53" s="2166"/>
      <c r="J53" s="4165"/>
      <c r="K53" s="4143"/>
      <c r="L53" s="4140"/>
      <c r="M53" s="4140"/>
      <c r="N53" s="4140"/>
      <c r="O53" s="4190"/>
      <c r="P53" s="4143"/>
      <c r="Q53" s="4147"/>
      <c r="R53" s="4176"/>
      <c r="S53" s="4143"/>
      <c r="T53" s="4143"/>
      <c r="U53" s="2164" t="s">
        <v>1951</v>
      </c>
      <c r="V53" s="2064">
        <v>60000000</v>
      </c>
      <c r="W53" s="2161">
        <v>61</v>
      </c>
      <c r="X53" s="4140"/>
      <c r="Y53" s="4306"/>
      <c r="Z53" s="4306"/>
      <c r="AA53" s="4309"/>
      <c r="AB53" s="4300"/>
      <c r="AC53" s="4300"/>
      <c r="AD53" s="4300"/>
      <c r="AE53" s="4300"/>
      <c r="AF53" s="4300"/>
      <c r="AG53" s="4300"/>
      <c r="AH53" s="4300"/>
      <c r="AI53" s="4300"/>
      <c r="AJ53" s="4300"/>
      <c r="AK53" s="4300"/>
      <c r="AL53" s="4300"/>
      <c r="AM53" s="4300"/>
      <c r="AN53" s="4303"/>
      <c r="AO53" s="4175"/>
      <c r="AP53" s="4175"/>
      <c r="AQ53" s="4153"/>
    </row>
    <row r="54" spans="1:43" ht="36" customHeight="1" x14ac:dyDescent="0.2">
      <c r="A54" s="2141"/>
      <c r="B54" s="2142"/>
      <c r="C54" s="2143"/>
      <c r="D54" s="2142"/>
      <c r="E54" s="2142"/>
      <c r="F54" s="2143"/>
      <c r="G54" s="2176">
        <v>37</v>
      </c>
      <c r="H54" s="2147" t="s">
        <v>1952</v>
      </c>
      <c r="I54" s="2147"/>
      <c r="J54" s="2147"/>
      <c r="K54" s="2148"/>
      <c r="L54" s="2147"/>
      <c r="M54" s="2147"/>
      <c r="N54" s="2149"/>
      <c r="O54" s="2177"/>
      <c r="P54" s="2148"/>
      <c r="Q54" s="2147"/>
      <c r="R54" s="2178"/>
      <c r="S54" s="2147"/>
      <c r="T54" s="2148"/>
      <c r="U54" s="2148"/>
      <c r="V54" s="2179"/>
      <c r="W54" s="2180"/>
      <c r="X54" s="2149"/>
      <c r="Y54" s="2149"/>
      <c r="Z54" s="2149"/>
      <c r="AA54" s="2149"/>
      <c r="AB54" s="2149"/>
      <c r="AC54" s="2149"/>
      <c r="AD54" s="2149"/>
      <c r="AE54" s="2149"/>
      <c r="AF54" s="2149"/>
      <c r="AG54" s="2149"/>
      <c r="AH54" s="2149"/>
      <c r="AI54" s="2149"/>
      <c r="AJ54" s="2149"/>
      <c r="AK54" s="2149"/>
      <c r="AL54" s="2149"/>
      <c r="AM54" s="2149"/>
      <c r="AN54" s="2149"/>
      <c r="AO54" s="2147"/>
      <c r="AP54" s="2147"/>
      <c r="AQ54" s="2154"/>
    </row>
    <row r="55" spans="1:43" s="2162" customFormat="1" ht="42" customHeight="1" x14ac:dyDescent="0.2">
      <c r="A55" s="2181"/>
      <c r="B55" s="2182"/>
      <c r="C55" s="2183"/>
      <c r="D55" s="2182"/>
      <c r="E55" s="2182"/>
      <c r="F55" s="2183"/>
      <c r="G55" s="2184"/>
      <c r="H55" s="2185"/>
      <c r="I55" s="2186"/>
      <c r="J55" s="4163">
        <v>132</v>
      </c>
      <c r="K55" s="4141" t="s">
        <v>1953</v>
      </c>
      <c r="L55" s="4138" t="s">
        <v>1905</v>
      </c>
      <c r="M55" s="4138">
        <v>8</v>
      </c>
      <c r="N55" s="4138" t="s">
        <v>1954</v>
      </c>
      <c r="O55" s="4156" t="s">
        <v>1955</v>
      </c>
      <c r="P55" s="4141" t="s">
        <v>1956</v>
      </c>
      <c r="Q55" s="4166">
        <f>SUM(V55:V60)/R55</f>
        <v>0.25</v>
      </c>
      <c r="R55" s="4158">
        <f>SUM(V55:V82)</f>
        <v>168000000</v>
      </c>
      <c r="S55" s="4141" t="s">
        <v>1957</v>
      </c>
      <c r="T55" s="4141" t="s">
        <v>1958</v>
      </c>
      <c r="U55" s="4226" t="s">
        <v>1959</v>
      </c>
      <c r="V55" s="2187">
        <v>10000000</v>
      </c>
      <c r="W55" s="2161">
        <v>61</v>
      </c>
      <c r="X55" s="4138" t="s">
        <v>1960</v>
      </c>
      <c r="Y55" s="4138">
        <v>292684</v>
      </c>
      <c r="Z55" s="4138">
        <v>282326</v>
      </c>
      <c r="AA55" s="4260">
        <v>135912</v>
      </c>
      <c r="AB55" s="4260">
        <v>45122</v>
      </c>
      <c r="AC55" s="4260">
        <f>SUM(AC48)</f>
        <v>307101</v>
      </c>
      <c r="AD55" s="4260">
        <f>SUM(AD48)</f>
        <v>86875</v>
      </c>
      <c r="AE55" s="4260">
        <v>2145</v>
      </c>
      <c r="AF55" s="4260">
        <v>12718</v>
      </c>
      <c r="AG55" s="4163">
        <v>1908</v>
      </c>
      <c r="AH55" s="4260">
        <v>37</v>
      </c>
      <c r="AI55" s="4260" t="s">
        <v>1913</v>
      </c>
      <c r="AJ55" s="4260" t="s">
        <v>1913</v>
      </c>
      <c r="AK55" s="4260">
        <v>53164</v>
      </c>
      <c r="AL55" s="4260">
        <v>16982</v>
      </c>
      <c r="AM55" s="4260">
        <v>60013</v>
      </c>
      <c r="AN55" s="4260">
        <v>575010</v>
      </c>
      <c r="AO55" s="4149">
        <v>43467</v>
      </c>
      <c r="AP55" s="4149">
        <v>43830</v>
      </c>
      <c r="AQ55" s="4136" t="s">
        <v>1914</v>
      </c>
    </row>
    <row r="56" spans="1:43" s="2162" customFormat="1" ht="39.75" customHeight="1" x14ac:dyDescent="0.2">
      <c r="A56" s="2181"/>
      <c r="B56" s="2182"/>
      <c r="C56" s="2183"/>
      <c r="D56" s="2182"/>
      <c r="E56" s="2182"/>
      <c r="F56" s="2183"/>
      <c r="G56" s="2188"/>
      <c r="H56" s="2182"/>
      <c r="I56" s="2183"/>
      <c r="J56" s="4164"/>
      <c r="K56" s="4142"/>
      <c r="L56" s="4139"/>
      <c r="M56" s="4139"/>
      <c r="N56" s="4139"/>
      <c r="O56" s="4157"/>
      <c r="P56" s="4142"/>
      <c r="Q56" s="4146"/>
      <c r="R56" s="4159"/>
      <c r="S56" s="4142"/>
      <c r="T56" s="4142"/>
      <c r="U56" s="4240"/>
      <c r="V56" s="2187">
        <v>7000000</v>
      </c>
      <c r="W56" s="2161">
        <v>98</v>
      </c>
      <c r="X56" s="4139"/>
      <c r="Y56" s="4139"/>
      <c r="Z56" s="4139"/>
      <c r="AA56" s="4199"/>
      <c r="AB56" s="4199"/>
      <c r="AC56" s="4199"/>
      <c r="AD56" s="4199"/>
      <c r="AE56" s="4199"/>
      <c r="AF56" s="4199"/>
      <c r="AG56" s="4164"/>
      <c r="AH56" s="4199"/>
      <c r="AI56" s="4199"/>
      <c r="AJ56" s="4199"/>
      <c r="AK56" s="4199"/>
      <c r="AL56" s="4199"/>
      <c r="AM56" s="4199"/>
      <c r="AN56" s="4199"/>
      <c r="AO56" s="4150"/>
      <c r="AP56" s="4150"/>
      <c r="AQ56" s="4137"/>
    </row>
    <row r="57" spans="1:43" s="2162" customFormat="1" ht="29.25" customHeight="1" x14ac:dyDescent="0.2">
      <c r="A57" s="2181"/>
      <c r="B57" s="2182"/>
      <c r="C57" s="2183"/>
      <c r="D57" s="2182"/>
      <c r="E57" s="2182"/>
      <c r="F57" s="2183"/>
      <c r="G57" s="2188"/>
      <c r="H57" s="2182"/>
      <c r="I57" s="2183"/>
      <c r="J57" s="4164"/>
      <c r="K57" s="4142"/>
      <c r="L57" s="4139"/>
      <c r="M57" s="4139"/>
      <c r="N57" s="4139"/>
      <c r="O57" s="4157"/>
      <c r="P57" s="4142"/>
      <c r="Q57" s="4146"/>
      <c r="R57" s="4159"/>
      <c r="S57" s="4142"/>
      <c r="T57" s="4142"/>
      <c r="U57" s="4226" t="s">
        <v>1961</v>
      </c>
      <c r="V57" s="2187">
        <v>10000000</v>
      </c>
      <c r="W57" s="2161">
        <v>61</v>
      </c>
      <c r="X57" s="4139"/>
      <c r="Y57" s="4139"/>
      <c r="Z57" s="4139"/>
      <c r="AA57" s="4199"/>
      <c r="AB57" s="4199"/>
      <c r="AC57" s="4199"/>
      <c r="AD57" s="4199"/>
      <c r="AE57" s="4199"/>
      <c r="AF57" s="4199"/>
      <c r="AG57" s="4164"/>
      <c r="AH57" s="4199"/>
      <c r="AI57" s="4199"/>
      <c r="AJ57" s="4199"/>
      <c r="AK57" s="4199"/>
      <c r="AL57" s="4199"/>
      <c r="AM57" s="4199"/>
      <c r="AN57" s="4199"/>
      <c r="AO57" s="4150"/>
      <c r="AP57" s="4150"/>
      <c r="AQ57" s="4137"/>
    </row>
    <row r="58" spans="1:43" s="2162" customFormat="1" ht="33" customHeight="1" x14ac:dyDescent="0.2">
      <c r="A58" s="2181"/>
      <c r="B58" s="2182"/>
      <c r="C58" s="2183"/>
      <c r="D58" s="2182"/>
      <c r="E58" s="2182"/>
      <c r="F58" s="2183"/>
      <c r="G58" s="2188"/>
      <c r="H58" s="2182"/>
      <c r="I58" s="2183"/>
      <c r="J58" s="4164"/>
      <c r="K58" s="4142"/>
      <c r="L58" s="4139"/>
      <c r="M58" s="4139"/>
      <c r="N58" s="4139"/>
      <c r="O58" s="4157"/>
      <c r="P58" s="4142"/>
      <c r="Q58" s="4146"/>
      <c r="R58" s="4159"/>
      <c r="S58" s="4142"/>
      <c r="T58" s="4142"/>
      <c r="U58" s="4240"/>
      <c r="V58" s="2187">
        <v>7000000</v>
      </c>
      <c r="W58" s="2161">
        <v>98</v>
      </c>
      <c r="X58" s="4139"/>
      <c r="Y58" s="4139"/>
      <c r="Z58" s="4139"/>
      <c r="AA58" s="4199"/>
      <c r="AB58" s="4199"/>
      <c r="AC58" s="4199"/>
      <c r="AD58" s="4199"/>
      <c r="AE58" s="4199"/>
      <c r="AF58" s="4199"/>
      <c r="AG58" s="4164"/>
      <c r="AH58" s="4199"/>
      <c r="AI58" s="4199"/>
      <c r="AJ58" s="4199"/>
      <c r="AK58" s="4199"/>
      <c r="AL58" s="4199"/>
      <c r="AM58" s="4199"/>
      <c r="AN58" s="4199"/>
      <c r="AO58" s="4150"/>
      <c r="AP58" s="4150"/>
      <c r="AQ58" s="4137"/>
    </row>
    <row r="59" spans="1:43" s="2162" customFormat="1" ht="99.75" x14ac:dyDescent="0.2">
      <c r="A59" s="2181"/>
      <c r="B59" s="2182"/>
      <c r="C59" s="2183"/>
      <c r="D59" s="2182"/>
      <c r="E59" s="2182"/>
      <c r="F59" s="2183"/>
      <c r="G59" s="2188"/>
      <c r="H59" s="2182"/>
      <c r="I59" s="2183"/>
      <c r="J59" s="4164"/>
      <c r="K59" s="4142"/>
      <c r="L59" s="4139"/>
      <c r="M59" s="4139"/>
      <c r="N59" s="4139"/>
      <c r="O59" s="4157"/>
      <c r="P59" s="4142"/>
      <c r="Q59" s="4146"/>
      <c r="R59" s="4159"/>
      <c r="S59" s="4142"/>
      <c r="T59" s="4142"/>
      <c r="U59" s="2164" t="s">
        <v>1962</v>
      </c>
      <c r="V59" s="2189">
        <v>2000000</v>
      </c>
      <c r="W59" s="2161">
        <v>61</v>
      </c>
      <c r="X59" s="4139"/>
      <c r="Y59" s="4139"/>
      <c r="Z59" s="4139"/>
      <c r="AA59" s="4199"/>
      <c r="AB59" s="4199"/>
      <c r="AC59" s="4199"/>
      <c r="AD59" s="4199"/>
      <c r="AE59" s="4199"/>
      <c r="AF59" s="4199"/>
      <c r="AG59" s="4164"/>
      <c r="AH59" s="4199"/>
      <c r="AI59" s="4199"/>
      <c r="AJ59" s="4199"/>
      <c r="AK59" s="4199"/>
      <c r="AL59" s="4199"/>
      <c r="AM59" s="4199"/>
      <c r="AN59" s="4199"/>
      <c r="AO59" s="4150"/>
      <c r="AP59" s="4150"/>
      <c r="AQ59" s="4137"/>
    </row>
    <row r="60" spans="1:43" s="2162" customFormat="1" ht="85.5" x14ac:dyDescent="0.2">
      <c r="A60" s="2181"/>
      <c r="B60" s="2182"/>
      <c r="C60" s="2183"/>
      <c r="D60" s="2182"/>
      <c r="E60" s="2182"/>
      <c r="F60" s="2183"/>
      <c r="G60" s="2188"/>
      <c r="H60" s="2182"/>
      <c r="I60" s="2183"/>
      <c r="J60" s="4165"/>
      <c r="K60" s="4143"/>
      <c r="L60" s="4140"/>
      <c r="M60" s="4140"/>
      <c r="N60" s="4139"/>
      <c r="O60" s="4157"/>
      <c r="P60" s="4142"/>
      <c r="Q60" s="4147"/>
      <c r="R60" s="4159"/>
      <c r="S60" s="4142"/>
      <c r="T60" s="4142"/>
      <c r="U60" s="2164" t="s">
        <v>1963</v>
      </c>
      <c r="V60" s="2189">
        <v>6000000</v>
      </c>
      <c r="W60" s="2161">
        <v>61</v>
      </c>
      <c r="X60" s="4139"/>
      <c r="Y60" s="4139"/>
      <c r="Z60" s="4139"/>
      <c r="AA60" s="4199"/>
      <c r="AB60" s="4199"/>
      <c r="AC60" s="4199"/>
      <c r="AD60" s="4199"/>
      <c r="AE60" s="4199"/>
      <c r="AF60" s="4199"/>
      <c r="AG60" s="4164"/>
      <c r="AH60" s="4199"/>
      <c r="AI60" s="4199"/>
      <c r="AJ60" s="4199"/>
      <c r="AK60" s="4199"/>
      <c r="AL60" s="4199"/>
      <c r="AM60" s="4199"/>
      <c r="AN60" s="4199"/>
      <c r="AO60" s="4150"/>
      <c r="AP60" s="4150"/>
      <c r="AQ60" s="4137"/>
    </row>
    <row r="61" spans="1:43" s="2162" customFormat="1" ht="57" x14ac:dyDescent="0.2">
      <c r="A61" s="2181"/>
      <c r="B61" s="2182"/>
      <c r="C61" s="2183"/>
      <c r="D61" s="2182"/>
      <c r="E61" s="2182"/>
      <c r="F61" s="2183"/>
      <c r="G61" s="2188"/>
      <c r="H61" s="2182"/>
      <c r="I61" s="2183"/>
      <c r="J61" s="4163">
        <v>133</v>
      </c>
      <c r="K61" s="4142"/>
      <c r="L61" s="4139"/>
      <c r="M61" s="4139">
        <v>12</v>
      </c>
      <c r="N61" s="4139"/>
      <c r="O61" s="4157"/>
      <c r="P61" s="4142"/>
      <c r="Q61" s="3145">
        <f>SUM(V61:V65)/R55</f>
        <v>0.16666666666666666</v>
      </c>
      <c r="R61" s="4159"/>
      <c r="S61" s="4142"/>
      <c r="T61" s="4142"/>
      <c r="U61" s="2164" t="s">
        <v>1964</v>
      </c>
      <c r="V61" s="2189">
        <v>8000000</v>
      </c>
      <c r="W61" s="2161">
        <v>61</v>
      </c>
      <c r="X61" s="4139"/>
      <c r="Y61" s="4139"/>
      <c r="Z61" s="4139"/>
      <c r="AA61" s="4199"/>
      <c r="AB61" s="4199"/>
      <c r="AC61" s="4199"/>
      <c r="AD61" s="4199"/>
      <c r="AE61" s="4199"/>
      <c r="AF61" s="4199"/>
      <c r="AG61" s="4164"/>
      <c r="AH61" s="4199"/>
      <c r="AI61" s="4199"/>
      <c r="AJ61" s="4199"/>
      <c r="AK61" s="4199"/>
      <c r="AL61" s="4199"/>
      <c r="AM61" s="4199"/>
      <c r="AN61" s="4199"/>
      <c r="AO61" s="4150"/>
      <c r="AP61" s="4150"/>
      <c r="AQ61" s="4137"/>
    </row>
    <row r="62" spans="1:43" s="2162" customFormat="1" ht="76.5" customHeight="1" x14ac:dyDescent="0.2">
      <c r="A62" s="2181"/>
      <c r="B62" s="2182"/>
      <c r="C62" s="2183"/>
      <c r="D62" s="2182"/>
      <c r="E62" s="2182"/>
      <c r="F62" s="2183"/>
      <c r="G62" s="2188"/>
      <c r="H62" s="2182"/>
      <c r="I62" s="2183"/>
      <c r="J62" s="4164"/>
      <c r="K62" s="4142"/>
      <c r="L62" s="4139"/>
      <c r="M62" s="4139"/>
      <c r="N62" s="4139"/>
      <c r="O62" s="4157"/>
      <c r="P62" s="4142"/>
      <c r="Q62" s="3146"/>
      <c r="R62" s="4159"/>
      <c r="S62" s="4142"/>
      <c r="T62" s="4142"/>
      <c r="U62" s="2164" t="s">
        <v>1965</v>
      </c>
      <c r="V62" s="2189">
        <v>10000000</v>
      </c>
      <c r="W62" s="2161">
        <v>61</v>
      </c>
      <c r="X62" s="4139"/>
      <c r="Y62" s="4139"/>
      <c r="Z62" s="4139"/>
      <c r="AA62" s="4199"/>
      <c r="AB62" s="4199"/>
      <c r="AC62" s="4199"/>
      <c r="AD62" s="4199"/>
      <c r="AE62" s="4199"/>
      <c r="AF62" s="4199"/>
      <c r="AG62" s="4164"/>
      <c r="AH62" s="4199"/>
      <c r="AI62" s="4199"/>
      <c r="AJ62" s="4199"/>
      <c r="AK62" s="4199"/>
      <c r="AL62" s="4199"/>
      <c r="AM62" s="4199"/>
      <c r="AN62" s="4199"/>
      <c r="AO62" s="4150"/>
      <c r="AP62" s="4150"/>
      <c r="AQ62" s="4137"/>
    </row>
    <row r="63" spans="1:43" s="2162" customFormat="1" ht="118.5" customHeight="1" x14ac:dyDescent="0.2">
      <c r="A63" s="2181"/>
      <c r="B63" s="2182"/>
      <c r="C63" s="2183"/>
      <c r="D63" s="2182"/>
      <c r="E63" s="2182"/>
      <c r="F63" s="2183"/>
      <c r="G63" s="2188"/>
      <c r="H63" s="2182"/>
      <c r="I63" s="2183"/>
      <c r="J63" s="4164"/>
      <c r="K63" s="4142"/>
      <c r="L63" s="4139"/>
      <c r="M63" s="4139"/>
      <c r="N63" s="4139"/>
      <c r="O63" s="4157"/>
      <c r="P63" s="4142"/>
      <c r="Q63" s="3146"/>
      <c r="R63" s="4159"/>
      <c r="S63" s="4142"/>
      <c r="T63" s="4142"/>
      <c r="U63" s="2164" t="s">
        <v>1966</v>
      </c>
      <c r="V63" s="2189">
        <v>2000000</v>
      </c>
      <c r="W63" s="2161">
        <v>61</v>
      </c>
      <c r="X63" s="4139"/>
      <c r="Y63" s="4139"/>
      <c r="Z63" s="4139"/>
      <c r="AA63" s="4199"/>
      <c r="AB63" s="4199"/>
      <c r="AC63" s="4199"/>
      <c r="AD63" s="4199"/>
      <c r="AE63" s="4199"/>
      <c r="AF63" s="4199"/>
      <c r="AG63" s="4164"/>
      <c r="AH63" s="4199"/>
      <c r="AI63" s="4199"/>
      <c r="AJ63" s="4199"/>
      <c r="AK63" s="4199"/>
      <c r="AL63" s="4199"/>
      <c r="AM63" s="4199"/>
      <c r="AN63" s="4199"/>
      <c r="AO63" s="4150"/>
      <c r="AP63" s="4150"/>
      <c r="AQ63" s="4137"/>
    </row>
    <row r="64" spans="1:43" s="2162" customFormat="1" ht="71.25" x14ac:dyDescent="0.2">
      <c r="A64" s="2181"/>
      <c r="B64" s="2182"/>
      <c r="C64" s="2183"/>
      <c r="D64" s="2182"/>
      <c r="E64" s="2182"/>
      <c r="F64" s="2183"/>
      <c r="G64" s="2188"/>
      <c r="H64" s="2182"/>
      <c r="I64" s="2183"/>
      <c r="J64" s="4164"/>
      <c r="K64" s="4142"/>
      <c r="L64" s="4139"/>
      <c r="M64" s="4139"/>
      <c r="N64" s="4139"/>
      <c r="O64" s="4157"/>
      <c r="P64" s="4142"/>
      <c r="Q64" s="3146"/>
      <c r="R64" s="4159"/>
      <c r="S64" s="4142"/>
      <c r="T64" s="4142"/>
      <c r="U64" s="2164" t="s">
        <v>1967</v>
      </c>
      <c r="V64" s="2189">
        <v>4000000</v>
      </c>
      <c r="W64" s="2161">
        <v>61</v>
      </c>
      <c r="X64" s="4139"/>
      <c r="Y64" s="4139"/>
      <c r="Z64" s="4139"/>
      <c r="AA64" s="4199"/>
      <c r="AB64" s="4199"/>
      <c r="AC64" s="4199"/>
      <c r="AD64" s="4199"/>
      <c r="AE64" s="4199"/>
      <c r="AF64" s="4199"/>
      <c r="AG64" s="4164"/>
      <c r="AH64" s="4199"/>
      <c r="AI64" s="4199"/>
      <c r="AJ64" s="4199"/>
      <c r="AK64" s="4199"/>
      <c r="AL64" s="4199"/>
      <c r="AM64" s="4199"/>
      <c r="AN64" s="4199"/>
      <c r="AO64" s="4150"/>
      <c r="AP64" s="4150"/>
      <c r="AQ64" s="4137"/>
    </row>
    <row r="65" spans="1:43" s="2162" customFormat="1" ht="75" customHeight="1" x14ac:dyDescent="0.2">
      <c r="A65" s="2181"/>
      <c r="B65" s="2182"/>
      <c r="C65" s="2183"/>
      <c r="D65" s="2182"/>
      <c r="E65" s="2182"/>
      <c r="F65" s="2183"/>
      <c r="G65" s="2188"/>
      <c r="H65" s="2182"/>
      <c r="I65" s="2183"/>
      <c r="J65" s="4165"/>
      <c r="K65" s="4143"/>
      <c r="L65" s="4140"/>
      <c r="M65" s="4140"/>
      <c r="N65" s="4139"/>
      <c r="O65" s="4157"/>
      <c r="P65" s="4142"/>
      <c r="Q65" s="3147"/>
      <c r="R65" s="4159"/>
      <c r="S65" s="4142"/>
      <c r="T65" s="4143"/>
      <c r="U65" s="2164" t="s">
        <v>1968</v>
      </c>
      <c r="V65" s="2189">
        <v>4000000</v>
      </c>
      <c r="W65" s="2161">
        <v>61</v>
      </c>
      <c r="X65" s="4139"/>
      <c r="Y65" s="4139"/>
      <c r="Z65" s="4139"/>
      <c r="AA65" s="4199"/>
      <c r="AB65" s="4199"/>
      <c r="AC65" s="4199"/>
      <c r="AD65" s="4199"/>
      <c r="AE65" s="4199"/>
      <c r="AF65" s="4199"/>
      <c r="AG65" s="4164"/>
      <c r="AH65" s="4199"/>
      <c r="AI65" s="4199"/>
      <c r="AJ65" s="4199"/>
      <c r="AK65" s="4199"/>
      <c r="AL65" s="4199"/>
      <c r="AM65" s="4199"/>
      <c r="AN65" s="4199"/>
      <c r="AO65" s="4150"/>
      <c r="AP65" s="4150"/>
      <c r="AQ65" s="4137"/>
    </row>
    <row r="66" spans="1:43" s="2162" customFormat="1" ht="69.75" customHeight="1" x14ac:dyDescent="0.2">
      <c r="A66" s="2181"/>
      <c r="B66" s="2182"/>
      <c r="C66" s="2183"/>
      <c r="D66" s="2182"/>
      <c r="E66" s="2182"/>
      <c r="F66" s="2183"/>
      <c r="G66" s="2188"/>
      <c r="H66" s="2182"/>
      <c r="I66" s="2183"/>
      <c r="J66" s="4163">
        <v>134</v>
      </c>
      <c r="K66" s="4141" t="s">
        <v>1969</v>
      </c>
      <c r="L66" s="4138" t="s">
        <v>1905</v>
      </c>
      <c r="M66" s="4138">
        <v>4800</v>
      </c>
      <c r="N66" s="4139"/>
      <c r="O66" s="4157"/>
      <c r="P66" s="4142"/>
      <c r="Q66" s="4166">
        <f>SUM(V66:V77)/R55</f>
        <v>0.39285714285714285</v>
      </c>
      <c r="R66" s="4159"/>
      <c r="S66" s="4142"/>
      <c r="T66" s="4141" t="s">
        <v>1970</v>
      </c>
      <c r="U66" s="2164" t="s">
        <v>1971</v>
      </c>
      <c r="V66" s="2189">
        <v>5000000</v>
      </c>
      <c r="W66" s="2161">
        <v>61</v>
      </c>
      <c r="X66" s="4139"/>
      <c r="Y66" s="4139"/>
      <c r="Z66" s="4139"/>
      <c r="AA66" s="4199"/>
      <c r="AB66" s="4199"/>
      <c r="AC66" s="4199"/>
      <c r="AD66" s="4199"/>
      <c r="AE66" s="4199"/>
      <c r="AF66" s="4199"/>
      <c r="AG66" s="4164"/>
      <c r="AH66" s="4199"/>
      <c r="AI66" s="4199"/>
      <c r="AJ66" s="4199"/>
      <c r="AK66" s="4199"/>
      <c r="AL66" s="4199"/>
      <c r="AM66" s="4199"/>
      <c r="AN66" s="4199"/>
      <c r="AO66" s="4150"/>
      <c r="AP66" s="4150"/>
      <c r="AQ66" s="4137"/>
    </row>
    <row r="67" spans="1:43" s="2162" customFormat="1" ht="54.75" customHeight="1" x14ac:dyDescent="0.2">
      <c r="A67" s="2181"/>
      <c r="B67" s="2182"/>
      <c r="C67" s="2183"/>
      <c r="D67" s="2182"/>
      <c r="E67" s="2182"/>
      <c r="F67" s="2183"/>
      <c r="G67" s="2188"/>
      <c r="H67" s="2182"/>
      <c r="I67" s="2183"/>
      <c r="J67" s="4164"/>
      <c r="K67" s="4142"/>
      <c r="L67" s="4139"/>
      <c r="M67" s="4139"/>
      <c r="N67" s="4139"/>
      <c r="O67" s="4157"/>
      <c r="P67" s="4142"/>
      <c r="Q67" s="4146"/>
      <c r="R67" s="4159"/>
      <c r="S67" s="4142"/>
      <c r="T67" s="4142"/>
      <c r="U67" s="2164" t="s">
        <v>1972</v>
      </c>
      <c r="V67" s="2189">
        <v>5000000</v>
      </c>
      <c r="W67" s="2161">
        <v>61</v>
      </c>
      <c r="X67" s="4139"/>
      <c r="Y67" s="4139"/>
      <c r="Z67" s="4139"/>
      <c r="AA67" s="4199"/>
      <c r="AB67" s="4199"/>
      <c r="AC67" s="4199"/>
      <c r="AD67" s="4199"/>
      <c r="AE67" s="4199"/>
      <c r="AF67" s="4199"/>
      <c r="AG67" s="4164"/>
      <c r="AH67" s="4199"/>
      <c r="AI67" s="4199"/>
      <c r="AJ67" s="4199"/>
      <c r="AK67" s="4199"/>
      <c r="AL67" s="4199"/>
      <c r="AM67" s="4199"/>
      <c r="AN67" s="4199"/>
      <c r="AO67" s="4150"/>
      <c r="AP67" s="4150"/>
      <c r="AQ67" s="4137"/>
    </row>
    <row r="68" spans="1:43" s="2162" customFormat="1" ht="84.75" customHeight="1" x14ac:dyDescent="0.2">
      <c r="A68" s="2181"/>
      <c r="B68" s="2182"/>
      <c r="C68" s="2183"/>
      <c r="D68" s="2182"/>
      <c r="E68" s="2182"/>
      <c r="F68" s="2183"/>
      <c r="G68" s="2188"/>
      <c r="H68" s="2182"/>
      <c r="I68" s="2183"/>
      <c r="J68" s="4164"/>
      <c r="K68" s="4142"/>
      <c r="L68" s="4139"/>
      <c r="M68" s="4139"/>
      <c r="N68" s="4139"/>
      <c r="O68" s="4157"/>
      <c r="P68" s="4142"/>
      <c r="Q68" s="4146"/>
      <c r="R68" s="4159"/>
      <c r="S68" s="4142"/>
      <c r="T68" s="4142"/>
      <c r="U68" s="2164" t="s">
        <v>1973</v>
      </c>
      <c r="V68" s="2189">
        <v>5000000</v>
      </c>
      <c r="W68" s="2161">
        <v>61</v>
      </c>
      <c r="X68" s="4139"/>
      <c r="Y68" s="4139"/>
      <c r="Z68" s="4139"/>
      <c r="AA68" s="4199"/>
      <c r="AB68" s="4199"/>
      <c r="AC68" s="4199"/>
      <c r="AD68" s="4199"/>
      <c r="AE68" s="4199"/>
      <c r="AF68" s="4199"/>
      <c r="AG68" s="4164"/>
      <c r="AH68" s="4199"/>
      <c r="AI68" s="4199"/>
      <c r="AJ68" s="4199"/>
      <c r="AK68" s="4199"/>
      <c r="AL68" s="4199"/>
      <c r="AM68" s="4199"/>
      <c r="AN68" s="4199"/>
      <c r="AO68" s="4150"/>
      <c r="AP68" s="4150"/>
      <c r="AQ68" s="4137"/>
    </row>
    <row r="69" spans="1:43" s="2162" customFormat="1" ht="67.5" customHeight="1" x14ac:dyDescent="0.2">
      <c r="A69" s="2181"/>
      <c r="B69" s="2182"/>
      <c r="C69" s="2183"/>
      <c r="D69" s="2182"/>
      <c r="E69" s="2182"/>
      <c r="F69" s="2183"/>
      <c r="G69" s="2188"/>
      <c r="H69" s="2182"/>
      <c r="I69" s="2183"/>
      <c r="J69" s="4164"/>
      <c r="K69" s="4142"/>
      <c r="L69" s="4139"/>
      <c r="M69" s="4139"/>
      <c r="N69" s="4139"/>
      <c r="O69" s="4157"/>
      <c r="P69" s="4142"/>
      <c r="Q69" s="4146"/>
      <c r="R69" s="4159"/>
      <c r="S69" s="4142"/>
      <c r="T69" s="4142"/>
      <c r="U69" s="2164" t="s">
        <v>1974</v>
      </c>
      <c r="V69" s="2189">
        <v>5000000</v>
      </c>
      <c r="W69" s="2161">
        <v>61</v>
      </c>
      <c r="X69" s="4139"/>
      <c r="Y69" s="4139"/>
      <c r="Z69" s="4139"/>
      <c r="AA69" s="4199"/>
      <c r="AB69" s="4199"/>
      <c r="AC69" s="4199"/>
      <c r="AD69" s="4199"/>
      <c r="AE69" s="4199"/>
      <c r="AF69" s="4199"/>
      <c r="AG69" s="4164"/>
      <c r="AH69" s="4199"/>
      <c r="AI69" s="4199"/>
      <c r="AJ69" s="4199"/>
      <c r="AK69" s="4199"/>
      <c r="AL69" s="4199"/>
      <c r="AM69" s="4199"/>
      <c r="AN69" s="4199"/>
      <c r="AO69" s="4150"/>
      <c r="AP69" s="4150"/>
      <c r="AQ69" s="4137"/>
    </row>
    <row r="70" spans="1:43" s="2162" customFormat="1" ht="71.25" x14ac:dyDescent="0.2">
      <c r="A70" s="2181"/>
      <c r="B70" s="2182"/>
      <c r="C70" s="2183"/>
      <c r="D70" s="2182"/>
      <c r="E70" s="2182"/>
      <c r="F70" s="2183"/>
      <c r="G70" s="2188"/>
      <c r="H70" s="2182"/>
      <c r="I70" s="2183"/>
      <c r="J70" s="4164"/>
      <c r="K70" s="4142"/>
      <c r="L70" s="4139"/>
      <c r="M70" s="4139"/>
      <c r="N70" s="4139"/>
      <c r="O70" s="4157"/>
      <c r="P70" s="4142"/>
      <c r="Q70" s="4146"/>
      <c r="R70" s="4159"/>
      <c r="S70" s="4142"/>
      <c r="T70" s="4142"/>
      <c r="U70" s="2164" t="s">
        <v>1975</v>
      </c>
      <c r="V70" s="2189">
        <v>5000000</v>
      </c>
      <c r="W70" s="2161">
        <v>61</v>
      </c>
      <c r="X70" s="4139"/>
      <c r="Y70" s="4139"/>
      <c r="Z70" s="4139"/>
      <c r="AA70" s="4199"/>
      <c r="AB70" s="4199"/>
      <c r="AC70" s="4199"/>
      <c r="AD70" s="4199"/>
      <c r="AE70" s="4199"/>
      <c r="AF70" s="4199"/>
      <c r="AG70" s="4164"/>
      <c r="AH70" s="4199"/>
      <c r="AI70" s="4199"/>
      <c r="AJ70" s="4199"/>
      <c r="AK70" s="4199"/>
      <c r="AL70" s="4199"/>
      <c r="AM70" s="4199"/>
      <c r="AN70" s="4199"/>
      <c r="AO70" s="4150"/>
      <c r="AP70" s="4150"/>
      <c r="AQ70" s="4137"/>
    </row>
    <row r="71" spans="1:43" s="2162" customFormat="1" ht="42.75" x14ac:dyDescent="0.2">
      <c r="A71" s="2181"/>
      <c r="B71" s="2182"/>
      <c r="C71" s="2183"/>
      <c r="D71" s="2182"/>
      <c r="E71" s="2182"/>
      <c r="F71" s="2183"/>
      <c r="G71" s="2188"/>
      <c r="H71" s="2182"/>
      <c r="I71" s="2183"/>
      <c r="J71" s="4164"/>
      <c r="K71" s="4142"/>
      <c r="L71" s="4139"/>
      <c r="M71" s="4139"/>
      <c r="N71" s="4139"/>
      <c r="O71" s="4157"/>
      <c r="P71" s="4142"/>
      <c r="Q71" s="4146"/>
      <c r="R71" s="4159"/>
      <c r="S71" s="4142"/>
      <c r="T71" s="4142"/>
      <c r="U71" s="2164" t="s">
        <v>1976</v>
      </c>
      <c r="V71" s="2189">
        <v>5000000</v>
      </c>
      <c r="W71" s="2161">
        <v>61</v>
      </c>
      <c r="X71" s="4139"/>
      <c r="Y71" s="4139"/>
      <c r="Z71" s="4139"/>
      <c r="AA71" s="4199"/>
      <c r="AB71" s="4199"/>
      <c r="AC71" s="4199"/>
      <c r="AD71" s="4199"/>
      <c r="AE71" s="4199"/>
      <c r="AF71" s="4199"/>
      <c r="AG71" s="4164"/>
      <c r="AH71" s="4199"/>
      <c r="AI71" s="4199"/>
      <c r="AJ71" s="4199"/>
      <c r="AK71" s="4199"/>
      <c r="AL71" s="4199"/>
      <c r="AM71" s="4199"/>
      <c r="AN71" s="4199"/>
      <c r="AO71" s="4150"/>
      <c r="AP71" s="4150"/>
      <c r="AQ71" s="4137"/>
    </row>
    <row r="72" spans="1:43" s="2162" customFormat="1" ht="71.25" x14ac:dyDescent="0.2">
      <c r="A72" s="2181"/>
      <c r="B72" s="2182"/>
      <c r="C72" s="2183"/>
      <c r="D72" s="2182"/>
      <c r="E72" s="2182"/>
      <c r="F72" s="2183"/>
      <c r="G72" s="2188"/>
      <c r="H72" s="2182"/>
      <c r="I72" s="2183"/>
      <c r="J72" s="4164"/>
      <c r="K72" s="4142"/>
      <c r="L72" s="4139"/>
      <c r="M72" s="4139"/>
      <c r="N72" s="4139"/>
      <c r="O72" s="4157"/>
      <c r="P72" s="4142"/>
      <c r="Q72" s="4146"/>
      <c r="R72" s="4159"/>
      <c r="S72" s="4142"/>
      <c r="T72" s="4142"/>
      <c r="U72" s="2164" t="s">
        <v>1977</v>
      </c>
      <c r="V72" s="2189">
        <v>5000000</v>
      </c>
      <c r="W72" s="2161">
        <v>61</v>
      </c>
      <c r="X72" s="4139"/>
      <c r="Y72" s="4139"/>
      <c r="Z72" s="4139"/>
      <c r="AA72" s="4199"/>
      <c r="AB72" s="4199"/>
      <c r="AC72" s="4199"/>
      <c r="AD72" s="4199"/>
      <c r="AE72" s="4199"/>
      <c r="AF72" s="4199"/>
      <c r="AG72" s="4164"/>
      <c r="AH72" s="4199"/>
      <c r="AI72" s="4199"/>
      <c r="AJ72" s="4199"/>
      <c r="AK72" s="4199"/>
      <c r="AL72" s="4199"/>
      <c r="AM72" s="4199"/>
      <c r="AN72" s="4199"/>
      <c r="AO72" s="4150"/>
      <c r="AP72" s="4150"/>
      <c r="AQ72" s="4137"/>
    </row>
    <row r="73" spans="1:43" s="2162" customFormat="1" ht="57" x14ac:dyDescent="0.2">
      <c r="A73" s="2181"/>
      <c r="B73" s="2182"/>
      <c r="C73" s="2183"/>
      <c r="D73" s="2182"/>
      <c r="E73" s="2182"/>
      <c r="F73" s="2183"/>
      <c r="G73" s="2188"/>
      <c r="H73" s="2182"/>
      <c r="I73" s="2183"/>
      <c r="J73" s="4164"/>
      <c r="K73" s="4142"/>
      <c r="L73" s="4139"/>
      <c r="M73" s="4139"/>
      <c r="N73" s="4139"/>
      <c r="O73" s="4157"/>
      <c r="P73" s="4142"/>
      <c r="Q73" s="4146"/>
      <c r="R73" s="4159"/>
      <c r="S73" s="4142"/>
      <c r="T73" s="4142"/>
      <c r="U73" s="2164" t="s">
        <v>1978</v>
      </c>
      <c r="V73" s="2189">
        <v>5000000</v>
      </c>
      <c r="W73" s="2161">
        <v>61</v>
      </c>
      <c r="X73" s="4139"/>
      <c r="Y73" s="4139"/>
      <c r="Z73" s="4139"/>
      <c r="AA73" s="4199"/>
      <c r="AB73" s="4199"/>
      <c r="AC73" s="4199"/>
      <c r="AD73" s="4199"/>
      <c r="AE73" s="4199"/>
      <c r="AF73" s="4199"/>
      <c r="AG73" s="4164"/>
      <c r="AH73" s="4199"/>
      <c r="AI73" s="4199"/>
      <c r="AJ73" s="4199"/>
      <c r="AK73" s="4199"/>
      <c r="AL73" s="4199"/>
      <c r="AM73" s="4199"/>
      <c r="AN73" s="4199"/>
      <c r="AO73" s="4150"/>
      <c r="AP73" s="4150"/>
      <c r="AQ73" s="4137"/>
    </row>
    <row r="74" spans="1:43" s="2162" customFormat="1" ht="60" customHeight="1" x14ac:dyDescent="0.2">
      <c r="A74" s="2181"/>
      <c r="B74" s="2182"/>
      <c r="C74" s="2183"/>
      <c r="D74" s="2182"/>
      <c r="E74" s="2182"/>
      <c r="F74" s="2183"/>
      <c r="G74" s="2188"/>
      <c r="H74" s="2182"/>
      <c r="I74" s="2183"/>
      <c r="J74" s="4164"/>
      <c r="K74" s="4142"/>
      <c r="L74" s="4139"/>
      <c r="M74" s="4139"/>
      <c r="N74" s="4139"/>
      <c r="O74" s="4157"/>
      <c r="P74" s="4142"/>
      <c r="Q74" s="4146"/>
      <c r="R74" s="4159"/>
      <c r="S74" s="4142"/>
      <c r="T74" s="4142"/>
      <c r="U74" s="2164" t="s">
        <v>1979</v>
      </c>
      <c r="V74" s="2189">
        <v>5000000</v>
      </c>
      <c r="W74" s="2161">
        <v>61</v>
      </c>
      <c r="X74" s="4139"/>
      <c r="Y74" s="4139"/>
      <c r="Z74" s="4139"/>
      <c r="AA74" s="4199"/>
      <c r="AB74" s="4199"/>
      <c r="AC74" s="4199"/>
      <c r="AD74" s="4199"/>
      <c r="AE74" s="4199"/>
      <c r="AF74" s="4199"/>
      <c r="AG74" s="4164"/>
      <c r="AH74" s="4199"/>
      <c r="AI74" s="4199"/>
      <c r="AJ74" s="4199"/>
      <c r="AK74" s="4199"/>
      <c r="AL74" s="4199"/>
      <c r="AM74" s="4199"/>
      <c r="AN74" s="4199"/>
      <c r="AO74" s="4150"/>
      <c r="AP74" s="4150"/>
      <c r="AQ74" s="4137"/>
    </row>
    <row r="75" spans="1:43" s="2162" customFormat="1" ht="71.25" x14ac:dyDescent="0.2">
      <c r="A75" s="2181"/>
      <c r="B75" s="2182"/>
      <c r="C75" s="2183"/>
      <c r="D75" s="2182"/>
      <c r="E75" s="2182"/>
      <c r="F75" s="2183"/>
      <c r="G75" s="2188"/>
      <c r="H75" s="2182"/>
      <c r="I75" s="2183"/>
      <c r="J75" s="4164"/>
      <c r="K75" s="4142"/>
      <c r="L75" s="4139"/>
      <c r="M75" s="4139"/>
      <c r="N75" s="4139"/>
      <c r="O75" s="4157"/>
      <c r="P75" s="4142"/>
      <c r="Q75" s="4146"/>
      <c r="R75" s="4159"/>
      <c r="S75" s="4142"/>
      <c r="T75" s="4142"/>
      <c r="U75" s="2164" t="s">
        <v>1973</v>
      </c>
      <c r="V75" s="2189">
        <v>5000000</v>
      </c>
      <c r="W75" s="2161">
        <v>61</v>
      </c>
      <c r="X75" s="4139"/>
      <c r="Y75" s="4139"/>
      <c r="Z75" s="4139"/>
      <c r="AA75" s="4199"/>
      <c r="AB75" s="4199"/>
      <c r="AC75" s="4199"/>
      <c r="AD75" s="4199"/>
      <c r="AE75" s="4199"/>
      <c r="AF75" s="4199"/>
      <c r="AG75" s="4164"/>
      <c r="AH75" s="4199"/>
      <c r="AI75" s="4199"/>
      <c r="AJ75" s="4199"/>
      <c r="AK75" s="4199"/>
      <c r="AL75" s="4199"/>
      <c r="AM75" s="4199"/>
      <c r="AN75" s="4199"/>
      <c r="AO75" s="4150"/>
      <c r="AP75" s="4150"/>
      <c r="AQ75" s="4137"/>
    </row>
    <row r="76" spans="1:43" s="2162" customFormat="1" ht="57" customHeight="1" x14ac:dyDescent="0.2">
      <c r="A76" s="2181"/>
      <c r="B76" s="2182"/>
      <c r="C76" s="2183"/>
      <c r="D76" s="2182"/>
      <c r="E76" s="2182"/>
      <c r="F76" s="2183"/>
      <c r="G76" s="2188"/>
      <c r="H76" s="2182"/>
      <c r="I76" s="2183"/>
      <c r="J76" s="4164"/>
      <c r="K76" s="4142"/>
      <c r="L76" s="4139"/>
      <c r="M76" s="4139"/>
      <c r="N76" s="4139"/>
      <c r="O76" s="4157"/>
      <c r="P76" s="4142"/>
      <c r="Q76" s="4146"/>
      <c r="R76" s="4159"/>
      <c r="S76" s="4142"/>
      <c r="T76" s="4142"/>
      <c r="U76" s="2164" t="s">
        <v>1972</v>
      </c>
      <c r="V76" s="2189">
        <v>5000000</v>
      </c>
      <c r="W76" s="2161">
        <v>61</v>
      </c>
      <c r="X76" s="4139"/>
      <c r="Y76" s="4139"/>
      <c r="Z76" s="4139"/>
      <c r="AA76" s="4199"/>
      <c r="AB76" s="4199"/>
      <c r="AC76" s="4199"/>
      <c r="AD76" s="4199"/>
      <c r="AE76" s="4199"/>
      <c r="AF76" s="4199"/>
      <c r="AG76" s="4164"/>
      <c r="AH76" s="4199"/>
      <c r="AI76" s="4199"/>
      <c r="AJ76" s="4199"/>
      <c r="AK76" s="4199"/>
      <c r="AL76" s="4199"/>
      <c r="AM76" s="4199"/>
      <c r="AN76" s="4199"/>
      <c r="AO76" s="4150"/>
      <c r="AP76" s="4150"/>
      <c r="AQ76" s="4137"/>
    </row>
    <row r="77" spans="1:43" s="2162" customFormat="1" ht="57" customHeight="1" x14ac:dyDescent="0.2">
      <c r="A77" s="2181"/>
      <c r="B77" s="2182"/>
      <c r="C77" s="2183"/>
      <c r="D77" s="2182"/>
      <c r="E77" s="2182"/>
      <c r="F77" s="2183"/>
      <c r="G77" s="2188"/>
      <c r="H77" s="2182"/>
      <c r="I77" s="2183"/>
      <c r="J77" s="4165"/>
      <c r="K77" s="4143"/>
      <c r="L77" s="4140"/>
      <c r="M77" s="4140"/>
      <c r="N77" s="4139"/>
      <c r="O77" s="4157"/>
      <c r="P77" s="4142"/>
      <c r="Q77" s="4147"/>
      <c r="R77" s="4159"/>
      <c r="S77" s="4142"/>
      <c r="T77" s="4142"/>
      <c r="U77" s="2164" t="s">
        <v>1980</v>
      </c>
      <c r="V77" s="2187">
        <f>5000000+6000000</f>
        <v>11000000</v>
      </c>
      <c r="W77" s="2161">
        <v>61</v>
      </c>
      <c r="X77" s="4139"/>
      <c r="Y77" s="4139"/>
      <c r="Z77" s="4139"/>
      <c r="AA77" s="4199"/>
      <c r="AB77" s="4199"/>
      <c r="AC77" s="4199"/>
      <c r="AD77" s="4199"/>
      <c r="AE77" s="4199"/>
      <c r="AF77" s="4199"/>
      <c r="AG77" s="4164"/>
      <c r="AH77" s="4199"/>
      <c r="AI77" s="4199"/>
      <c r="AJ77" s="4199"/>
      <c r="AK77" s="4199"/>
      <c r="AL77" s="4199"/>
      <c r="AM77" s="4199"/>
      <c r="AN77" s="4199"/>
      <c r="AO77" s="4150"/>
      <c r="AP77" s="4150"/>
      <c r="AQ77" s="4137"/>
    </row>
    <row r="78" spans="1:43" s="2162" customFormat="1" ht="103.5" customHeight="1" x14ac:dyDescent="0.2">
      <c r="A78" s="2181"/>
      <c r="B78" s="2182"/>
      <c r="C78" s="2183"/>
      <c r="D78" s="2182"/>
      <c r="E78" s="2182"/>
      <c r="F78" s="2183"/>
      <c r="G78" s="2188"/>
      <c r="H78" s="2182"/>
      <c r="I78" s="2183"/>
      <c r="J78" s="4163">
        <v>135</v>
      </c>
      <c r="K78" s="4141" t="s">
        <v>1981</v>
      </c>
      <c r="L78" s="4138" t="s">
        <v>1905</v>
      </c>
      <c r="M78" s="4138">
        <v>12</v>
      </c>
      <c r="N78" s="4139"/>
      <c r="O78" s="4157"/>
      <c r="P78" s="4142"/>
      <c r="Q78" s="4166">
        <f>SUM(V78:V82)/R55</f>
        <v>0.19047619047619047</v>
      </c>
      <c r="R78" s="4159"/>
      <c r="S78" s="4142"/>
      <c r="T78" s="4142"/>
      <c r="U78" s="2164" t="s">
        <v>1982</v>
      </c>
      <c r="V78" s="2189">
        <v>8000000</v>
      </c>
      <c r="W78" s="2161">
        <v>61</v>
      </c>
      <c r="X78" s="4139"/>
      <c r="Y78" s="4139"/>
      <c r="Z78" s="4139"/>
      <c r="AA78" s="4199"/>
      <c r="AB78" s="4199"/>
      <c r="AC78" s="4199"/>
      <c r="AD78" s="4199"/>
      <c r="AE78" s="4199"/>
      <c r="AF78" s="4199"/>
      <c r="AG78" s="4164"/>
      <c r="AH78" s="4199"/>
      <c r="AI78" s="4199"/>
      <c r="AJ78" s="4199"/>
      <c r="AK78" s="4199"/>
      <c r="AL78" s="4199"/>
      <c r="AM78" s="4199"/>
      <c r="AN78" s="4199"/>
      <c r="AO78" s="4150"/>
      <c r="AP78" s="4150"/>
      <c r="AQ78" s="4137"/>
    </row>
    <row r="79" spans="1:43" s="2162" customFormat="1" ht="96" customHeight="1" x14ac:dyDescent="0.2">
      <c r="A79" s="2181"/>
      <c r="B79" s="2182"/>
      <c r="C79" s="2183"/>
      <c r="D79" s="2182"/>
      <c r="E79" s="2182"/>
      <c r="F79" s="2183"/>
      <c r="G79" s="2188"/>
      <c r="H79" s="2182"/>
      <c r="I79" s="2183"/>
      <c r="J79" s="4164"/>
      <c r="K79" s="4142"/>
      <c r="L79" s="4139"/>
      <c r="M79" s="4139"/>
      <c r="N79" s="4139"/>
      <c r="O79" s="4157"/>
      <c r="P79" s="4142"/>
      <c r="Q79" s="4146"/>
      <c r="R79" s="4159"/>
      <c r="S79" s="4142"/>
      <c r="T79" s="4142"/>
      <c r="U79" s="2164" t="s">
        <v>1983</v>
      </c>
      <c r="V79" s="2189">
        <v>10000000</v>
      </c>
      <c r="W79" s="2161">
        <v>61</v>
      </c>
      <c r="X79" s="4139"/>
      <c r="Y79" s="4139"/>
      <c r="Z79" s="4139"/>
      <c r="AA79" s="4199"/>
      <c r="AB79" s="4199"/>
      <c r="AC79" s="4199"/>
      <c r="AD79" s="4199"/>
      <c r="AE79" s="4199"/>
      <c r="AF79" s="4199"/>
      <c r="AG79" s="4164"/>
      <c r="AH79" s="4199"/>
      <c r="AI79" s="4199"/>
      <c r="AJ79" s="4199"/>
      <c r="AK79" s="4199"/>
      <c r="AL79" s="4199"/>
      <c r="AM79" s="4199"/>
      <c r="AN79" s="4199"/>
      <c r="AO79" s="4150"/>
      <c r="AP79" s="4150"/>
      <c r="AQ79" s="4137"/>
    </row>
    <row r="80" spans="1:43" s="2162" customFormat="1" ht="72" customHeight="1" x14ac:dyDescent="0.2">
      <c r="A80" s="2181"/>
      <c r="B80" s="2182"/>
      <c r="C80" s="2183"/>
      <c r="D80" s="2182"/>
      <c r="E80" s="2182"/>
      <c r="F80" s="2183"/>
      <c r="G80" s="2188"/>
      <c r="H80" s="2182"/>
      <c r="I80" s="2183"/>
      <c r="J80" s="4164"/>
      <c r="K80" s="4142"/>
      <c r="L80" s="4139"/>
      <c r="M80" s="4139"/>
      <c r="N80" s="4139"/>
      <c r="O80" s="4157"/>
      <c r="P80" s="4142"/>
      <c r="Q80" s="4146"/>
      <c r="R80" s="4159"/>
      <c r="S80" s="4142"/>
      <c r="T80" s="4142"/>
      <c r="U80" s="2164" t="s">
        <v>1984</v>
      </c>
      <c r="V80" s="2189">
        <v>4000000</v>
      </c>
      <c r="W80" s="2161">
        <v>61</v>
      </c>
      <c r="X80" s="4139"/>
      <c r="Y80" s="4139"/>
      <c r="Z80" s="4139"/>
      <c r="AA80" s="4199"/>
      <c r="AB80" s="4199"/>
      <c r="AC80" s="4199"/>
      <c r="AD80" s="4199"/>
      <c r="AE80" s="4199"/>
      <c r="AF80" s="4199"/>
      <c r="AG80" s="4164"/>
      <c r="AH80" s="4199"/>
      <c r="AI80" s="4199"/>
      <c r="AJ80" s="4199"/>
      <c r="AK80" s="4199"/>
      <c r="AL80" s="4199"/>
      <c r="AM80" s="4199"/>
      <c r="AN80" s="4199"/>
      <c r="AO80" s="4150"/>
      <c r="AP80" s="4150"/>
      <c r="AQ80" s="4137"/>
    </row>
    <row r="81" spans="1:43" s="2162" customFormat="1" ht="70.5" customHeight="1" x14ac:dyDescent="0.2">
      <c r="A81" s="2181"/>
      <c r="B81" s="2182"/>
      <c r="C81" s="2183"/>
      <c r="D81" s="2182"/>
      <c r="E81" s="2182"/>
      <c r="F81" s="2183"/>
      <c r="G81" s="2188"/>
      <c r="H81" s="2182"/>
      <c r="I81" s="2183"/>
      <c r="J81" s="4164"/>
      <c r="K81" s="4142"/>
      <c r="L81" s="4139"/>
      <c r="M81" s="4139"/>
      <c r="N81" s="4139"/>
      <c r="O81" s="4157"/>
      <c r="P81" s="4142"/>
      <c r="Q81" s="4146"/>
      <c r="R81" s="4159"/>
      <c r="S81" s="4142"/>
      <c r="T81" s="4142"/>
      <c r="U81" s="2164" t="s">
        <v>1985</v>
      </c>
      <c r="V81" s="2189">
        <v>6000000</v>
      </c>
      <c r="W81" s="2161">
        <v>61</v>
      </c>
      <c r="X81" s="4139"/>
      <c r="Y81" s="4139"/>
      <c r="Z81" s="4139"/>
      <c r="AA81" s="4199"/>
      <c r="AB81" s="4199"/>
      <c r="AC81" s="4199"/>
      <c r="AD81" s="4199"/>
      <c r="AE81" s="4199"/>
      <c r="AF81" s="4199"/>
      <c r="AG81" s="4164"/>
      <c r="AH81" s="4199"/>
      <c r="AI81" s="4199"/>
      <c r="AJ81" s="4199"/>
      <c r="AK81" s="4199"/>
      <c r="AL81" s="4199"/>
      <c r="AM81" s="4199"/>
      <c r="AN81" s="4199"/>
      <c r="AO81" s="4150"/>
      <c r="AP81" s="4150"/>
      <c r="AQ81" s="4137"/>
    </row>
    <row r="82" spans="1:43" s="2162" customFormat="1" ht="67.5" customHeight="1" x14ac:dyDescent="0.2">
      <c r="A82" s="2181"/>
      <c r="B82" s="2182"/>
      <c r="C82" s="2183"/>
      <c r="D82" s="2182"/>
      <c r="E82" s="2182"/>
      <c r="F82" s="2183"/>
      <c r="G82" s="2190"/>
      <c r="H82" s="2191"/>
      <c r="I82" s="2192"/>
      <c r="J82" s="4165"/>
      <c r="K82" s="4143"/>
      <c r="L82" s="4140"/>
      <c r="M82" s="4140"/>
      <c r="N82" s="4140"/>
      <c r="O82" s="4190"/>
      <c r="P82" s="4143"/>
      <c r="Q82" s="4147"/>
      <c r="R82" s="4176"/>
      <c r="S82" s="4143"/>
      <c r="T82" s="4143"/>
      <c r="U82" s="2164" t="s">
        <v>1986</v>
      </c>
      <c r="V82" s="2189">
        <v>4000000</v>
      </c>
      <c r="W82" s="2161">
        <v>61</v>
      </c>
      <c r="X82" s="4140"/>
      <c r="Y82" s="4140"/>
      <c r="Z82" s="4140"/>
      <c r="AA82" s="4200"/>
      <c r="AB82" s="4200"/>
      <c r="AC82" s="4200"/>
      <c r="AD82" s="4200"/>
      <c r="AE82" s="4200"/>
      <c r="AF82" s="4200"/>
      <c r="AG82" s="4165"/>
      <c r="AH82" s="4200"/>
      <c r="AI82" s="4200"/>
      <c r="AJ82" s="4200"/>
      <c r="AK82" s="4200"/>
      <c r="AL82" s="4200"/>
      <c r="AM82" s="4200"/>
      <c r="AN82" s="4200"/>
      <c r="AO82" s="4175"/>
      <c r="AP82" s="4175"/>
      <c r="AQ82" s="4153"/>
    </row>
    <row r="83" spans="1:43" ht="33" customHeight="1" x14ac:dyDescent="0.2">
      <c r="A83" s="2141"/>
      <c r="B83" s="2142"/>
      <c r="C83" s="2143"/>
      <c r="D83" s="2142"/>
      <c r="E83" s="2142"/>
      <c r="F83" s="2143"/>
      <c r="G83" s="2176">
        <v>38</v>
      </c>
      <c r="H83" s="2147" t="s">
        <v>1987</v>
      </c>
      <c r="I83" s="2147"/>
      <c r="J83" s="2147"/>
      <c r="K83" s="2148"/>
      <c r="L83" s="2147"/>
      <c r="M83" s="2147"/>
      <c r="N83" s="2149"/>
      <c r="O83" s="2177"/>
      <c r="P83" s="2148"/>
      <c r="Q83" s="2147"/>
      <c r="R83" s="2178"/>
      <c r="S83" s="2147"/>
      <c r="T83" s="2148"/>
      <c r="U83" s="2148"/>
      <c r="V83" s="2179"/>
      <c r="W83" s="2180"/>
      <c r="X83" s="2149"/>
      <c r="Y83" s="2149"/>
      <c r="Z83" s="2149"/>
      <c r="AA83" s="2149"/>
      <c r="AB83" s="2149"/>
      <c r="AC83" s="2149"/>
      <c r="AD83" s="2149"/>
      <c r="AE83" s="2149"/>
      <c r="AF83" s="2149"/>
      <c r="AG83" s="2149"/>
      <c r="AH83" s="2149"/>
      <c r="AI83" s="2149"/>
      <c r="AJ83" s="2149"/>
      <c r="AK83" s="2149"/>
      <c r="AL83" s="2149"/>
      <c r="AM83" s="2149"/>
      <c r="AN83" s="2149"/>
      <c r="AO83" s="2147"/>
      <c r="AP83" s="2147"/>
      <c r="AQ83" s="2154"/>
    </row>
    <row r="84" spans="1:43" s="2162" customFormat="1" ht="34.5" customHeight="1" x14ac:dyDescent="0.2">
      <c r="A84" s="2155"/>
      <c r="B84" s="2156"/>
      <c r="C84" s="2157"/>
      <c r="D84" s="2156"/>
      <c r="E84" s="2156"/>
      <c r="F84" s="2157"/>
      <c r="G84" s="2158"/>
      <c r="H84" s="2159"/>
      <c r="I84" s="2160"/>
      <c r="J84" s="4163">
        <v>136</v>
      </c>
      <c r="K84" s="4141" t="s">
        <v>1988</v>
      </c>
      <c r="L84" s="4138" t="s">
        <v>1905</v>
      </c>
      <c r="M84" s="4138">
        <v>12</v>
      </c>
      <c r="N84" s="4138" t="s">
        <v>1989</v>
      </c>
      <c r="O84" s="4156" t="s">
        <v>1990</v>
      </c>
      <c r="P84" s="4141" t="s">
        <v>1991</v>
      </c>
      <c r="Q84" s="4166">
        <f>SUM(V84:V94)/R84</f>
        <v>0.39130434782608697</v>
      </c>
      <c r="R84" s="4158">
        <f>SUM(V84:V104)</f>
        <v>138000000</v>
      </c>
      <c r="S84" s="4141" t="s">
        <v>1992</v>
      </c>
      <c r="T84" s="4141" t="s">
        <v>1993</v>
      </c>
      <c r="U84" s="4141" t="s">
        <v>1994</v>
      </c>
      <c r="V84" s="2189">
        <v>3000000</v>
      </c>
      <c r="W84" s="2161">
        <v>61</v>
      </c>
      <c r="X84" s="4138" t="s">
        <v>1960</v>
      </c>
      <c r="Y84" s="4138">
        <v>292684</v>
      </c>
      <c r="Z84" s="4138">
        <v>282326</v>
      </c>
      <c r="AA84" s="4260">
        <v>135912</v>
      </c>
      <c r="AB84" s="4260">
        <v>45122</v>
      </c>
      <c r="AC84" s="4295">
        <f>SUM(AC55)</f>
        <v>307101</v>
      </c>
      <c r="AD84" s="4260">
        <f>SUM(AD55)</f>
        <v>86875</v>
      </c>
      <c r="AE84" s="4260">
        <f>SUM(AE55)</f>
        <v>2145</v>
      </c>
      <c r="AF84" s="4260">
        <v>12718</v>
      </c>
      <c r="AG84" s="4260">
        <v>26</v>
      </c>
      <c r="AH84" s="4260">
        <v>37</v>
      </c>
      <c r="AI84" s="4260" t="s">
        <v>1913</v>
      </c>
      <c r="AJ84" s="4295" t="s">
        <v>1913</v>
      </c>
      <c r="AK84" s="4260">
        <v>53164</v>
      </c>
      <c r="AL84" s="4260">
        <v>16982</v>
      </c>
      <c r="AM84" s="4295">
        <v>60013</v>
      </c>
      <c r="AN84" s="4260">
        <v>575010</v>
      </c>
      <c r="AO84" s="4149">
        <v>43467</v>
      </c>
      <c r="AP84" s="4149">
        <v>43830</v>
      </c>
      <c r="AQ84" s="4136" t="s">
        <v>1914</v>
      </c>
    </row>
    <row r="85" spans="1:43" s="2162" customFormat="1" ht="39" customHeight="1" x14ac:dyDescent="0.2">
      <c r="A85" s="2155"/>
      <c r="B85" s="2156"/>
      <c r="C85" s="2157"/>
      <c r="D85" s="2156"/>
      <c r="E85" s="2156"/>
      <c r="F85" s="2157"/>
      <c r="G85" s="2163"/>
      <c r="H85" s="2156"/>
      <c r="I85" s="2157"/>
      <c r="J85" s="4164"/>
      <c r="K85" s="4142"/>
      <c r="L85" s="4139"/>
      <c r="M85" s="4139"/>
      <c r="N85" s="4139"/>
      <c r="O85" s="4157"/>
      <c r="P85" s="4142"/>
      <c r="Q85" s="4146"/>
      <c r="R85" s="4159"/>
      <c r="S85" s="4142"/>
      <c r="T85" s="4142"/>
      <c r="U85" s="4143"/>
      <c r="V85" s="2187">
        <v>13000000</v>
      </c>
      <c r="W85" s="2161">
        <v>98</v>
      </c>
      <c r="X85" s="4139"/>
      <c r="Y85" s="4139"/>
      <c r="Z85" s="4139"/>
      <c r="AA85" s="4199"/>
      <c r="AB85" s="4199"/>
      <c r="AC85" s="4296"/>
      <c r="AD85" s="4199"/>
      <c r="AE85" s="4199"/>
      <c r="AF85" s="4199"/>
      <c r="AG85" s="4199"/>
      <c r="AH85" s="4199"/>
      <c r="AI85" s="4199"/>
      <c r="AJ85" s="4296"/>
      <c r="AK85" s="4199"/>
      <c r="AL85" s="4199"/>
      <c r="AM85" s="4296"/>
      <c r="AN85" s="4199"/>
      <c r="AO85" s="4150"/>
      <c r="AP85" s="4150"/>
      <c r="AQ85" s="4137"/>
    </row>
    <row r="86" spans="1:43" s="2162" customFormat="1" ht="32.25" customHeight="1" x14ac:dyDescent="0.2">
      <c r="A86" s="2155"/>
      <c r="B86" s="2156"/>
      <c r="C86" s="2157"/>
      <c r="D86" s="2156"/>
      <c r="E86" s="2156"/>
      <c r="F86" s="2157"/>
      <c r="G86" s="2163"/>
      <c r="H86" s="2156"/>
      <c r="I86" s="2157"/>
      <c r="J86" s="4164"/>
      <c r="K86" s="4142"/>
      <c r="L86" s="4139"/>
      <c r="M86" s="4139"/>
      <c r="N86" s="4139"/>
      <c r="O86" s="4157"/>
      <c r="P86" s="4142"/>
      <c r="Q86" s="4146"/>
      <c r="R86" s="4159"/>
      <c r="S86" s="4142"/>
      <c r="T86" s="4142"/>
      <c r="U86" s="4298" t="s">
        <v>1995</v>
      </c>
      <c r="V86" s="2187">
        <v>3000000</v>
      </c>
      <c r="W86" s="2161">
        <v>61</v>
      </c>
      <c r="X86" s="4139"/>
      <c r="Y86" s="4139"/>
      <c r="Z86" s="4139"/>
      <c r="AA86" s="4199"/>
      <c r="AB86" s="4199"/>
      <c r="AC86" s="4296"/>
      <c r="AD86" s="4199"/>
      <c r="AE86" s="4199"/>
      <c r="AF86" s="4199"/>
      <c r="AG86" s="4199"/>
      <c r="AH86" s="4199"/>
      <c r="AI86" s="4199"/>
      <c r="AJ86" s="4296"/>
      <c r="AK86" s="4199"/>
      <c r="AL86" s="4199"/>
      <c r="AM86" s="4296"/>
      <c r="AN86" s="4199"/>
      <c r="AO86" s="4150"/>
      <c r="AP86" s="4150"/>
      <c r="AQ86" s="4137"/>
    </row>
    <row r="87" spans="1:43" s="2162" customFormat="1" ht="44.25" customHeight="1" x14ac:dyDescent="0.2">
      <c r="A87" s="2155"/>
      <c r="B87" s="2156"/>
      <c r="C87" s="2157"/>
      <c r="D87" s="2156"/>
      <c r="E87" s="2156"/>
      <c r="F87" s="2157"/>
      <c r="G87" s="2163"/>
      <c r="H87" s="2156"/>
      <c r="I87" s="2157"/>
      <c r="J87" s="4164"/>
      <c r="K87" s="4142"/>
      <c r="L87" s="4139"/>
      <c r="M87" s="4139"/>
      <c r="N87" s="4139"/>
      <c r="O87" s="4157"/>
      <c r="P87" s="4142"/>
      <c r="Q87" s="4146"/>
      <c r="R87" s="4159"/>
      <c r="S87" s="4142"/>
      <c r="T87" s="4142"/>
      <c r="U87" s="4299"/>
      <c r="V87" s="2187">
        <v>13000000</v>
      </c>
      <c r="W87" s="2161">
        <v>98</v>
      </c>
      <c r="X87" s="4139"/>
      <c r="Y87" s="4139"/>
      <c r="Z87" s="4139"/>
      <c r="AA87" s="4199"/>
      <c r="AB87" s="4199"/>
      <c r="AC87" s="4296"/>
      <c r="AD87" s="4199"/>
      <c r="AE87" s="4199"/>
      <c r="AF87" s="4199"/>
      <c r="AG87" s="4199"/>
      <c r="AH87" s="4199"/>
      <c r="AI87" s="4199"/>
      <c r="AJ87" s="4296"/>
      <c r="AK87" s="4199"/>
      <c r="AL87" s="4199"/>
      <c r="AM87" s="4296"/>
      <c r="AN87" s="4199"/>
      <c r="AO87" s="4150"/>
      <c r="AP87" s="4150"/>
      <c r="AQ87" s="4137"/>
    </row>
    <row r="88" spans="1:43" s="2162" customFormat="1" ht="71.25" x14ac:dyDescent="0.2">
      <c r="A88" s="2155"/>
      <c r="B88" s="2156"/>
      <c r="C88" s="2157"/>
      <c r="D88" s="2156"/>
      <c r="E88" s="2156"/>
      <c r="F88" s="2157"/>
      <c r="G88" s="2163"/>
      <c r="H88" s="2156"/>
      <c r="I88" s="2157"/>
      <c r="J88" s="4164"/>
      <c r="K88" s="4142"/>
      <c r="L88" s="4139"/>
      <c r="M88" s="4139"/>
      <c r="N88" s="4139"/>
      <c r="O88" s="4157"/>
      <c r="P88" s="4142"/>
      <c r="Q88" s="4146"/>
      <c r="R88" s="4159"/>
      <c r="S88" s="4142"/>
      <c r="T88" s="4142"/>
      <c r="U88" s="2193" t="s">
        <v>1996</v>
      </c>
      <c r="V88" s="2187">
        <v>3000000</v>
      </c>
      <c r="W88" s="2161">
        <v>61</v>
      </c>
      <c r="X88" s="4139"/>
      <c r="Y88" s="4139"/>
      <c r="Z88" s="4139"/>
      <c r="AA88" s="4199"/>
      <c r="AB88" s="4199"/>
      <c r="AC88" s="4296"/>
      <c r="AD88" s="4199"/>
      <c r="AE88" s="4199"/>
      <c r="AF88" s="4199"/>
      <c r="AG88" s="4199"/>
      <c r="AH88" s="4199"/>
      <c r="AI88" s="4199"/>
      <c r="AJ88" s="4296"/>
      <c r="AK88" s="4199"/>
      <c r="AL88" s="4199"/>
      <c r="AM88" s="4296"/>
      <c r="AN88" s="4199"/>
      <c r="AO88" s="4150"/>
      <c r="AP88" s="4150"/>
      <c r="AQ88" s="4137"/>
    </row>
    <row r="89" spans="1:43" s="2162" customFormat="1" ht="57" x14ac:dyDescent="0.2">
      <c r="A89" s="2155"/>
      <c r="B89" s="2156"/>
      <c r="C89" s="2157"/>
      <c r="D89" s="2156"/>
      <c r="E89" s="2156"/>
      <c r="F89" s="2157"/>
      <c r="G89" s="2163"/>
      <c r="H89" s="2156"/>
      <c r="I89" s="2157"/>
      <c r="J89" s="4164"/>
      <c r="K89" s="4142"/>
      <c r="L89" s="4139"/>
      <c r="M89" s="4139"/>
      <c r="N89" s="4139"/>
      <c r="O89" s="4157"/>
      <c r="P89" s="4142"/>
      <c r="Q89" s="4146"/>
      <c r="R89" s="4159"/>
      <c r="S89" s="4142"/>
      <c r="T89" s="4142"/>
      <c r="U89" s="2193" t="s">
        <v>1997</v>
      </c>
      <c r="V89" s="2189">
        <v>3000000</v>
      </c>
      <c r="W89" s="2161">
        <v>61</v>
      </c>
      <c r="X89" s="4139"/>
      <c r="Y89" s="4139"/>
      <c r="Z89" s="4139"/>
      <c r="AA89" s="4199"/>
      <c r="AB89" s="4199"/>
      <c r="AC89" s="4296"/>
      <c r="AD89" s="4199"/>
      <c r="AE89" s="4199"/>
      <c r="AF89" s="4199"/>
      <c r="AG89" s="4199"/>
      <c r="AH89" s="4199"/>
      <c r="AI89" s="4199"/>
      <c r="AJ89" s="4296"/>
      <c r="AK89" s="4199"/>
      <c r="AL89" s="4199"/>
      <c r="AM89" s="4296"/>
      <c r="AN89" s="4199"/>
      <c r="AO89" s="4150"/>
      <c r="AP89" s="4150"/>
      <c r="AQ89" s="4137"/>
    </row>
    <row r="90" spans="1:43" s="2162" customFormat="1" ht="110.25" customHeight="1" x14ac:dyDescent="0.2">
      <c r="A90" s="2155"/>
      <c r="B90" s="2156"/>
      <c r="C90" s="2157"/>
      <c r="D90" s="2156"/>
      <c r="E90" s="2156"/>
      <c r="F90" s="2157"/>
      <c r="G90" s="2163"/>
      <c r="H90" s="2156"/>
      <c r="I90" s="2157"/>
      <c r="J90" s="4164"/>
      <c r="K90" s="4142"/>
      <c r="L90" s="4139"/>
      <c r="M90" s="4139"/>
      <c r="N90" s="4139"/>
      <c r="O90" s="4157"/>
      <c r="P90" s="4142"/>
      <c r="Q90" s="4146"/>
      <c r="R90" s="4159"/>
      <c r="S90" s="4142"/>
      <c r="T90" s="4142"/>
      <c r="U90" s="2193" t="s">
        <v>1998</v>
      </c>
      <c r="V90" s="2189">
        <v>3000000</v>
      </c>
      <c r="W90" s="2161">
        <v>61</v>
      </c>
      <c r="X90" s="4139"/>
      <c r="Y90" s="4139"/>
      <c r="Z90" s="4139"/>
      <c r="AA90" s="4199"/>
      <c r="AB90" s="4199"/>
      <c r="AC90" s="4296"/>
      <c r="AD90" s="4199"/>
      <c r="AE90" s="4199"/>
      <c r="AF90" s="4199"/>
      <c r="AG90" s="4199"/>
      <c r="AH90" s="4199"/>
      <c r="AI90" s="4199"/>
      <c r="AJ90" s="4296"/>
      <c r="AK90" s="4199"/>
      <c r="AL90" s="4199"/>
      <c r="AM90" s="4296"/>
      <c r="AN90" s="4199"/>
      <c r="AO90" s="4150"/>
      <c r="AP90" s="4150"/>
      <c r="AQ90" s="4137"/>
    </row>
    <row r="91" spans="1:43" s="2162" customFormat="1" ht="123" customHeight="1" x14ac:dyDescent="0.2">
      <c r="A91" s="2155"/>
      <c r="B91" s="2156"/>
      <c r="C91" s="2157"/>
      <c r="D91" s="2156"/>
      <c r="E91" s="2156"/>
      <c r="F91" s="2157"/>
      <c r="G91" s="2163"/>
      <c r="H91" s="2156"/>
      <c r="I91" s="2157"/>
      <c r="J91" s="4164"/>
      <c r="K91" s="4142"/>
      <c r="L91" s="4139"/>
      <c r="M91" s="4139"/>
      <c r="N91" s="4139"/>
      <c r="O91" s="4157"/>
      <c r="P91" s="4142"/>
      <c r="Q91" s="4146"/>
      <c r="R91" s="4159"/>
      <c r="S91" s="4142"/>
      <c r="T91" s="4142"/>
      <c r="U91" s="2193" t="s">
        <v>1999</v>
      </c>
      <c r="V91" s="2189">
        <v>3000000</v>
      </c>
      <c r="W91" s="2161">
        <v>61</v>
      </c>
      <c r="X91" s="4139"/>
      <c r="Y91" s="4139"/>
      <c r="Z91" s="4139"/>
      <c r="AA91" s="4199"/>
      <c r="AB91" s="4199"/>
      <c r="AC91" s="4296"/>
      <c r="AD91" s="4199"/>
      <c r="AE91" s="4199"/>
      <c r="AF91" s="4199"/>
      <c r="AG91" s="4199"/>
      <c r="AH91" s="4199"/>
      <c r="AI91" s="4199"/>
      <c r="AJ91" s="4296"/>
      <c r="AK91" s="4199"/>
      <c r="AL91" s="4199"/>
      <c r="AM91" s="4296"/>
      <c r="AN91" s="4199"/>
      <c r="AO91" s="4150"/>
      <c r="AP91" s="4150"/>
      <c r="AQ91" s="4137"/>
    </row>
    <row r="92" spans="1:43" s="2162" customFormat="1" ht="71.25" x14ac:dyDescent="0.2">
      <c r="A92" s="2155"/>
      <c r="B92" s="2156"/>
      <c r="C92" s="2157"/>
      <c r="D92" s="2156"/>
      <c r="E92" s="2156"/>
      <c r="F92" s="2157"/>
      <c r="G92" s="2163"/>
      <c r="H92" s="2156"/>
      <c r="I92" s="2157"/>
      <c r="J92" s="4164"/>
      <c r="K92" s="4142"/>
      <c r="L92" s="4139"/>
      <c r="M92" s="4139"/>
      <c r="N92" s="4139"/>
      <c r="O92" s="4157"/>
      <c r="P92" s="4142"/>
      <c r="Q92" s="4146"/>
      <c r="R92" s="4159"/>
      <c r="S92" s="4142"/>
      <c r="T92" s="4142"/>
      <c r="U92" s="2193" t="s">
        <v>2000</v>
      </c>
      <c r="V92" s="2189">
        <v>3000000</v>
      </c>
      <c r="W92" s="2161">
        <v>61</v>
      </c>
      <c r="X92" s="4139"/>
      <c r="Y92" s="4139"/>
      <c r="Z92" s="4139"/>
      <c r="AA92" s="4199"/>
      <c r="AB92" s="4199"/>
      <c r="AC92" s="4296"/>
      <c r="AD92" s="4199"/>
      <c r="AE92" s="4199"/>
      <c r="AF92" s="4199"/>
      <c r="AG92" s="4199"/>
      <c r="AH92" s="4199"/>
      <c r="AI92" s="4199"/>
      <c r="AJ92" s="4296"/>
      <c r="AK92" s="4199"/>
      <c r="AL92" s="4199"/>
      <c r="AM92" s="4296"/>
      <c r="AN92" s="4199"/>
      <c r="AO92" s="4150"/>
      <c r="AP92" s="4150"/>
      <c r="AQ92" s="4137"/>
    </row>
    <row r="93" spans="1:43" s="2162" customFormat="1" ht="57" x14ac:dyDescent="0.2">
      <c r="A93" s="2155"/>
      <c r="B93" s="2156"/>
      <c r="C93" s="2157"/>
      <c r="D93" s="2156"/>
      <c r="E93" s="2156"/>
      <c r="F93" s="2157"/>
      <c r="G93" s="2163"/>
      <c r="H93" s="2156"/>
      <c r="I93" s="2157"/>
      <c r="J93" s="4164"/>
      <c r="K93" s="4142"/>
      <c r="L93" s="4139"/>
      <c r="M93" s="4139"/>
      <c r="N93" s="4139"/>
      <c r="O93" s="4157"/>
      <c r="P93" s="4142"/>
      <c r="Q93" s="4146"/>
      <c r="R93" s="4159"/>
      <c r="S93" s="4142"/>
      <c r="T93" s="4142"/>
      <c r="U93" s="2193" t="s">
        <v>2001</v>
      </c>
      <c r="V93" s="2189">
        <v>3000000</v>
      </c>
      <c r="W93" s="2161">
        <v>61</v>
      </c>
      <c r="X93" s="4139"/>
      <c r="Y93" s="4139"/>
      <c r="Z93" s="4139"/>
      <c r="AA93" s="4199"/>
      <c r="AB93" s="4199"/>
      <c r="AC93" s="4296"/>
      <c r="AD93" s="4199"/>
      <c r="AE93" s="4199"/>
      <c r="AF93" s="4199"/>
      <c r="AG93" s="4199"/>
      <c r="AH93" s="4199"/>
      <c r="AI93" s="4199"/>
      <c r="AJ93" s="4296"/>
      <c r="AK93" s="4199"/>
      <c r="AL93" s="4199"/>
      <c r="AM93" s="4296"/>
      <c r="AN93" s="4199"/>
      <c r="AO93" s="4150"/>
      <c r="AP93" s="4150"/>
      <c r="AQ93" s="4137"/>
    </row>
    <row r="94" spans="1:43" s="2162" customFormat="1" ht="107.25" customHeight="1" x14ac:dyDescent="0.2">
      <c r="A94" s="2155"/>
      <c r="B94" s="2156"/>
      <c r="C94" s="2157"/>
      <c r="D94" s="2156"/>
      <c r="E94" s="2156"/>
      <c r="F94" s="2157"/>
      <c r="G94" s="2163"/>
      <c r="H94" s="2156"/>
      <c r="I94" s="2157"/>
      <c r="J94" s="4165"/>
      <c r="K94" s="4143"/>
      <c r="L94" s="4140"/>
      <c r="M94" s="4140"/>
      <c r="N94" s="4139"/>
      <c r="O94" s="4157"/>
      <c r="P94" s="4142"/>
      <c r="Q94" s="4147"/>
      <c r="R94" s="4159"/>
      <c r="S94" s="4142"/>
      <c r="T94" s="4143"/>
      <c r="U94" s="2193" t="s">
        <v>2002</v>
      </c>
      <c r="V94" s="2189">
        <v>4000000</v>
      </c>
      <c r="W94" s="2161">
        <v>61</v>
      </c>
      <c r="X94" s="4139"/>
      <c r="Y94" s="4139"/>
      <c r="Z94" s="4139"/>
      <c r="AA94" s="4199"/>
      <c r="AB94" s="4199"/>
      <c r="AC94" s="4296"/>
      <c r="AD94" s="4199"/>
      <c r="AE94" s="4199"/>
      <c r="AF94" s="4199"/>
      <c r="AG94" s="4199"/>
      <c r="AH94" s="4199"/>
      <c r="AI94" s="4199"/>
      <c r="AJ94" s="4296"/>
      <c r="AK94" s="4199"/>
      <c r="AL94" s="4199"/>
      <c r="AM94" s="4296"/>
      <c r="AN94" s="4199"/>
      <c r="AO94" s="4150"/>
      <c r="AP94" s="4150"/>
      <c r="AQ94" s="4137"/>
    </row>
    <row r="95" spans="1:43" s="2162" customFormat="1" ht="57" x14ac:dyDescent="0.2">
      <c r="A95" s="2155"/>
      <c r="B95" s="2156"/>
      <c r="C95" s="2157"/>
      <c r="D95" s="2156"/>
      <c r="E95" s="2156"/>
      <c r="F95" s="2157"/>
      <c r="G95" s="2163"/>
      <c r="H95" s="2156"/>
      <c r="I95" s="2157"/>
      <c r="J95" s="4163">
        <v>137</v>
      </c>
      <c r="K95" s="4141" t="s">
        <v>2003</v>
      </c>
      <c r="L95" s="4138" t="s">
        <v>1905</v>
      </c>
      <c r="M95" s="4138">
        <v>12</v>
      </c>
      <c r="N95" s="4139"/>
      <c r="O95" s="4157"/>
      <c r="P95" s="4142"/>
      <c r="Q95" s="4166">
        <f>SUM(V95:V99)/R84</f>
        <v>0.40579710144927539</v>
      </c>
      <c r="R95" s="4159"/>
      <c r="S95" s="4142"/>
      <c r="T95" s="4141" t="s">
        <v>2004</v>
      </c>
      <c r="U95" s="2193" t="s">
        <v>2005</v>
      </c>
      <c r="V95" s="2189">
        <v>11000000</v>
      </c>
      <c r="W95" s="2161">
        <v>61</v>
      </c>
      <c r="X95" s="4139"/>
      <c r="Y95" s="4139"/>
      <c r="Z95" s="4139"/>
      <c r="AA95" s="4199"/>
      <c r="AB95" s="4199"/>
      <c r="AC95" s="4296"/>
      <c r="AD95" s="4199"/>
      <c r="AE95" s="4199"/>
      <c r="AF95" s="4199"/>
      <c r="AG95" s="4199"/>
      <c r="AH95" s="4199"/>
      <c r="AI95" s="4199"/>
      <c r="AJ95" s="4296"/>
      <c r="AK95" s="4199"/>
      <c r="AL95" s="4199"/>
      <c r="AM95" s="4296"/>
      <c r="AN95" s="4199"/>
      <c r="AO95" s="4150"/>
      <c r="AP95" s="4150"/>
      <c r="AQ95" s="4137"/>
    </row>
    <row r="96" spans="1:43" s="2162" customFormat="1" ht="96" customHeight="1" x14ac:dyDescent="0.2">
      <c r="A96" s="2155"/>
      <c r="B96" s="2156"/>
      <c r="C96" s="2157"/>
      <c r="D96" s="2156"/>
      <c r="E96" s="2156"/>
      <c r="F96" s="2157"/>
      <c r="G96" s="2163"/>
      <c r="H96" s="2156"/>
      <c r="I96" s="2157"/>
      <c r="J96" s="4164"/>
      <c r="K96" s="4142"/>
      <c r="L96" s="4139"/>
      <c r="M96" s="4139"/>
      <c r="N96" s="4139"/>
      <c r="O96" s="4157"/>
      <c r="P96" s="4142"/>
      <c r="Q96" s="4146"/>
      <c r="R96" s="4159"/>
      <c r="S96" s="4142"/>
      <c r="T96" s="4142"/>
      <c r="U96" s="2193" t="s">
        <v>2006</v>
      </c>
      <c r="V96" s="2189">
        <v>11000000</v>
      </c>
      <c r="W96" s="2161">
        <v>61</v>
      </c>
      <c r="X96" s="4139"/>
      <c r="Y96" s="4139"/>
      <c r="Z96" s="4139"/>
      <c r="AA96" s="4199"/>
      <c r="AB96" s="4199"/>
      <c r="AC96" s="4296"/>
      <c r="AD96" s="4199"/>
      <c r="AE96" s="4199"/>
      <c r="AF96" s="4199"/>
      <c r="AG96" s="4199"/>
      <c r="AH96" s="4199"/>
      <c r="AI96" s="4199"/>
      <c r="AJ96" s="4296"/>
      <c r="AK96" s="4199"/>
      <c r="AL96" s="4199"/>
      <c r="AM96" s="4296"/>
      <c r="AN96" s="4199"/>
      <c r="AO96" s="4150"/>
      <c r="AP96" s="4150"/>
      <c r="AQ96" s="4137"/>
    </row>
    <row r="97" spans="1:289" s="2162" customFormat="1" ht="66.75" customHeight="1" x14ac:dyDescent="0.2">
      <c r="A97" s="2155"/>
      <c r="B97" s="2156"/>
      <c r="C97" s="2157"/>
      <c r="D97" s="2156"/>
      <c r="E97" s="2156"/>
      <c r="F97" s="2157"/>
      <c r="G97" s="2163"/>
      <c r="H97" s="2156"/>
      <c r="I97" s="2157"/>
      <c r="J97" s="4164"/>
      <c r="K97" s="4142"/>
      <c r="L97" s="4139"/>
      <c r="M97" s="4139"/>
      <c r="N97" s="4139"/>
      <c r="O97" s="4157"/>
      <c r="P97" s="4142"/>
      <c r="Q97" s="4146"/>
      <c r="R97" s="4159"/>
      <c r="S97" s="4142"/>
      <c r="T97" s="4142"/>
      <c r="U97" s="2193" t="s">
        <v>2007</v>
      </c>
      <c r="V97" s="2189">
        <v>11000000</v>
      </c>
      <c r="W97" s="2161">
        <v>61</v>
      </c>
      <c r="X97" s="4139"/>
      <c r="Y97" s="4139"/>
      <c r="Z97" s="4139"/>
      <c r="AA97" s="4199"/>
      <c r="AB97" s="4199"/>
      <c r="AC97" s="4296"/>
      <c r="AD97" s="4199"/>
      <c r="AE97" s="4199"/>
      <c r="AF97" s="4199"/>
      <c r="AG97" s="4199"/>
      <c r="AH97" s="4199"/>
      <c r="AI97" s="4199"/>
      <c r="AJ97" s="4296"/>
      <c r="AK97" s="4199"/>
      <c r="AL97" s="4199"/>
      <c r="AM97" s="4296"/>
      <c r="AN97" s="4199"/>
      <c r="AO97" s="4150"/>
      <c r="AP97" s="4150"/>
      <c r="AQ97" s="4137"/>
    </row>
    <row r="98" spans="1:289" s="2162" customFormat="1" ht="84" customHeight="1" x14ac:dyDescent="0.2">
      <c r="A98" s="2155"/>
      <c r="B98" s="2156"/>
      <c r="C98" s="2157"/>
      <c r="D98" s="2156"/>
      <c r="E98" s="2156"/>
      <c r="F98" s="2157"/>
      <c r="G98" s="2163"/>
      <c r="H98" s="2156"/>
      <c r="I98" s="2157"/>
      <c r="J98" s="4164"/>
      <c r="K98" s="4142"/>
      <c r="L98" s="4139"/>
      <c r="M98" s="4139"/>
      <c r="N98" s="4139"/>
      <c r="O98" s="4157"/>
      <c r="P98" s="4142"/>
      <c r="Q98" s="4146"/>
      <c r="R98" s="4159"/>
      <c r="S98" s="4142"/>
      <c r="T98" s="4142"/>
      <c r="U98" s="2193" t="s">
        <v>2008</v>
      </c>
      <c r="V98" s="2189">
        <v>11000000</v>
      </c>
      <c r="W98" s="2161">
        <v>61</v>
      </c>
      <c r="X98" s="4139"/>
      <c r="Y98" s="4139"/>
      <c r="Z98" s="4139"/>
      <c r="AA98" s="4199"/>
      <c r="AB98" s="4199"/>
      <c r="AC98" s="4296"/>
      <c r="AD98" s="4199"/>
      <c r="AE98" s="4199"/>
      <c r="AF98" s="4199"/>
      <c r="AG98" s="4199"/>
      <c r="AH98" s="4199"/>
      <c r="AI98" s="4199"/>
      <c r="AJ98" s="4296"/>
      <c r="AK98" s="4199"/>
      <c r="AL98" s="4199"/>
      <c r="AM98" s="4296"/>
      <c r="AN98" s="4199"/>
      <c r="AO98" s="4150"/>
      <c r="AP98" s="4150"/>
      <c r="AQ98" s="4137"/>
    </row>
    <row r="99" spans="1:289" s="2162" customFormat="1" ht="75" customHeight="1" x14ac:dyDescent="0.2">
      <c r="A99" s="2155"/>
      <c r="B99" s="2156"/>
      <c r="C99" s="2157"/>
      <c r="D99" s="2156"/>
      <c r="E99" s="2156"/>
      <c r="F99" s="2157"/>
      <c r="G99" s="2163"/>
      <c r="H99" s="2156"/>
      <c r="I99" s="2157"/>
      <c r="J99" s="4165"/>
      <c r="K99" s="4143"/>
      <c r="L99" s="4140"/>
      <c r="M99" s="4140"/>
      <c r="N99" s="4139"/>
      <c r="O99" s="4157"/>
      <c r="P99" s="4142"/>
      <c r="Q99" s="4147"/>
      <c r="R99" s="4159"/>
      <c r="S99" s="4142"/>
      <c r="T99" s="4143"/>
      <c r="U99" s="2193" t="s">
        <v>2009</v>
      </c>
      <c r="V99" s="2189">
        <v>12000000</v>
      </c>
      <c r="W99" s="2161">
        <v>61</v>
      </c>
      <c r="X99" s="4139"/>
      <c r="Y99" s="4139"/>
      <c r="Z99" s="4139"/>
      <c r="AA99" s="4199"/>
      <c r="AB99" s="4199"/>
      <c r="AC99" s="4296"/>
      <c r="AD99" s="4199"/>
      <c r="AE99" s="4199"/>
      <c r="AF99" s="4199"/>
      <c r="AG99" s="4199"/>
      <c r="AH99" s="4199"/>
      <c r="AI99" s="4199"/>
      <c r="AJ99" s="4296"/>
      <c r="AK99" s="4199"/>
      <c r="AL99" s="4199"/>
      <c r="AM99" s="4296"/>
      <c r="AN99" s="4199"/>
      <c r="AO99" s="4150"/>
      <c r="AP99" s="4150"/>
      <c r="AQ99" s="4137"/>
    </row>
    <row r="100" spans="1:289" s="2162" customFormat="1" ht="85.5" x14ac:dyDescent="0.2">
      <c r="A100" s="2155"/>
      <c r="B100" s="2156"/>
      <c r="C100" s="2157"/>
      <c r="D100" s="2156"/>
      <c r="E100" s="2156"/>
      <c r="F100" s="2157"/>
      <c r="G100" s="2163"/>
      <c r="H100" s="2156"/>
      <c r="I100" s="2157"/>
      <c r="J100" s="4163">
        <v>138</v>
      </c>
      <c r="K100" s="4141" t="s">
        <v>2010</v>
      </c>
      <c r="L100" s="4138" t="s">
        <v>1905</v>
      </c>
      <c r="M100" s="4138">
        <v>12</v>
      </c>
      <c r="N100" s="4139"/>
      <c r="O100" s="4157"/>
      <c r="P100" s="4142"/>
      <c r="Q100" s="4166">
        <f>SUM(V100:V104)/R84</f>
        <v>0.20289855072463769</v>
      </c>
      <c r="R100" s="4159"/>
      <c r="S100" s="4142"/>
      <c r="T100" s="4141" t="s">
        <v>2011</v>
      </c>
      <c r="U100" s="2194" t="s">
        <v>2012</v>
      </c>
      <c r="V100" s="2189">
        <v>5000000</v>
      </c>
      <c r="W100" s="2161">
        <v>61</v>
      </c>
      <c r="X100" s="4139"/>
      <c r="Y100" s="4139"/>
      <c r="Z100" s="4139"/>
      <c r="AA100" s="4199"/>
      <c r="AB100" s="4199"/>
      <c r="AC100" s="4296"/>
      <c r="AD100" s="4199"/>
      <c r="AE100" s="4199"/>
      <c r="AF100" s="4199"/>
      <c r="AG100" s="4199"/>
      <c r="AH100" s="4199"/>
      <c r="AI100" s="4199"/>
      <c r="AJ100" s="4296"/>
      <c r="AK100" s="4199"/>
      <c r="AL100" s="4199"/>
      <c r="AM100" s="4296"/>
      <c r="AN100" s="4199"/>
      <c r="AO100" s="4150"/>
      <c r="AP100" s="4150"/>
      <c r="AQ100" s="4137"/>
    </row>
    <row r="101" spans="1:289" s="2162" customFormat="1" ht="60" customHeight="1" x14ac:dyDescent="0.2">
      <c r="A101" s="2155"/>
      <c r="B101" s="2156"/>
      <c r="C101" s="2157"/>
      <c r="D101" s="2156"/>
      <c r="E101" s="2156"/>
      <c r="F101" s="2157"/>
      <c r="G101" s="2163"/>
      <c r="H101" s="2156"/>
      <c r="I101" s="2157"/>
      <c r="J101" s="4164"/>
      <c r="K101" s="4142"/>
      <c r="L101" s="4139"/>
      <c r="M101" s="4139"/>
      <c r="N101" s="4139"/>
      <c r="O101" s="4157"/>
      <c r="P101" s="4142"/>
      <c r="Q101" s="4146"/>
      <c r="R101" s="4159"/>
      <c r="S101" s="4142"/>
      <c r="T101" s="4142"/>
      <c r="U101" s="2194" t="s">
        <v>2013</v>
      </c>
      <c r="V101" s="2189">
        <v>5000000</v>
      </c>
      <c r="W101" s="2161">
        <v>61</v>
      </c>
      <c r="X101" s="4139"/>
      <c r="Y101" s="4139"/>
      <c r="Z101" s="4139"/>
      <c r="AA101" s="4199"/>
      <c r="AB101" s="4199"/>
      <c r="AC101" s="4296"/>
      <c r="AD101" s="4199"/>
      <c r="AE101" s="4199"/>
      <c r="AF101" s="4199"/>
      <c r="AG101" s="4199"/>
      <c r="AH101" s="4199"/>
      <c r="AI101" s="4199"/>
      <c r="AJ101" s="4296"/>
      <c r="AK101" s="4199"/>
      <c r="AL101" s="4199"/>
      <c r="AM101" s="4296"/>
      <c r="AN101" s="4199"/>
      <c r="AO101" s="4150"/>
      <c r="AP101" s="4150"/>
      <c r="AQ101" s="4137"/>
    </row>
    <row r="102" spans="1:289" s="2162" customFormat="1" ht="42.75" x14ac:dyDescent="0.2">
      <c r="A102" s="2155"/>
      <c r="B102" s="2156"/>
      <c r="C102" s="2157"/>
      <c r="D102" s="2156"/>
      <c r="E102" s="2156"/>
      <c r="F102" s="2157"/>
      <c r="G102" s="2163"/>
      <c r="H102" s="2156"/>
      <c r="I102" s="2157"/>
      <c r="J102" s="4164"/>
      <c r="K102" s="4142"/>
      <c r="L102" s="4139"/>
      <c r="M102" s="4139"/>
      <c r="N102" s="4139"/>
      <c r="O102" s="4157"/>
      <c r="P102" s="4142"/>
      <c r="Q102" s="4146"/>
      <c r="R102" s="4159"/>
      <c r="S102" s="4142"/>
      <c r="T102" s="4142"/>
      <c r="U102" s="2194" t="s">
        <v>2014</v>
      </c>
      <c r="V102" s="2189">
        <v>5000000</v>
      </c>
      <c r="W102" s="2161">
        <v>61</v>
      </c>
      <c r="X102" s="4139"/>
      <c r="Y102" s="4139"/>
      <c r="Z102" s="4139"/>
      <c r="AA102" s="4199"/>
      <c r="AB102" s="4199"/>
      <c r="AC102" s="4296"/>
      <c r="AD102" s="4199"/>
      <c r="AE102" s="4199"/>
      <c r="AF102" s="4199"/>
      <c r="AG102" s="4199"/>
      <c r="AH102" s="4199"/>
      <c r="AI102" s="4199"/>
      <c r="AJ102" s="4296"/>
      <c r="AK102" s="4199"/>
      <c r="AL102" s="4199"/>
      <c r="AM102" s="4296"/>
      <c r="AN102" s="4199"/>
      <c r="AO102" s="4150"/>
      <c r="AP102" s="4150"/>
      <c r="AQ102" s="4137"/>
    </row>
    <row r="103" spans="1:289" s="2162" customFormat="1" ht="87" customHeight="1" x14ac:dyDescent="0.2">
      <c r="A103" s="2155"/>
      <c r="B103" s="2156"/>
      <c r="C103" s="2157"/>
      <c r="D103" s="2156"/>
      <c r="E103" s="2156"/>
      <c r="F103" s="2157"/>
      <c r="G103" s="2163"/>
      <c r="H103" s="2156"/>
      <c r="I103" s="2157"/>
      <c r="J103" s="4164"/>
      <c r="K103" s="4142"/>
      <c r="L103" s="4139"/>
      <c r="M103" s="4139"/>
      <c r="N103" s="4139"/>
      <c r="O103" s="4157"/>
      <c r="P103" s="4142"/>
      <c r="Q103" s="4146"/>
      <c r="R103" s="4159"/>
      <c r="S103" s="4142"/>
      <c r="T103" s="4142"/>
      <c r="U103" s="2194" t="s">
        <v>2015</v>
      </c>
      <c r="V103" s="2189">
        <v>5000000</v>
      </c>
      <c r="W103" s="2161">
        <v>61</v>
      </c>
      <c r="X103" s="4139"/>
      <c r="Y103" s="4139"/>
      <c r="Z103" s="4139"/>
      <c r="AA103" s="4199"/>
      <c r="AB103" s="4199"/>
      <c r="AC103" s="4296"/>
      <c r="AD103" s="4199"/>
      <c r="AE103" s="4199"/>
      <c r="AF103" s="4199"/>
      <c r="AG103" s="4199"/>
      <c r="AH103" s="4199"/>
      <c r="AI103" s="4199"/>
      <c r="AJ103" s="4296"/>
      <c r="AK103" s="4199"/>
      <c r="AL103" s="4199"/>
      <c r="AM103" s="4296"/>
      <c r="AN103" s="4199"/>
      <c r="AO103" s="4150"/>
      <c r="AP103" s="4150"/>
      <c r="AQ103" s="4137"/>
    </row>
    <row r="104" spans="1:289" s="2195" customFormat="1" ht="129" customHeight="1" x14ac:dyDescent="0.2">
      <c r="A104" s="2155"/>
      <c r="B104" s="2156"/>
      <c r="C104" s="2157"/>
      <c r="D104" s="2156"/>
      <c r="E104" s="2156"/>
      <c r="F104" s="2157"/>
      <c r="G104" s="2167"/>
      <c r="H104" s="2165"/>
      <c r="I104" s="2166"/>
      <c r="J104" s="4165"/>
      <c r="K104" s="4143"/>
      <c r="L104" s="4140"/>
      <c r="M104" s="4140"/>
      <c r="N104" s="4139"/>
      <c r="O104" s="4190"/>
      <c r="P104" s="4143"/>
      <c r="Q104" s="4147"/>
      <c r="R104" s="4176"/>
      <c r="S104" s="4143"/>
      <c r="T104" s="4143"/>
      <c r="U104" s="2194" t="s">
        <v>2016</v>
      </c>
      <c r="V104" s="2189">
        <v>8000000</v>
      </c>
      <c r="W104" s="2161">
        <v>61</v>
      </c>
      <c r="X104" s="4140"/>
      <c r="Y104" s="4140"/>
      <c r="Z104" s="4140"/>
      <c r="AA104" s="4200"/>
      <c r="AB104" s="4200"/>
      <c r="AC104" s="4297"/>
      <c r="AD104" s="4200"/>
      <c r="AE104" s="4200"/>
      <c r="AF104" s="4200"/>
      <c r="AG104" s="4200"/>
      <c r="AH104" s="4200"/>
      <c r="AI104" s="4200"/>
      <c r="AJ104" s="4297"/>
      <c r="AK104" s="4200"/>
      <c r="AL104" s="4200"/>
      <c r="AM104" s="4297"/>
      <c r="AN104" s="4200"/>
      <c r="AO104" s="4175"/>
      <c r="AP104" s="4175"/>
      <c r="AQ104" s="4153"/>
      <c r="AR104" s="2162"/>
      <c r="AS104" s="2162"/>
      <c r="AT104" s="2162"/>
      <c r="AU104" s="2162"/>
      <c r="AV104" s="2162"/>
      <c r="AW104" s="2162"/>
      <c r="AX104" s="2162"/>
      <c r="AY104" s="2162"/>
      <c r="AZ104" s="2162"/>
      <c r="BA104" s="2162"/>
      <c r="BB104" s="2162"/>
      <c r="BC104" s="2162"/>
      <c r="BD104" s="2162"/>
      <c r="BE104" s="2162"/>
      <c r="BF104" s="2162"/>
      <c r="BG104" s="2162"/>
      <c r="BH104" s="2162"/>
      <c r="BI104" s="2162"/>
      <c r="BJ104" s="2162"/>
      <c r="BK104" s="2162"/>
      <c r="BL104" s="2162"/>
      <c r="BM104" s="2162"/>
      <c r="BN104" s="2162"/>
      <c r="BO104" s="2162"/>
      <c r="BP104" s="2162"/>
      <c r="BQ104" s="2162"/>
      <c r="BR104" s="2162"/>
      <c r="BS104" s="2162"/>
      <c r="BT104" s="2162"/>
      <c r="BU104" s="2162"/>
      <c r="BV104" s="2162"/>
      <c r="BW104" s="2162"/>
      <c r="BX104" s="2162"/>
      <c r="BY104" s="2162"/>
      <c r="BZ104" s="2162"/>
      <c r="CA104" s="2162"/>
      <c r="CB104" s="2162"/>
      <c r="CC104" s="2162"/>
      <c r="CD104" s="2162"/>
      <c r="CE104" s="2162"/>
      <c r="CF104" s="2162"/>
      <c r="CG104" s="2162"/>
      <c r="CH104" s="2162"/>
      <c r="CI104" s="2162"/>
      <c r="CJ104" s="2162"/>
      <c r="CK104" s="2162"/>
      <c r="CL104" s="2162"/>
      <c r="CM104" s="2162"/>
      <c r="CN104" s="2162"/>
      <c r="CO104" s="2162"/>
      <c r="CP104" s="2162"/>
      <c r="CQ104" s="2162"/>
      <c r="CR104" s="2162"/>
      <c r="CS104" s="2162"/>
      <c r="CT104" s="2162"/>
      <c r="CU104" s="2162"/>
      <c r="CV104" s="2162"/>
      <c r="CW104" s="2162"/>
      <c r="CX104" s="2162"/>
      <c r="CY104" s="2162"/>
      <c r="CZ104" s="2162"/>
      <c r="DA104" s="2162"/>
      <c r="DB104" s="2162"/>
      <c r="DC104" s="2162"/>
      <c r="DD104" s="2162"/>
      <c r="DE104" s="2162"/>
      <c r="DF104" s="2162"/>
      <c r="DG104" s="2162"/>
      <c r="DH104" s="2162"/>
      <c r="DI104" s="2162"/>
      <c r="DJ104" s="2162"/>
      <c r="DK104" s="2162"/>
      <c r="DL104" s="2162"/>
      <c r="DM104" s="2162"/>
      <c r="DN104" s="2162"/>
      <c r="DO104" s="2162"/>
      <c r="DP104" s="2162"/>
      <c r="DQ104" s="2162"/>
      <c r="DR104" s="2162"/>
      <c r="DS104" s="2162"/>
      <c r="DT104" s="2162"/>
      <c r="DU104" s="2162"/>
      <c r="DV104" s="2162"/>
      <c r="DW104" s="2162"/>
      <c r="DX104" s="2162"/>
      <c r="DY104" s="2162"/>
      <c r="DZ104" s="2162"/>
      <c r="EA104" s="2162"/>
      <c r="EB104" s="2162"/>
      <c r="EC104" s="2162"/>
      <c r="ED104" s="2162"/>
      <c r="EE104" s="2162"/>
      <c r="EF104" s="2162"/>
      <c r="EG104" s="2162"/>
      <c r="EH104" s="2162"/>
      <c r="EI104" s="2162"/>
      <c r="EJ104" s="2162"/>
      <c r="EK104" s="2162"/>
      <c r="EL104" s="2162"/>
      <c r="EM104" s="2162"/>
      <c r="EN104" s="2162"/>
      <c r="EO104" s="2162"/>
      <c r="EP104" s="2162"/>
      <c r="EQ104" s="2162"/>
      <c r="ER104" s="2162"/>
      <c r="ES104" s="2162"/>
      <c r="ET104" s="2162"/>
      <c r="EU104" s="2162"/>
      <c r="EV104" s="2162"/>
      <c r="EW104" s="2162"/>
      <c r="EX104" s="2162"/>
      <c r="EY104" s="2162"/>
      <c r="EZ104" s="2162"/>
      <c r="FA104" s="2162"/>
      <c r="FB104" s="2162"/>
      <c r="FC104" s="2162"/>
      <c r="FD104" s="2162"/>
      <c r="FE104" s="2162"/>
      <c r="FF104" s="2162"/>
      <c r="FG104" s="2162"/>
      <c r="FH104" s="2162"/>
      <c r="FI104" s="2162"/>
      <c r="FJ104" s="2162"/>
      <c r="FK104" s="2162"/>
      <c r="FL104" s="2162"/>
      <c r="FM104" s="2162"/>
      <c r="FN104" s="2162"/>
      <c r="FO104" s="2162"/>
      <c r="FP104" s="2162"/>
      <c r="FQ104" s="2162"/>
      <c r="FR104" s="2162"/>
      <c r="FS104" s="2162"/>
      <c r="FT104" s="2162"/>
      <c r="FU104" s="2162"/>
      <c r="FV104" s="2162"/>
      <c r="FW104" s="2162"/>
      <c r="FX104" s="2162"/>
      <c r="FY104" s="2162"/>
      <c r="FZ104" s="2162"/>
      <c r="GA104" s="2162"/>
      <c r="GB104" s="2162"/>
      <c r="GC104" s="2162"/>
      <c r="GD104" s="2162"/>
      <c r="GE104" s="2162"/>
      <c r="GF104" s="2162"/>
      <c r="GG104" s="2162"/>
      <c r="GH104" s="2162"/>
      <c r="GI104" s="2162"/>
      <c r="GJ104" s="2162"/>
      <c r="GK104" s="2162"/>
      <c r="GL104" s="2162"/>
      <c r="GM104" s="2162"/>
      <c r="GN104" s="2162"/>
      <c r="GO104" s="2162"/>
      <c r="GP104" s="2162"/>
      <c r="GQ104" s="2162"/>
      <c r="GR104" s="2162"/>
      <c r="GS104" s="2162"/>
      <c r="GT104" s="2162"/>
      <c r="GU104" s="2162"/>
      <c r="GV104" s="2162"/>
      <c r="GW104" s="2162"/>
      <c r="GX104" s="2162"/>
      <c r="GY104" s="2162"/>
      <c r="GZ104" s="2162"/>
      <c r="HA104" s="2162"/>
      <c r="HB104" s="2162"/>
      <c r="HC104" s="2162"/>
      <c r="HD104" s="2162"/>
      <c r="HE104" s="2162"/>
      <c r="HF104" s="2162"/>
      <c r="HG104" s="2162"/>
      <c r="HH104" s="2162"/>
      <c r="HI104" s="2162"/>
      <c r="HJ104" s="2162"/>
      <c r="HK104" s="2162"/>
      <c r="HL104" s="2162"/>
      <c r="HM104" s="2162"/>
      <c r="HN104" s="2162"/>
      <c r="HO104" s="2162"/>
      <c r="HP104" s="2162"/>
      <c r="HQ104" s="2162"/>
      <c r="HR104" s="2162"/>
      <c r="HS104" s="2162"/>
      <c r="HT104" s="2162"/>
      <c r="HU104" s="2162"/>
      <c r="HV104" s="2162"/>
      <c r="HW104" s="2162"/>
      <c r="HX104" s="2162"/>
      <c r="HY104" s="2162"/>
      <c r="HZ104" s="2162"/>
      <c r="IA104" s="2162"/>
      <c r="IB104" s="2162"/>
      <c r="IC104" s="2162"/>
      <c r="ID104" s="2162"/>
      <c r="IE104" s="2162"/>
      <c r="IF104" s="2162"/>
      <c r="IG104" s="2162"/>
      <c r="IH104" s="2162"/>
      <c r="II104" s="2162"/>
      <c r="IJ104" s="2162"/>
      <c r="IK104" s="2162"/>
      <c r="IL104" s="2162"/>
      <c r="IM104" s="2162"/>
      <c r="IN104" s="2162"/>
      <c r="IO104" s="2162"/>
      <c r="IP104" s="2162"/>
      <c r="IQ104" s="2162"/>
      <c r="IR104" s="2162"/>
      <c r="IS104" s="2162"/>
      <c r="IT104" s="2162"/>
      <c r="IU104" s="2162"/>
      <c r="IV104" s="2162"/>
      <c r="IW104" s="2162"/>
      <c r="IX104" s="2162"/>
      <c r="IY104" s="2162"/>
      <c r="IZ104" s="2162"/>
      <c r="JA104" s="2162"/>
      <c r="JB104" s="2162"/>
      <c r="JC104" s="2162"/>
      <c r="JD104" s="2162"/>
      <c r="JE104" s="2162"/>
      <c r="JF104" s="2162"/>
      <c r="JG104" s="2162"/>
      <c r="JH104" s="2162"/>
      <c r="JI104" s="2162"/>
      <c r="JJ104" s="2162"/>
      <c r="JK104" s="2162"/>
      <c r="JL104" s="2162"/>
      <c r="JM104" s="2162"/>
      <c r="JN104" s="2162"/>
      <c r="JO104" s="2162"/>
      <c r="JP104" s="2162"/>
      <c r="JQ104" s="2162"/>
      <c r="JR104" s="2162"/>
      <c r="JS104" s="2162"/>
      <c r="JT104" s="2162"/>
      <c r="JU104" s="2162"/>
      <c r="JV104" s="2162"/>
      <c r="JW104" s="2162"/>
      <c r="JX104" s="2162"/>
      <c r="JY104" s="2162"/>
      <c r="JZ104" s="2162"/>
      <c r="KA104" s="2162"/>
      <c r="KB104" s="2162"/>
      <c r="KC104" s="2162"/>
    </row>
    <row r="105" spans="1:289" ht="36" customHeight="1" x14ac:dyDescent="0.2">
      <c r="A105" s="2141"/>
      <c r="B105" s="2142"/>
      <c r="C105" s="2143"/>
      <c r="D105" s="2142"/>
      <c r="E105" s="2142"/>
      <c r="F105" s="2143"/>
      <c r="G105" s="2176">
        <v>39</v>
      </c>
      <c r="H105" s="2147" t="s">
        <v>2017</v>
      </c>
      <c r="I105" s="2147"/>
      <c r="J105" s="2147"/>
      <c r="K105" s="2148"/>
      <c r="L105" s="2147"/>
      <c r="M105" s="2147"/>
      <c r="N105" s="2149"/>
      <c r="O105" s="2177"/>
      <c r="P105" s="2148"/>
      <c r="Q105" s="2147"/>
      <c r="R105" s="2178"/>
      <c r="S105" s="2147"/>
      <c r="T105" s="2148"/>
      <c r="U105" s="2148"/>
      <c r="V105" s="2179"/>
      <c r="W105" s="2180"/>
      <c r="X105" s="2149"/>
      <c r="Y105" s="2149"/>
      <c r="Z105" s="2149"/>
      <c r="AA105" s="2149"/>
      <c r="AB105" s="2149"/>
      <c r="AC105" s="2149"/>
      <c r="AD105" s="2149"/>
      <c r="AE105" s="2149"/>
      <c r="AF105" s="2149"/>
      <c r="AG105" s="2149"/>
      <c r="AH105" s="2149"/>
      <c r="AI105" s="2149"/>
      <c r="AJ105" s="2149"/>
      <c r="AK105" s="2149"/>
      <c r="AL105" s="2149"/>
      <c r="AM105" s="2149"/>
      <c r="AN105" s="2149"/>
      <c r="AO105" s="2149"/>
      <c r="AP105" s="2147"/>
      <c r="AQ105" s="2154"/>
    </row>
    <row r="106" spans="1:289" s="2162" customFormat="1" ht="114" x14ac:dyDescent="0.2">
      <c r="A106" s="2155"/>
      <c r="B106" s="2156"/>
      <c r="C106" s="2157"/>
      <c r="D106" s="2156"/>
      <c r="E106" s="2156"/>
      <c r="F106" s="2157"/>
      <c r="G106" s="2158"/>
      <c r="H106" s="2159"/>
      <c r="I106" s="2160"/>
      <c r="J106" s="4163">
        <v>139</v>
      </c>
      <c r="K106" s="4141" t="s">
        <v>2018</v>
      </c>
      <c r="L106" s="4138" t="s">
        <v>1905</v>
      </c>
      <c r="M106" s="4138">
        <v>1</v>
      </c>
      <c r="N106" s="4138" t="s">
        <v>2019</v>
      </c>
      <c r="O106" s="4138" t="s">
        <v>2020</v>
      </c>
      <c r="P106" s="4141" t="s">
        <v>2021</v>
      </c>
      <c r="Q106" s="4166">
        <f>SUM(V106:V110)/R106</f>
        <v>0.65300546448087426</v>
      </c>
      <c r="R106" s="4158">
        <f>SUM(V106:V118)</f>
        <v>183000000</v>
      </c>
      <c r="S106" s="4141" t="s">
        <v>2022</v>
      </c>
      <c r="T106" s="4141" t="s">
        <v>2023</v>
      </c>
      <c r="U106" s="2164" t="s">
        <v>2024</v>
      </c>
      <c r="V106" s="2189">
        <v>28000000</v>
      </c>
      <c r="W106" s="2161">
        <v>61</v>
      </c>
      <c r="X106" s="2196" t="s">
        <v>2025</v>
      </c>
      <c r="Y106" s="4138">
        <v>292684</v>
      </c>
      <c r="Z106" s="4138">
        <v>282326</v>
      </c>
      <c r="AA106" s="4260">
        <v>135912</v>
      </c>
      <c r="AB106" s="4260">
        <v>45122</v>
      </c>
      <c r="AC106" s="4295">
        <f>SUM(AC84)</f>
        <v>307101</v>
      </c>
      <c r="AD106" s="4260">
        <f>SUM(AD84)</f>
        <v>86875</v>
      </c>
      <c r="AE106" s="4260">
        <f>SUM(AE84)</f>
        <v>2145</v>
      </c>
      <c r="AF106" s="4260">
        <v>12718</v>
      </c>
      <c r="AG106" s="4260">
        <v>26</v>
      </c>
      <c r="AH106" s="4260">
        <v>37</v>
      </c>
      <c r="AI106" s="4260" t="s">
        <v>1913</v>
      </c>
      <c r="AJ106" s="4295" t="s">
        <v>1913</v>
      </c>
      <c r="AK106" s="4260">
        <v>53164</v>
      </c>
      <c r="AL106" s="4260">
        <v>16982</v>
      </c>
      <c r="AM106" s="4295">
        <v>60013</v>
      </c>
      <c r="AN106" s="4260">
        <v>575010</v>
      </c>
      <c r="AO106" s="4149">
        <v>43467</v>
      </c>
      <c r="AP106" s="4149">
        <v>43830</v>
      </c>
      <c r="AQ106" s="4136" t="s">
        <v>1914</v>
      </c>
    </row>
    <row r="107" spans="1:289" s="2162" customFormat="1" ht="71.25" customHeight="1" x14ac:dyDescent="0.2">
      <c r="A107" s="2155"/>
      <c r="B107" s="2156"/>
      <c r="C107" s="2157"/>
      <c r="D107" s="2156"/>
      <c r="E107" s="2156"/>
      <c r="F107" s="2157"/>
      <c r="G107" s="2163"/>
      <c r="H107" s="2156"/>
      <c r="I107" s="2157"/>
      <c r="J107" s="4164"/>
      <c r="K107" s="4142"/>
      <c r="L107" s="4139"/>
      <c r="M107" s="4139"/>
      <c r="N107" s="4139"/>
      <c r="O107" s="4139"/>
      <c r="P107" s="4142"/>
      <c r="Q107" s="4146"/>
      <c r="R107" s="4159"/>
      <c r="S107" s="4142"/>
      <c r="T107" s="4142"/>
      <c r="U107" s="4226" t="s">
        <v>2026</v>
      </c>
      <c r="V107" s="2189">
        <v>28000000</v>
      </c>
      <c r="W107" s="2161">
        <v>61</v>
      </c>
      <c r="X107" s="2196" t="s">
        <v>2025</v>
      </c>
      <c r="Y107" s="4139"/>
      <c r="Z107" s="4139"/>
      <c r="AA107" s="4199"/>
      <c r="AB107" s="4199"/>
      <c r="AC107" s="4296"/>
      <c r="AD107" s="4199"/>
      <c r="AE107" s="4199"/>
      <c r="AF107" s="4199"/>
      <c r="AG107" s="4199"/>
      <c r="AH107" s="4199"/>
      <c r="AI107" s="4199"/>
      <c r="AJ107" s="4296"/>
      <c r="AK107" s="4199"/>
      <c r="AL107" s="4199"/>
      <c r="AM107" s="4296"/>
      <c r="AN107" s="4199"/>
      <c r="AO107" s="4150"/>
      <c r="AP107" s="4150"/>
      <c r="AQ107" s="4137"/>
    </row>
    <row r="108" spans="1:289" s="2162" customFormat="1" ht="49.5" customHeight="1" x14ac:dyDescent="0.2">
      <c r="A108" s="2155"/>
      <c r="B108" s="2156"/>
      <c r="C108" s="2157"/>
      <c r="D108" s="2156"/>
      <c r="E108" s="2156"/>
      <c r="F108" s="2157"/>
      <c r="G108" s="2163"/>
      <c r="H108" s="2156"/>
      <c r="I108" s="2157"/>
      <c r="J108" s="4164"/>
      <c r="K108" s="4142"/>
      <c r="L108" s="4139"/>
      <c r="M108" s="4139"/>
      <c r="N108" s="4139"/>
      <c r="O108" s="4139"/>
      <c r="P108" s="4142"/>
      <c r="Q108" s="4146"/>
      <c r="R108" s="4159"/>
      <c r="S108" s="4142"/>
      <c r="T108" s="4142"/>
      <c r="U108" s="4240"/>
      <c r="V108" s="2187">
        <v>7500000</v>
      </c>
      <c r="W108" s="2197">
        <v>98</v>
      </c>
      <c r="X108" s="2198" t="s">
        <v>2027</v>
      </c>
      <c r="Y108" s="4139"/>
      <c r="Z108" s="4139"/>
      <c r="AA108" s="4199"/>
      <c r="AB108" s="4199"/>
      <c r="AC108" s="4296"/>
      <c r="AD108" s="4199"/>
      <c r="AE108" s="4199"/>
      <c r="AF108" s="4199"/>
      <c r="AG108" s="4199"/>
      <c r="AH108" s="4199"/>
      <c r="AI108" s="4199"/>
      <c r="AJ108" s="4296"/>
      <c r="AK108" s="4199"/>
      <c r="AL108" s="4199"/>
      <c r="AM108" s="4296"/>
      <c r="AN108" s="4199"/>
      <c r="AO108" s="4150"/>
      <c r="AP108" s="4150"/>
      <c r="AQ108" s="4137"/>
    </row>
    <row r="109" spans="1:289" s="2162" customFormat="1" ht="71.25" x14ac:dyDescent="0.2">
      <c r="A109" s="2155"/>
      <c r="B109" s="2156"/>
      <c r="C109" s="2157"/>
      <c r="D109" s="2156"/>
      <c r="E109" s="2156"/>
      <c r="F109" s="2157"/>
      <c r="G109" s="2163"/>
      <c r="H109" s="2156"/>
      <c r="I109" s="2157"/>
      <c r="J109" s="4164"/>
      <c r="K109" s="4142"/>
      <c r="L109" s="4139"/>
      <c r="M109" s="4139"/>
      <c r="N109" s="4139"/>
      <c r="O109" s="4139"/>
      <c r="P109" s="4142"/>
      <c r="Q109" s="4146"/>
      <c r="R109" s="4159"/>
      <c r="S109" s="4142"/>
      <c r="T109" s="4142"/>
      <c r="U109" s="2164" t="s">
        <v>2028</v>
      </c>
      <c r="V109" s="2189">
        <v>28000000</v>
      </c>
      <c r="W109" s="2161">
        <v>61</v>
      </c>
      <c r="X109" s="2196" t="s">
        <v>2025</v>
      </c>
      <c r="Y109" s="4139"/>
      <c r="Z109" s="4139"/>
      <c r="AA109" s="4199"/>
      <c r="AB109" s="4199"/>
      <c r="AC109" s="4296"/>
      <c r="AD109" s="4199"/>
      <c r="AE109" s="4199"/>
      <c r="AF109" s="4199"/>
      <c r="AG109" s="4199"/>
      <c r="AH109" s="4199"/>
      <c r="AI109" s="4199"/>
      <c r="AJ109" s="4296"/>
      <c r="AK109" s="4199"/>
      <c r="AL109" s="4199"/>
      <c r="AM109" s="4296"/>
      <c r="AN109" s="4199"/>
      <c r="AO109" s="4150"/>
      <c r="AP109" s="4150"/>
      <c r="AQ109" s="4137"/>
    </row>
    <row r="110" spans="1:289" s="2162" customFormat="1" ht="85.5" x14ac:dyDescent="0.2">
      <c r="A110" s="2155"/>
      <c r="B110" s="2156"/>
      <c r="C110" s="2157"/>
      <c r="D110" s="2156"/>
      <c r="E110" s="2156"/>
      <c r="F110" s="2157"/>
      <c r="G110" s="2163"/>
      <c r="H110" s="2156"/>
      <c r="I110" s="2157"/>
      <c r="J110" s="4165"/>
      <c r="K110" s="4143"/>
      <c r="L110" s="4140"/>
      <c r="M110" s="4140"/>
      <c r="N110" s="4139"/>
      <c r="O110" s="4139"/>
      <c r="P110" s="4142"/>
      <c r="Q110" s="4147"/>
      <c r="R110" s="4159"/>
      <c r="S110" s="4142"/>
      <c r="T110" s="4143"/>
      <c r="U110" s="2164" t="s">
        <v>2029</v>
      </c>
      <c r="V110" s="2189">
        <v>28000000</v>
      </c>
      <c r="W110" s="2161">
        <v>61</v>
      </c>
      <c r="X110" s="2196" t="s">
        <v>2025</v>
      </c>
      <c r="Y110" s="4139"/>
      <c r="Z110" s="4139"/>
      <c r="AA110" s="4199"/>
      <c r="AB110" s="4199"/>
      <c r="AC110" s="4296"/>
      <c r="AD110" s="4199"/>
      <c r="AE110" s="4199"/>
      <c r="AF110" s="4199"/>
      <c r="AG110" s="4199"/>
      <c r="AH110" s="4199"/>
      <c r="AI110" s="4199"/>
      <c r="AJ110" s="4296"/>
      <c r="AK110" s="4199"/>
      <c r="AL110" s="4199"/>
      <c r="AM110" s="4296"/>
      <c r="AN110" s="4199"/>
      <c r="AO110" s="4150"/>
      <c r="AP110" s="4150"/>
      <c r="AQ110" s="4137"/>
    </row>
    <row r="111" spans="1:289" s="2162" customFormat="1" ht="71.25" x14ac:dyDescent="0.2">
      <c r="A111" s="2155"/>
      <c r="B111" s="2156"/>
      <c r="C111" s="2157"/>
      <c r="D111" s="2156"/>
      <c r="E111" s="2156"/>
      <c r="F111" s="2157"/>
      <c r="G111" s="2163"/>
      <c r="H111" s="2156"/>
      <c r="I111" s="2157"/>
      <c r="J111" s="4163">
        <v>140</v>
      </c>
      <c r="K111" s="4141" t="s">
        <v>2030</v>
      </c>
      <c r="L111" s="4138" t="s">
        <v>1905</v>
      </c>
      <c r="M111" s="4138">
        <v>1</v>
      </c>
      <c r="N111" s="4139"/>
      <c r="O111" s="4139"/>
      <c r="P111" s="4142"/>
      <c r="Q111" s="4166">
        <f>SUM(V111:V114)/R106</f>
        <v>0.15300546448087432</v>
      </c>
      <c r="R111" s="4159"/>
      <c r="S111" s="4142"/>
      <c r="T111" s="4141" t="s">
        <v>2031</v>
      </c>
      <c r="U111" s="2164" t="s">
        <v>2032</v>
      </c>
      <c r="V111" s="2189">
        <v>7000000</v>
      </c>
      <c r="W111" s="2161">
        <v>61</v>
      </c>
      <c r="X111" s="2196" t="s">
        <v>2025</v>
      </c>
      <c r="Y111" s="4139"/>
      <c r="Z111" s="4139"/>
      <c r="AA111" s="4199"/>
      <c r="AB111" s="4199"/>
      <c r="AC111" s="4296"/>
      <c r="AD111" s="4199"/>
      <c r="AE111" s="4199"/>
      <c r="AF111" s="4199"/>
      <c r="AG111" s="4199"/>
      <c r="AH111" s="4199"/>
      <c r="AI111" s="4199"/>
      <c r="AJ111" s="4296"/>
      <c r="AK111" s="4199"/>
      <c r="AL111" s="4199"/>
      <c r="AM111" s="4296"/>
      <c r="AN111" s="4199"/>
      <c r="AO111" s="4150"/>
      <c r="AP111" s="4150"/>
      <c r="AQ111" s="4137"/>
    </row>
    <row r="112" spans="1:289" s="2162" customFormat="1" ht="99.75" x14ac:dyDescent="0.2">
      <c r="A112" s="2155"/>
      <c r="B112" s="2156"/>
      <c r="C112" s="2157"/>
      <c r="D112" s="2156"/>
      <c r="E112" s="2156"/>
      <c r="F112" s="2157"/>
      <c r="G112" s="2163"/>
      <c r="H112" s="2156"/>
      <c r="I112" s="2157"/>
      <c r="J112" s="4164"/>
      <c r="K112" s="4142"/>
      <c r="L112" s="4139"/>
      <c r="M112" s="4139"/>
      <c r="N112" s="4139"/>
      <c r="O112" s="4139"/>
      <c r="P112" s="4142"/>
      <c r="Q112" s="4146"/>
      <c r="R112" s="4159"/>
      <c r="S112" s="4142"/>
      <c r="T112" s="4142"/>
      <c r="U112" s="2164" t="s">
        <v>2033</v>
      </c>
      <c r="V112" s="2189">
        <v>7000000</v>
      </c>
      <c r="W112" s="2161">
        <v>61</v>
      </c>
      <c r="X112" s="2196" t="s">
        <v>2025</v>
      </c>
      <c r="Y112" s="4139"/>
      <c r="Z112" s="4139"/>
      <c r="AA112" s="4199"/>
      <c r="AB112" s="4199"/>
      <c r="AC112" s="4296"/>
      <c r="AD112" s="4199"/>
      <c r="AE112" s="4199"/>
      <c r="AF112" s="4199"/>
      <c r="AG112" s="4199"/>
      <c r="AH112" s="4199"/>
      <c r="AI112" s="4199"/>
      <c r="AJ112" s="4296"/>
      <c r="AK112" s="4199"/>
      <c r="AL112" s="4199"/>
      <c r="AM112" s="4296"/>
      <c r="AN112" s="4199"/>
      <c r="AO112" s="4150"/>
      <c r="AP112" s="4150"/>
      <c r="AQ112" s="4137"/>
    </row>
    <row r="113" spans="1:43" s="2162" customFormat="1" ht="42.75" x14ac:dyDescent="0.2">
      <c r="A113" s="2155"/>
      <c r="B113" s="2156"/>
      <c r="C113" s="2157"/>
      <c r="D113" s="2156"/>
      <c r="E113" s="2156"/>
      <c r="F113" s="2157"/>
      <c r="G113" s="2163"/>
      <c r="H113" s="2156"/>
      <c r="I113" s="2157"/>
      <c r="J113" s="4164"/>
      <c r="K113" s="4142"/>
      <c r="L113" s="4139"/>
      <c r="M113" s="4139"/>
      <c r="N113" s="4139"/>
      <c r="O113" s="4139"/>
      <c r="P113" s="4142"/>
      <c r="Q113" s="4146"/>
      <c r="R113" s="4159"/>
      <c r="S113" s="4142"/>
      <c r="T113" s="4142"/>
      <c r="U113" s="2164" t="s">
        <v>2034</v>
      </c>
      <c r="V113" s="2189">
        <v>7000000</v>
      </c>
      <c r="W113" s="2161">
        <v>61</v>
      </c>
      <c r="X113" s="2196" t="s">
        <v>2025</v>
      </c>
      <c r="Y113" s="4139"/>
      <c r="Z113" s="4139"/>
      <c r="AA113" s="4199"/>
      <c r="AB113" s="4199"/>
      <c r="AC113" s="4296"/>
      <c r="AD113" s="4199"/>
      <c r="AE113" s="4199"/>
      <c r="AF113" s="4199"/>
      <c r="AG113" s="4199"/>
      <c r="AH113" s="4199"/>
      <c r="AI113" s="4199"/>
      <c r="AJ113" s="4296"/>
      <c r="AK113" s="4199"/>
      <c r="AL113" s="4199"/>
      <c r="AM113" s="4296"/>
      <c r="AN113" s="4199"/>
      <c r="AO113" s="4150"/>
      <c r="AP113" s="4150"/>
      <c r="AQ113" s="4137"/>
    </row>
    <row r="114" spans="1:43" s="2162" customFormat="1" ht="85.5" x14ac:dyDescent="0.2">
      <c r="A114" s="2155"/>
      <c r="B114" s="2156"/>
      <c r="C114" s="2157"/>
      <c r="D114" s="2156"/>
      <c r="E114" s="2156"/>
      <c r="F114" s="2157"/>
      <c r="G114" s="2163"/>
      <c r="H114" s="2156"/>
      <c r="I114" s="2157"/>
      <c r="J114" s="4165"/>
      <c r="K114" s="4143"/>
      <c r="L114" s="4140"/>
      <c r="M114" s="4140"/>
      <c r="N114" s="4139"/>
      <c r="O114" s="4139"/>
      <c r="P114" s="4142"/>
      <c r="Q114" s="4147"/>
      <c r="R114" s="4159"/>
      <c r="S114" s="4142"/>
      <c r="T114" s="4143"/>
      <c r="U114" s="2164" t="s">
        <v>2035</v>
      </c>
      <c r="V114" s="2189">
        <v>7000000</v>
      </c>
      <c r="W114" s="2161">
        <v>61</v>
      </c>
      <c r="X114" s="2196" t="s">
        <v>2025</v>
      </c>
      <c r="Y114" s="4139"/>
      <c r="Z114" s="4139"/>
      <c r="AA114" s="4199"/>
      <c r="AB114" s="4199"/>
      <c r="AC114" s="4296"/>
      <c r="AD114" s="4199"/>
      <c r="AE114" s="4199"/>
      <c r="AF114" s="4199"/>
      <c r="AG114" s="4199"/>
      <c r="AH114" s="4199"/>
      <c r="AI114" s="4199"/>
      <c r="AJ114" s="4296"/>
      <c r="AK114" s="4199"/>
      <c r="AL114" s="4199"/>
      <c r="AM114" s="4296"/>
      <c r="AN114" s="4199"/>
      <c r="AO114" s="4150"/>
      <c r="AP114" s="4150"/>
      <c r="AQ114" s="4137"/>
    </row>
    <row r="115" spans="1:43" s="2162" customFormat="1" ht="71.25" x14ac:dyDescent="0.2">
      <c r="A115" s="2155"/>
      <c r="B115" s="2156"/>
      <c r="C115" s="2157"/>
      <c r="D115" s="2156"/>
      <c r="E115" s="2156"/>
      <c r="F115" s="2157"/>
      <c r="G115" s="2163"/>
      <c r="H115" s="2156"/>
      <c r="I115" s="2157"/>
      <c r="J115" s="4163">
        <v>141</v>
      </c>
      <c r="K115" s="4141" t="s">
        <v>2036</v>
      </c>
      <c r="L115" s="4138" t="s">
        <v>1905</v>
      </c>
      <c r="M115" s="4138">
        <v>1</v>
      </c>
      <c r="N115" s="4139"/>
      <c r="O115" s="4139"/>
      <c r="P115" s="4142"/>
      <c r="Q115" s="4166">
        <f>SUM(V115:V118)/R106</f>
        <v>0.19398907103825136</v>
      </c>
      <c r="R115" s="4159"/>
      <c r="S115" s="4142"/>
      <c r="T115" s="4141" t="s">
        <v>2037</v>
      </c>
      <c r="U115" s="2164" t="s">
        <v>2038</v>
      </c>
      <c r="V115" s="2189">
        <v>10000000</v>
      </c>
      <c r="W115" s="2161">
        <v>61</v>
      </c>
      <c r="X115" s="2196" t="s">
        <v>2025</v>
      </c>
      <c r="Y115" s="4139"/>
      <c r="Z115" s="4139"/>
      <c r="AA115" s="4199"/>
      <c r="AB115" s="4199"/>
      <c r="AC115" s="4296"/>
      <c r="AD115" s="4199"/>
      <c r="AE115" s="4199"/>
      <c r="AF115" s="4199"/>
      <c r="AG115" s="4199"/>
      <c r="AH115" s="4199"/>
      <c r="AI115" s="4199"/>
      <c r="AJ115" s="4296"/>
      <c r="AK115" s="4199"/>
      <c r="AL115" s="4199"/>
      <c r="AM115" s="4296"/>
      <c r="AN115" s="4199"/>
      <c r="AO115" s="4150"/>
      <c r="AP115" s="4150"/>
      <c r="AQ115" s="4137"/>
    </row>
    <row r="116" spans="1:43" s="2162" customFormat="1" ht="142.5" x14ac:dyDescent="0.2">
      <c r="A116" s="2155"/>
      <c r="B116" s="2156"/>
      <c r="C116" s="2157"/>
      <c r="D116" s="2156"/>
      <c r="E116" s="2156"/>
      <c r="F116" s="2157"/>
      <c r="G116" s="2163"/>
      <c r="H116" s="2156"/>
      <c r="I116" s="2157"/>
      <c r="J116" s="4164"/>
      <c r="K116" s="4142"/>
      <c r="L116" s="4139"/>
      <c r="M116" s="4139"/>
      <c r="N116" s="4139"/>
      <c r="O116" s="4139"/>
      <c r="P116" s="4142"/>
      <c r="Q116" s="4146"/>
      <c r="R116" s="4159"/>
      <c r="S116" s="4142"/>
      <c r="T116" s="4142"/>
      <c r="U116" s="2164" t="s">
        <v>2039</v>
      </c>
      <c r="V116" s="2189">
        <v>10000000</v>
      </c>
      <c r="W116" s="2161">
        <v>61</v>
      </c>
      <c r="X116" s="2196" t="s">
        <v>2025</v>
      </c>
      <c r="Y116" s="4139"/>
      <c r="Z116" s="4139"/>
      <c r="AA116" s="4199"/>
      <c r="AB116" s="4199"/>
      <c r="AC116" s="4296"/>
      <c r="AD116" s="4199"/>
      <c r="AE116" s="4199"/>
      <c r="AF116" s="4199"/>
      <c r="AG116" s="4199"/>
      <c r="AH116" s="4199"/>
      <c r="AI116" s="4199"/>
      <c r="AJ116" s="4296"/>
      <c r="AK116" s="4199"/>
      <c r="AL116" s="4199"/>
      <c r="AM116" s="4296"/>
      <c r="AN116" s="4199"/>
      <c r="AO116" s="4150"/>
      <c r="AP116" s="4150"/>
      <c r="AQ116" s="4137"/>
    </row>
    <row r="117" spans="1:43" s="2162" customFormat="1" ht="55.5" customHeight="1" x14ac:dyDescent="0.2">
      <c r="A117" s="2155"/>
      <c r="B117" s="2156"/>
      <c r="C117" s="2157"/>
      <c r="D117" s="2156"/>
      <c r="E117" s="2156"/>
      <c r="F117" s="2157"/>
      <c r="G117" s="2163"/>
      <c r="H117" s="2156"/>
      <c r="I117" s="2157"/>
      <c r="J117" s="4164"/>
      <c r="K117" s="4142"/>
      <c r="L117" s="4139"/>
      <c r="M117" s="4139"/>
      <c r="N117" s="4139"/>
      <c r="O117" s="4139"/>
      <c r="P117" s="4142"/>
      <c r="Q117" s="4146"/>
      <c r="R117" s="4159"/>
      <c r="S117" s="4142"/>
      <c r="T117" s="4142"/>
      <c r="U117" s="4226" t="s">
        <v>2040</v>
      </c>
      <c r="V117" s="2187">
        <v>7500000</v>
      </c>
      <c r="W117" s="2197">
        <v>98</v>
      </c>
      <c r="X117" s="2198" t="s">
        <v>2027</v>
      </c>
      <c r="Y117" s="4139"/>
      <c r="Z117" s="4139"/>
      <c r="AA117" s="4199"/>
      <c r="AB117" s="4199"/>
      <c r="AC117" s="4296"/>
      <c r="AD117" s="4199"/>
      <c r="AE117" s="4199"/>
      <c r="AF117" s="4199"/>
      <c r="AG117" s="4199"/>
      <c r="AH117" s="4199"/>
      <c r="AI117" s="4199"/>
      <c r="AJ117" s="4296"/>
      <c r="AK117" s="4199"/>
      <c r="AL117" s="4199"/>
      <c r="AM117" s="4296"/>
      <c r="AN117" s="4199"/>
      <c r="AO117" s="4150"/>
      <c r="AP117" s="4150"/>
      <c r="AQ117" s="4137"/>
    </row>
    <row r="118" spans="1:43" s="2162" customFormat="1" ht="37.5" customHeight="1" x14ac:dyDescent="0.2">
      <c r="A118" s="2155"/>
      <c r="B118" s="2156"/>
      <c r="C118" s="2157"/>
      <c r="D118" s="2156"/>
      <c r="E118" s="2156"/>
      <c r="F118" s="2157"/>
      <c r="G118" s="2167"/>
      <c r="H118" s="2165"/>
      <c r="I118" s="2166"/>
      <c r="J118" s="4165"/>
      <c r="K118" s="4143"/>
      <c r="L118" s="4140"/>
      <c r="M118" s="4140"/>
      <c r="N118" s="4140"/>
      <c r="O118" s="4140"/>
      <c r="P118" s="4143"/>
      <c r="Q118" s="4147"/>
      <c r="R118" s="4176"/>
      <c r="S118" s="4143"/>
      <c r="T118" s="4143"/>
      <c r="U118" s="4240"/>
      <c r="V118" s="2189">
        <v>8000000</v>
      </c>
      <c r="W118" s="2161">
        <v>61</v>
      </c>
      <c r="X118" s="2196" t="s">
        <v>2025</v>
      </c>
      <c r="Y118" s="4140"/>
      <c r="Z118" s="4140"/>
      <c r="AA118" s="4200"/>
      <c r="AB118" s="4200"/>
      <c r="AC118" s="4297"/>
      <c r="AD118" s="4200"/>
      <c r="AE118" s="4200"/>
      <c r="AF118" s="4200"/>
      <c r="AG118" s="4200"/>
      <c r="AH118" s="4200"/>
      <c r="AI118" s="4200"/>
      <c r="AJ118" s="4297"/>
      <c r="AK118" s="4200"/>
      <c r="AL118" s="4200"/>
      <c r="AM118" s="4297"/>
      <c r="AN118" s="4200"/>
      <c r="AO118" s="4150"/>
      <c r="AP118" s="4150"/>
      <c r="AQ118" s="4153"/>
    </row>
    <row r="119" spans="1:43" ht="36" customHeight="1" x14ac:dyDescent="0.2">
      <c r="A119" s="2141"/>
      <c r="B119" s="2142"/>
      <c r="C119" s="2143"/>
      <c r="D119" s="2142"/>
      <c r="E119" s="2142"/>
      <c r="F119" s="2143"/>
      <c r="G119" s="2176">
        <v>40</v>
      </c>
      <c r="H119" s="2147" t="s">
        <v>2041</v>
      </c>
      <c r="I119" s="2147"/>
      <c r="J119" s="2147"/>
      <c r="K119" s="2148"/>
      <c r="L119" s="2147"/>
      <c r="M119" s="2147"/>
      <c r="N119" s="2149"/>
      <c r="O119" s="2177"/>
      <c r="P119" s="2148"/>
      <c r="Q119" s="2147"/>
      <c r="R119" s="2178"/>
      <c r="S119" s="2147"/>
      <c r="T119" s="2148"/>
      <c r="U119" s="2148"/>
      <c r="V119" s="2179"/>
      <c r="W119" s="2180"/>
      <c r="X119" s="2199"/>
      <c r="Y119" s="2149"/>
      <c r="Z119" s="2149"/>
      <c r="AA119" s="2149"/>
      <c r="AB119" s="2149"/>
      <c r="AC119" s="2149"/>
      <c r="AD119" s="2149"/>
      <c r="AE119" s="2149"/>
      <c r="AF119" s="2149"/>
      <c r="AG119" s="2149"/>
      <c r="AH119" s="2149"/>
      <c r="AI119" s="2149"/>
      <c r="AJ119" s="2149"/>
      <c r="AK119" s="2149"/>
      <c r="AL119" s="2149"/>
      <c r="AM119" s="2149"/>
      <c r="AN119" s="2149"/>
      <c r="AO119" s="2149"/>
      <c r="AP119" s="2147"/>
      <c r="AQ119" s="2154"/>
    </row>
    <row r="120" spans="1:43" ht="60" customHeight="1" x14ac:dyDescent="0.2">
      <c r="A120" s="2181"/>
      <c r="B120" s="2182"/>
      <c r="C120" s="2183"/>
      <c r="D120" s="2182"/>
      <c r="E120" s="2182"/>
      <c r="F120" s="2183"/>
      <c r="G120" s="2184"/>
      <c r="H120" s="2185"/>
      <c r="I120" s="2186"/>
      <c r="J120" s="4163">
        <v>142</v>
      </c>
      <c r="K120" s="4179" t="s">
        <v>2042</v>
      </c>
      <c r="L120" s="4138" t="s">
        <v>1905</v>
      </c>
      <c r="M120" s="4138">
        <v>12</v>
      </c>
      <c r="N120" s="4138" t="s">
        <v>2043</v>
      </c>
      <c r="O120" s="4156" t="s">
        <v>2044</v>
      </c>
      <c r="P120" s="4141" t="s">
        <v>2045</v>
      </c>
      <c r="Q120" s="4144">
        <f>SUM(V120:V124)/R120</f>
        <v>0.74584771050059628</v>
      </c>
      <c r="R120" s="4158">
        <f>SUM(V120:V129)</f>
        <v>151105914</v>
      </c>
      <c r="S120" s="4141" t="s">
        <v>2046</v>
      </c>
      <c r="T120" s="4179" t="s">
        <v>2047</v>
      </c>
      <c r="U120" s="2200" t="s">
        <v>2048</v>
      </c>
      <c r="V120" s="1160">
        <v>25000000</v>
      </c>
      <c r="W120" s="2201">
        <v>61</v>
      </c>
      <c r="X120" s="4256" t="s">
        <v>2049</v>
      </c>
      <c r="Y120" s="4292" t="s">
        <v>1913</v>
      </c>
      <c r="Z120" s="4292" t="s">
        <v>1913</v>
      </c>
      <c r="AA120" s="4292">
        <v>64149</v>
      </c>
      <c r="AB120" s="4292" t="s">
        <v>1913</v>
      </c>
      <c r="AC120" s="4292" t="s">
        <v>1913</v>
      </c>
      <c r="AD120" s="4292" t="s">
        <v>1913</v>
      </c>
      <c r="AE120" s="4292" t="s">
        <v>1913</v>
      </c>
      <c r="AF120" s="4292" t="s">
        <v>1913</v>
      </c>
      <c r="AG120" s="4292" t="s">
        <v>1913</v>
      </c>
      <c r="AH120" s="4292" t="s">
        <v>1913</v>
      </c>
      <c r="AI120" s="4292" t="s">
        <v>1913</v>
      </c>
      <c r="AJ120" s="4292" t="s">
        <v>1913</v>
      </c>
      <c r="AK120" s="4292" t="s">
        <v>1913</v>
      </c>
      <c r="AL120" s="4292" t="s">
        <v>1913</v>
      </c>
      <c r="AM120" s="4292" t="s">
        <v>1913</v>
      </c>
      <c r="AN120" s="4292" t="s">
        <v>1913</v>
      </c>
      <c r="AO120" s="4279">
        <v>43467</v>
      </c>
      <c r="AP120" s="4279">
        <v>43830</v>
      </c>
      <c r="AQ120" s="4136" t="s">
        <v>1914</v>
      </c>
    </row>
    <row r="121" spans="1:43" ht="71.25" x14ac:dyDescent="0.2">
      <c r="A121" s="2181"/>
      <c r="B121" s="2182"/>
      <c r="C121" s="2183"/>
      <c r="D121" s="2182"/>
      <c r="E121" s="2182"/>
      <c r="F121" s="2183"/>
      <c r="G121" s="2188"/>
      <c r="H121" s="2182"/>
      <c r="I121" s="2183"/>
      <c r="J121" s="4164"/>
      <c r="K121" s="4204"/>
      <c r="L121" s="4139"/>
      <c r="M121" s="4139"/>
      <c r="N121" s="4139"/>
      <c r="O121" s="4157"/>
      <c r="P121" s="4142"/>
      <c r="Q121" s="4144"/>
      <c r="R121" s="4159"/>
      <c r="S121" s="4142"/>
      <c r="T121" s="4204"/>
      <c r="U121" s="2200" t="s">
        <v>2050</v>
      </c>
      <c r="V121" s="2202">
        <v>25000000</v>
      </c>
      <c r="W121" s="2201">
        <v>61</v>
      </c>
      <c r="X121" s="4256"/>
      <c r="Y121" s="4293"/>
      <c r="Z121" s="4293" t="s">
        <v>1913</v>
      </c>
      <c r="AA121" s="4293">
        <v>64149</v>
      </c>
      <c r="AB121" s="4293" t="s">
        <v>1913</v>
      </c>
      <c r="AC121" s="4293" t="s">
        <v>1913</v>
      </c>
      <c r="AD121" s="4293" t="s">
        <v>1913</v>
      </c>
      <c r="AE121" s="4293" t="s">
        <v>1913</v>
      </c>
      <c r="AF121" s="4293" t="s">
        <v>1913</v>
      </c>
      <c r="AG121" s="4293" t="s">
        <v>1913</v>
      </c>
      <c r="AH121" s="4293" t="s">
        <v>1913</v>
      </c>
      <c r="AI121" s="4293" t="s">
        <v>1913</v>
      </c>
      <c r="AJ121" s="4293" t="s">
        <v>1913</v>
      </c>
      <c r="AK121" s="4293" t="s">
        <v>1913</v>
      </c>
      <c r="AL121" s="4293" t="s">
        <v>1913</v>
      </c>
      <c r="AM121" s="4293" t="s">
        <v>1913</v>
      </c>
      <c r="AN121" s="4293" t="s">
        <v>1913</v>
      </c>
      <c r="AO121" s="4280"/>
      <c r="AP121" s="4280"/>
      <c r="AQ121" s="4137"/>
    </row>
    <row r="122" spans="1:43" ht="77.25" customHeight="1" x14ac:dyDescent="0.2">
      <c r="A122" s="2181"/>
      <c r="B122" s="2182"/>
      <c r="C122" s="2183"/>
      <c r="D122" s="2182"/>
      <c r="E122" s="2182"/>
      <c r="F122" s="2183"/>
      <c r="G122" s="2188"/>
      <c r="H122" s="2182"/>
      <c r="I122" s="2183"/>
      <c r="J122" s="4164"/>
      <c r="K122" s="4204"/>
      <c r="L122" s="4139"/>
      <c r="M122" s="4139"/>
      <c r="N122" s="4139"/>
      <c r="O122" s="4157"/>
      <c r="P122" s="4142"/>
      <c r="Q122" s="4144"/>
      <c r="R122" s="4159"/>
      <c r="S122" s="4142"/>
      <c r="T122" s="4204"/>
      <c r="U122" s="2200" t="s">
        <v>2051</v>
      </c>
      <c r="V122" s="2202">
        <v>25000000</v>
      </c>
      <c r="W122" s="2201">
        <v>61</v>
      </c>
      <c r="X122" s="4256"/>
      <c r="Y122" s="4293"/>
      <c r="Z122" s="4293" t="s">
        <v>1913</v>
      </c>
      <c r="AA122" s="4293">
        <v>64149</v>
      </c>
      <c r="AB122" s="4293" t="s">
        <v>1913</v>
      </c>
      <c r="AC122" s="4293" t="s">
        <v>1913</v>
      </c>
      <c r="AD122" s="4293" t="s">
        <v>1913</v>
      </c>
      <c r="AE122" s="4293" t="s">
        <v>1913</v>
      </c>
      <c r="AF122" s="4293" t="s">
        <v>1913</v>
      </c>
      <c r="AG122" s="4293" t="s">
        <v>1913</v>
      </c>
      <c r="AH122" s="4293" t="s">
        <v>1913</v>
      </c>
      <c r="AI122" s="4293" t="s">
        <v>1913</v>
      </c>
      <c r="AJ122" s="4293" t="s">
        <v>1913</v>
      </c>
      <c r="AK122" s="4293" t="s">
        <v>1913</v>
      </c>
      <c r="AL122" s="4293" t="s">
        <v>1913</v>
      </c>
      <c r="AM122" s="4293" t="s">
        <v>1913</v>
      </c>
      <c r="AN122" s="4293" t="s">
        <v>1913</v>
      </c>
      <c r="AO122" s="4280"/>
      <c r="AP122" s="4280"/>
      <c r="AQ122" s="4137"/>
    </row>
    <row r="123" spans="1:43" ht="40.5" customHeight="1" x14ac:dyDescent="0.2">
      <c r="A123" s="2181"/>
      <c r="B123" s="2182"/>
      <c r="C123" s="2183"/>
      <c r="D123" s="2182"/>
      <c r="E123" s="2182"/>
      <c r="F123" s="2183"/>
      <c r="G123" s="2188"/>
      <c r="H123" s="2182"/>
      <c r="I123" s="2183"/>
      <c r="J123" s="4164"/>
      <c r="K123" s="4204"/>
      <c r="L123" s="4139"/>
      <c r="M123" s="4139"/>
      <c r="N123" s="4139"/>
      <c r="O123" s="4157"/>
      <c r="P123" s="4142"/>
      <c r="Q123" s="4144"/>
      <c r="R123" s="4159"/>
      <c r="S123" s="4142"/>
      <c r="T123" s="4204"/>
      <c r="U123" s="4141" t="s">
        <v>2052</v>
      </c>
      <c r="V123" s="2202">
        <v>28702000</v>
      </c>
      <c r="W123" s="2201">
        <v>61</v>
      </c>
      <c r="X123" s="4256"/>
      <c r="Y123" s="4293"/>
      <c r="Z123" s="4293" t="s">
        <v>1913</v>
      </c>
      <c r="AA123" s="4293">
        <v>64149</v>
      </c>
      <c r="AB123" s="4293" t="s">
        <v>1913</v>
      </c>
      <c r="AC123" s="4293" t="s">
        <v>1913</v>
      </c>
      <c r="AD123" s="4293" t="s">
        <v>1913</v>
      </c>
      <c r="AE123" s="4293" t="s">
        <v>1913</v>
      </c>
      <c r="AF123" s="4293" t="s">
        <v>1913</v>
      </c>
      <c r="AG123" s="4293" t="s">
        <v>1913</v>
      </c>
      <c r="AH123" s="4293" t="s">
        <v>1913</v>
      </c>
      <c r="AI123" s="4293" t="s">
        <v>1913</v>
      </c>
      <c r="AJ123" s="4293" t="s">
        <v>1913</v>
      </c>
      <c r="AK123" s="4293" t="s">
        <v>1913</v>
      </c>
      <c r="AL123" s="4293" t="s">
        <v>1913</v>
      </c>
      <c r="AM123" s="4293" t="s">
        <v>1913</v>
      </c>
      <c r="AN123" s="4293" t="s">
        <v>1913</v>
      </c>
      <c r="AO123" s="4280"/>
      <c r="AP123" s="4280"/>
      <c r="AQ123" s="4137"/>
    </row>
    <row r="124" spans="1:43" ht="36.75" customHeight="1" x14ac:dyDescent="0.2">
      <c r="A124" s="2181"/>
      <c r="B124" s="2182"/>
      <c r="C124" s="2183"/>
      <c r="D124" s="2182"/>
      <c r="E124" s="2182"/>
      <c r="F124" s="2183"/>
      <c r="G124" s="2188"/>
      <c r="H124" s="2182"/>
      <c r="I124" s="2183"/>
      <c r="J124" s="4165"/>
      <c r="K124" s="4197"/>
      <c r="L124" s="4140"/>
      <c r="M124" s="4140"/>
      <c r="N124" s="4139"/>
      <c r="O124" s="4157"/>
      <c r="P124" s="4142"/>
      <c r="Q124" s="4144"/>
      <c r="R124" s="4159"/>
      <c r="S124" s="4142"/>
      <c r="T124" s="4197"/>
      <c r="U124" s="4143"/>
      <c r="V124" s="2202">
        <v>9000000</v>
      </c>
      <c r="W124" s="2201">
        <v>161</v>
      </c>
      <c r="X124" s="4256"/>
      <c r="Y124" s="4293"/>
      <c r="Z124" s="4293" t="s">
        <v>1913</v>
      </c>
      <c r="AA124" s="4293">
        <v>64149</v>
      </c>
      <c r="AB124" s="4293" t="s">
        <v>1913</v>
      </c>
      <c r="AC124" s="4293" t="s">
        <v>1913</v>
      </c>
      <c r="AD124" s="4293" t="s">
        <v>1913</v>
      </c>
      <c r="AE124" s="4293" t="s">
        <v>1913</v>
      </c>
      <c r="AF124" s="4293" t="s">
        <v>1913</v>
      </c>
      <c r="AG124" s="4293" t="s">
        <v>1913</v>
      </c>
      <c r="AH124" s="4293" t="s">
        <v>1913</v>
      </c>
      <c r="AI124" s="4293" t="s">
        <v>1913</v>
      </c>
      <c r="AJ124" s="4293" t="s">
        <v>1913</v>
      </c>
      <c r="AK124" s="4293" t="s">
        <v>1913</v>
      </c>
      <c r="AL124" s="4293" t="s">
        <v>1913</v>
      </c>
      <c r="AM124" s="4293" t="s">
        <v>1913</v>
      </c>
      <c r="AN124" s="4293" t="s">
        <v>1913</v>
      </c>
      <c r="AO124" s="4280"/>
      <c r="AP124" s="4280"/>
      <c r="AQ124" s="4137"/>
    </row>
    <row r="125" spans="1:43" ht="33" customHeight="1" x14ac:dyDescent="0.2">
      <c r="A125" s="2181"/>
      <c r="B125" s="2182"/>
      <c r="C125" s="2183"/>
      <c r="D125" s="2182"/>
      <c r="E125" s="2182"/>
      <c r="F125" s="2183"/>
      <c r="G125" s="2188"/>
      <c r="H125" s="2182"/>
      <c r="I125" s="2183"/>
      <c r="J125" s="4163">
        <v>143</v>
      </c>
      <c r="K125" s="4145" t="s">
        <v>2053</v>
      </c>
      <c r="L125" s="4138" t="s">
        <v>1905</v>
      </c>
      <c r="M125" s="4138">
        <v>1</v>
      </c>
      <c r="N125" s="4139"/>
      <c r="O125" s="4157"/>
      <c r="P125" s="4142"/>
      <c r="Q125" s="4166">
        <f>SUM(V125:V129)/R120</f>
        <v>0.25415228949940372</v>
      </c>
      <c r="R125" s="4159"/>
      <c r="S125" s="4142"/>
      <c r="T125" s="4145" t="s">
        <v>2054</v>
      </c>
      <c r="U125" s="4141" t="s">
        <v>2055</v>
      </c>
      <c r="V125" s="2202">
        <v>2500000</v>
      </c>
      <c r="W125" s="2201">
        <v>20</v>
      </c>
      <c r="X125" s="4256" t="s">
        <v>2056</v>
      </c>
      <c r="Y125" s="4293"/>
      <c r="Z125" s="4293" t="s">
        <v>1913</v>
      </c>
      <c r="AA125" s="4293">
        <v>64149</v>
      </c>
      <c r="AB125" s="4293" t="s">
        <v>1913</v>
      </c>
      <c r="AC125" s="4293" t="s">
        <v>1913</v>
      </c>
      <c r="AD125" s="4293" t="s">
        <v>1913</v>
      </c>
      <c r="AE125" s="4293" t="s">
        <v>1913</v>
      </c>
      <c r="AF125" s="4293" t="s">
        <v>1913</v>
      </c>
      <c r="AG125" s="4293" t="s">
        <v>1913</v>
      </c>
      <c r="AH125" s="4293" t="s">
        <v>1913</v>
      </c>
      <c r="AI125" s="4293" t="s">
        <v>1913</v>
      </c>
      <c r="AJ125" s="4293" t="s">
        <v>1913</v>
      </c>
      <c r="AK125" s="4293" t="s">
        <v>1913</v>
      </c>
      <c r="AL125" s="4293" t="s">
        <v>1913</v>
      </c>
      <c r="AM125" s="4293" t="s">
        <v>1913</v>
      </c>
      <c r="AN125" s="4293" t="s">
        <v>1913</v>
      </c>
      <c r="AO125" s="4280"/>
      <c r="AP125" s="4280"/>
      <c r="AQ125" s="4137"/>
    </row>
    <row r="126" spans="1:43" ht="31.5" customHeight="1" x14ac:dyDescent="0.2">
      <c r="A126" s="2181"/>
      <c r="B126" s="2182"/>
      <c r="C126" s="2183"/>
      <c r="D126" s="2182"/>
      <c r="E126" s="2182"/>
      <c r="F126" s="2183"/>
      <c r="G126" s="2188"/>
      <c r="H126" s="2182"/>
      <c r="I126" s="2183"/>
      <c r="J126" s="4164"/>
      <c r="K126" s="4145"/>
      <c r="L126" s="4139"/>
      <c r="M126" s="4139"/>
      <c r="N126" s="4139"/>
      <c r="O126" s="4157"/>
      <c r="P126" s="4142"/>
      <c r="Q126" s="4146"/>
      <c r="R126" s="4159"/>
      <c r="S126" s="4142"/>
      <c r="T126" s="4145"/>
      <c r="U126" s="4143"/>
      <c r="V126" s="2202">
        <v>28403914</v>
      </c>
      <c r="W126" s="2201">
        <v>161</v>
      </c>
      <c r="X126" s="4256"/>
      <c r="Y126" s="4293"/>
      <c r="Z126" s="4293" t="s">
        <v>1913</v>
      </c>
      <c r="AA126" s="4293">
        <v>64149</v>
      </c>
      <c r="AB126" s="4293" t="s">
        <v>1913</v>
      </c>
      <c r="AC126" s="4293" t="s">
        <v>1913</v>
      </c>
      <c r="AD126" s="4293" t="s">
        <v>1913</v>
      </c>
      <c r="AE126" s="4293" t="s">
        <v>1913</v>
      </c>
      <c r="AF126" s="4293" t="s">
        <v>1913</v>
      </c>
      <c r="AG126" s="4293" t="s">
        <v>1913</v>
      </c>
      <c r="AH126" s="4293" t="s">
        <v>1913</v>
      </c>
      <c r="AI126" s="4293" t="s">
        <v>1913</v>
      </c>
      <c r="AJ126" s="4293" t="s">
        <v>1913</v>
      </c>
      <c r="AK126" s="4293" t="s">
        <v>1913</v>
      </c>
      <c r="AL126" s="4293" t="s">
        <v>1913</v>
      </c>
      <c r="AM126" s="4293" t="s">
        <v>1913</v>
      </c>
      <c r="AN126" s="4293" t="s">
        <v>1913</v>
      </c>
      <c r="AO126" s="4280"/>
      <c r="AP126" s="4280"/>
      <c r="AQ126" s="4137"/>
    </row>
    <row r="127" spans="1:43" ht="64.5" customHeight="1" x14ac:dyDescent="0.2">
      <c r="A127" s="2181"/>
      <c r="B127" s="2182"/>
      <c r="C127" s="2183"/>
      <c r="D127" s="2182"/>
      <c r="E127" s="2182"/>
      <c r="F127" s="2183"/>
      <c r="G127" s="2188"/>
      <c r="H127" s="2182"/>
      <c r="I127" s="2183"/>
      <c r="J127" s="4164"/>
      <c r="K127" s="4145"/>
      <c r="L127" s="4139"/>
      <c r="M127" s="4139"/>
      <c r="N127" s="4139"/>
      <c r="O127" s="4157"/>
      <c r="P127" s="4142"/>
      <c r="Q127" s="4146"/>
      <c r="R127" s="4159"/>
      <c r="S127" s="4142"/>
      <c r="T127" s="4145"/>
      <c r="U127" s="2193" t="s">
        <v>2057</v>
      </c>
      <c r="V127" s="2202">
        <v>2500000</v>
      </c>
      <c r="W127" s="2201">
        <v>20</v>
      </c>
      <c r="X127" s="4256"/>
      <c r="Y127" s="4293"/>
      <c r="Z127" s="4293" t="s">
        <v>1913</v>
      </c>
      <c r="AA127" s="4293">
        <v>64149</v>
      </c>
      <c r="AB127" s="4293" t="s">
        <v>1913</v>
      </c>
      <c r="AC127" s="4293" t="s">
        <v>1913</v>
      </c>
      <c r="AD127" s="4293" t="s">
        <v>1913</v>
      </c>
      <c r="AE127" s="4293" t="s">
        <v>1913</v>
      </c>
      <c r="AF127" s="4293" t="s">
        <v>1913</v>
      </c>
      <c r="AG127" s="4293" t="s">
        <v>1913</v>
      </c>
      <c r="AH127" s="4293" t="s">
        <v>1913</v>
      </c>
      <c r="AI127" s="4293" t="s">
        <v>1913</v>
      </c>
      <c r="AJ127" s="4293" t="s">
        <v>1913</v>
      </c>
      <c r="AK127" s="4293" t="s">
        <v>1913</v>
      </c>
      <c r="AL127" s="4293" t="s">
        <v>1913</v>
      </c>
      <c r="AM127" s="4293" t="s">
        <v>1913</v>
      </c>
      <c r="AN127" s="4293" t="s">
        <v>1913</v>
      </c>
      <c r="AO127" s="4280"/>
      <c r="AP127" s="4280"/>
      <c r="AQ127" s="4137"/>
    </row>
    <row r="128" spans="1:43" ht="99" customHeight="1" x14ac:dyDescent="0.2">
      <c r="A128" s="2181"/>
      <c r="B128" s="2182"/>
      <c r="C128" s="2183"/>
      <c r="D128" s="2182"/>
      <c r="E128" s="2182"/>
      <c r="F128" s="2183"/>
      <c r="G128" s="2188"/>
      <c r="H128" s="2182"/>
      <c r="I128" s="2183"/>
      <c r="J128" s="4164"/>
      <c r="K128" s="4145"/>
      <c r="L128" s="4139"/>
      <c r="M128" s="4139"/>
      <c r="N128" s="4139"/>
      <c r="O128" s="4157"/>
      <c r="P128" s="4142"/>
      <c r="Q128" s="4146"/>
      <c r="R128" s="4159"/>
      <c r="S128" s="4142"/>
      <c r="T128" s="4145"/>
      <c r="U128" s="2193" t="s">
        <v>2058</v>
      </c>
      <c r="V128" s="2202">
        <v>2500000</v>
      </c>
      <c r="W128" s="2201">
        <v>20</v>
      </c>
      <c r="X128" s="4256"/>
      <c r="Y128" s="4293"/>
      <c r="Z128" s="4293" t="s">
        <v>1913</v>
      </c>
      <c r="AA128" s="4293">
        <v>64149</v>
      </c>
      <c r="AB128" s="4293" t="s">
        <v>1913</v>
      </c>
      <c r="AC128" s="4293" t="s">
        <v>1913</v>
      </c>
      <c r="AD128" s="4293" t="s">
        <v>1913</v>
      </c>
      <c r="AE128" s="4293" t="s">
        <v>1913</v>
      </c>
      <c r="AF128" s="4293" t="s">
        <v>1913</v>
      </c>
      <c r="AG128" s="4293" t="s">
        <v>1913</v>
      </c>
      <c r="AH128" s="4293" t="s">
        <v>1913</v>
      </c>
      <c r="AI128" s="4293" t="s">
        <v>1913</v>
      </c>
      <c r="AJ128" s="4293" t="s">
        <v>1913</v>
      </c>
      <c r="AK128" s="4293" t="s">
        <v>1913</v>
      </c>
      <c r="AL128" s="4293" t="s">
        <v>1913</v>
      </c>
      <c r="AM128" s="4293" t="s">
        <v>1913</v>
      </c>
      <c r="AN128" s="4293" t="s">
        <v>1913</v>
      </c>
      <c r="AO128" s="4280"/>
      <c r="AP128" s="4280"/>
      <c r="AQ128" s="4137"/>
    </row>
    <row r="129" spans="1:43" ht="78" customHeight="1" x14ac:dyDescent="0.2">
      <c r="A129" s="2181"/>
      <c r="B129" s="2182"/>
      <c r="C129" s="2183"/>
      <c r="D129" s="2182"/>
      <c r="E129" s="2182"/>
      <c r="F129" s="2183"/>
      <c r="G129" s="2188"/>
      <c r="H129" s="2182"/>
      <c r="I129" s="2183"/>
      <c r="J129" s="4165"/>
      <c r="K129" s="4145"/>
      <c r="L129" s="4140"/>
      <c r="M129" s="4140"/>
      <c r="N129" s="4140"/>
      <c r="O129" s="4190"/>
      <c r="P129" s="4142"/>
      <c r="Q129" s="4146"/>
      <c r="R129" s="4176"/>
      <c r="S129" s="4143"/>
      <c r="T129" s="4145"/>
      <c r="U129" s="2193" t="s">
        <v>2059</v>
      </c>
      <c r="V129" s="1160">
        <v>2500000</v>
      </c>
      <c r="W129" s="2201">
        <v>20</v>
      </c>
      <c r="X129" s="4256"/>
      <c r="Y129" s="4294"/>
      <c r="Z129" s="4294" t="s">
        <v>1913</v>
      </c>
      <c r="AA129" s="4294">
        <v>64149</v>
      </c>
      <c r="AB129" s="4294" t="s">
        <v>1913</v>
      </c>
      <c r="AC129" s="4294" t="s">
        <v>1913</v>
      </c>
      <c r="AD129" s="4294" t="s">
        <v>1913</v>
      </c>
      <c r="AE129" s="4294" t="s">
        <v>1913</v>
      </c>
      <c r="AF129" s="4294" t="s">
        <v>1913</v>
      </c>
      <c r="AG129" s="4294" t="s">
        <v>1913</v>
      </c>
      <c r="AH129" s="4294" t="s">
        <v>1913</v>
      </c>
      <c r="AI129" s="4294" t="s">
        <v>1913</v>
      </c>
      <c r="AJ129" s="4294" t="s">
        <v>1913</v>
      </c>
      <c r="AK129" s="4294" t="s">
        <v>1913</v>
      </c>
      <c r="AL129" s="4294" t="s">
        <v>1913</v>
      </c>
      <c r="AM129" s="4294" t="s">
        <v>1913</v>
      </c>
      <c r="AN129" s="4294" t="s">
        <v>1913</v>
      </c>
      <c r="AO129" s="4281"/>
      <c r="AP129" s="4281"/>
      <c r="AQ129" s="4153"/>
    </row>
    <row r="130" spans="1:43" ht="36" customHeight="1" x14ac:dyDescent="0.2">
      <c r="A130" s="2203"/>
      <c r="B130" s="2204"/>
      <c r="C130" s="2205"/>
      <c r="D130" s="2204"/>
      <c r="E130" s="2204"/>
      <c r="F130" s="2205"/>
      <c r="G130" s="2206"/>
      <c r="H130" s="2204"/>
      <c r="I130" s="2205"/>
      <c r="J130" s="4163">
        <v>144</v>
      </c>
      <c r="K130" s="4161" t="s">
        <v>2060</v>
      </c>
      <c r="L130" s="4163" t="s">
        <v>1905</v>
      </c>
      <c r="M130" s="4163">
        <v>5</v>
      </c>
      <c r="N130" s="4163" t="s">
        <v>2061</v>
      </c>
      <c r="O130" s="4289" t="s">
        <v>2062</v>
      </c>
      <c r="P130" s="4184" t="s">
        <v>2063</v>
      </c>
      <c r="Q130" s="4283">
        <f>SUM(V130:V145)/R130</f>
        <v>0.79234010091706719</v>
      </c>
      <c r="R130" s="4285">
        <f>SUM(V130:V153)</f>
        <v>561917638</v>
      </c>
      <c r="S130" s="4161" t="s">
        <v>2064</v>
      </c>
      <c r="T130" s="4161" t="s">
        <v>2065</v>
      </c>
      <c r="U130" s="4154" t="s">
        <v>2066</v>
      </c>
      <c r="V130" s="2064">
        <v>242840543</v>
      </c>
      <c r="W130" s="2207">
        <v>111</v>
      </c>
      <c r="X130" s="2208" t="s">
        <v>2067</v>
      </c>
      <c r="Y130" s="4276">
        <v>292684</v>
      </c>
      <c r="Z130" s="4276">
        <v>282326</v>
      </c>
      <c r="AA130" s="4276">
        <v>135912</v>
      </c>
      <c r="AB130" s="4276">
        <v>45122</v>
      </c>
      <c r="AC130" s="4276">
        <v>307101</v>
      </c>
      <c r="AD130" s="4276">
        <v>86875</v>
      </c>
      <c r="AE130" s="4276">
        <v>2145</v>
      </c>
      <c r="AF130" s="4276">
        <v>12718</v>
      </c>
      <c r="AG130" s="4276">
        <v>26</v>
      </c>
      <c r="AH130" s="4276">
        <v>37</v>
      </c>
      <c r="AI130" s="4276" t="s">
        <v>1913</v>
      </c>
      <c r="AJ130" s="4276" t="s">
        <v>1913</v>
      </c>
      <c r="AK130" s="4276">
        <v>53164</v>
      </c>
      <c r="AL130" s="4276">
        <v>16982</v>
      </c>
      <c r="AM130" s="4276">
        <v>60013</v>
      </c>
      <c r="AN130" s="4276">
        <v>575010</v>
      </c>
      <c r="AO130" s="4279">
        <v>43467</v>
      </c>
      <c r="AP130" s="4279">
        <v>43830</v>
      </c>
      <c r="AQ130" s="4262" t="s">
        <v>1914</v>
      </c>
    </row>
    <row r="131" spans="1:43" ht="42" customHeight="1" x14ac:dyDescent="0.2">
      <c r="A131" s="2203"/>
      <c r="B131" s="2204"/>
      <c r="C131" s="2205"/>
      <c r="D131" s="2204"/>
      <c r="E131" s="2204"/>
      <c r="F131" s="2205"/>
      <c r="G131" s="2206"/>
      <c r="H131" s="2204"/>
      <c r="I131" s="2205"/>
      <c r="J131" s="4164"/>
      <c r="K131" s="4162"/>
      <c r="L131" s="4164"/>
      <c r="M131" s="4164"/>
      <c r="N131" s="4164"/>
      <c r="O131" s="4290"/>
      <c r="P131" s="4184"/>
      <c r="Q131" s="4283"/>
      <c r="R131" s="4286"/>
      <c r="S131" s="4162"/>
      <c r="T131" s="4162"/>
      <c r="U131" s="4275"/>
      <c r="V131" s="2054">
        <v>80200000</v>
      </c>
      <c r="W131" s="2209">
        <v>61</v>
      </c>
      <c r="X131" s="2210" t="s">
        <v>2025</v>
      </c>
      <c r="Y131" s="4277"/>
      <c r="Z131" s="4277">
        <v>282326</v>
      </c>
      <c r="AA131" s="4277">
        <v>135912</v>
      </c>
      <c r="AB131" s="4277">
        <v>45122</v>
      </c>
      <c r="AC131" s="4277">
        <v>307101</v>
      </c>
      <c r="AD131" s="4277">
        <v>86875</v>
      </c>
      <c r="AE131" s="4277">
        <v>2145</v>
      </c>
      <c r="AF131" s="4277">
        <v>12718</v>
      </c>
      <c r="AG131" s="4277">
        <v>26</v>
      </c>
      <c r="AH131" s="4277">
        <v>37</v>
      </c>
      <c r="AI131" s="4277" t="s">
        <v>1913</v>
      </c>
      <c r="AJ131" s="4277" t="s">
        <v>1913</v>
      </c>
      <c r="AK131" s="4277">
        <v>53164</v>
      </c>
      <c r="AL131" s="4277">
        <v>16982</v>
      </c>
      <c r="AM131" s="4277">
        <v>60013</v>
      </c>
      <c r="AN131" s="4277">
        <v>575010</v>
      </c>
      <c r="AO131" s="4280"/>
      <c r="AP131" s="4280"/>
      <c r="AQ131" s="4263"/>
    </row>
    <row r="132" spans="1:43" ht="42" customHeight="1" x14ac:dyDescent="0.2">
      <c r="A132" s="2203"/>
      <c r="B132" s="2204"/>
      <c r="C132" s="2205"/>
      <c r="D132" s="2204"/>
      <c r="E132" s="2204"/>
      <c r="F132" s="2205"/>
      <c r="G132" s="2206"/>
      <c r="H132" s="2204"/>
      <c r="I132" s="2205"/>
      <c r="J132" s="4164"/>
      <c r="K132" s="4162"/>
      <c r="L132" s="4164"/>
      <c r="M132" s="4164"/>
      <c r="N132" s="4164"/>
      <c r="O132" s="4290"/>
      <c r="P132" s="4184"/>
      <c r="Q132" s="4283"/>
      <c r="R132" s="4286"/>
      <c r="S132" s="4162"/>
      <c r="T132" s="4162"/>
      <c r="U132" s="4288"/>
      <c r="V132" s="2211">
        <f>0+4271940</f>
        <v>4271940</v>
      </c>
      <c r="W132" s="2212">
        <v>107</v>
      </c>
      <c r="X132" s="2213" t="s">
        <v>2068</v>
      </c>
      <c r="Y132" s="4277"/>
      <c r="Z132" s="4277">
        <v>282326</v>
      </c>
      <c r="AA132" s="4277">
        <v>135912</v>
      </c>
      <c r="AB132" s="4277">
        <v>45122</v>
      </c>
      <c r="AC132" s="4277">
        <v>307101</v>
      </c>
      <c r="AD132" s="4277">
        <v>86875</v>
      </c>
      <c r="AE132" s="4277">
        <v>2145</v>
      </c>
      <c r="AF132" s="4277">
        <v>12718</v>
      </c>
      <c r="AG132" s="4277">
        <v>26</v>
      </c>
      <c r="AH132" s="4277">
        <v>37</v>
      </c>
      <c r="AI132" s="4277" t="s">
        <v>1913</v>
      </c>
      <c r="AJ132" s="4277" t="s">
        <v>1913</v>
      </c>
      <c r="AK132" s="4277">
        <v>53164</v>
      </c>
      <c r="AL132" s="4277">
        <v>16982</v>
      </c>
      <c r="AM132" s="4277">
        <v>60013</v>
      </c>
      <c r="AN132" s="4277">
        <v>575010</v>
      </c>
      <c r="AO132" s="4280"/>
      <c r="AP132" s="4280"/>
      <c r="AQ132" s="4263"/>
    </row>
    <row r="133" spans="1:43" ht="51" customHeight="1" x14ac:dyDescent="0.2">
      <c r="A133" s="2203"/>
      <c r="B133" s="2204"/>
      <c r="C133" s="2205"/>
      <c r="D133" s="2204"/>
      <c r="E133" s="2204"/>
      <c r="F133" s="2205"/>
      <c r="G133" s="2206"/>
      <c r="H133" s="2204"/>
      <c r="I133" s="2205"/>
      <c r="J133" s="4164"/>
      <c r="K133" s="4162"/>
      <c r="L133" s="4164"/>
      <c r="M133" s="4164"/>
      <c r="N133" s="4164"/>
      <c r="O133" s="4290"/>
      <c r="P133" s="4184"/>
      <c r="Q133" s="4283"/>
      <c r="R133" s="4286"/>
      <c r="S133" s="4162"/>
      <c r="T133" s="4162"/>
      <c r="U133" s="4288"/>
      <c r="V133" s="2211">
        <v>9557695</v>
      </c>
      <c r="W133" s="2212">
        <v>147</v>
      </c>
      <c r="X133" s="2213" t="s">
        <v>2069</v>
      </c>
      <c r="Y133" s="4277"/>
      <c r="Z133" s="4277">
        <v>282326</v>
      </c>
      <c r="AA133" s="4277">
        <v>135912</v>
      </c>
      <c r="AB133" s="4277">
        <v>45122</v>
      </c>
      <c r="AC133" s="4277">
        <v>307101</v>
      </c>
      <c r="AD133" s="4277">
        <v>86875</v>
      </c>
      <c r="AE133" s="4277">
        <v>2145</v>
      </c>
      <c r="AF133" s="4277">
        <v>12718</v>
      </c>
      <c r="AG133" s="4277">
        <v>26</v>
      </c>
      <c r="AH133" s="4277">
        <v>37</v>
      </c>
      <c r="AI133" s="4277" t="s">
        <v>1913</v>
      </c>
      <c r="AJ133" s="4277" t="s">
        <v>1913</v>
      </c>
      <c r="AK133" s="4277">
        <v>53164</v>
      </c>
      <c r="AL133" s="4277">
        <v>16982</v>
      </c>
      <c r="AM133" s="4277">
        <v>60013</v>
      </c>
      <c r="AN133" s="4277">
        <v>575010</v>
      </c>
      <c r="AO133" s="4280"/>
      <c r="AP133" s="4280"/>
      <c r="AQ133" s="4263"/>
    </row>
    <row r="134" spans="1:43" ht="33.75" customHeight="1" x14ac:dyDescent="0.2">
      <c r="A134" s="2203"/>
      <c r="B134" s="2204"/>
      <c r="C134" s="2205"/>
      <c r="D134" s="2204"/>
      <c r="E134" s="2204"/>
      <c r="F134" s="2205"/>
      <c r="G134" s="2206"/>
      <c r="H134" s="2204"/>
      <c r="I134" s="2205"/>
      <c r="J134" s="4164"/>
      <c r="K134" s="4162"/>
      <c r="L134" s="4164"/>
      <c r="M134" s="4164"/>
      <c r="N134" s="4164"/>
      <c r="O134" s="4290"/>
      <c r="P134" s="4184"/>
      <c r="Q134" s="4283"/>
      <c r="R134" s="4286"/>
      <c r="S134" s="4162"/>
      <c r="T134" s="4287"/>
      <c r="U134" s="4268" t="s">
        <v>2070</v>
      </c>
      <c r="V134" s="2214">
        <v>7000000</v>
      </c>
      <c r="W134" s="2215">
        <v>61</v>
      </c>
      <c r="X134" s="2216" t="s">
        <v>2025</v>
      </c>
      <c r="Y134" s="4277"/>
      <c r="Z134" s="4277">
        <v>282326</v>
      </c>
      <c r="AA134" s="4277">
        <v>135912</v>
      </c>
      <c r="AB134" s="4277">
        <v>45122</v>
      </c>
      <c r="AC134" s="4277">
        <v>307101</v>
      </c>
      <c r="AD134" s="4277">
        <v>86875</v>
      </c>
      <c r="AE134" s="4277">
        <v>2145</v>
      </c>
      <c r="AF134" s="4277">
        <v>12718</v>
      </c>
      <c r="AG134" s="4277">
        <v>26</v>
      </c>
      <c r="AH134" s="4277">
        <v>37</v>
      </c>
      <c r="AI134" s="4277" t="s">
        <v>1913</v>
      </c>
      <c r="AJ134" s="4277" t="s">
        <v>1913</v>
      </c>
      <c r="AK134" s="4277">
        <v>53164</v>
      </c>
      <c r="AL134" s="4277">
        <v>16982</v>
      </c>
      <c r="AM134" s="4277">
        <v>60013</v>
      </c>
      <c r="AN134" s="4277">
        <v>575010</v>
      </c>
      <c r="AO134" s="4280"/>
      <c r="AP134" s="4280"/>
      <c r="AQ134" s="4263"/>
    </row>
    <row r="135" spans="1:43" ht="28.5" customHeight="1" x14ac:dyDescent="0.2">
      <c r="A135" s="2203"/>
      <c r="B135" s="2204"/>
      <c r="C135" s="2205"/>
      <c r="D135" s="2204"/>
      <c r="E135" s="2204"/>
      <c r="F135" s="2205"/>
      <c r="G135" s="2206"/>
      <c r="H135" s="2204"/>
      <c r="I135" s="2205"/>
      <c r="J135" s="4164"/>
      <c r="K135" s="4162"/>
      <c r="L135" s="4164"/>
      <c r="M135" s="4164"/>
      <c r="N135" s="4164"/>
      <c r="O135" s="4290"/>
      <c r="P135" s="4184"/>
      <c r="Q135" s="4283"/>
      <c r="R135" s="4286"/>
      <c r="S135" s="4162"/>
      <c r="T135" s="4287"/>
      <c r="U135" s="4269"/>
      <c r="V135" s="4271">
        <f>0+4271940</f>
        <v>4271940</v>
      </c>
      <c r="W135" s="4273">
        <v>107</v>
      </c>
      <c r="X135" s="4181" t="s">
        <v>2068</v>
      </c>
      <c r="Y135" s="4277"/>
      <c r="Z135" s="4277">
        <v>282326</v>
      </c>
      <c r="AA135" s="4277">
        <v>135912</v>
      </c>
      <c r="AB135" s="4277">
        <v>45122</v>
      </c>
      <c r="AC135" s="4277">
        <v>307101</v>
      </c>
      <c r="AD135" s="4277">
        <v>86875</v>
      </c>
      <c r="AE135" s="4277">
        <v>2145</v>
      </c>
      <c r="AF135" s="4277">
        <v>12718</v>
      </c>
      <c r="AG135" s="4277">
        <v>26</v>
      </c>
      <c r="AH135" s="4277">
        <v>37</v>
      </c>
      <c r="AI135" s="4277" t="s">
        <v>1913</v>
      </c>
      <c r="AJ135" s="4277" t="s">
        <v>1913</v>
      </c>
      <c r="AK135" s="4277">
        <v>53164</v>
      </c>
      <c r="AL135" s="4277">
        <v>16982</v>
      </c>
      <c r="AM135" s="4277">
        <v>60013</v>
      </c>
      <c r="AN135" s="4277">
        <v>575010</v>
      </c>
      <c r="AO135" s="4280"/>
      <c r="AP135" s="4280"/>
      <c r="AQ135" s="4263"/>
    </row>
    <row r="136" spans="1:43" x14ac:dyDescent="0.2">
      <c r="A136" s="2203"/>
      <c r="B136" s="2204"/>
      <c r="C136" s="2205"/>
      <c r="D136" s="2204"/>
      <c r="E136" s="2204"/>
      <c r="F136" s="2205"/>
      <c r="G136" s="2206"/>
      <c r="H136" s="2204"/>
      <c r="I136" s="2205"/>
      <c r="J136" s="4164"/>
      <c r="K136" s="4162"/>
      <c r="L136" s="4164"/>
      <c r="M136" s="4164"/>
      <c r="N136" s="4164"/>
      <c r="O136" s="4290"/>
      <c r="P136" s="4184"/>
      <c r="Q136" s="4283"/>
      <c r="R136" s="4286"/>
      <c r="S136" s="4162"/>
      <c r="T136" s="4287"/>
      <c r="U136" s="4270"/>
      <c r="V136" s="4272"/>
      <c r="W136" s="4274"/>
      <c r="X136" s="4183"/>
      <c r="Y136" s="4277"/>
      <c r="Z136" s="4277">
        <v>282326</v>
      </c>
      <c r="AA136" s="4277">
        <v>135912</v>
      </c>
      <c r="AB136" s="4277">
        <v>45122</v>
      </c>
      <c r="AC136" s="4277">
        <v>307101</v>
      </c>
      <c r="AD136" s="4277">
        <v>86875</v>
      </c>
      <c r="AE136" s="4277">
        <v>2145</v>
      </c>
      <c r="AF136" s="4277">
        <v>12718</v>
      </c>
      <c r="AG136" s="4277">
        <v>26</v>
      </c>
      <c r="AH136" s="4277">
        <v>37</v>
      </c>
      <c r="AI136" s="4277" t="s">
        <v>1913</v>
      </c>
      <c r="AJ136" s="4277" t="s">
        <v>1913</v>
      </c>
      <c r="AK136" s="4277">
        <v>53164</v>
      </c>
      <c r="AL136" s="4277">
        <v>16982</v>
      </c>
      <c r="AM136" s="4277">
        <v>60013</v>
      </c>
      <c r="AN136" s="4277">
        <v>575010</v>
      </c>
      <c r="AO136" s="4280"/>
      <c r="AP136" s="4280"/>
      <c r="AQ136" s="4263"/>
    </row>
    <row r="137" spans="1:43" x14ac:dyDescent="0.2">
      <c r="A137" s="2203"/>
      <c r="B137" s="2204"/>
      <c r="C137" s="2205"/>
      <c r="D137" s="2204"/>
      <c r="E137" s="2204"/>
      <c r="F137" s="2205"/>
      <c r="G137" s="2206"/>
      <c r="H137" s="2204"/>
      <c r="I137" s="2205"/>
      <c r="J137" s="4164"/>
      <c r="K137" s="4162"/>
      <c r="L137" s="4164"/>
      <c r="M137" s="4164"/>
      <c r="N137" s="4164"/>
      <c r="O137" s="4290"/>
      <c r="P137" s="4184"/>
      <c r="Q137" s="4283"/>
      <c r="R137" s="4286"/>
      <c r="S137" s="4162"/>
      <c r="T137" s="4162"/>
      <c r="U137" s="4275" t="s">
        <v>2071</v>
      </c>
      <c r="V137" s="2061">
        <v>10000000</v>
      </c>
      <c r="W137" s="2217">
        <v>61</v>
      </c>
      <c r="X137" s="2208" t="s">
        <v>2025</v>
      </c>
      <c r="Y137" s="4277"/>
      <c r="Z137" s="4277">
        <v>282326</v>
      </c>
      <c r="AA137" s="4277">
        <v>135912</v>
      </c>
      <c r="AB137" s="4277">
        <v>45122</v>
      </c>
      <c r="AC137" s="4277">
        <v>307101</v>
      </c>
      <c r="AD137" s="4277">
        <v>86875</v>
      </c>
      <c r="AE137" s="4277">
        <v>2145</v>
      </c>
      <c r="AF137" s="4277">
        <v>12718</v>
      </c>
      <c r="AG137" s="4277">
        <v>26</v>
      </c>
      <c r="AH137" s="4277">
        <v>37</v>
      </c>
      <c r="AI137" s="4277" t="s">
        <v>1913</v>
      </c>
      <c r="AJ137" s="4277" t="s">
        <v>1913</v>
      </c>
      <c r="AK137" s="4277">
        <v>53164</v>
      </c>
      <c r="AL137" s="4277">
        <v>16982</v>
      </c>
      <c r="AM137" s="4277">
        <v>60013</v>
      </c>
      <c r="AN137" s="4277">
        <v>575010</v>
      </c>
      <c r="AO137" s="4280"/>
      <c r="AP137" s="4280"/>
      <c r="AQ137" s="4263"/>
    </row>
    <row r="138" spans="1:43" ht="24.75" customHeight="1" x14ac:dyDescent="0.2">
      <c r="A138" s="2203"/>
      <c r="B138" s="2204"/>
      <c r="C138" s="2205"/>
      <c r="D138" s="2204"/>
      <c r="E138" s="2204"/>
      <c r="F138" s="2205"/>
      <c r="G138" s="2206"/>
      <c r="H138" s="2204"/>
      <c r="I138" s="2205"/>
      <c r="J138" s="4164"/>
      <c r="K138" s="4162"/>
      <c r="L138" s="4164"/>
      <c r="M138" s="4164"/>
      <c r="N138" s="4164"/>
      <c r="O138" s="4290"/>
      <c r="P138" s="4184"/>
      <c r="Q138" s="4283"/>
      <c r="R138" s="4286"/>
      <c r="S138" s="4162"/>
      <c r="T138" s="4162"/>
      <c r="U138" s="4275"/>
      <c r="V138" s="2064">
        <v>10000000</v>
      </c>
      <c r="W138" s="2197">
        <v>20</v>
      </c>
      <c r="X138" s="2218" t="s">
        <v>62</v>
      </c>
      <c r="Y138" s="4277"/>
      <c r="Z138" s="4277">
        <v>282326</v>
      </c>
      <c r="AA138" s="4277">
        <v>135912</v>
      </c>
      <c r="AB138" s="4277">
        <v>45122</v>
      </c>
      <c r="AC138" s="4277">
        <v>307101</v>
      </c>
      <c r="AD138" s="4277">
        <v>86875</v>
      </c>
      <c r="AE138" s="4277">
        <v>2145</v>
      </c>
      <c r="AF138" s="4277">
        <v>12718</v>
      </c>
      <c r="AG138" s="4277">
        <v>26</v>
      </c>
      <c r="AH138" s="4277">
        <v>37</v>
      </c>
      <c r="AI138" s="4277" t="s">
        <v>1913</v>
      </c>
      <c r="AJ138" s="4277" t="s">
        <v>1913</v>
      </c>
      <c r="AK138" s="4277">
        <v>53164</v>
      </c>
      <c r="AL138" s="4277">
        <v>16982</v>
      </c>
      <c r="AM138" s="4277">
        <v>60013</v>
      </c>
      <c r="AN138" s="4277">
        <v>575010</v>
      </c>
      <c r="AO138" s="4280"/>
      <c r="AP138" s="4280"/>
      <c r="AQ138" s="4263"/>
    </row>
    <row r="139" spans="1:43" ht="26.25" customHeight="1" x14ac:dyDescent="0.2">
      <c r="A139" s="2203"/>
      <c r="B139" s="2204"/>
      <c r="C139" s="2205"/>
      <c r="D139" s="2204"/>
      <c r="E139" s="2204"/>
      <c r="F139" s="2205"/>
      <c r="G139" s="2206"/>
      <c r="H139" s="2204"/>
      <c r="I139" s="2205"/>
      <c r="J139" s="4164"/>
      <c r="K139" s="4162"/>
      <c r="L139" s="4164"/>
      <c r="M139" s="4164"/>
      <c r="N139" s="4164"/>
      <c r="O139" s="4290"/>
      <c r="P139" s="4184"/>
      <c r="Q139" s="4283"/>
      <c r="R139" s="4286"/>
      <c r="S139" s="4162"/>
      <c r="T139" s="4162"/>
      <c r="U139" s="4155"/>
      <c r="V139" s="2064">
        <f>0+4271940</f>
        <v>4271940</v>
      </c>
      <c r="W139" s="2197">
        <v>107</v>
      </c>
      <c r="X139" s="2218" t="s">
        <v>2068</v>
      </c>
      <c r="Y139" s="4277"/>
      <c r="Z139" s="4277">
        <v>282326</v>
      </c>
      <c r="AA139" s="4277">
        <v>135912</v>
      </c>
      <c r="AB139" s="4277">
        <v>45122</v>
      </c>
      <c r="AC139" s="4277">
        <v>307101</v>
      </c>
      <c r="AD139" s="4277">
        <v>86875</v>
      </c>
      <c r="AE139" s="4277">
        <v>2145</v>
      </c>
      <c r="AF139" s="4277">
        <v>12718</v>
      </c>
      <c r="AG139" s="4277">
        <v>26</v>
      </c>
      <c r="AH139" s="4277">
        <v>37</v>
      </c>
      <c r="AI139" s="4277" t="s">
        <v>1913</v>
      </c>
      <c r="AJ139" s="4277" t="s">
        <v>1913</v>
      </c>
      <c r="AK139" s="4277">
        <v>53164</v>
      </c>
      <c r="AL139" s="4277">
        <v>16982</v>
      </c>
      <c r="AM139" s="4277">
        <v>60013</v>
      </c>
      <c r="AN139" s="4277">
        <v>575010</v>
      </c>
      <c r="AO139" s="4280"/>
      <c r="AP139" s="4280"/>
      <c r="AQ139" s="4263"/>
    </row>
    <row r="140" spans="1:43" ht="43.5" customHeight="1" x14ac:dyDescent="0.2">
      <c r="A140" s="2203"/>
      <c r="B140" s="2204"/>
      <c r="C140" s="2205"/>
      <c r="D140" s="2204"/>
      <c r="E140" s="2204"/>
      <c r="F140" s="2205"/>
      <c r="G140" s="2206"/>
      <c r="H140" s="2204"/>
      <c r="I140" s="2205"/>
      <c r="J140" s="4164"/>
      <c r="K140" s="4162"/>
      <c r="L140" s="4164"/>
      <c r="M140" s="4164"/>
      <c r="N140" s="4164"/>
      <c r="O140" s="4290"/>
      <c r="P140" s="4184"/>
      <c r="Q140" s="4283"/>
      <c r="R140" s="4286"/>
      <c r="S140" s="4162"/>
      <c r="T140" s="4162"/>
      <c r="U140" s="4154" t="s">
        <v>2072</v>
      </c>
      <c r="V140" s="2064">
        <v>20000000</v>
      </c>
      <c r="W140" s="2197">
        <v>20</v>
      </c>
      <c r="X140" s="2218" t="s">
        <v>62</v>
      </c>
      <c r="Y140" s="4277"/>
      <c r="Z140" s="4277">
        <v>282326</v>
      </c>
      <c r="AA140" s="4277">
        <v>135912</v>
      </c>
      <c r="AB140" s="4277">
        <v>45122</v>
      </c>
      <c r="AC140" s="4277">
        <v>307101</v>
      </c>
      <c r="AD140" s="4277">
        <v>86875</v>
      </c>
      <c r="AE140" s="4277">
        <v>2145</v>
      </c>
      <c r="AF140" s="4277">
        <v>12718</v>
      </c>
      <c r="AG140" s="4277">
        <v>26</v>
      </c>
      <c r="AH140" s="4277">
        <v>37</v>
      </c>
      <c r="AI140" s="4277" t="s">
        <v>1913</v>
      </c>
      <c r="AJ140" s="4277" t="s">
        <v>1913</v>
      </c>
      <c r="AK140" s="4277">
        <v>53164</v>
      </c>
      <c r="AL140" s="4277">
        <v>16982</v>
      </c>
      <c r="AM140" s="4277">
        <v>60013</v>
      </c>
      <c r="AN140" s="4277">
        <v>575010</v>
      </c>
      <c r="AO140" s="4280"/>
      <c r="AP140" s="4280"/>
      <c r="AQ140" s="4263"/>
    </row>
    <row r="141" spans="1:43" ht="45.75" customHeight="1" x14ac:dyDescent="0.2">
      <c r="A141" s="2203"/>
      <c r="B141" s="2204"/>
      <c r="C141" s="2205"/>
      <c r="D141" s="2204"/>
      <c r="E141" s="2204"/>
      <c r="F141" s="2205"/>
      <c r="G141" s="2206"/>
      <c r="H141" s="2204"/>
      <c r="I141" s="2205"/>
      <c r="J141" s="4164"/>
      <c r="K141" s="4162"/>
      <c r="L141" s="4164"/>
      <c r="M141" s="4164"/>
      <c r="N141" s="4164"/>
      <c r="O141" s="4290"/>
      <c r="P141" s="4184"/>
      <c r="Q141" s="4283"/>
      <c r="R141" s="4286"/>
      <c r="S141" s="4162"/>
      <c r="T141" s="4162"/>
      <c r="U141" s="4155"/>
      <c r="V141" s="2064">
        <f>0+4271940</f>
        <v>4271940</v>
      </c>
      <c r="W141" s="2197">
        <v>107</v>
      </c>
      <c r="X141" s="2218" t="s">
        <v>2068</v>
      </c>
      <c r="Y141" s="4277"/>
      <c r="Z141" s="4277">
        <v>282326</v>
      </c>
      <c r="AA141" s="4277">
        <v>135912</v>
      </c>
      <c r="AB141" s="4277">
        <v>45122</v>
      </c>
      <c r="AC141" s="4277">
        <v>307101</v>
      </c>
      <c r="AD141" s="4277">
        <v>86875</v>
      </c>
      <c r="AE141" s="4277">
        <v>2145</v>
      </c>
      <c r="AF141" s="4277">
        <v>12718</v>
      </c>
      <c r="AG141" s="4277">
        <v>26</v>
      </c>
      <c r="AH141" s="4277">
        <v>37</v>
      </c>
      <c r="AI141" s="4277" t="s">
        <v>1913</v>
      </c>
      <c r="AJ141" s="4277" t="s">
        <v>1913</v>
      </c>
      <c r="AK141" s="4277">
        <v>53164</v>
      </c>
      <c r="AL141" s="4277">
        <v>16982</v>
      </c>
      <c r="AM141" s="4277">
        <v>60013</v>
      </c>
      <c r="AN141" s="4277">
        <v>575010</v>
      </c>
      <c r="AO141" s="4280"/>
      <c r="AP141" s="4280"/>
      <c r="AQ141" s="4263"/>
    </row>
    <row r="142" spans="1:43" ht="51" customHeight="1" x14ac:dyDescent="0.2">
      <c r="A142" s="2203"/>
      <c r="B142" s="2204"/>
      <c r="C142" s="2205"/>
      <c r="D142" s="2204"/>
      <c r="E142" s="2204"/>
      <c r="F142" s="2205"/>
      <c r="G142" s="2206"/>
      <c r="H142" s="2204"/>
      <c r="I142" s="2205"/>
      <c r="J142" s="4164"/>
      <c r="K142" s="4162"/>
      <c r="L142" s="4164"/>
      <c r="M142" s="4164"/>
      <c r="N142" s="4164"/>
      <c r="O142" s="4290"/>
      <c r="P142" s="4184"/>
      <c r="Q142" s="4283"/>
      <c r="R142" s="4286"/>
      <c r="S142" s="4162"/>
      <c r="T142" s="4162"/>
      <c r="U142" s="4154" t="s">
        <v>2073</v>
      </c>
      <c r="V142" s="2064">
        <v>20000000</v>
      </c>
      <c r="W142" s="2197">
        <v>20</v>
      </c>
      <c r="X142" s="2218" t="s">
        <v>62</v>
      </c>
      <c r="Y142" s="4277"/>
      <c r="Z142" s="4277">
        <v>282326</v>
      </c>
      <c r="AA142" s="4277">
        <v>135912</v>
      </c>
      <c r="AB142" s="4277">
        <v>45122</v>
      </c>
      <c r="AC142" s="4277">
        <v>307101</v>
      </c>
      <c r="AD142" s="4277">
        <v>86875</v>
      </c>
      <c r="AE142" s="4277">
        <v>2145</v>
      </c>
      <c r="AF142" s="4277">
        <v>12718</v>
      </c>
      <c r="AG142" s="4277">
        <v>26</v>
      </c>
      <c r="AH142" s="4277">
        <v>37</v>
      </c>
      <c r="AI142" s="4277" t="s">
        <v>1913</v>
      </c>
      <c r="AJ142" s="4277" t="s">
        <v>1913</v>
      </c>
      <c r="AK142" s="4277">
        <v>53164</v>
      </c>
      <c r="AL142" s="4277">
        <v>16982</v>
      </c>
      <c r="AM142" s="4277">
        <v>60013</v>
      </c>
      <c r="AN142" s="4277">
        <v>575010</v>
      </c>
      <c r="AO142" s="4280"/>
      <c r="AP142" s="4280"/>
      <c r="AQ142" s="4263"/>
    </row>
    <row r="143" spans="1:43" ht="38.25" customHeight="1" x14ac:dyDescent="0.2">
      <c r="A143" s="2203"/>
      <c r="B143" s="2204"/>
      <c r="C143" s="2205"/>
      <c r="D143" s="2204"/>
      <c r="E143" s="2204"/>
      <c r="F143" s="2205"/>
      <c r="G143" s="2206"/>
      <c r="H143" s="2204"/>
      <c r="I143" s="2205"/>
      <c r="J143" s="4164"/>
      <c r="K143" s="4162"/>
      <c r="L143" s="4164"/>
      <c r="M143" s="4164"/>
      <c r="N143" s="4164"/>
      <c r="O143" s="4290"/>
      <c r="P143" s="4184"/>
      <c r="Q143" s="4283"/>
      <c r="R143" s="4286"/>
      <c r="S143" s="4162"/>
      <c r="T143" s="4162"/>
      <c r="U143" s="4155"/>
      <c r="V143" s="2064">
        <f>0+4271940</f>
        <v>4271940</v>
      </c>
      <c r="W143" s="2197">
        <v>107</v>
      </c>
      <c r="X143" s="2218" t="s">
        <v>2068</v>
      </c>
      <c r="Y143" s="4277"/>
      <c r="Z143" s="4277">
        <v>282326</v>
      </c>
      <c r="AA143" s="4277">
        <v>135912</v>
      </c>
      <c r="AB143" s="4277">
        <v>45122</v>
      </c>
      <c r="AC143" s="4277">
        <v>307101</v>
      </c>
      <c r="AD143" s="4277">
        <v>86875</v>
      </c>
      <c r="AE143" s="4277">
        <v>2145</v>
      </c>
      <c r="AF143" s="4277">
        <v>12718</v>
      </c>
      <c r="AG143" s="4277">
        <v>26</v>
      </c>
      <c r="AH143" s="4277">
        <v>37</v>
      </c>
      <c r="AI143" s="4277" t="s">
        <v>1913</v>
      </c>
      <c r="AJ143" s="4277" t="s">
        <v>1913</v>
      </c>
      <c r="AK143" s="4277">
        <v>53164</v>
      </c>
      <c r="AL143" s="4277">
        <v>16982</v>
      </c>
      <c r="AM143" s="4277">
        <v>60013</v>
      </c>
      <c r="AN143" s="4277">
        <v>575010</v>
      </c>
      <c r="AO143" s="4280"/>
      <c r="AP143" s="4280"/>
      <c r="AQ143" s="4263"/>
    </row>
    <row r="144" spans="1:43" ht="42.75" customHeight="1" x14ac:dyDescent="0.2">
      <c r="A144" s="2203"/>
      <c r="B144" s="2204"/>
      <c r="C144" s="2205"/>
      <c r="D144" s="2204"/>
      <c r="E144" s="2204"/>
      <c r="F144" s="2205"/>
      <c r="G144" s="2206"/>
      <c r="H144" s="2204"/>
      <c r="I144" s="2205"/>
      <c r="J144" s="4164"/>
      <c r="K144" s="4162"/>
      <c r="L144" s="4164"/>
      <c r="M144" s="4164"/>
      <c r="N144" s="4164"/>
      <c r="O144" s="4290"/>
      <c r="P144" s="4184"/>
      <c r="Q144" s="4283"/>
      <c r="R144" s="4286"/>
      <c r="S144" s="4162"/>
      <c r="T144" s="4162"/>
      <c r="U144" s="4154" t="s">
        <v>2074</v>
      </c>
      <c r="V144" s="2064">
        <v>20000000</v>
      </c>
      <c r="W144" s="2197">
        <v>20</v>
      </c>
      <c r="X144" s="2218" t="s">
        <v>62</v>
      </c>
      <c r="Y144" s="4277"/>
      <c r="Z144" s="4277">
        <v>282326</v>
      </c>
      <c r="AA144" s="4277">
        <v>135912</v>
      </c>
      <c r="AB144" s="4277">
        <v>45122</v>
      </c>
      <c r="AC144" s="4277">
        <v>307101</v>
      </c>
      <c r="AD144" s="4277">
        <v>86875</v>
      </c>
      <c r="AE144" s="4277">
        <v>2145</v>
      </c>
      <c r="AF144" s="4277">
        <v>12718</v>
      </c>
      <c r="AG144" s="4277">
        <v>26</v>
      </c>
      <c r="AH144" s="4277">
        <v>37</v>
      </c>
      <c r="AI144" s="4277" t="s">
        <v>1913</v>
      </c>
      <c r="AJ144" s="4277" t="s">
        <v>1913</v>
      </c>
      <c r="AK144" s="4277">
        <v>53164</v>
      </c>
      <c r="AL144" s="4277">
        <v>16982</v>
      </c>
      <c r="AM144" s="4277">
        <v>60013</v>
      </c>
      <c r="AN144" s="4277">
        <v>575010</v>
      </c>
      <c r="AO144" s="4280"/>
      <c r="AP144" s="4280"/>
      <c r="AQ144" s="4263"/>
    </row>
    <row r="145" spans="1:43" ht="48" customHeight="1" x14ac:dyDescent="0.2">
      <c r="A145" s="2203"/>
      <c r="B145" s="2204"/>
      <c r="C145" s="2205"/>
      <c r="D145" s="2204"/>
      <c r="E145" s="2204"/>
      <c r="F145" s="2205"/>
      <c r="G145" s="2206"/>
      <c r="H145" s="2204"/>
      <c r="I145" s="2205"/>
      <c r="J145" s="4165"/>
      <c r="K145" s="4173"/>
      <c r="L145" s="4165"/>
      <c r="M145" s="4165"/>
      <c r="N145" s="4164"/>
      <c r="O145" s="4290"/>
      <c r="P145" s="4184"/>
      <c r="Q145" s="4284"/>
      <c r="R145" s="4286"/>
      <c r="S145" s="4162"/>
      <c r="T145" s="4173"/>
      <c r="U145" s="4155"/>
      <c r="V145" s="2054">
        <f>0+4271940</f>
        <v>4271940</v>
      </c>
      <c r="W145" s="2209">
        <v>107</v>
      </c>
      <c r="X145" s="2210" t="s">
        <v>2068</v>
      </c>
      <c r="Y145" s="4277"/>
      <c r="Z145" s="4277">
        <v>282326</v>
      </c>
      <c r="AA145" s="4277">
        <v>135912</v>
      </c>
      <c r="AB145" s="4277">
        <v>45122</v>
      </c>
      <c r="AC145" s="4277">
        <v>307101</v>
      </c>
      <c r="AD145" s="4277">
        <v>86875</v>
      </c>
      <c r="AE145" s="4277">
        <v>2145</v>
      </c>
      <c r="AF145" s="4277">
        <v>12718</v>
      </c>
      <c r="AG145" s="4277">
        <v>26</v>
      </c>
      <c r="AH145" s="4277">
        <v>37</v>
      </c>
      <c r="AI145" s="4277" t="s">
        <v>1913</v>
      </c>
      <c r="AJ145" s="4277" t="s">
        <v>1913</v>
      </c>
      <c r="AK145" s="4277">
        <v>53164</v>
      </c>
      <c r="AL145" s="4277">
        <v>16982</v>
      </c>
      <c r="AM145" s="4277">
        <v>60013</v>
      </c>
      <c r="AN145" s="4277">
        <v>575010</v>
      </c>
      <c r="AO145" s="4280"/>
      <c r="AP145" s="4280"/>
      <c r="AQ145" s="4263"/>
    </row>
    <row r="146" spans="1:43" ht="34.5" customHeight="1" x14ac:dyDescent="0.2">
      <c r="A146" s="2203"/>
      <c r="B146" s="2204"/>
      <c r="C146" s="2205"/>
      <c r="D146" s="2204"/>
      <c r="E146" s="2204"/>
      <c r="F146" s="2205"/>
      <c r="G146" s="2206"/>
      <c r="H146" s="2204"/>
      <c r="I146" s="2205"/>
      <c r="J146" s="4163">
        <v>145</v>
      </c>
      <c r="K146" s="4168" t="s">
        <v>2075</v>
      </c>
      <c r="L146" s="4163" t="s">
        <v>1905</v>
      </c>
      <c r="M146" s="4163">
        <v>1</v>
      </c>
      <c r="N146" s="4164"/>
      <c r="O146" s="4290"/>
      <c r="P146" s="4282"/>
      <c r="Q146" s="4283">
        <f>SUM(V146:V153)/R130</f>
        <v>0.20765989908293286</v>
      </c>
      <c r="R146" s="4286"/>
      <c r="S146" s="4162"/>
      <c r="T146" s="4179" t="s">
        <v>2076</v>
      </c>
      <c r="U146" s="4258" t="s">
        <v>2077</v>
      </c>
      <c r="V146" s="2214">
        <v>33000000</v>
      </c>
      <c r="W146" s="2215">
        <v>61</v>
      </c>
      <c r="X146" s="2216" t="s">
        <v>2025</v>
      </c>
      <c r="Y146" s="4277"/>
      <c r="Z146" s="4277">
        <v>282326</v>
      </c>
      <c r="AA146" s="4277">
        <v>135912</v>
      </c>
      <c r="AB146" s="4277">
        <v>45122</v>
      </c>
      <c r="AC146" s="4277">
        <v>307101</v>
      </c>
      <c r="AD146" s="4277">
        <v>86875</v>
      </c>
      <c r="AE146" s="4277">
        <v>2145</v>
      </c>
      <c r="AF146" s="4277">
        <v>12718</v>
      </c>
      <c r="AG146" s="4277">
        <v>26</v>
      </c>
      <c r="AH146" s="4277">
        <v>37</v>
      </c>
      <c r="AI146" s="4277" t="s">
        <v>1913</v>
      </c>
      <c r="AJ146" s="4277" t="s">
        <v>1913</v>
      </c>
      <c r="AK146" s="4277">
        <v>53164</v>
      </c>
      <c r="AL146" s="4277">
        <v>16982</v>
      </c>
      <c r="AM146" s="4277">
        <v>60013</v>
      </c>
      <c r="AN146" s="4277">
        <v>575010</v>
      </c>
      <c r="AO146" s="4280"/>
      <c r="AP146" s="4280"/>
      <c r="AQ146" s="4263"/>
    </row>
    <row r="147" spans="1:43" ht="31.5" customHeight="1" x14ac:dyDescent="0.2">
      <c r="A147" s="2203"/>
      <c r="B147" s="2204"/>
      <c r="C147" s="2205"/>
      <c r="D147" s="2204"/>
      <c r="E147" s="2204"/>
      <c r="F147" s="2205"/>
      <c r="G147" s="2206"/>
      <c r="H147" s="2204"/>
      <c r="I147" s="2205"/>
      <c r="J147" s="4164"/>
      <c r="K147" s="4169"/>
      <c r="L147" s="4164"/>
      <c r="M147" s="4164"/>
      <c r="N147" s="4164"/>
      <c r="O147" s="4290"/>
      <c r="P147" s="4282"/>
      <c r="Q147" s="4283"/>
      <c r="R147" s="4286"/>
      <c r="S147" s="4162"/>
      <c r="T147" s="4204"/>
      <c r="U147" s="4259"/>
      <c r="V147" s="2214">
        <f>0+4271940</f>
        <v>4271940</v>
      </c>
      <c r="W147" s="2215">
        <v>107</v>
      </c>
      <c r="X147" s="2216" t="s">
        <v>2068</v>
      </c>
      <c r="Y147" s="4277"/>
      <c r="Z147" s="4277">
        <v>282326</v>
      </c>
      <c r="AA147" s="4277">
        <v>135912</v>
      </c>
      <c r="AB147" s="4277">
        <v>45122</v>
      </c>
      <c r="AC147" s="4277">
        <v>307101</v>
      </c>
      <c r="AD147" s="4277">
        <v>86875</v>
      </c>
      <c r="AE147" s="4277">
        <v>2145</v>
      </c>
      <c r="AF147" s="4277">
        <v>12718</v>
      </c>
      <c r="AG147" s="4277">
        <v>26</v>
      </c>
      <c r="AH147" s="4277">
        <v>37</v>
      </c>
      <c r="AI147" s="4277" t="s">
        <v>1913</v>
      </c>
      <c r="AJ147" s="4277" t="s">
        <v>1913</v>
      </c>
      <c r="AK147" s="4277">
        <v>53164</v>
      </c>
      <c r="AL147" s="4277">
        <v>16982</v>
      </c>
      <c r="AM147" s="4277">
        <v>60013</v>
      </c>
      <c r="AN147" s="4277">
        <v>575010</v>
      </c>
      <c r="AO147" s="4280"/>
      <c r="AP147" s="4280"/>
      <c r="AQ147" s="4263"/>
    </row>
    <row r="148" spans="1:43" ht="31.5" customHeight="1" x14ac:dyDescent="0.2">
      <c r="A148" s="2203"/>
      <c r="B148" s="2204"/>
      <c r="C148" s="2205"/>
      <c r="D148" s="2204"/>
      <c r="E148" s="2204"/>
      <c r="F148" s="2205"/>
      <c r="G148" s="2206"/>
      <c r="H148" s="2204"/>
      <c r="I148" s="2205"/>
      <c r="J148" s="4164"/>
      <c r="K148" s="4169"/>
      <c r="L148" s="4164"/>
      <c r="M148" s="4164"/>
      <c r="N148" s="4164"/>
      <c r="O148" s="4290"/>
      <c r="P148" s="4282"/>
      <c r="Q148" s="4283"/>
      <c r="R148" s="4286"/>
      <c r="S148" s="4162"/>
      <c r="T148" s="4204"/>
      <c r="U148" s="4226" t="s">
        <v>2078</v>
      </c>
      <c r="V148" s="2219">
        <v>33000000</v>
      </c>
      <c r="W148" s="2220">
        <v>61</v>
      </c>
      <c r="X148" s="2221" t="s">
        <v>2025</v>
      </c>
      <c r="Y148" s="4277"/>
      <c r="Z148" s="4277">
        <v>282326</v>
      </c>
      <c r="AA148" s="4277">
        <v>135912</v>
      </c>
      <c r="AB148" s="4277">
        <v>45122</v>
      </c>
      <c r="AC148" s="4277">
        <v>307101</v>
      </c>
      <c r="AD148" s="4277">
        <v>86875</v>
      </c>
      <c r="AE148" s="4277">
        <v>2145</v>
      </c>
      <c r="AF148" s="4277">
        <v>12718</v>
      </c>
      <c r="AG148" s="4277">
        <v>26</v>
      </c>
      <c r="AH148" s="4277">
        <v>37</v>
      </c>
      <c r="AI148" s="4277" t="s">
        <v>1913</v>
      </c>
      <c r="AJ148" s="4277" t="s">
        <v>1913</v>
      </c>
      <c r="AK148" s="4277">
        <v>53164</v>
      </c>
      <c r="AL148" s="4277">
        <v>16982</v>
      </c>
      <c r="AM148" s="4277">
        <v>60013</v>
      </c>
      <c r="AN148" s="4277">
        <v>575010</v>
      </c>
      <c r="AO148" s="4280"/>
      <c r="AP148" s="4280"/>
      <c r="AQ148" s="4263"/>
    </row>
    <row r="149" spans="1:43" ht="34.5" customHeight="1" x14ac:dyDescent="0.2">
      <c r="A149" s="2203"/>
      <c r="B149" s="2204"/>
      <c r="C149" s="2205"/>
      <c r="D149" s="2204"/>
      <c r="E149" s="2204"/>
      <c r="F149" s="2205"/>
      <c r="G149" s="2206"/>
      <c r="H149" s="2204"/>
      <c r="I149" s="2205"/>
      <c r="J149" s="4164"/>
      <c r="K149" s="4169"/>
      <c r="L149" s="4164"/>
      <c r="M149" s="4164"/>
      <c r="N149" s="4164"/>
      <c r="O149" s="4290"/>
      <c r="P149" s="4282"/>
      <c r="Q149" s="4283"/>
      <c r="R149" s="4286"/>
      <c r="S149" s="4162"/>
      <c r="T149" s="4204"/>
      <c r="U149" s="4259"/>
      <c r="V149" s="2064">
        <f>0+4271940</f>
        <v>4271940</v>
      </c>
      <c r="W149" s="2197">
        <v>107</v>
      </c>
      <c r="X149" s="2218" t="s">
        <v>2068</v>
      </c>
      <c r="Y149" s="4277"/>
      <c r="Z149" s="4277">
        <v>282326</v>
      </c>
      <c r="AA149" s="4277">
        <v>135912</v>
      </c>
      <c r="AB149" s="4277">
        <v>45122</v>
      </c>
      <c r="AC149" s="4277">
        <v>307101</v>
      </c>
      <c r="AD149" s="4277">
        <v>86875</v>
      </c>
      <c r="AE149" s="4277">
        <v>2145</v>
      </c>
      <c r="AF149" s="4277">
        <v>12718</v>
      </c>
      <c r="AG149" s="4277">
        <v>26</v>
      </c>
      <c r="AH149" s="4277">
        <v>37</v>
      </c>
      <c r="AI149" s="4277" t="s">
        <v>1913</v>
      </c>
      <c r="AJ149" s="4277" t="s">
        <v>1913</v>
      </c>
      <c r="AK149" s="4277">
        <v>53164</v>
      </c>
      <c r="AL149" s="4277">
        <v>16982</v>
      </c>
      <c r="AM149" s="4277">
        <v>60013</v>
      </c>
      <c r="AN149" s="4277">
        <v>575010</v>
      </c>
      <c r="AO149" s="4280"/>
      <c r="AP149" s="4280"/>
      <c r="AQ149" s="4263"/>
    </row>
    <row r="150" spans="1:43" ht="31.5" customHeight="1" x14ac:dyDescent="0.2">
      <c r="A150" s="2203"/>
      <c r="B150" s="2204"/>
      <c r="C150" s="2205"/>
      <c r="D150" s="2204"/>
      <c r="E150" s="2204"/>
      <c r="F150" s="2205"/>
      <c r="G150" s="2206"/>
      <c r="H150" s="2204"/>
      <c r="I150" s="2205"/>
      <c r="J150" s="4164"/>
      <c r="K150" s="4169"/>
      <c r="L150" s="4164"/>
      <c r="M150" s="4164"/>
      <c r="N150" s="4164"/>
      <c r="O150" s="4290"/>
      <c r="P150" s="4282"/>
      <c r="Q150" s="4283"/>
      <c r="R150" s="4286"/>
      <c r="S150" s="4162"/>
      <c r="T150" s="4204"/>
      <c r="U150" s="4226" t="s">
        <v>2079</v>
      </c>
      <c r="V150" s="2187">
        <v>600000</v>
      </c>
      <c r="W150" s="2197">
        <v>61</v>
      </c>
      <c r="X150" s="2218" t="s">
        <v>2025</v>
      </c>
      <c r="Y150" s="4277"/>
      <c r="Z150" s="4277">
        <v>282326</v>
      </c>
      <c r="AA150" s="4277">
        <v>135912</v>
      </c>
      <c r="AB150" s="4277">
        <v>45122</v>
      </c>
      <c r="AC150" s="4277">
        <v>307101</v>
      </c>
      <c r="AD150" s="4277">
        <v>86875</v>
      </c>
      <c r="AE150" s="4277">
        <v>2145</v>
      </c>
      <c r="AF150" s="4277">
        <v>12718</v>
      </c>
      <c r="AG150" s="4277">
        <v>26</v>
      </c>
      <c r="AH150" s="4277">
        <v>37</v>
      </c>
      <c r="AI150" s="4277" t="s">
        <v>1913</v>
      </c>
      <c r="AJ150" s="4277" t="s">
        <v>1913</v>
      </c>
      <c r="AK150" s="4277">
        <v>53164</v>
      </c>
      <c r="AL150" s="4277">
        <v>16982</v>
      </c>
      <c r="AM150" s="4277">
        <v>60013</v>
      </c>
      <c r="AN150" s="4277">
        <v>575010</v>
      </c>
      <c r="AO150" s="4280"/>
      <c r="AP150" s="4280"/>
      <c r="AQ150" s="4263"/>
    </row>
    <row r="151" spans="1:43" ht="27.75" customHeight="1" x14ac:dyDescent="0.2">
      <c r="A151" s="2203"/>
      <c r="B151" s="2204"/>
      <c r="C151" s="2205"/>
      <c r="D151" s="2204"/>
      <c r="E151" s="2204"/>
      <c r="F151" s="2205"/>
      <c r="G151" s="2206"/>
      <c r="H151" s="2204"/>
      <c r="I151" s="2205"/>
      <c r="J151" s="4164"/>
      <c r="K151" s="4169"/>
      <c r="L151" s="4164"/>
      <c r="M151" s="4164"/>
      <c r="N151" s="4164"/>
      <c r="O151" s="4290"/>
      <c r="P151" s="4282"/>
      <c r="Q151" s="4283"/>
      <c r="R151" s="4286"/>
      <c r="S151" s="4162"/>
      <c r="T151" s="4204"/>
      <c r="U151" s="4240"/>
      <c r="V151" s="2064">
        <f>0+4271940</f>
        <v>4271940</v>
      </c>
      <c r="W151" s="2197">
        <v>107</v>
      </c>
      <c r="X151" s="2218" t="s">
        <v>2068</v>
      </c>
      <c r="Y151" s="4277"/>
      <c r="Z151" s="4277">
        <v>282326</v>
      </c>
      <c r="AA151" s="4277">
        <v>135912</v>
      </c>
      <c r="AB151" s="4277">
        <v>45122</v>
      </c>
      <c r="AC151" s="4277">
        <v>307101</v>
      </c>
      <c r="AD151" s="4277">
        <v>86875</v>
      </c>
      <c r="AE151" s="4277">
        <v>2145</v>
      </c>
      <c r="AF151" s="4277">
        <v>12718</v>
      </c>
      <c r="AG151" s="4277">
        <v>26</v>
      </c>
      <c r="AH151" s="4277">
        <v>37</v>
      </c>
      <c r="AI151" s="4277" t="s">
        <v>1913</v>
      </c>
      <c r="AJ151" s="4277" t="s">
        <v>1913</v>
      </c>
      <c r="AK151" s="4277">
        <v>53164</v>
      </c>
      <c r="AL151" s="4277">
        <v>16982</v>
      </c>
      <c r="AM151" s="4277">
        <v>60013</v>
      </c>
      <c r="AN151" s="4277">
        <v>575010</v>
      </c>
      <c r="AO151" s="4280"/>
      <c r="AP151" s="4280"/>
      <c r="AQ151" s="4263"/>
    </row>
    <row r="152" spans="1:43" ht="33.75" customHeight="1" x14ac:dyDescent="0.2">
      <c r="A152" s="2203"/>
      <c r="B152" s="2204"/>
      <c r="C152" s="2205"/>
      <c r="D152" s="2204"/>
      <c r="E152" s="2204"/>
      <c r="F152" s="2205"/>
      <c r="G152" s="2206"/>
      <c r="H152" s="2204"/>
      <c r="I152" s="2205"/>
      <c r="J152" s="4164"/>
      <c r="K152" s="4169"/>
      <c r="L152" s="4164"/>
      <c r="M152" s="4164"/>
      <c r="N152" s="4164"/>
      <c r="O152" s="4290"/>
      <c r="P152" s="4282"/>
      <c r="Q152" s="4283"/>
      <c r="R152" s="4286"/>
      <c r="S152" s="4162"/>
      <c r="T152" s="4204"/>
      <c r="U152" s="4141" t="s">
        <v>2080</v>
      </c>
      <c r="V152" s="2187">
        <v>33000000</v>
      </c>
      <c r="W152" s="2197">
        <v>61</v>
      </c>
      <c r="X152" s="2218" t="s">
        <v>2025</v>
      </c>
      <c r="Y152" s="4277"/>
      <c r="Z152" s="4277">
        <v>282326</v>
      </c>
      <c r="AA152" s="4277">
        <v>135912</v>
      </c>
      <c r="AB152" s="4277">
        <v>45122</v>
      </c>
      <c r="AC152" s="4277">
        <v>307101</v>
      </c>
      <c r="AD152" s="4277">
        <v>86875</v>
      </c>
      <c r="AE152" s="4277">
        <v>2145</v>
      </c>
      <c r="AF152" s="4277">
        <v>12718</v>
      </c>
      <c r="AG152" s="4277">
        <v>26</v>
      </c>
      <c r="AH152" s="4277">
        <v>37</v>
      </c>
      <c r="AI152" s="4277" t="s">
        <v>1913</v>
      </c>
      <c r="AJ152" s="4277" t="s">
        <v>1913</v>
      </c>
      <c r="AK152" s="4277">
        <v>53164</v>
      </c>
      <c r="AL152" s="4277">
        <v>16982</v>
      </c>
      <c r="AM152" s="4277">
        <v>60013</v>
      </c>
      <c r="AN152" s="4277">
        <v>575010</v>
      </c>
      <c r="AO152" s="4280"/>
      <c r="AP152" s="4280"/>
      <c r="AQ152" s="4263"/>
    </row>
    <row r="153" spans="1:43" ht="35.25" customHeight="1" x14ac:dyDescent="0.2">
      <c r="A153" s="2203"/>
      <c r="B153" s="2204"/>
      <c r="C153" s="2205"/>
      <c r="D153" s="2204"/>
      <c r="E153" s="2204"/>
      <c r="F153" s="2205"/>
      <c r="G153" s="2206"/>
      <c r="H153" s="2204"/>
      <c r="I153" s="2205"/>
      <c r="J153" s="4165"/>
      <c r="K153" s="4241"/>
      <c r="L153" s="4165"/>
      <c r="M153" s="4165"/>
      <c r="N153" s="4165"/>
      <c r="O153" s="4291"/>
      <c r="P153" s="4282"/>
      <c r="Q153" s="4283"/>
      <c r="R153" s="4286"/>
      <c r="S153" s="4162"/>
      <c r="T153" s="4197"/>
      <c r="U153" s="4143"/>
      <c r="V153" s="2064">
        <f>0+4271940</f>
        <v>4271940</v>
      </c>
      <c r="W153" s="2222">
        <v>107</v>
      </c>
      <c r="X153" s="2218" t="s">
        <v>2068</v>
      </c>
      <c r="Y153" s="4278"/>
      <c r="Z153" s="4278">
        <v>282326</v>
      </c>
      <c r="AA153" s="4278">
        <v>135912</v>
      </c>
      <c r="AB153" s="4278">
        <v>45122</v>
      </c>
      <c r="AC153" s="4278">
        <v>307101</v>
      </c>
      <c r="AD153" s="4278">
        <v>86875</v>
      </c>
      <c r="AE153" s="4278">
        <v>2145</v>
      </c>
      <c r="AF153" s="4278">
        <v>12718</v>
      </c>
      <c r="AG153" s="4278">
        <v>26</v>
      </c>
      <c r="AH153" s="4278">
        <v>37</v>
      </c>
      <c r="AI153" s="4278" t="s">
        <v>1913</v>
      </c>
      <c r="AJ153" s="4278" t="s">
        <v>1913</v>
      </c>
      <c r="AK153" s="4278">
        <v>53164</v>
      </c>
      <c r="AL153" s="4278">
        <v>16982</v>
      </c>
      <c r="AM153" s="4278">
        <v>60013</v>
      </c>
      <c r="AN153" s="4278">
        <v>575010</v>
      </c>
      <c r="AO153" s="4281"/>
      <c r="AP153" s="4281"/>
      <c r="AQ153" s="4264"/>
    </row>
    <row r="154" spans="1:43" ht="33.75" customHeight="1" x14ac:dyDescent="0.2">
      <c r="A154" s="2203"/>
      <c r="B154" s="2204"/>
      <c r="C154" s="2205"/>
      <c r="D154" s="2204"/>
      <c r="E154" s="2204"/>
      <c r="F154" s="2205"/>
      <c r="G154" s="2206"/>
      <c r="H154" s="2204"/>
      <c r="I154" s="2205"/>
      <c r="J154" s="4163">
        <v>146</v>
      </c>
      <c r="K154" s="4161" t="s">
        <v>2081</v>
      </c>
      <c r="L154" s="4163" t="s">
        <v>1905</v>
      </c>
      <c r="M154" s="4163">
        <v>1</v>
      </c>
      <c r="N154" s="2210"/>
      <c r="O154" s="4170" t="s">
        <v>2082</v>
      </c>
      <c r="P154" s="4142" t="s">
        <v>2083</v>
      </c>
      <c r="Q154" s="4266">
        <v>1</v>
      </c>
      <c r="R154" s="4158">
        <f>SUM(V154:V177)</f>
        <v>224605362</v>
      </c>
      <c r="S154" s="4161" t="s">
        <v>2084</v>
      </c>
      <c r="T154" s="4179" t="s">
        <v>2085</v>
      </c>
      <c r="U154" s="4226" t="s">
        <v>2086</v>
      </c>
      <c r="V154" s="2064">
        <v>10000000</v>
      </c>
      <c r="W154" s="2223">
        <v>61</v>
      </c>
      <c r="X154" s="2224"/>
      <c r="Y154" s="4163">
        <v>292684</v>
      </c>
      <c r="Z154" s="4163">
        <v>282326</v>
      </c>
      <c r="AA154" s="4163">
        <v>135912</v>
      </c>
      <c r="AB154" s="4163">
        <v>45122</v>
      </c>
      <c r="AC154" s="4163">
        <v>307101</v>
      </c>
      <c r="AD154" s="4163">
        <v>86875</v>
      </c>
      <c r="AE154" s="4163">
        <v>2145</v>
      </c>
      <c r="AF154" s="4163">
        <v>12718</v>
      </c>
      <c r="AG154" s="4163">
        <v>26</v>
      </c>
      <c r="AH154" s="4163">
        <v>37</v>
      </c>
      <c r="AI154" s="4163" t="s">
        <v>1913</v>
      </c>
      <c r="AJ154" s="4163" t="s">
        <v>1913</v>
      </c>
      <c r="AK154" s="4163">
        <v>53164</v>
      </c>
      <c r="AL154" s="4163">
        <v>16982</v>
      </c>
      <c r="AM154" s="4163">
        <v>60013</v>
      </c>
      <c r="AN154" s="4163">
        <v>575010</v>
      </c>
      <c r="AO154" s="4261">
        <v>43467</v>
      </c>
      <c r="AP154" s="4261">
        <v>43830</v>
      </c>
      <c r="AQ154" s="4262" t="s">
        <v>1914</v>
      </c>
    </row>
    <row r="155" spans="1:43" ht="28.5" customHeight="1" x14ac:dyDescent="0.2">
      <c r="A155" s="2203"/>
      <c r="B155" s="2204"/>
      <c r="C155" s="2205"/>
      <c r="D155" s="2204"/>
      <c r="E155" s="2204"/>
      <c r="F155" s="2205"/>
      <c r="G155" s="2206"/>
      <c r="H155" s="2204"/>
      <c r="I155" s="2205"/>
      <c r="J155" s="4164"/>
      <c r="K155" s="4162"/>
      <c r="L155" s="4164"/>
      <c r="M155" s="4164"/>
      <c r="N155" s="2221"/>
      <c r="O155" s="4171"/>
      <c r="P155" s="4142"/>
      <c r="Q155" s="4266"/>
      <c r="R155" s="4159"/>
      <c r="S155" s="4162"/>
      <c r="T155" s="4204"/>
      <c r="U155" s="4227"/>
      <c r="V155" s="2064">
        <v>40000000</v>
      </c>
      <c r="W155" s="2223">
        <v>113</v>
      </c>
      <c r="X155" s="2225"/>
      <c r="Y155" s="4164"/>
      <c r="Z155" s="4164">
        <v>282326</v>
      </c>
      <c r="AA155" s="4164">
        <v>135912</v>
      </c>
      <c r="AB155" s="4164">
        <v>45122</v>
      </c>
      <c r="AC155" s="4164">
        <v>307101</v>
      </c>
      <c r="AD155" s="4164">
        <v>86875</v>
      </c>
      <c r="AE155" s="4164">
        <v>2145</v>
      </c>
      <c r="AF155" s="4164">
        <v>12718</v>
      </c>
      <c r="AG155" s="4164">
        <v>26</v>
      </c>
      <c r="AH155" s="4164">
        <v>37</v>
      </c>
      <c r="AI155" s="4164" t="s">
        <v>1913</v>
      </c>
      <c r="AJ155" s="4164" t="s">
        <v>1913</v>
      </c>
      <c r="AK155" s="4164">
        <v>53164</v>
      </c>
      <c r="AL155" s="4164">
        <v>16982</v>
      </c>
      <c r="AM155" s="4164">
        <v>60013</v>
      </c>
      <c r="AN155" s="4164">
        <v>575010</v>
      </c>
      <c r="AO155" s="4261"/>
      <c r="AP155" s="4261"/>
      <c r="AQ155" s="4263"/>
    </row>
    <row r="156" spans="1:43" ht="28.5" customHeight="1" x14ac:dyDescent="0.2">
      <c r="A156" s="2203"/>
      <c r="B156" s="2204"/>
      <c r="C156" s="2205"/>
      <c r="D156" s="2204"/>
      <c r="E156" s="2204"/>
      <c r="F156" s="2205"/>
      <c r="G156" s="2206"/>
      <c r="H156" s="2204"/>
      <c r="I156" s="2205"/>
      <c r="J156" s="4164"/>
      <c r="K156" s="4162"/>
      <c r="L156" s="4164"/>
      <c r="M156" s="4164"/>
      <c r="N156" s="2221"/>
      <c r="O156" s="4171"/>
      <c r="P156" s="4142"/>
      <c r="Q156" s="4266"/>
      <c r="R156" s="4159"/>
      <c r="S156" s="4162"/>
      <c r="T156" s="4204"/>
      <c r="U156" s="4240"/>
      <c r="V156" s="2064">
        <v>4000000</v>
      </c>
      <c r="W156" s="2223">
        <v>114</v>
      </c>
      <c r="X156" s="2225"/>
      <c r="Y156" s="4164"/>
      <c r="Z156" s="4164">
        <v>282326</v>
      </c>
      <c r="AA156" s="4164">
        <v>135912</v>
      </c>
      <c r="AB156" s="4164">
        <v>45122</v>
      </c>
      <c r="AC156" s="4164">
        <v>307101</v>
      </c>
      <c r="AD156" s="4164">
        <v>86875</v>
      </c>
      <c r="AE156" s="4164">
        <v>2145</v>
      </c>
      <c r="AF156" s="4164">
        <v>12718</v>
      </c>
      <c r="AG156" s="4164">
        <v>26</v>
      </c>
      <c r="AH156" s="4164">
        <v>37</v>
      </c>
      <c r="AI156" s="4164" t="s">
        <v>1913</v>
      </c>
      <c r="AJ156" s="4164" t="s">
        <v>1913</v>
      </c>
      <c r="AK156" s="4164">
        <v>53164</v>
      </c>
      <c r="AL156" s="4164">
        <v>16982</v>
      </c>
      <c r="AM156" s="4164">
        <v>60013</v>
      </c>
      <c r="AN156" s="4164">
        <v>575010</v>
      </c>
      <c r="AO156" s="4261"/>
      <c r="AP156" s="4261"/>
      <c r="AQ156" s="4263"/>
    </row>
    <row r="157" spans="1:43" ht="18.75" customHeight="1" x14ac:dyDescent="0.2">
      <c r="A157" s="2203"/>
      <c r="B157" s="2204"/>
      <c r="C157" s="2205"/>
      <c r="D157" s="2204"/>
      <c r="E157" s="2204"/>
      <c r="F157" s="2205"/>
      <c r="G157" s="2206"/>
      <c r="H157" s="2204"/>
      <c r="I157" s="2205"/>
      <c r="J157" s="4164"/>
      <c r="K157" s="4162"/>
      <c r="L157" s="4164"/>
      <c r="M157" s="4164"/>
      <c r="N157" s="2221"/>
      <c r="O157" s="4171"/>
      <c r="P157" s="4142"/>
      <c r="Q157" s="4266"/>
      <c r="R157" s="4159"/>
      <c r="S157" s="4162"/>
      <c r="T157" s="4204"/>
      <c r="U157" s="4226" t="s">
        <v>2087</v>
      </c>
      <c r="V157" s="2064">
        <v>1750000</v>
      </c>
      <c r="W157" s="2223">
        <v>61</v>
      </c>
      <c r="X157" s="2130"/>
      <c r="Y157" s="4164"/>
      <c r="Z157" s="4164">
        <v>282326</v>
      </c>
      <c r="AA157" s="4164">
        <v>135912</v>
      </c>
      <c r="AB157" s="4164">
        <v>45122</v>
      </c>
      <c r="AC157" s="4164">
        <v>307101</v>
      </c>
      <c r="AD157" s="4164">
        <v>86875</v>
      </c>
      <c r="AE157" s="4164">
        <v>2145</v>
      </c>
      <c r="AF157" s="4164">
        <v>12718</v>
      </c>
      <c r="AG157" s="4164">
        <v>26</v>
      </c>
      <c r="AH157" s="4164">
        <v>37</v>
      </c>
      <c r="AI157" s="4164" t="s">
        <v>1913</v>
      </c>
      <c r="AJ157" s="4164" t="s">
        <v>1913</v>
      </c>
      <c r="AK157" s="4164">
        <v>53164</v>
      </c>
      <c r="AL157" s="4164">
        <v>16982</v>
      </c>
      <c r="AM157" s="4164">
        <v>60013</v>
      </c>
      <c r="AN157" s="4164">
        <v>575010</v>
      </c>
      <c r="AO157" s="4261"/>
      <c r="AP157" s="4261"/>
      <c r="AQ157" s="4263"/>
    </row>
    <row r="158" spans="1:43" ht="21" customHeight="1" x14ac:dyDescent="0.2">
      <c r="A158" s="2203"/>
      <c r="B158" s="2204"/>
      <c r="C158" s="2205"/>
      <c r="D158" s="2204"/>
      <c r="E158" s="2204"/>
      <c r="F158" s="2205"/>
      <c r="G158" s="2206"/>
      <c r="H158" s="2204"/>
      <c r="I158" s="2205"/>
      <c r="J158" s="4164"/>
      <c r="K158" s="4162"/>
      <c r="L158" s="4164"/>
      <c r="M158" s="4164"/>
      <c r="N158" s="2221"/>
      <c r="O158" s="4171"/>
      <c r="P158" s="4142"/>
      <c r="Q158" s="4266"/>
      <c r="R158" s="4159"/>
      <c r="S158" s="4162"/>
      <c r="T158" s="4204"/>
      <c r="U158" s="4227"/>
      <c r="V158" s="2064">
        <v>3000000</v>
      </c>
      <c r="W158" s="2223">
        <v>113</v>
      </c>
      <c r="X158" s="2225"/>
      <c r="Y158" s="4164"/>
      <c r="Z158" s="4164">
        <v>282326</v>
      </c>
      <c r="AA158" s="4164">
        <v>135912</v>
      </c>
      <c r="AB158" s="4164">
        <v>45122</v>
      </c>
      <c r="AC158" s="4164">
        <v>307101</v>
      </c>
      <c r="AD158" s="4164">
        <v>86875</v>
      </c>
      <c r="AE158" s="4164">
        <v>2145</v>
      </c>
      <c r="AF158" s="4164">
        <v>12718</v>
      </c>
      <c r="AG158" s="4164">
        <v>26</v>
      </c>
      <c r="AH158" s="4164">
        <v>37</v>
      </c>
      <c r="AI158" s="4164" t="s">
        <v>1913</v>
      </c>
      <c r="AJ158" s="4164" t="s">
        <v>1913</v>
      </c>
      <c r="AK158" s="4164">
        <v>53164</v>
      </c>
      <c r="AL158" s="4164">
        <v>16982</v>
      </c>
      <c r="AM158" s="4164">
        <v>60013</v>
      </c>
      <c r="AN158" s="4164">
        <v>575010</v>
      </c>
      <c r="AO158" s="4261"/>
      <c r="AP158" s="4261"/>
      <c r="AQ158" s="4263"/>
    </row>
    <row r="159" spans="1:43" ht="19.5" customHeight="1" x14ac:dyDescent="0.2">
      <c r="A159" s="2203"/>
      <c r="B159" s="2204"/>
      <c r="C159" s="2205"/>
      <c r="D159" s="2204"/>
      <c r="E159" s="2204"/>
      <c r="F159" s="2205"/>
      <c r="G159" s="2206"/>
      <c r="H159" s="2204"/>
      <c r="I159" s="2205"/>
      <c r="J159" s="4164"/>
      <c r="K159" s="4162"/>
      <c r="L159" s="4164"/>
      <c r="M159" s="4164"/>
      <c r="N159" s="2221"/>
      <c r="O159" s="4171"/>
      <c r="P159" s="4142"/>
      <c r="Q159" s="4266"/>
      <c r="R159" s="4159"/>
      <c r="S159" s="4162"/>
      <c r="T159" s="4204"/>
      <c r="U159" s="4227"/>
      <c r="V159" s="2064">
        <v>250000</v>
      </c>
      <c r="W159" s="2223">
        <v>114</v>
      </c>
      <c r="X159" s="2225"/>
      <c r="Y159" s="4164"/>
      <c r="Z159" s="4164">
        <v>282326</v>
      </c>
      <c r="AA159" s="4164">
        <v>135912</v>
      </c>
      <c r="AB159" s="4164">
        <v>45122</v>
      </c>
      <c r="AC159" s="4164">
        <v>307101</v>
      </c>
      <c r="AD159" s="4164">
        <v>86875</v>
      </c>
      <c r="AE159" s="4164">
        <v>2145</v>
      </c>
      <c r="AF159" s="4164">
        <v>12718</v>
      </c>
      <c r="AG159" s="4164">
        <v>26</v>
      </c>
      <c r="AH159" s="4164">
        <v>37</v>
      </c>
      <c r="AI159" s="4164" t="s">
        <v>1913</v>
      </c>
      <c r="AJ159" s="4164" t="s">
        <v>1913</v>
      </c>
      <c r="AK159" s="4164">
        <v>53164</v>
      </c>
      <c r="AL159" s="4164">
        <v>16982</v>
      </c>
      <c r="AM159" s="4164">
        <v>60013</v>
      </c>
      <c r="AN159" s="4164">
        <v>575010</v>
      </c>
      <c r="AO159" s="4261"/>
      <c r="AP159" s="4261"/>
      <c r="AQ159" s="4263"/>
    </row>
    <row r="160" spans="1:43" x14ac:dyDescent="0.2">
      <c r="A160" s="2203"/>
      <c r="B160" s="2204"/>
      <c r="C160" s="2205"/>
      <c r="D160" s="2204"/>
      <c r="E160" s="2204"/>
      <c r="F160" s="2205"/>
      <c r="G160" s="2206"/>
      <c r="H160" s="2204"/>
      <c r="I160" s="2205"/>
      <c r="J160" s="4164"/>
      <c r="K160" s="4162"/>
      <c r="L160" s="4164"/>
      <c r="M160" s="4164"/>
      <c r="N160" s="2221"/>
      <c r="O160" s="4171"/>
      <c r="P160" s="4142"/>
      <c r="Q160" s="4266"/>
      <c r="R160" s="4159"/>
      <c r="S160" s="4162"/>
      <c r="T160" s="4204"/>
      <c r="U160" s="4240"/>
      <c r="V160" s="2064">
        <v>3000000</v>
      </c>
      <c r="W160" s="2223">
        <v>98</v>
      </c>
      <c r="X160" s="2225"/>
      <c r="Y160" s="4164"/>
      <c r="Z160" s="4164">
        <v>282326</v>
      </c>
      <c r="AA160" s="4164">
        <v>135912</v>
      </c>
      <c r="AB160" s="4164">
        <v>45122</v>
      </c>
      <c r="AC160" s="4164">
        <v>307101</v>
      </c>
      <c r="AD160" s="4164">
        <v>86875</v>
      </c>
      <c r="AE160" s="4164">
        <v>2145</v>
      </c>
      <c r="AF160" s="4164">
        <v>12718</v>
      </c>
      <c r="AG160" s="4164">
        <v>26</v>
      </c>
      <c r="AH160" s="4164">
        <v>37</v>
      </c>
      <c r="AI160" s="4164" t="s">
        <v>1913</v>
      </c>
      <c r="AJ160" s="4164" t="s">
        <v>1913</v>
      </c>
      <c r="AK160" s="4164">
        <v>53164</v>
      </c>
      <c r="AL160" s="4164">
        <v>16982</v>
      </c>
      <c r="AM160" s="4164">
        <v>60013</v>
      </c>
      <c r="AN160" s="4164">
        <v>575010</v>
      </c>
      <c r="AO160" s="4261"/>
      <c r="AP160" s="4261"/>
      <c r="AQ160" s="4263"/>
    </row>
    <row r="161" spans="1:43" ht="71.25" x14ac:dyDescent="0.2">
      <c r="A161" s="2203"/>
      <c r="B161" s="2204"/>
      <c r="C161" s="2205"/>
      <c r="D161" s="2204"/>
      <c r="E161" s="2204"/>
      <c r="F161" s="2205"/>
      <c r="G161" s="2206"/>
      <c r="H161" s="2204"/>
      <c r="I161" s="2205"/>
      <c r="J161" s="4164"/>
      <c r="K161" s="4162"/>
      <c r="L161" s="4164"/>
      <c r="M161" s="4164"/>
      <c r="N161" s="2221" t="s">
        <v>2088</v>
      </c>
      <c r="O161" s="4171"/>
      <c r="P161" s="4142"/>
      <c r="Q161" s="4266"/>
      <c r="R161" s="4159"/>
      <c r="S161" s="4162"/>
      <c r="T161" s="4204"/>
      <c r="U161" s="2164" t="s">
        <v>2089</v>
      </c>
      <c r="V161" s="2064">
        <v>8000000</v>
      </c>
      <c r="W161" s="2223">
        <v>113</v>
      </c>
      <c r="X161" s="2225" t="s">
        <v>2090</v>
      </c>
      <c r="Y161" s="4164"/>
      <c r="Z161" s="4164">
        <v>282326</v>
      </c>
      <c r="AA161" s="4164">
        <v>135912</v>
      </c>
      <c r="AB161" s="4164">
        <v>45122</v>
      </c>
      <c r="AC161" s="4164">
        <v>307101</v>
      </c>
      <c r="AD161" s="4164">
        <v>86875</v>
      </c>
      <c r="AE161" s="4164">
        <v>2145</v>
      </c>
      <c r="AF161" s="4164">
        <v>12718</v>
      </c>
      <c r="AG161" s="4164">
        <v>26</v>
      </c>
      <c r="AH161" s="4164">
        <v>37</v>
      </c>
      <c r="AI161" s="4164" t="s">
        <v>1913</v>
      </c>
      <c r="AJ161" s="4164" t="s">
        <v>1913</v>
      </c>
      <c r="AK161" s="4164">
        <v>53164</v>
      </c>
      <c r="AL161" s="4164">
        <v>16982</v>
      </c>
      <c r="AM161" s="4164">
        <v>60013</v>
      </c>
      <c r="AN161" s="4164">
        <v>575010</v>
      </c>
      <c r="AO161" s="4261"/>
      <c r="AP161" s="4261"/>
      <c r="AQ161" s="4263"/>
    </row>
    <row r="162" spans="1:43" ht="23.25" customHeight="1" x14ac:dyDescent="0.2">
      <c r="A162" s="2203"/>
      <c r="B162" s="2204"/>
      <c r="C162" s="2205"/>
      <c r="D162" s="2204"/>
      <c r="E162" s="2204"/>
      <c r="F162" s="2205"/>
      <c r="G162" s="2206"/>
      <c r="H162" s="2204"/>
      <c r="I162" s="2205"/>
      <c r="J162" s="4164"/>
      <c r="K162" s="4162"/>
      <c r="L162" s="4164"/>
      <c r="M162" s="4164"/>
      <c r="N162" s="2221" t="s">
        <v>2091</v>
      </c>
      <c r="O162" s="4171"/>
      <c r="P162" s="4142"/>
      <c r="Q162" s="4266"/>
      <c r="R162" s="4159"/>
      <c r="S162" s="4162"/>
      <c r="T162" s="4204"/>
      <c r="U162" s="4226" t="s">
        <v>2092</v>
      </c>
      <c r="V162" s="2064">
        <v>500000</v>
      </c>
      <c r="W162" s="2223">
        <v>61</v>
      </c>
      <c r="X162" s="2225"/>
      <c r="Y162" s="4164"/>
      <c r="Z162" s="4164">
        <v>282326</v>
      </c>
      <c r="AA162" s="4164">
        <v>135912</v>
      </c>
      <c r="AB162" s="4164">
        <v>45122</v>
      </c>
      <c r="AC162" s="4164">
        <v>307101</v>
      </c>
      <c r="AD162" s="4164">
        <v>86875</v>
      </c>
      <c r="AE162" s="4164">
        <v>2145</v>
      </c>
      <c r="AF162" s="4164">
        <v>12718</v>
      </c>
      <c r="AG162" s="4164">
        <v>26</v>
      </c>
      <c r="AH162" s="4164">
        <v>37</v>
      </c>
      <c r="AI162" s="4164" t="s">
        <v>1913</v>
      </c>
      <c r="AJ162" s="4164" t="s">
        <v>1913</v>
      </c>
      <c r="AK162" s="4164">
        <v>53164</v>
      </c>
      <c r="AL162" s="4164">
        <v>16982</v>
      </c>
      <c r="AM162" s="4164">
        <v>60013</v>
      </c>
      <c r="AN162" s="4164">
        <v>575010</v>
      </c>
      <c r="AO162" s="4261"/>
      <c r="AP162" s="4261"/>
      <c r="AQ162" s="4263"/>
    </row>
    <row r="163" spans="1:43" ht="24" customHeight="1" x14ac:dyDescent="0.2">
      <c r="A163" s="2203"/>
      <c r="B163" s="2204"/>
      <c r="C163" s="2205"/>
      <c r="D163" s="2204"/>
      <c r="E163" s="2204"/>
      <c r="F163" s="2205"/>
      <c r="G163" s="2206"/>
      <c r="H163" s="2204"/>
      <c r="I163" s="2205"/>
      <c r="J163" s="4164"/>
      <c r="K163" s="4162"/>
      <c r="L163" s="4164"/>
      <c r="M163" s="4164"/>
      <c r="N163" s="2221"/>
      <c r="O163" s="4171"/>
      <c r="P163" s="4142"/>
      <c r="Q163" s="4266"/>
      <c r="R163" s="4159"/>
      <c r="S163" s="4162"/>
      <c r="T163" s="4204"/>
      <c r="U163" s="4227"/>
      <c r="V163" s="2064">
        <v>1911543</v>
      </c>
      <c r="W163" s="2223">
        <v>113</v>
      </c>
      <c r="X163" s="2225"/>
      <c r="Y163" s="4164"/>
      <c r="Z163" s="4164">
        <v>282326</v>
      </c>
      <c r="AA163" s="4164">
        <v>135912</v>
      </c>
      <c r="AB163" s="4164">
        <v>45122</v>
      </c>
      <c r="AC163" s="4164">
        <v>307101</v>
      </c>
      <c r="AD163" s="4164">
        <v>86875</v>
      </c>
      <c r="AE163" s="4164">
        <v>2145</v>
      </c>
      <c r="AF163" s="4164">
        <v>12718</v>
      </c>
      <c r="AG163" s="4164">
        <v>26</v>
      </c>
      <c r="AH163" s="4164">
        <v>37</v>
      </c>
      <c r="AI163" s="4164" t="s">
        <v>1913</v>
      </c>
      <c r="AJ163" s="4164" t="s">
        <v>1913</v>
      </c>
      <c r="AK163" s="4164">
        <v>53164</v>
      </c>
      <c r="AL163" s="4164">
        <v>16982</v>
      </c>
      <c r="AM163" s="4164">
        <v>60013</v>
      </c>
      <c r="AN163" s="4164">
        <v>575010</v>
      </c>
      <c r="AO163" s="4261"/>
      <c r="AP163" s="4261"/>
      <c r="AQ163" s="4263"/>
    </row>
    <row r="164" spans="1:43" ht="24.75" customHeight="1" x14ac:dyDescent="0.2">
      <c r="A164" s="2203"/>
      <c r="B164" s="2204"/>
      <c r="C164" s="2205"/>
      <c r="D164" s="2204"/>
      <c r="E164" s="2204"/>
      <c r="F164" s="2205"/>
      <c r="G164" s="2206"/>
      <c r="H164" s="2204"/>
      <c r="I164" s="2205"/>
      <c r="J164" s="4164"/>
      <c r="K164" s="4162"/>
      <c r="L164" s="4164"/>
      <c r="M164" s="4164"/>
      <c r="N164" s="2221"/>
      <c r="O164" s="4171"/>
      <c r="P164" s="4142"/>
      <c r="Q164" s="4266"/>
      <c r="R164" s="4159"/>
      <c r="S164" s="4162"/>
      <c r="T164" s="4197"/>
      <c r="U164" s="4240"/>
      <c r="V164" s="2064">
        <v>193819</v>
      </c>
      <c r="W164" s="2223">
        <v>114</v>
      </c>
      <c r="X164" s="2225"/>
      <c r="Y164" s="4164"/>
      <c r="Z164" s="4164">
        <v>282326</v>
      </c>
      <c r="AA164" s="4164">
        <v>135912</v>
      </c>
      <c r="AB164" s="4164">
        <v>45122</v>
      </c>
      <c r="AC164" s="4164">
        <v>307101</v>
      </c>
      <c r="AD164" s="4164">
        <v>86875</v>
      </c>
      <c r="AE164" s="4164">
        <v>2145</v>
      </c>
      <c r="AF164" s="4164">
        <v>12718</v>
      </c>
      <c r="AG164" s="4164">
        <v>26</v>
      </c>
      <c r="AH164" s="4164">
        <v>37</v>
      </c>
      <c r="AI164" s="4164" t="s">
        <v>1913</v>
      </c>
      <c r="AJ164" s="4164" t="s">
        <v>1913</v>
      </c>
      <c r="AK164" s="4164">
        <v>53164</v>
      </c>
      <c r="AL164" s="4164">
        <v>16982</v>
      </c>
      <c r="AM164" s="4164">
        <v>60013</v>
      </c>
      <c r="AN164" s="4164">
        <v>575010</v>
      </c>
      <c r="AO164" s="4261"/>
      <c r="AP164" s="4261"/>
      <c r="AQ164" s="4263"/>
    </row>
    <row r="165" spans="1:43" ht="28.5" customHeight="1" x14ac:dyDescent="0.2">
      <c r="A165" s="2203"/>
      <c r="B165" s="2204"/>
      <c r="C165" s="2205"/>
      <c r="D165" s="2204"/>
      <c r="E165" s="2204"/>
      <c r="F165" s="2205"/>
      <c r="G165" s="2206"/>
      <c r="H165" s="2204"/>
      <c r="I165" s="2205"/>
      <c r="J165" s="4164"/>
      <c r="K165" s="4162"/>
      <c r="L165" s="4164"/>
      <c r="M165" s="4164"/>
      <c r="N165" s="2221" t="s">
        <v>2093</v>
      </c>
      <c r="O165" s="4171"/>
      <c r="P165" s="4142"/>
      <c r="Q165" s="4266"/>
      <c r="R165" s="4159"/>
      <c r="S165" s="4162"/>
      <c r="T165" s="4179" t="s">
        <v>2094</v>
      </c>
      <c r="U165" s="4258" t="s">
        <v>2095</v>
      </c>
      <c r="V165" s="2064">
        <v>1750000</v>
      </c>
      <c r="W165" s="2223">
        <v>61</v>
      </c>
      <c r="X165" s="2225" t="s">
        <v>2096</v>
      </c>
      <c r="Y165" s="4164"/>
      <c r="Z165" s="4164">
        <v>282326</v>
      </c>
      <c r="AA165" s="4164">
        <v>135912</v>
      </c>
      <c r="AB165" s="4164">
        <v>45122</v>
      </c>
      <c r="AC165" s="4164">
        <v>307101</v>
      </c>
      <c r="AD165" s="4164">
        <v>86875</v>
      </c>
      <c r="AE165" s="4164">
        <v>2145</v>
      </c>
      <c r="AF165" s="4164">
        <v>12718</v>
      </c>
      <c r="AG165" s="4164">
        <v>26</v>
      </c>
      <c r="AH165" s="4164">
        <v>37</v>
      </c>
      <c r="AI165" s="4164" t="s">
        <v>1913</v>
      </c>
      <c r="AJ165" s="4164" t="s">
        <v>1913</v>
      </c>
      <c r="AK165" s="4164">
        <v>53164</v>
      </c>
      <c r="AL165" s="4164">
        <v>16982</v>
      </c>
      <c r="AM165" s="4164">
        <v>60013</v>
      </c>
      <c r="AN165" s="4164">
        <v>575010</v>
      </c>
      <c r="AO165" s="4261"/>
      <c r="AP165" s="4261"/>
      <c r="AQ165" s="4263"/>
    </row>
    <row r="166" spans="1:43" ht="30" customHeight="1" x14ac:dyDescent="0.2">
      <c r="A166" s="2203"/>
      <c r="B166" s="2204"/>
      <c r="C166" s="2205"/>
      <c r="D166" s="2204"/>
      <c r="E166" s="2204"/>
      <c r="F166" s="2205"/>
      <c r="G166" s="2206"/>
      <c r="H166" s="2204"/>
      <c r="I166" s="2205"/>
      <c r="J166" s="4164"/>
      <c r="K166" s="4162"/>
      <c r="L166" s="4164"/>
      <c r="M166" s="4164"/>
      <c r="N166" s="2221"/>
      <c r="O166" s="4171"/>
      <c r="P166" s="4142"/>
      <c r="Q166" s="4266"/>
      <c r="R166" s="4159"/>
      <c r="S166" s="4162"/>
      <c r="T166" s="4204"/>
      <c r="U166" s="4265"/>
      <c r="V166" s="2064">
        <v>3000000</v>
      </c>
      <c r="W166" s="2223">
        <v>113</v>
      </c>
      <c r="X166" s="2225"/>
      <c r="Y166" s="4164"/>
      <c r="Z166" s="4164">
        <v>282326</v>
      </c>
      <c r="AA166" s="4164">
        <v>135912</v>
      </c>
      <c r="AB166" s="4164">
        <v>45122</v>
      </c>
      <c r="AC166" s="4164">
        <v>307101</v>
      </c>
      <c r="AD166" s="4164">
        <v>86875</v>
      </c>
      <c r="AE166" s="4164">
        <v>2145</v>
      </c>
      <c r="AF166" s="4164">
        <v>12718</v>
      </c>
      <c r="AG166" s="4164">
        <v>26</v>
      </c>
      <c r="AH166" s="4164">
        <v>37</v>
      </c>
      <c r="AI166" s="4164" t="s">
        <v>1913</v>
      </c>
      <c r="AJ166" s="4164" t="s">
        <v>1913</v>
      </c>
      <c r="AK166" s="4164">
        <v>53164</v>
      </c>
      <c r="AL166" s="4164">
        <v>16982</v>
      </c>
      <c r="AM166" s="4164">
        <v>60013</v>
      </c>
      <c r="AN166" s="4164">
        <v>575010</v>
      </c>
      <c r="AO166" s="4261"/>
      <c r="AP166" s="4261"/>
      <c r="AQ166" s="4263"/>
    </row>
    <row r="167" spans="1:43" ht="27" customHeight="1" x14ac:dyDescent="0.2">
      <c r="A167" s="2203"/>
      <c r="B167" s="2204"/>
      <c r="C167" s="2205"/>
      <c r="D167" s="2204"/>
      <c r="E167" s="2204"/>
      <c r="F167" s="2205"/>
      <c r="G167" s="2206"/>
      <c r="H167" s="2204"/>
      <c r="I167" s="2205"/>
      <c r="J167" s="4164"/>
      <c r="K167" s="4162"/>
      <c r="L167" s="4164"/>
      <c r="M167" s="4164"/>
      <c r="N167" s="2221" t="s">
        <v>2097</v>
      </c>
      <c r="O167" s="4171"/>
      <c r="P167" s="4142"/>
      <c r="Q167" s="4266"/>
      <c r="R167" s="4159"/>
      <c r="S167" s="4162"/>
      <c r="T167" s="4204"/>
      <c r="U167" s="4259"/>
      <c r="V167" s="2064">
        <v>250000</v>
      </c>
      <c r="W167" s="2223">
        <v>114</v>
      </c>
      <c r="X167" s="2225"/>
      <c r="Y167" s="4164"/>
      <c r="Z167" s="4164">
        <v>282326</v>
      </c>
      <c r="AA167" s="4164">
        <v>135912</v>
      </c>
      <c r="AB167" s="4164">
        <v>45122</v>
      </c>
      <c r="AC167" s="4164">
        <v>307101</v>
      </c>
      <c r="AD167" s="4164">
        <v>86875</v>
      </c>
      <c r="AE167" s="4164">
        <v>2145</v>
      </c>
      <c r="AF167" s="4164">
        <v>12718</v>
      </c>
      <c r="AG167" s="4164">
        <v>26</v>
      </c>
      <c r="AH167" s="4164">
        <v>37</v>
      </c>
      <c r="AI167" s="4164" t="s">
        <v>1913</v>
      </c>
      <c r="AJ167" s="4164" t="s">
        <v>1913</v>
      </c>
      <c r="AK167" s="4164">
        <v>53164</v>
      </c>
      <c r="AL167" s="4164">
        <v>16982</v>
      </c>
      <c r="AM167" s="4164">
        <v>60013</v>
      </c>
      <c r="AN167" s="4164">
        <v>575010</v>
      </c>
      <c r="AO167" s="4261"/>
      <c r="AP167" s="4261"/>
      <c r="AQ167" s="4263"/>
    </row>
    <row r="168" spans="1:43" ht="27.75" customHeight="1" x14ac:dyDescent="0.2">
      <c r="A168" s="2203"/>
      <c r="B168" s="2204"/>
      <c r="C168" s="2205"/>
      <c r="D168" s="2204"/>
      <c r="E168" s="2204"/>
      <c r="F168" s="2205"/>
      <c r="G168" s="2206"/>
      <c r="H168" s="2204"/>
      <c r="I168" s="2205"/>
      <c r="J168" s="4164"/>
      <c r="K168" s="4162"/>
      <c r="L168" s="4164"/>
      <c r="M168" s="4164"/>
      <c r="N168" s="2221"/>
      <c r="O168" s="4171"/>
      <c r="P168" s="4142"/>
      <c r="Q168" s="4266"/>
      <c r="R168" s="4159"/>
      <c r="S168" s="4162"/>
      <c r="T168" s="4204"/>
      <c r="U168" s="4258" t="s">
        <v>2098</v>
      </c>
      <c r="V168" s="2064">
        <v>10000000</v>
      </c>
      <c r="W168" s="2223">
        <v>61</v>
      </c>
      <c r="X168" s="2130"/>
      <c r="Y168" s="4164"/>
      <c r="Z168" s="4164">
        <v>282326</v>
      </c>
      <c r="AA168" s="4164">
        <v>135912</v>
      </c>
      <c r="AB168" s="4164">
        <v>45122</v>
      </c>
      <c r="AC168" s="4164">
        <v>307101</v>
      </c>
      <c r="AD168" s="4164">
        <v>86875</v>
      </c>
      <c r="AE168" s="4164">
        <v>2145</v>
      </c>
      <c r="AF168" s="4164">
        <v>12718</v>
      </c>
      <c r="AG168" s="4164">
        <v>26</v>
      </c>
      <c r="AH168" s="4164">
        <v>37</v>
      </c>
      <c r="AI168" s="4164" t="s">
        <v>1913</v>
      </c>
      <c r="AJ168" s="4164" t="s">
        <v>1913</v>
      </c>
      <c r="AK168" s="4164">
        <v>53164</v>
      </c>
      <c r="AL168" s="4164">
        <v>16982</v>
      </c>
      <c r="AM168" s="4164">
        <v>60013</v>
      </c>
      <c r="AN168" s="4164">
        <v>575010</v>
      </c>
      <c r="AO168" s="4261"/>
      <c r="AP168" s="4261"/>
      <c r="AQ168" s="4263"/>
    </row>
    <row r="169" spans="1:43" ht="24" customHeight="1" x14ac:dyDescent="0.2">
      <c r="A169" s="2203"/>
      <c r="B169" s="2204"/>
      <c r="C169" s="2205"/>
      <c r="D169" s="2204"/>
      <c r="E169" s="2204"/>
      <c r="F169" s="2205"/>
      <c r="G169" s="2206"/>
      <c r="H169" s="2204"/>
      <c r="I169" s="2205"/>
      <c r="J169" s="4164"/>
      <c r="K169" s="4162"/>
      <c r="L169" s="4164"/>
      <c r="M169" s="4164"/>
      <c r="N169" s="2221"/>
      <c r="O169" s="4171"/>
      <c r="P169" s="4142"/>
      <c r="Q169" s="4266"/>
      <c r="R169" s="4159"/>
      <c r="S169" s="4162"/>
      <c r="T169" s="4204"/>
      <c r="U169" s="4265"/>
      <c r="V169" s="2064">
        <v>40000000</v>
      </c>
      <c r="W169" s="2223">
        <v>113</v>
      </c>
      <c r="X169" s="2225"/>
      <c r="Y169" s="4164"/>
      <c r="Z169" s="4164">
        <v>282326</v>
      </c>
      <c r="AA169" s="4164">
        <v>135912</v>
      </c>
      <c r="AB169" s="4164">
        <v>45122</v>
      </c>
      <c r="AC169" s="4164">
        <v>307101</v>
      </c>
      <c r="AD169" s="4164">
        <v>86875</v>
      </c>
      <c r="AE169" s="4164">
        <v>2145</v>
      </c>
      <c r="AF169" s="4164">
        <v>12718</v>
      </c>
      <c r="AG169" s="4164">
        <v>26</v>
      </c>
      <c r="AH169" s="4164">
        <v>37</v>
      </c>
      <c r="AI169" s="4164" t="s">
        <v>1913</v>
      </c>
      <c r="AJ169" s="4164" t="s">
        <v>1913</v>
      </c>
      <c r="AK169" s="4164">
        <v>53164</v>
      </c>
      <c r="AL169" s="4164">
        <v>16982</v>
      </c>
      <c r="AM169" s="4164">
        <v>60013</v>
      </c>
      <c r="AN169" s="4164">
        <v>575010</v>
      </c>
      <c r="AO169" s="4261"/>
      <c r="AP169" s="4261"/>
      <c r="AQ169" s="4263"/>
    </row>
    <row r="170" spans="1:43" ht="25.5" customHeight="1" x14ac:dyDescent="0.2">
      <c r="A170" s="2203"/>
      <c r="B170" s="2204"/>
      <c r="C170" s="2205"/>
      <c r="D170" s="2204"/>
      <c r="E170" s="2204"/>
      <c r="F170" s="2205"/>
      <c r="G170" s="2206"/>
      <c r="H170" s="2204"/>
      <c r="I170" s="2205"/>
      <c r="J170" s="4164"/>
      <c r="K170" s="4162"/>
      <c r="L170" s="4164"/>
      <c r="M170" s="4164"/>
      <c r="N170" s="2221"/>
      <c r="O170" s="4171"/>
      <c r="P170" s="4142"/>
      <c r="Q170" s="4266"/>
      <c r="R170" s="4159"/>
      <c r="S170" s="4162"/>
      <c r="T170" s="4197"/>
      <c r="U170" s="4259"/>
      <c r="V170" s="2064">
        <v>4000000</v>
      </c>
      <c r="W170" s="2223">
        <v>114</v>
      </c>
      <c r="X170" s="2225"/>
      <c r="Y170" s="4164"/>
      <c r="Z170" s="4164">
        <v>282326</v>
      </c>
      <c r="AA170" s="4164">
        <v>135912</v>
      </c>
      <c r="AB170" s="4164">
        <v>45122</v>
      </c>
      <c r="AC170" s="4164">
        <v>307101</v>
      </c>
      <c r="AD170" s="4164">
        <v>86875</v>
      </c>
      <c r="AE170" s="4164">
        <v>2145</v>
      </c>
      <c r="AF170" s="4164">
        <v>12718</v>
      </c>
      <c r="AG170" s="4164">
        <v>26</v>
      </c>
      <c r="AH170" s="4164">
        <v>37</v>
      </c>
      <c r="AI170" s="4164" t="s">
        <v>1913</v>
      </c>
      <c r="AJ170" s="4164" t="s">
        <v>1913</v>
      </c>
      <c r="AK170" s="4164">
        <v>53164</v>
      </c>
      <c r="AL170" s="4164">
        <v>16982</v>
      </c>
      <c r="AM170" s="4164">
        <v>60013</v>
      </c>
      <c r="AN170" s="4164">
        <v>575010</v>
      </c>
      <c r="AO170" s="4261"/>
      <c r="AP170" s="4261"/>
      <c r="AQ170" s="4263"/>
    </row>
    <row r="171" spans="1:43" ht="58.5" customHeight="1" x14ac:dyDescent="0.2">
      <c r="A171" s="2203"/>
      <c r="B171" s="2204"/>
      <c r="C171" s="2205"/>
      <c r="D171" s="2204"/>
      <c r="E171" s="2204"/>
      <c r="F171" s="2205"/>
      <c r="G171" s="2206"/>
      <c r="H171" s="2204"/>
      <c r="I171" s="2205"/>
      <c r="J171" s="4164"/>
      <c r="K171" s="4162"/>
      <c r="L171" s="4164"/>
      <c r="M171" s="4164"/>
      <c r="N171" s="2221"/>
      <c r="O171" s="4171"/>
      <c r="P171" s="4142"/>
      <c r="Q171" s="4266"/>
      <c r="R171" s="4159"/>
      <c r="S171" s="4162"/>
      <c r="T171" s="4141" t="s">
        <v>2099</v>
      </c>
      <c r="U171" s="2226" t="s">
        <v>2100</v>
      </c>
      <c r="V171" s="2064">
        <v>18000000</v>
      </c>
      <c r="W171" s="2223">
        <v>113</v>
      </c>
      <c r="X171" s="2225" t="s">
        <v>2101</v>
      </c>
      <c r="Y171" s="4164"/>
      <c r="Z171" s="4164">
        <v>282326</v>
      </c>
      <c r="AA171" s="4164">
        <v>135912</v>
      </c>
      <c r="AB171" s="4164">
        <v>45122</v>
      </c>
      <c r="AC171" s="4164">
        <v>307101</v>
      </c>
      <c r="AD171" s="4164">
        <v>86875</v>
      </c>
      <c r="AE171" s="4164">
        <v>2145</v>
      </c>
      <c r="AF171" s="4164">
        <v>12718</v>
      </c>
      <c r="AG171" s="4164">
        <v>26</v>
      </c>
      <c r="AH171" s="4164">
        <v>37</v>
      </c>
      <c r="AI171" s="4164" t="s">
        <v>1913</v>
      </c>
      <c r="AJ171" s="4164" t="s">
        <v>1913</v>
      </c>
      <c r="AK171" s="4164">
        <v>53164</v>
      </c>
      <c r="AL171" s="4164">
        <v>16982</v>
      </c>
      <c r="AM171" s="4164">
        <v>60013</v>
      </c>
      <c r="AN171" s="4164">
        <v>575010</v>
      </c>
      <c r="AO171" s="4261"/>
      <c r="AP171" s="4261"/>
      <c r="AQ171" s="4263"/>
    </row>
    <row r="172" spans="1:43" ht="27.75" customHeight="1" x14ac:dyDescent="0.2">
      <c r="A172" s="2203"/>
      <c r="B172" s="2204"/>
      <c r="C172" s="2205"/>
      <c r="D172" s="2204"/>
      <c r="E172" s="2204"/>
      <c r="F172" s="2205"/>
      <c r="G172" s="2206"/>
      <c r="H172" s="2204"/>
      <c r="I172" s="2205"/>
      <c r="J172" s="4164"/>
      <c r="K172" s="4162"/>
      <c r="L172" s="4164"/>
      <c r="M172" s="4164"/>
      <c r="N172" s="2221"/>
      <c r="O172" s="4171"/>
      <c r="P172" s="4142"/>
      <c r="Q172" s="4266"/>
      <c r="R172" s="4159"/>
      <c r="S172" s="4162"/>
      <c r="T172" s="4142"/>
      <c r="U172" s="4258" t="s">
        <v>2102</v>
      </c>
      <c r="V172" s="2064">
        <v>9000000</v>
      </c>
      <c r="W172" s="2223">
        <v>61</v>
      </c>
      <c r="X172" s="2225"/>
      <c r="Y172" s="4164"/>
      <c r="Z172" s="4164">
        <v>282326</v>
      </c>
      <c r="AA172" s="4164">
        <v>135912</v>
      </c>
      <c r="AB172" s="4164">
        <v>45122</v>
      </c>
      <c r="AC172" s="4164">
        <v>307101</v>
      </c>
      <c r="AD172" s="4164">
        <v>86875</v>
      </c>
      <c r="AE172" s="4164">
        <v>2145</v>
      </c>
      <c r="AF172" s="4164">
        <v>12718</v>
      </c>
      <c r="AG172" s="4164">
        <v>26</v>
      </c>
      <c r="AH172" s="4164">
        <v>37</v>
      </c>
      <c r="AI172" s="4164" t="s">
        <v>1913</v>
      </c>
      <c r="AJ172" s="4164" t="s">
        <v>1913</v>
      </c>
      <c r="AK172" s="4164">
        <v>53164</v>
      </c>
      <c r="AL172" s="4164">
        <v>16982</v>
      </c>
      <c r="AM172" s="4164">
        <v>60013</v>
      </c>
      <c r="AN172" s="4164">
        <v>575010</v>
      </c>
      <c r="AO172" s="4261"/>
      <c r="AP172" s="4261"/>
      <c r="AQ172" s="4263"/>
    </row>
    <row r="173" spans="1:43" ht="26.25" customHeight="1" x14ac:dyDescent="0.2">
      <c r="A173" s="2203"/>
      <c r="B173" s="2204"/>
      <c r="C173" s="2205"/>
      <c r="D173" s="2204"/>
      <c r="E173" s="2204"/>
      <c r="F173" s="2205"/>
      <c r="G173" s="2206"/>
      <c r="H173" s="2204"/>
      <c r="I173" s="2205"/>
      <c r="J173" s="4164"/>
      <c r="K173" s="4162"/>
      <c r="L173" s="4164"/>
      <c r="M173" s="4164"/>
      <c r="N173" s="2221"/>
      <c r="O173" s="4171"/>
      <c r="P173" s="4142"/>
      <c r="Q173" s="4266"/>
      <c r="R173" s="4159"/>
      <c r="S173" s="4162"/>
      <c r="T173" s="4142"/>
      <c r="U173" s="4265"/>
      <c r="V173" s="2064">
        <v>21000000</v>
      </c>
      <c r="W173" s="2223">
        <v>113</v>
      </c>
      <c r="X173" s="2225" t="s">
        <v>2103</v>
      </c>
      <c r="Y173" s="4164"/>
      <c r="Z173" s="4164">
        <v>282326</v>
      </c>
      <c r="AA173" s="4164">
        <v>135912</v>
      </c>
      <c r="AB173" s="4164">
        <v>45122</v>
      </c>
      <c r="AC173" s="4164">
        <v>307101</v>
      </c>
      <c r="AD173" s="4164">
        <v>86875</v>
      </c>
      <c r="AE173" s="4164">
        <v>2145</v>
      </c>
      <c r="AF173" s="4164">
        <v>12718</v>
      </c>
      <c r="AG173" s="4164">
        <v>26</v>
      </c>
      <c r="AH173" s="4164">
        <v>37</v>
      </c>
      <c r="AI173" s="4164" t="s">
        <v>1913</v>
      </c>
      <c r="AJ173" s="4164" t="s">
        <v>1913</v>
      </c>
      <c r="AK173" s="4164">
        <v>53164</v>
      </c>
      <c r="AL173" s="4164">
        <v>16982</v>
      </c>
      <c r="AM173" s="4164">
        <v>60013</v>
      </c>
      <c r="AN173" s="4164">
        <v>575010</v>
      </c>
      <c r="AO173" s="4261"/>
      <c r="AP173" s="4261"/>
      <c r="AQ173" s="4263"/>
    </row>
    <row r="174" spans="1:43" ht="22.5" customHeight="1" x14ac:dyDescent="0.2">
      <c r="A174" s="2203"/>
      <c r="B174" s="2204"/>
      <c r="C174" s="2205"/>
      <c r="D174" s="2204"/>
      <c r="E174" s="2204"/>
      <c r="F174" s="2205"/>
      <c r="G174" s="2206"/>
      <c r="H174" s="2204"/>
      <c r="I174" s="2205"/>
      <c r="J174" s="4164"/>
      <c r="K174" s="4162"/>
      <c r="L174" s="4164"/>
      <c r="M174" s="4164"/>
      <c r="N174" s="2221"/>
      <c r="O174" s="4171"/>
      <c r="P174" s="4142"/>
      <c r="Q174" s="4266"/>
      <c r="R174" s="4159"/>
      <c r="S174" s="4162"/>
      <c r="T174" s="4142"/>
      <c r="U174" s="4259"/>
      <c r="V174" s="2064">
        <v>7500000</v>
      </c>
      <c r="W174" s="2223">
        <v>114</v>
      </c>
      <c r="X174" s="2225"/>
      <c r="Y174" s="4164"/>
      <c r="Z174" s="4164">
        <v>282326</v>
      </c>
      <c r="AA174" s="4164">
        <v>135912</v>
      </c>
      <c r="AB174" s="4164">
        <v>45122</v>
      </c>
      <c r="AC174" s="4164">
        <v>307101</v>
      </c>
      <c r="AD174" s="4164">
        <v>86875</v>
      </c>
      <c r="AE174" s="4164">
        <v>2145</v>
      </c>
      <c r="AF174" s="4164">
        <v>12718</v>
      </c>
      <c r="AG174" s="4164">
        <v>26</v>
      </c>
      <c r="AH174" s="4164">
        <v>37</v>
      </c>
      <c r="AI174" s="4164" t="s">
        <v>1913</v>
      </c>
      <c r="AJ174" s="4164" t="s">
        <v>1913</v>
      </c>
      <c r="AK174" s="4164">
        <v>53164</v>
      </c>
      <c r="AL174" s="4164">
        <v>16982</v>
      </c>
      <c r="AM174" s="4164">
        <v>60013</v>
      </c>
      <c r="AN174" s="4164">
        <v>575010</v>
      </c>
      <c r="AO174" s="4261"/>
      <c r="AP174" s="4261"/>
      <c r="AQ174" s="4263"/>
    </row>
    <row r="175" spans="1:43" ht="31.5" customHeight="1" x14ac:dyDescent="0.2">
      <c r="A175" s="2203"/>
      <c r="B175" s="2204"/>
      <c r="C175" s="2205"/>
      <c r="D175" s="2204"/>
      <c r="E175" s="2204"/>
      <c r="F175" s="2205"/>
      <c r="G175" s="2206"/>
      <c r="H175" s="2204"/>
      <c r="I175" s="2205"/>
      <c r="J175" s="4164"/>
      <c r="K175" s="4162"/>
      <c r="L175" s="4164"/>
      <c r="M175" s="4164"/>
      <c r="N175" s="2221"/>
      <c r="O175" s="4171"/>
      <c r="P175" s="4142"/>
      <c r="Q175" s="4266"/>
      <c r="R175" s="4159"/>
      <c r="S175" s="4162"/>
      <c r="T175" s="4142"/>
      <c r="U175" s="4258" t="s">
        <v>2104</v>
      </c>
      <c r="V175" s="2064">
        <v>9000000</v>
      </c>
      <c r="W175" s="2223">
        <v>61</v>
      </c>
      <c r="X175" s="2225"/>
      <c r="Y175" s="4164"/>
      <c r="Z175" s="4164">
        <v>282326</v>
      </c>
      <c r="AA175" s="4164">
        <v>135912</v>
      </c>
      <c r="AB175" s="4164">
        <v>45122</v>
      </c>
      <c r="AC175" s="4164">
        <v>307101</v>
      </c>
      <c r="AD175" s="4164">
        <v>86875</v>
      </c>
      <c r="AE175" s="4164">
        <v>2145</v>
      </c>
      <c r="AF175" s="4164">
        <v>12718</v>
      </c>
      <c r="AG175" s="4164">
        <v>26</v>
      </c>
      <c r="AH175" s="4164">
        <v>37</v>
      </c>
      <c r="AI175" s="4164" t="s">
        <v>1913</v>
      </c>
      <c r="AJ175" s="4164" t="s">
        <v>1913</v>
      </c>
      <c r="AK175" s="4164">
        <v>53164</v>
      </c>
      <c r="AL175" s="4164">
        <v>16982</v>
      </c>
      <c r="AM175" s="4164">
        <v>60013</v>
      </c>
      <c r="AN175" s="4164">
        <v>575010</v>
      </c>
      <c r="AO175" s="4261"/>
      <c r="AP175" s="4261"/>
      <c r="AQ175" s="4263"/>
    </row>
    <row r="176" spans="1:43" ht="31.5" customHeight="1" x14ac:dyDescent="0.2">
      <c r="A176" s="2203"/>
      <c r="B176" s="2204"/>
      <c r="C176" s="2205"/>
      <c r="D176" s="2204"/>
      <c r="E176" s="2204"/>
      <c r="F176" s="2205"/>
      <c r="G176" s="2206"/>
      <c r="H176" s="2204"/>
      <c r="I176" s="2205"/>
      <c r="J176" s="4164"/>
      <c r="K176" s="4162"/>
      <c r="L176" s="4164"/>
      <c r="M176" s="4164"/>
      <c r="N176" s="2221"/>
      <c r="O176" s="4171"/>
      <c r="P176" s="4142"/>
      <c r="Q176" s="4266"/>
      <c r="R176" s="4159"/>
      <c r="S176" s="4162"/>
      <c r="T176" s="4142"/>
      <c r="U176" s="4265"/>
      <c r="V176" s="2064">
        <v>21000000</v>
      </c>
      <c r="W176" s="2223">
        <v>113</v>
      </c>
      <c r="X176" s="2225"/>
      <c r="Y176" s="4164"/>
      <c r="Z176" s="4164">
        <v>282326</v>
      </c>
      <c r="AA176" s="4164">
        <v>135912</v>
      </c>
      <c r="AB176" s="4164">
        <v>45122</v>
      </c>
      <c r="AC176" s="4164">
        <v>307101</v>
      </c>
      <c r="AD176" s="4164">
        <v>86875</v>
      </c>
      <c r="AE176" s="4164">
        <v>2145</v>
      </c>
      <c r="AF176" s="4164">
        <v>12718</v>
      </c>
      <c r="AG176" s="4164">
        <v>26</v>
      </c>
      <c r="AH176" s="4164">
        <v>37</v>
      </c>
      <c r="AI176" s="4164" t="s">
        <v>1913</v>
      </c>
      <c r="AJ176" s="4164" t="s">
        <v>1913</v>
      </c>
      <c r="AK176" s="4164">
        <v>53164</v>
      </c>
      <c r="AL176" s="4164">
        <v>16982</v>
      </c>
      <c r="AM176" s="4164">
        <v>60013</v>
      </c>
      <c r="AN176" s="4164">
        <v>575010</v>
      </c>
      <c r="AO176" s="4261"/>
      <c r="AP176" s="4261"/>
      <c r="AQ176" s="4263"/>
    </row>
    <row r="177" spans="1:43" ht="28.5" customHeight="1" x14ac:dyDescent="0.2">
      <c r="A177" s="2203"/>
      <c r="B177" s="2204"/>
      <c r="C177" s="2205"/>
      <c r="D177" s="2204"/>
      <c r="E177" s="2204"/>
      <c r="F177" s="2205"/>
      <c r="G177" s="2227"/>
      <c r="H177" s="2228"/>
      <c r="I177" s="2229"/>
      <c r="J177" s="4165"/>
      <c r="K177" s="4173"/>
      <c r="L177" s="4165"/>
      <c r="M177" s="4165"/>
      <c r="N177" s="2208"/>
      <c r="O177" s="4172"/>
      <c r="P177" s="4143"/>
      <c r="Q177" s="4267"/>
      <c r="R177" s="4176"/>
      <c r="S177" s="4173"/>
      <c r="T177" s="4143"/>
      <c r="U177" s="4259"/>
      <c r="V177" s="2064">
        <v>7500000</v>
      </c>
      <c r="W177" s="2223">
        <v>114</v>
      </c>
      <c r="X177" s="2230"/>
      <c r="Y177" s="4165"/>
      <c r="Z177" s="4165">
        <v>282326</v>
      </c>
      <c r="AA177" s="4165">
        <v>135912</v>
      </c>
      <c r="AB177" s="4165">
        <v>45122</v>
      </c>
      <c r="AC177" s="4165">
        <v>307101</v>
      </c>
      <c r="AD177" s="4165">
        <v>86875</v>
      </c>
      <c r="AE177" s="4165">
        <v>2145</v>
      </c>
      <c r="AF177" s="4165">
        <v>12718</v>
      </c>
      <c r="AG177" s="4165">
        <v>26</v>
      </c>
      <c r="AH177" s="4165">
        <v>37</v>
      </c>
      <c r="AI177" s="4165" t="s">
        <v>1913</v>
      </c>
      <c r="AJ177" s="4165" t="s">
        <v>1913</v>
      </c>
      <c r="AK177" s="4165">
        <v>53164</v>
      </c>
      <c r="AL177" s="4165">
        <v>16982</v>
      </c>
      <c r="AM177" s="4165">
        <v>60013</v>
      </c>
      <c r="AN177" s="4165">
        <v>575010</v>
      </c>
      <c r="AO177" s="4261"/>
      <c r="AP177" s="4261"/>
      <c r="AQ177" s="4264"/>
    </row>
    <row r="178" spans="1:43" ht="38.25" customHeight="1" x14ac:dyDescent="0.2">
      <c r="A178" s="2141"/>
      <c r="B178" s="2142"/>
      <c r="C178" s="2143"/>
      <c r="D178" s="2142"/>
      <c r="E178" s="2142"/>
      <c r="F178" s="2143"/>
      <c r="G178" s="2176">
        <v>41</v>
      </c>
      <c r="H178" s="2147" t="s">
        <v>2105</v>
      </c>
      <c r="I178" s="2147"/>
      <c r="J178" s="2147"/>
      <c r="K178" s="2148"/>
      <c r="L178" s="2147"/>
      <c r="M178" s="2147"/>
      <c r="N178" s="2149"/>
      <c r="O178" s="2177"/>
      <c r="P178" s="2148"/>
      <c r="Q178" s="2147"/>
      <c r="R178" s="2178"/>
      <c r="S178" s="2147"/>
      <c r="T178" s="2148"/>
      <c r="U178" s="2148"/>
      <c r="V178" s="2231"/>
      <c r="W178" s="2232"/>
      <c r="X178" s="2149"/>
      <c r="Y178" s="2149"/>
      <c r="Z178" s="2149"/>
      <c r="AA178" s="2149"/>
      <c r="AB178" s="2149"/>
      <c r="AC178" s="2149"/>
      <c r="AD178" s="2149"/>
      <c r="AE178" s="2149"/>
      <c r="AF178" s="2149"/>
      <c r="AG178" s="2149"/>
      <c r="AH178" s="2149"/>
      <c r="AI178" s="2149"/>
      <c r="AJ178" s="2149"/>
      <c r="AK178" s="2149"/>
      <c r="AL178" s="2149"/>
      <c r="AM178" s="2149"/>
      <c r="AN178" s="2149"/>
      <c r="AO178" s="2147"/>
      <c r="AP178" s="2147"/>
      <c r="AQ178" s="2154"/>
    </row>
    <row r="179" spans="1:43" ht="27.75" customHeight="1" x14ac:dyDescent="0.2">
      <c r="A179" s="2155"/>
      <c r="B179" s="2156"/>
      <c r="C179" s="2157"/>
      <c r="D179" s="2156"/>
      <c r="E179" s="2156"/>
      <c r="F179" s="2157"/>
      <c r="G179" s="2158"/>
      <c r="H179" s="2159"/>
      <c r="I179" s="2160"/>
      <c r="J179" s="4163">
        <v>147</v>
      </c>
      <c r="K179" s="4141" t="s">
        <v>2106</v>
      </c>
      <c r="L179" s="4138" t="s">
        <v>1905</v>
      </c>
      <c r="M179" s="4138">
        <v>14</v>
      </c>
      <c r="N179" s="4138" t="s">
        <v>2107</v>
      </c>
      <c r="O179" s="4156" t="s">
        <v>2108</v>
      </c>
      <c r="P179" s="4141" t="s">
        <v>2109</v>
      </c>
      <c r="Q179" s="4166">
        <f>SUM(V179:V182)/R179</f>
        <v>0.48275862068965519</v>
      </c>
      <c r="R179" s="4158">
        <f>SUM(V179:V187)</f>
        <v>29000000</v>
      </c>
      <c r="S179" s="4141" t="s">
        <v>2110</v>
      </c>
      <c r="T179" s="4141" t="s">
        <v>2111</v>
      </c>
      <c r="U179" s="4258" t="s">
        <v>2112</v>
      </c>
      <c r="V179" s="2064">
        <v>6000000</v>
      </c>
      <c r="W179" s="2233">
        <v>61</v>
      </c>
      <c r="X179" s="2234" t="s">
        <v>2113</v>
      </c>
      <c r="Y179" s="4138">
        <v>292684</v>
      </c>
      <c r="Z179" s="4138">
        <v>282326</v>
      </c>
      <c r="AA179" s="4260">
        <v>135912</v>
      </c>
      <c r="AB179" s="4260">
        <v>45122</v>
      </c>
      <c r="AC179" s="4260">
        <f>AC154</f>
        <v>307101</v>
      </c>
      <c r="AD179" s="4260">
        <f>AD154</f>
        <v>86875</v>
      </c>
      <c r="AE179" s="4260">
        <v>2145</v>
      </c>
      <c r="AF179" s="4260">
        <v>12718</v>
      </c>
      <c r="AG179" s="4260">
        <v>26</v>
      </c>
      <c r="AH179" s="4260">
        <v>37</v>
      </c>
      <c r="AI179" s="4260" t="s">
        <v>1913</v>
      </c>
      <c r="AJ179" s="4260" t="s">
        <v>1913</v>
      </c>
      <c r="AK179" s="4260">
        <v>53164</v>
      </c>
      <c r="AL179" s="4260">
        <v>16982</v>
      </c>
      <c r="AM179" s="4260">
        <v>60013</v>
      </c>
      <c r="AN179" s="4260">
        <v>575010</v>
      </c>
      <c r="AO179" s="4149">
        <v>43467</v>
      </c>
      <c r="AP179" s="4149">
        <v>43830</v>
      </c>
      <c r="AQ179" s="4136" t="s">
        <v>1914</v>
      </c>
    </row>
    <row r="180" spans="1:43" ht="24" customHeight="1" x14ac:dyDescent="0.2">
      <c r="A180" s="2155"/>
      <c r="B180" s="2156"/>
      <c r="C180" s="2157"/>
      <c r="D180" s="2156"/>
      <c r="E180" s="2156"/>
      <c r="F180" s="2157"/>
      <c r="G180" s="2163"/>
      <c r="H180" s="2156"/>
      <c r="I180" s="2157"/>
      <c r="J180" s="4164"/>
      <c r="K180" s="4142"/>
      <c r="L180" s="4139"/>
      <c r="M180" s="4139"/>
      <c r="N180" s="4139"/>
      <c r="O180" s="4157"/>
      <c r="P180" s="4142"/>
      <c r="Q180" s="4146"/>
      <c r="R180" s="4159"/>
      <c r="S180" s="4142"/>
      <c r="T180" s="4142"/>
      <c r="U180" s="4259"/>
      <c r="V180" s="2064">
        <v>4000000</v>
      </c>
      <c r="W180" s="2235">
        <v>98</v>
      </c>
      <c r="X180" s="2210" t="s">
        <v>2114</v>
      </c>
      <c r="Y180" s="4139"/>
      <c r="Z180" s="4139"/>
      <c r="AA180" s="4199"/>
      <c r="AB180" s="4199"/>
      <c r="AC180" s="4199"/>
      <c r="AD180" s="4199"/>
      <c r="AE180" s="4199"/>
      <c r="AF180" s="4199"/>
      <c r="AG180" s="4199"/>
      <c r="AH180" s="4199"/>
      <c r="AI180" s="4199"/>
      <c r="AJ180" s="4199"/>
      <c r="AK180" s="4199"/>
      <c r="AL180" s="4199"/>
      <c r="AM180" s="4199"/>
      <c r="AN180" s="4199"/>
      <c r="AO180" s="4150"/>
      <c r="AP180" s="4150"/>
      <c r="AQ180" s="4137"/>
    </row>
    <row r="181" spans="1:43" ht="57" x14ac:dyDescent="0.2">
      <c r="A181" s="2155"/>
      <c r="B181" s="2156"/>
      <c r="C181" s="2157"/>
      <c r="D181" s="2156"/>
      <c r="E181" s="2156"/>
      <c r="F181" s="2157"/>
      <c r="G181" s="2163"/>
      <c r="H181" s="2156"/>
      <c r="I181" s="2157"/>
      <c r="J181" s="4164"/>
      <c r="K181" s="4142"/>
      <c r="L181" s="4139"/>
      <c r="M181" s="4139"/>
      <c r="N181" s="4139"/>
      <c r="O181" s="4157"/>
      <c r="P181" s="4142"/>
      <c r="Q181" s="4146"/>
      <c r="R181" s="4159"/>
      <c r="S181" s="4142"/>
      <c r="T181" s="4142"/>
      <c r="U181" s="2226" t="s">
        <v>2115</v>
      </c>
      <c r="V181" s="2064">
        <v>2000000</v>
      </c>
      <c r="W181" s="2233">
        <v>61</v>
      </c>
      <c r="X181" s="2234" t="s">
        <v>2113</v>
      </c>
      <c r="Y181" s="4139"/>
      <c r="Z181" s="4139"/>
      <c r="AA181" s="4199"/>
      <c r="AB181" s="4199"/>
      <c r="AC181" s="4199"/>
      <c r="AD181" s="4199"/>
      <c r="AE181" s="4199"/>
      <c r="AF181" s="4199"/>
      <c r="AG181" s="4199"/>
      <c r="AH181" s="4199"/>
      <c r="AI181" s="4199"/>
      <c r="AJ181" s="4199"/>
      <c r="AK181" s="4199"/>
      <c r="AL181" s="4199"/>
      <c r="AM181" s="4199"/>
      <c r="AN181" s="4199"/>
      <c r="AO181" s="4150"/>
      <c r="AP181" s="4150"/>
      <c r="AQ181" s="4137"/>
    </row>
    <row r="182" spans="1:43" ht="42.75" x14ac:dyDescent="0.2">
      <c r="A182" s="2155"/>
      <c r="B182" s="2156"/>
      <c r="C182" s="2157"/>
      <c r="D182" s="2156"/>
      <c r="E182" s="2156"/>
      <c r="F182" s="2157"/>
      <c r="G182" s="2163"/>
      <c r="H182" s="2156"/>
      <c r="I182" s="2157"/>
      <c r="J182" s="4165"/>
      <c r="K182" s="4143"/>
      <c r="L182" s="4140"/>
      <c r="M182" s="4140"/>
      <c r="N182" s="4139"/>
      <c r="O182" s="4157"/>
      <c r="P182" s="4142"/>
      <c r="Q182" s="4147"/>
      <c r="R182" s="4159"/>
      <c r="S182" s="4142"/>
      <c r="T182" s="4143"/>
      <c r="U182" s="2226" t="s">
        <v>2116</v>
      </c>
      <c r="V182" s="2064">
        <v>2000000</v>
      </c>
      <c r="W182" s="2233">
        <v>61</v>
      </c>
      <c r="X182" s="2234" t="s">
        <v>2113</v>
      </c>
      <c r="Y182" s="4139"/>
      <c r="Z182" s="4139"/>
      <c r="AA182" s="4199"/>
      <c r="AB182" s="4199"/>
      <c r="AC182" s="4199"/>
      <c r="AD182" s="4199"/>
      <c r="AE182" s="4199"/>
      <c r="AF182" s="4199"/>
      <c r="AG182" s="4199"/>
      <c r="AH182" s="4199"/>
      <c r="AI182" s="4199"/>
      <c r="AJ182" s="4199"/>
      <c r="AK182" s="4199"/>
      <c r="AL182" s="4199"/>
      <c r="AM182" s="4199"/>
      <c r="AN182" s="4199"/>
      <c r="AO182" s="4150"/>
      <c r="AP182" s="4150"/>
      <c r="AQ182" s="4137"/>
    </row>
    <row r="183" spans="1:43" ht="34.5" customHeight="1" x14ac:dyDescent="0.2">
      <c r="A183" s="2155"/>
      <c r="B183" s="2156"/>
      <c r="C183" s="2157"/>
      <c r="D183" s="2156"/>
      <c r="E183" s="2156"/>
      <c r="F183" s="2157"/>
      <c r="G183" s="2163"/>
      <c r="H183" s="2156"/>
      <c r="I183" s="2157"/>
      <c r="J183" s="4163">
        <v>148</v>
      </c>
      <c r="K183" s="4141" t="s">
        <v>2117</v>
      </c>
      <c r="L183" s="4138" t="s">
        <v>1905</v>
      </c>
      <c r="M183" s="4138">
        <v>11</v>
      </c>
      <c r="N183" s="4139"/>
      <c r="O183" s="4157"/>
      <c r="P183" s="4142"/>
      <c r="Q183" s="4166">
        <f>SUM(V183:V187)/R179</f>
        <v>0.51724137931034486</v>
      </c>
      <c r="R183" s="4159"/>
      <c r="S183" s="4142"/>
      <c r="T183" s="4141" t="s">
        <v>2118</v>
      </c>
      <c r="U183" s="4258" t="s">
        <v>2119</v>
      </c>
      <c r="V183" s="2064">
        <v>7000000</v>
      </c>
      <c r="W183" s="2233">
        <v>61</v>
      </c>
      <c r="X183" s="2234" t="s">
        <v>2113</v>
      </c>
      <c r="Y183" s="4139"/>
      <c r="Z183" s="4139"/>
      <c r="AA183" s="4199"/>
      <c r="AB183" s="4199"/>
      <c r="AC183" s="4199"/>
      <c r="AD183" s="4199"/>
      <c r="AE183" s="4199"/>
      <c r="AF183" s="4199"/>
      <c r="AG183" s="4199"/>
      <c r="AH183" s="4199"/>
      <c r="AI183" s="4199"/>
      <c r="AJ183" s="4199"/>
      <c r="AK183" s="4199"/>
      <c r="AL183" s="4199"/>
      <c r="AM183" s="4199"/>
      <c r="AN183" s="4199"/>
      <c r="AO183" s="4150"/>
      <c r="AP183" s="4150"/>
      <c r="AQ183" s="4137"/>
    </row>
    <row r="184" spans="1:43" ht="39" customHeight="1" x14ac:dyDescent="0.2">
      <c r="A184" s="2155"/>
      <c r="B184" s="2156"/>
      <c r="C184" s="2157"/>
      <c r="D184" s="2156"/>
      <c r="E184" s="2156"/>
      <c r="F184" s="2157"/>
      <c r="G184" s="2163"/>
      <c r="H184" s="2156"/>
      <c r="I184" s="2157"/>
      <c r="J184" s="4164"/>
      <c r="K184" s="4142"/>
      <c r="L184" s="4139"/>
      <c r="M184" s="4139"/>
      <c r="N184" s="4139"/>
      <c r="O184" s="4157"/>
      <c r="P184" s="4142"/>
      <c r="Q184" s="4146"/>
      <c r="R184" s="4159"/>
      <c r="S184" s="4142"/>
      <c r="T184" s="4142"/>
      <c r="U184" s="4259"/>
      <c r="V184" s="2064">
        <v>5000000</v>
      </c>
      <c r="W184" s="2235">
        <v>98</v>
      </c>
      <c r="X184" s="2210" t="s">
        <v>2114</v>
      </c>
      <c r="Y184" s="4139"/>
      <c r="Z184" s="4139"/>
      <c r="AA184" s="4199"/>
      <c r="AB184" s="4199"/>
      <c r="AC184" s="4199"/>
      <c r="AD184" s="4199"/>
      <c r="AE184" s="4199"/>
      <c r="AF184" s="4199"/>
      <c r="AG184" s="4199"/>
      <c r="AH184" s="4199"/>
      <c r="AI184" s="4199"/>
      <c r="AJ184" s="4199"/>
      <c r="AK184" s="4199"/>
      <c r="AL184" s="4199"/>
      <c r="AM184" s="4199"/>
      <c r="AN184" s="4199"/>
      <c r="AO184" s="4150"/>
      <c r="AP184" s="4150"/>
      <c r="AQ184" s="4137"/>
    </row>
    <row r="185" spans="1:43" ht="42.75" x14ac:dyDescent="0.2">
      <c r="A185" s="2155"/>
      <c r="B185" s="2156"/>
      <c r="C185" s="2157"/>
      <c r="D185" s="2156"/>
      <c r="E185" s="2156"/>
      <c r="F185" s="2157"/>
      <c r="G185" s="2163"/>
      <c r="H185" s="2156"/>
      <c r="I185" s="2157"/>
      <c r="J185" s="4164"/>
      <c r="K185" s="4142"/>
      <c r="L185" s="4139"/>
      <c r="M185" s="4139"/>
      <c r="N185" s="4139"/>
      <c r="O185" s="4157"/>
      <c r="P185" s="4142"/>
      <c r="Q185" s="4146"/>
      <c r="R185" s="4159"/>
      <c r="S185" s="4142"/>
      <c r="T185" s="4142"/>
      <c r="U185" s="2226" t="s">
        <v>2120</v>
      </c>
      <c r="V185" s="2064">
        <v>1000000</v>
      </c>
      <c r="W185" s="2233">
        <v>61</v>
      </c>
      <c r="X185" s="2234" t="s">
        <v>2113</v>
      </c>
      <c r="Y185" s="4139"/>
      <c r="Z185" s="4139"/>
      <c r="AA185" s="4199"/>
      <c r="AB185" s="4199"/>
      <c r="AC185" s="4199"/>
      <c r="AD185" s="4199"/>
      <c r="AE185" s="4199"/>
      <c r="AF185" s="4199"/>
      <c r="AG185" s="4199"/>
      <c r="AH185" s="4199"/>
      <c r="AI185" s="4199"/>
      <c r="AJ185" s="4199"/>
      <c r="AK185" s="4199"/>
      <c r="AL185" s="4199"/>
      <c r="AM185" s="4199"/>
      <c r="AN185" s="4199"/>
      <c r="AO185" s="4150"/>
      <c r="AP185" s="4150"/>
      <c r="AQ185" s="4137"/>
    </row>
    <row r="186" spans="1:43" ht="42.75" x14ac:dyDescent="0.2">
      <c r="A186" s="2155"/>
      <c r="B186" s="2156"/>
      <c r="C186" s="2157"/>
      <c r="D186" s="2156"/>
      <c r="E186" s="2156"/>
      <c r="F186" s="2157"/>
      <c r="G186" s="2163"/>
      <c r="H186" s="2156"/>
      <c r="I186" s="2157"/>
      <c r="J186" s="4164"/>
      <c r="K186" s="4142"/>
      <c r="L186" s="4139"/>
      <c r="M186" s="4139"/>
      <c r="N186" s="4139"/>
      <c r="O186" s="4157"/>
      <c r="P186" s="4142"/>
      <c r="Q186" s="4146"/>
      <c r="R186" s="4159"/>
      <c r="S186" s="4142"/>
      <c r="T186" s="4142"/>
      <c r="U186" s="2226" t="s">
        <v>2121</v>
      </c>
      <c r="V186" s="2064">
        <v>1000000</v>
      </c>
      <c r="W186" s="2233">
        <v>61</v>
      </c>
      <c r="X186" s="2234" t="s">
        <v>2113</v>
      </c>
      <c r="Y186" s="4139"/>
      <c r="Z186" s="4139"/>
      <c r="AA186" s="4199"/>
      <c r="AB186" s="4199"/>
      <c r="AC186" s="4199"/>
      <c r="AD186" s="4199"/>
      <c r="AE186" s="4199"/>
      <c r="AF186" s="4199"/>
      <c r="AG186" s="4199"/>
      <c r="AH186" s="4199"/>
      <c r="AI186" s="4199"/>
      <c r="AJ186" s="4199"/>
      <c r="AK186" s="4199"/>
      <c r="AL186" s="4199"/>
      <c r="AM186" s="4199"/>
      <c r="AN186" s="4199"/>
      <c r="AO186" s="4150"/>
      <c r="AP186" s="4150"/>
      <c r="AQ186" s="4137"/>
    </row>
    <row r="187" spans="1:43" ht="71.25" x14ac:dyDescent="0.2">
      <c r="A187" s="2155"/>
      <c r="B187" s="2156"/>
      <c r="C187" s="2157"/>
      <c r="D187" s="2156"/>
      <c r="E187" s="2156"/>
      <c r="F187" s="2157"/>
      <c r="G187" s="2167"/>
      <c r="H187" s="2165"/>
      <c r="I187" s="2166"/>
      <c r="J187" s="4165"/>
      <c r="K187" s="4143"/>
      <c r="L187" s="4140"/>
      <c r="M187" s="4140"/>
      <c r="N187" s="4140"/>
      <c r="O187" s="4190"/>
      <c r="P187" s="4143"/>
      <c r="Q187" s="4147"/>
      <c r="R187" s="4176"/>
      <c r="S187" s="4143"/>
      <c r="T187" s="4143"/>
      <c r="U187" s="2226" t="s">
        <v>2122</v>
      </c>
      <c r="V187" s="2064">
        <v>1000000</v>
      </c>
      <c r="W187" s="2233">
        <v>61</v>
      </c>
      <c r="X187" s="2234" t="s">
        <v>2113</v>
      </c>
      <c r="Y187" s="4140"/>
      <c r="Z187" s="4140"/>
      <c r="AA187" s="4200"/>
      <c r="AB187" s="4200"/>
      <c r="AC187" s="4200"/>
      <c r="AD187" s="4200"/>
      <c r="AE187" s="4200"/>
      <c r="AF187" s="4200"/>
      <c r="AG187" s="4200"/>
      <c r="AH187" s="4200"/>
      <c r="AI187" s="4200"/>
      <c r="AJ187" s="4200"/>
      <c r="AK187" s="4200"/>
      <c r="AL187" s="4200"/>
      <c r="AM187" s="4200"/>
      <c r="AN187" s="4200"/>
      <c r="AO187" s="4175"/>
      <c r="AP187" s="4175"/>
      <c r="AQ187" s="4153"/>
    </row>
    <row r="188" spans="1:43" ht="36" customHeight="1" x14ac:dyDescent="0.2">
      <c r="A188" s="2141"/>
      <c r="B188" s="2142"/>
      <c r="C188" s="2143"/>
      <c r="D188" s="2142"/>
      <c r="E188" s="2142"/>
      <c r="F188" s="2143"/>
      <c r="G188" s="2176">
        <v>42</v>
      </c>
      <c r="H188" s="2147" t="s">
        <v>2123</v>
      </c>
      <c r="I188" s="2147"/>
      <c r="J188" s="2147"/>
      <c r="K188" s="2148"/>
      <c r="L188" s="2147"/>
      <c r="M188" s="2147"/>
      <c r="N188" s="2149"/>
      <c r="O188" s="2177"/>
      <c r="P188" s="2148"/>
      <c r="Q188" s="2147"/>
      <c r="R188" s="2178"/>
      <c r="S188" s="2147"/>
      <c r="T188" s="2148"/>
      <c r="U188" s="2148"/>
      <c r="V188" s="2179"/>
      <c r="W188" s="2180"/>
      <c r="X188" s="2149"/>
      <c r="Y188" s="2149"/>
      <c r="Z188" s="2149"/>
      <c r="AA188" s="2149"/>
      <c r="AB188" s="2149"/>
      <c r="AC188" s="2149"/>
      <c r="AD188" s="2149"/>
      <c r="AE188" s="2149"/>
      <c r="AF188" s="2149"/>
      <c r="AG188" s="2149"/>
      <c r="AH188" s="2149"/>
      <c r="AI188" s="2149"/>
      <c r="AJ188" s="2149"/>
      <c r="AK188" s="2149"/>
      <c r="AL188" s="2149"/>
      <c r="AM188" s="2149"/>
      <c r="AN188" s="2149"/>
      <c r="AO188" s="2147"/>
      <c r="AP188" s="2147"/>
      <c r="AQ188" s="2154"/>
    </row>
    <row r="189" spans="1:43" ht="81" customHeight="1" x14ac:dyDescent="0.2">
      <c r="A189" s="2155"/>
      <c r="B189" s="2156"/>
      <c r="C189" s="2157"/>
      <c r="D189" s="2156"/>
      <c r="E189" s="2156"/>
      <c r="F189" s="2157"/>
      <c r="G189" s="2158"/>
      <c r="H189" s="2159"/>
      <c r="I189" s="2160"/>
      <c r="J189" s="4163">
        <v>149</v>
      </c>
      <c r="K189" s="4141" t="s">
        <v>2124</v>
      </c>
      <c r="L189" s="4138" t="s">
        <v>1905</v>
      </c>
      <c r="M189" s="4138">
        <v>8</v>
      </c>
      <c r="N189" s="4138" t="s">
        <v>2125</v>
      </c>
      <c r="O189" s="4156" t="s">
        <v>2126</v>
      </c>
      <c r="P189" s="4141" t="s">
        <v>2127</v>
      </c>
      <c r="Q189" s="4166">
        <f>SUM(V189:V194)/R189</f>
        <v>0.63157894736842102</v>
      </c>
      <c r="R189" s="4158">
        <f>SUM(V189:V199)</f>
        <v>76000000</v>
      </c>
      <c r="S189" s="4141" t="s">
        <v>2128</v>
      </c>
      <c r="T189" s="4141" t="s">
        <v>2129</v>
      </c>
      <c r="U189" s="2164" t="s">
        <v>2130</v>
      </c>
      <c r="V189" s="2202">
        <v>8000000</v>
      </c>
      <c r="W189" s="2161">
        <v>61</v>
      </c>
      <c r="X189" s="2234" t="s">
        <v>2113</v>
      </c>
      <c r="Y189" s="4138">
        <v>292684</v>
      </c>
      <c r="Z189" s="4138">
        <v>282326</v>
      </c>
      <c r="AA189" s="4138">
        <v>135912</v>
      </c>
      <c r="AB189" s="4138">
        <v>45122</v>
      </c>
      <c r="AC189" s="4138">
        <v>307101</v>
      </c>
      <c r="AD189" s="4138">
        <v>86875</v>
      </c>
      <c r="AE189" s="4138">
        <v>2145</v>
      </c>
      <c r="AF189" s="4138">
        <v>12718</v>
      </c>
      <c r="AG189" s="4138">
        <v>26</v>
      </c>
      <c r="AH189" s="4138">
        <v>37</v>
      </c>
      <c r="AI189" s="4138" t="s">
        <v>1913</v>
      </c>
      <c r="AJ189" s="4138" t="s">
        <v>1913</v>
      </c>
      <c r="AK189" s="4138">
        <v>53164</v>
      </c>
      <c r="AL189" s="4138">
        <v>16982</v>
      </c>
      <c r="AM189" s="4138">
        <v>60013</v>
      </c>
      <c r="AN189" s="4138">
        <v>575010</v>
      </c>
      <c r="AO189" s="4149">
        <v>43467</v>
      </c>
      <c r="AP189" s="4149">
        <v>43830</v>
      </c>
      <c r="AQ189" s="4136" t="s">
        <v>1914</v>
      </c>
    </row>
    <row r="190" spans="1:43" ht="71.25" x14ac:dyDescent="0.2">
      <c r="A190" s="2155"/>
      <c r="B190" s="2156"/>
      <c r="C190" s="2157"/>
      <c r="D190" s="2156"/>
      <c r="E190" s="2156"/>
      <c r="F190" s="2157"/>
      <c r="G190" s="2163"/>
      <c r="H190" s="2156"/>
      <c r="I190" s="2157"/>
      <c r="J190" s="4164"/>
      <c r="K190" s="4142"/>
      <c r="L190" s="4139"/>
      <c r="M190" s="4139"/>
      <c r="N190" s="4139"/>
      <c r="O190" s="4157"/>
      <c r="P190" s="4142"/>
      <c r="Q190" s="4146"/>
      <c r="R190" s="4159"/>
      <c r="S190" s="4142"/>
      <c r="T190" s="4142"/>
      <c r="U190" s="2164" t="s">
        <v>2131</v>
      </c>
      <c r="V190" s="2202">
        <v>8000000</v>
      </c>
      <c r="W190" s="2161">
        <v>61</v>
      </c>
      <c r="X190" s="2234" t="s">
        <v>2113</v>
      </c>
      <c r="Y190" s="4139"/>
      <c r="Z190" s="4139">
        <v>282326</v>
      </c>
      <c r="AA190" s="4139">
        <v>135912</v>
      </c>
      <c r="AB190" s="4139">
        <v>45122</v>
      </c>
      <c r="AC190" s="4139">
        <v>307101</v>
      </c>
      <c r="AD190" s="4139">
        <v>86875</v>
      </c>
      <c r="AE190" s="4139">
        <v>2145</v>
      </c>
      <c r="AF190" s="4139">
        <v>12718</v>
      </c>
      <c r="AG190" s="4139">
        <v>26</v>
      </c>
      <c r="AH190" s="4139">
        <v>37</v>
      </c>
      <c r="AI190" s="4139" t="s">
        <v>1913</v>
      </c>
      <c r="AJ190" s="4139" t="s">
        <v>1913</v>
      </c>
      <c r="AK190" s="4139">
        <v>53164</v>
      </c>
      <c r="AL190" s="4139">
        <v>16982</v>
      </c>
      <c r="AM190" s="4139">
        <v>60013</v>
      </c>
      <c r="AN190" s="4139">
        <v>575010</v>
      </c>
      <c r="AO190" s="4150"/>
      <c r="AP190" s="4150"/>
      <c r="AQ190" s="4137"/>
    </row>
    <row r="191" spans="1:43" ht="71.25" x14ac:dyDescent="0.2">
      <c r="A191" s="2155"/>
      <c r="B191" s="2156"/>
      <c r="C191" s="2157"/>
      <c r="D191" s="2156"/>
      <c r="E191" s="2156"/>
      <c r="F191" s="2157"/>
      <c r="G191" s="2163"/>
      <c r="H191" s="2156"/>
      <c r="I191" s="2157"/>
      <c r="J191" s="4164"/>
      <c r="K191" s="4142"/>
      <c r="L191" s="4139"/>
      <c r="M191" s="4139"/>
      <c r="N191" s="4139"/>
      <c r="O191" s="4157"/>
      <c r="P191" s="4142"/>
      <c r="Q191" s="4146"/>
      <c r="R191" s="4159"/>
      <c r="S191" s="4142"/>
      <c r="T191" s="4142"/>
      <c r="U191" s="2164" t="s">
        <v>2132</v>
      </c>
      <c r="V191" s="2202">
        <v>8000000</v>
      </c>
      <c r="W191" s="2161">
        <v>61</v>
      </c>
      <c r="X191" s="2234" t="s">
        <v>2113</v>
      </c>
      <c r="Y191" s="4139"/>
      <c r="Z191" s="4139">
        <v>282326</v>
      </c>
      <c r="AA191" s="4139">
        <v>135912</v>
      </c>
      <c r="AB191" s="4139">
        <v>45122</v>
      </c>
      <c r="AC191" s="4139">
        <v>307101</v>
      </c>
      <c r="AD191" s="4139">
        <v>86875</v>
      </c>
      <c r="AE191" s="4139">
        <v>2145</v>
      </c>
      <c r="AF191" s="4139">
        <v>12718</v>
      </c>
      <c r="AG191" s="4139">
        <v>26</v>
      </c>
      <c r="AH191" s="4139">
        <v>37</v>
      </c>
      <c r="AI191" s="4139" t="s">
        <v>1913</v>
      </c>
      <c r="AJ191" s="4139" t="s">
        <v>1913</v>
      </c>
      <c r="AK191" s="4139">
        <v>53164</v>
      </c>
      <c r="AL191" s="4139">
        <v>16982</v>
      </c>
      <c r="AM191" s="4139">
        <v>60013</v>
      </c>
      <c r="AN191" s="4139">
        <v>575010</v>
      </c>
      <c r="AO191" s="4150"/>
      <c r="AP191" s="4150"/>
      <c r="AQ191" s="4137"/>
    </row>
    <row r="192" spans="1:43" ht="71.25" x14ac:dyDescent="0.2">
      <c r="A192" s="2155"/>
      <c r="B192" s="2156"/>
      <c r="C192" s="2157"/>
      <c r="D192" s="2156"/>
      <c r="E192" s="2156"/>
      <c r="F192" s="2157"/>
      <c r="G192" s="2163"/>
      <c r="H192" s="2156"/>
      <c r="I192" s="2157"/>
      <c r="J192" s="4164"/>
      <c r="K192" s="4142"/>
      <c r="L192" s="4139"/>
      <c r="M192" s="4139"/>
      <c r="N192" s="4139"/>
      <c r="O192" s="4157"/>
      <c r="P192" s="4142"/>
      <c r="Q192" s="4146"/>
      <c r="R192" s="4159"/>
      <c r="S192" s="4142"/>
      <c r="T192" s="4142"/>
      <c r="U192" s="2164" t="s">
        <v>2133</v>
      </c>
      <c r="V192" s="2202">
        <v>8000000</v>
      </c>
      <c r="W192" s="2161">
        <v>61</v>
      </c>
      <c r="X192" s="2234" t="s">
        <v>2113</v>
      </c>
      <c r="Y192" s="4139"/>
      <c r="Z192" s="4139">
        <v>282326</v>
      </c>
      <c r="AA192" s="4139">
        <v>135912</v>
      </c>
      <c r="AB192" s="4139">
        <v>45122</v>
      </c>
      <c r="AC192" s="4139">
        <v>307101</v>
      </c>
      <c r="AD192" s="4139">
        <v>86875</v>
      </c>
      <c r="AE192" s="4139">
        <v>2145</v>
      </c>
      <c r="AF192" s="4139">
        <v>12718</v>
      </c>
      <c r="AG192" s="4139">
        <v>26</v>
      </c>
      <c r="AH192" s="4139">
        <v>37</v>
      </c>
      <c r="AI192" s="4139" t="s">
        <v>1913</v>
      </c>
      <c r="AJ192" s="4139" t="s">
        <v>1913</v>
      </c>
      <c r="AK192" s="4139">
        <v>53164</v>
      </c>
      <c r="AL192" s="4139">
        <v>16982</v>
      </c>
      <c r="AM192" s="4139">
        <v>60013</v>
      </c>
      <c r="AN192" s="4139">
        <v>575010</v>
      </c>
      <c r="AO192" s="4150"/>
      <c r="AP192" s="4150"/>
      <c r="AQ192" s="4137"/>
    </row>
    <row r="193" spans="1:43" ht="57" x14ac:dyDescent="0.2">
      <c r="A193" s="2155"/>
      <c r="B193" s="2156"/>
      <c r="C193" s="2157"/>
      <c r="D193" s="2156"/>
      <c r="E193" s="2156"/>
      <c r="F193" s="2157"/>
      <c r="G193" s="2163"/>
      <c r="H193" s="2156"/>
      <c r="I193" s="2157"/>
      <c r="J193" s="4164"/>
      <c r="K193" s="4142"/>
      <c r="L193" s="4139"/>
      <c r="M193" s="4139"/>
      <c r="N193" s="4139"/>
      <c r="O193" s="4157"/>
      <c r="P193" s="4142"/>
      <c r="Q193" s="4146"/>
      <c r="R193" s="4159"/>
      <c r="S193" s="4142"/>
      <c r="T193" s="4142"/>
      <c r="U193" s="2164" t="s">
        <v>2134</v>
      </c>
      <c r="V193" s="2202">
        <v>8000000</v>
      </c>
      <c r="W193" s="2161">
        <v>61</v>
      </c>
      <c r="X193" s="2234" t="s">
        <v>2113</v>
      </c>
      <c r="Y193" s="4139"/>
      <c r="Z193" s="4139">
        <v>282326</v>
      </c>
      <c r="AA193" s="4139">
        <v>135912</v>
      </c>
      <c r="AB193" s="4139">
        <v>45122</v>
      </c>
      <c r="AC193" s="4139">
        <v>307101</v>
      </c>
      <c r="AD193" s="4139">
        <v>86875</v>
      </c>
      <c r="AE193" s="4139">
        <v>2145</v>
      </c>
      <c r="AF193" s="4139">
        <v>12718</v>
      </c>
      <c r="AG193" s="4139">
        <v>26</v>
      </c>
      <c r="AH193" s="4139">
        <v>37</v>
      </c>
      <c r="AI193" s="4139" t="s">
        <v>1913</v>
      </c>
      <c r="AJ193" s="4139" t="s">
        <v>1913</v>
      </c>
      <c r="AK193" s="4139">
        <v>53164</v>
      </c>
      <c r="AL193" s="4139">
        <v>16982</v>
      </c>
      <c r="AM193" s="4139">
        <v>60013</v>
      </c>
      <c r="AN193" s="4139">
        <v>575010</v>
      </c>
      <c r="AO193" s="4150"/>
      <c r="AP193" s="4150"/>
      <c r="AQ193" s="4137"/>
    </row>
    <row r="194" spans="1:43" ht="67.5" customHeight="1" x14ac:dyDescent="0.2">
      <c r="A194" s="2155"/>
      <c r="B194" s="2156"/>
      <c r="C194" s="2157"/>
      <c r="D194" s="2156"/>
      <c r="E194" s="2156"/>
      <c r="F194" s="2157"/>
      <c r="G194" s="2163"/>
      <c r="H194" s="2156"/>
      <c r="I194" s="2157"/>
      <c r="J194" s="4165"/>
      <c r="K194" s="4143"/>
      <c r="L194" s="4140"/>
      <c r="M194" s="4140"/>
      <c r="N194" s="4139"/>
      <c r="O194" s="4157"/>
      <c r="P194" s="4142"/>
      <c r="Q194" s="4147"/>
      <c r="R194" s="4159"/>
      <c r="S194" s="4142"/>
      <c r="T194" s="4143"/>
      <c r="U194" s="2164" t="s">
        <v>2135</v>
      </c>
      <c r="V194" s="2202">
        <v>8000000</v>
      </c>
      <c r="W194" s="2161">
        <v>61</v>
      </c>
      <c r="X194" s="2234" t="s">
        <v>2113</v>
      </c>
      <c r="Y194" s="4139"/>
      <c r="Z194" s="4139">
        <v>282326</v>
      </c>
      <c r="AA194" s="4139">
        <v>135912</v>
      </c>
      <c r="AB194" s="4139">
        <v>45122</v>
      </c>
      <c r="AC194" s="4139">
        <v>307101</v>
      </c>
      <c r="AD194" s="4139">
        <v>86875</v>
      </c>
      <c r="AE194" s="4139">
        <v>2145</v>
      </c>
      <c r="AF194" s="4139">
        <v>12718</v>
      </c>
      <c r="AG194" s="4139">
        <v>26</v>
      </c>
      <c r="AH194" s="4139">
        <v>37</v>
      </c>
      <c r="AI194" s="4139" t="s">
        <v>1913</v>
      </c>
      <c r="AJ194" s="4139" t="s">
        <v>1913</v>
      </c>
      <c r="AK194" s="4139">
        <v>53164</v>
      </c>
      <c r="AL194" s="4139">
        <v>16982</v>
      </c>
      <c r="AM194" s="4139">
        <v>60013</v>
      </c>
      <c r="AN194" s="4139">
        <v>575010</v>
      </c>
      <c r="AO194" s="4150"/>
      <c r="AP194" s="4150"/>
      <c r="AQ194" s="4137"/>
    </row>
    <row r="195" spans="1:43" ht="57" x14ac:dyDescent="0.2">
      <c r="A195" s="2155"/>
      <c r="B195" s="2156"/>
      <c r="C195" s="2157"/>
      <c r="D195" s="2156"/>
      <c r="E195" s="2156"/>
      <c r="F195" s="2157"/>
      <c r="G195" s="2163"/>
      <c r="H195" s="2156"/>
      <c r="I195" s="2157"/>
      <c r="J195" s="4163">
        <v>150</v>
      </c>
      <c r="K195" s="4141" t="s">
        <v>2136</v>
      </c>
      <c r="L195" s="4138" t="s">
        <v>1905</v>
      </c>
      <c r="M195" s="4138">
        <v>14</v>
      </c>
      <c r="N195" s="4139"/>
      <c r="O195" s="4157"/>
      <c r="P195" s="4142"/>
      <c r="Q195" s="4166">
        <f>(V195+V198+V199+V196+V197)/R189</f>
        <v>0.36842105263157893</v>
      </c>
      <c r="R195" s="4159"/>
      <c r="S195" s="4142"/>
      <c r="T195" s="4141" t="s">
        <v>2137</v>
      </c>
      <c r="U195" s="2164" t="s">
        <v>2138</v>
      </c>
      <c r="V195" s="2202">
        <v>5000000</v>
      </c>
      <c r="W195" s="2161">
        <v>61</v>
      </c>
      <c r="X195" s="2234" t="s">
        <v>2113</v>
      </c>
      <c r="Y195" s="4139"/>
      <c r="Z195" s="4139">
        <v>282326</v>
      </c>
      <c r="AA195" s="4139">
        <v>135912</v>
      </c>
      <c r="AB195" s="4139">
        <v>45122</v>
      </c>
      <c r="AC195" s="4139">
        <v>307101</v>
      </c>
      <c r="AD195" s="4139">
        <v>86875</v>
      </c>
      <c r="AE195" s="4139">
        <v>2145</v>
      </c>
      <c r="AF195" s="4139">
        <v>12718</v>
      </c>
      <c r="AG195" s="4139">
        <v>26</v>
      </c>
      <c r="AH195" s="4139">
        <v>37</v>
      </c>
      <c r="AI195" s="4139" t="s">
        <v>1913</v>
      </c>
      <c r="AJ195" s="4139" t="s">
        <v>1913</v>
      </c>
      <c r="AK195" s="4139">
        <v>53164</v>
      </c>
      <c r="AL195" s="4139">
        <v>16982</v>
      </c>
      <c r="AM195" s="4139">
        <v>60013</v>
      </c>
      <c r="AN195" s="4139">
        <v>575010</v>
      </c>
      <c r="AO195" s="4150"/>
      <c r="AP195" s="4150"/>
      <c r="AQ195" s="4137"/>
    </row>
    <row r="196" spans="1:43" ht="57" x14ac:dyDescent="0.2">
      <c r="A196" s="2155"/>
      <c r="B196" s="2156"/>
      <c r="C196" s="2157"/>
      <c r="D196" s="2156"/>
      <c r="E196" s="2156"/>
      <c r="F196" s="2157"/>
      <c r="G196" s="2163"/>
      <c r="H196" s="2156"/>
      <c r="I196" s="2157"/>
      <c r="J196" s="4164"/>
      <c r="K196" s="4142"/>
      <c r="L196" s="4139"/>
      <c r="M196" s="4139"/>
      <c r="N196" s="4139"/>
      <c r="O196" s="4157"/>
      <c r="P196" s="4142"/>
      <c r="Q196" s="4146"/>
      <c r="R196" s="4159"/>
      <c r="S196" s="4142"/>
      <c r="T196" s="4142"/>
      <c r="U196" s="2164" t="s">
        <v>2139</v>
      </c>
      <c r="V196" s="2202">
        <v>5000000</v>
      </c>
      <c r="W196" s="2161">
        <v>61</v>
      </c>
      <c r="X196" s="2234" t="s">
        <v>2113</v>
      </c>
      <c r="Y196" s="4139"/>
      <c r="Z196" s="4139">
        <v>282326</v>
      </c>
      <c r="AA196" s="4139">
        <v>135912</v>
      </c>
      <c r="AB196" s="4139">
        <v>45122</v>
      </c>
      <c r="AC196" s="4139">
        <v>307101</v>
      </c>
      <c r="AD196" s="4139">
        <v>86875</v>
      </c>
      <c r="AE196" s="4139">
        <v>2145</v>
      </c>
      <c r="AF196" s="4139">
        <v>12718</v>
      </c>
      <c r="AG196" s="4139">
        <v>26</v>
      </c>
      <c r="AH196" s="4139">
        <v>37</v>
      </c>
      <c r="AI196" s="4139" t="s">
        <v>1913</v>
      </c>
      <c r="AJ196" s="4139" t="s">
        <v>1913</v>
      </c>
      <c r="AK196" s="4139">
        <v>53164</v>
      </c>
      <c r="AL196" s="4139">
        <v>16982</v>
      </c>
      <c r="AM196" s="4139">
        <v>60013</v>
      </c>
      <c r="AN196" s="4139">
        <v>575010</v>
      </c>
      <c r="AO196" s="4150"/>
      <c r="AP196" s="4150"/>
      <c r="AQ196" s="4137"/>
    </row>
    <row r="197" spans="1:43" ht="85.5" x14ac:dyDescent="0.2">
      <c r="A197" s="2155"/>
      <c r="B197" s="2156"/>
      <c r="C197" s="2157"/>
      <c r="D197" s="2156"/>
      <c r="E197" s="2156"/>
      <c r="F197" s="2157"/>
      <c r="G197" s="2163"/>
      <c r="H197" s="2156"/>
      <c r="I197" s="2157"/>
      <c r="J197" s="4164"/>
      <c r="K197" s="4142"/>
      <c r="L197" s="4139"/>
      <c r="M197" s="4139"/>
      <c r="N197" s="4139"/>
      <c r="O197" s="4157"/>
      <c r="P197" s="4142"/>
      <c r="Q197" s="4146"/>
      <c r="R197" s="4159"/>
      <c r="S197" s="4142"/>
      <c r="T197" s="4142"/>
      <c r="U197" s="2164" t="s">
        <v>2140</v>
      </c>
      <c r="V197" s="2202">
        <v>5000000</v>
      </c>
      <c r="W197" s="2161">
        <v>61</v>
      </c>
      <c r="X197" s="2234" t="s">
        <v>2113</v>
      </c>
      <c r="Y197" s="4139"/>
      <c r="Z197" s="4139">
        <v>282326</v>
      </c>
      <c r="AA197" s="4139">
        <v>135912</v>
      </c>
      <c r="AB197" s="4139">
        <v>45122</v>
      </c>
      <c r="AC197" s="4139">
        <v>307101</v>
      </c>
      <c r="AD197" s="4139">
        <v>86875</v>
      </c>
      <c r="AE197" s="4139">
        <v>2145</v>
      </c>
      <c r="AF197" s="4139">
        <v>12718</v>
      </c>
      <c r="AG197" s="4139">
        <v>26</v>
      </c>
      <c r="AH197" s="4139">
        <v>37</v>
      </c>
      <c r="AI197" s="4139" t="s">
        <v>1913</v>
      </c>
      <c r="AJ197" s="4139" t="s">
        <v>1913</v>
      </c>
      <c r="AK197" s="4139">
        <v>53164</v>
      </c>
      <c r="AL197" s="4139">
        <v>16982</v>
      </c>
      <c r="AM197" s="4139">
        <v>60013</v>
      </c>
      <c r="AN197" s="4139">
        <v>575010</v>
      </c>
      <c r="AO197" s="4150"/>
      <c r="AP197" s="4150"/>
      <c r="AQ197" s="4137"/>
    </row>
    <row r="198" spans="1:43" ht="58.5" customHeight="1" x14ac:dyDescent="0.2">
      <c r="A198" s="2155"/>
      <c r="B198" s="2156"/>
      <c r="C198" s="2157"/>
      <c r="D198" s="2156"/>
      <c r="E198" s="2156"/>
      <c r="F198" s="2157"/>
      <c r="G198" s="2163"/>
      <c r="H198" s="2156"/>
      <c r="I198" s="2157"/>
      <c r="J198" s="4164"/>
      <c r="K198" s="4142"/>
      <c r="L198" s="4139"/>
      <c r="M198" s="4139"/>
      <c r="N198" s="4139"/>
      <c r="O198" s="4157"/>
      <c r="P198" s="4142"/>
      <c r="Q198" s="4146"/>
      <c r="R198" s="4159"/>
      <c r="S198" s="4142"/>
      <c r="T198" s="4142"/>
      <c r="U198" s="2164" t="s">
        <v>2141</v>
      </c>
      <c r="V198" s="2202">
        <v>5000000</v>
      </c>
      <c r="W198" s="2161">
        <v>61</v>
      </c>
      <c r="X198" s="2234" t="s">
        <v>2113</v>
      </c>
      <c r="Y198" s="4139"/>
      <c r="Z198" s="4139">
        <v>282326</v>
      </c>
      <c r="AA198" s="4139">
        <v>135912</v>
      </c>
      <c r="AB198" s="4139">
        <v>45122</v>
      </c>
      <c r="AC198" s="4139">
        <v>307101</v>
      </c>
      <c r="AD198" s="4139">
        <v>86875</v>
      </c>
      <c r="AE198" s="4139">
        <v>2145</v>
      </c>
      <c r="AF198" s="4139">
        <v>12718</v>
      </c>
      <c r="AG198" s="4139">
        <v>26</v>
      </c>
      <c r="AH198" s="4139">
        <v>37</v>
      </c>
      <c r="AI198" s="4139" t="s">
        <v>1913</v>
      </c>
      <c r="AJ198" s="4139" t="s">
        <v>1913</v>
      </c>
      <c r="AK198" s="4139">
        <v>53164</v>
      </c>
      <c r="AL198" s="4139">
        <v>16982</v>
      </c>
      <c r="AM198" s="4139">
        <v>60013</v>
      </c>
      <c r="AN198" s="4139">
        <v>575010</v>
      </c>
      <c r="AO198" s="4150"/>
      <c r="AP198" s="4150"/>
      <c r="AQ198" s="4137"/>
    </row>
    <row r="199" spans="1:43" ht="42.75" x14ac:dyDescent="0.2">
      <c r="A199" s="2155"/>
      <c r="B199" s="2156"/>
      <c r="C199" s="2157"/>
      <c r="D199" s="2156"/>
      <c r="E199" s="2156"/>
      <c r="F199" s="2157"/>
      <c r="G199" s="2167"/>
      <c r="H199" s="2165"/>
      <c r="I199" s="2166"/>
      <c r="J199" s="4165"/>
      <c r="K199" s="4143"/>
      <c r="L199" s="4140"/>
      <c r="M199" s="4140"/>
      <c r="N199" s="4140"/>
      <c r="O199" s="4190"/>
      <c r="P199" s="4143"/>
      <c r="Q199" s="4147"/>
      <c r="R199" s="4176"/>
      <c r="S199" s="4143"/>
      <c r="T199" s="4143"/>
      <c r="U199" s="2164" t="s">
        <v>2142</v>
      </c>
      <c r="V199" s="2202">
        <v>8000000</v>
      </c>
      <c r="W199" s="2161">
        <v>61</v>
      </c>
      <c r="X199" s="2234" t="s">
        <v>2113</v>
      </c>
      <c r="Y199" s="4140"/>
      <c r="Z199" s="4140">
        <v>282326</v>
      </c>
      <c r="AA199" s="4140">
        <v>135912</v>
      </c>
      <c r="AB199" s="4140">
        <v>45122</v>
      </c>
      <c r="AC199" s="4140">
        <v>307101</v>
      </c>
      <c r="AD199" s="4140">
        <v>86875</v>
      </c>
      <c r="AE199" s="4140">
        <v>2145</v>
      </c>
      <c r="AF199" s="4140">
        <v>12718</v>
      </c>
      <c r="AG199" s="4140">
        <v>26</v>
      </c>
      <c r="AH199" s="4140">
        <v>37</v>
      </c>
      <c r="AI199" s="4140" t="s">
        <v>1913</v>
      </c>
      <c r="AJ199" s="4140" t="s">
        <v>1913</v>
      </c>
      <c r="AK199" s="4140">
        <v>53164</v>
      </c>
      <c r="AL199" s="4140">
        <v>16982</v>
      </c>
      <c r="AM199" s="4140">
        <v>60013</v>
      </c>
      <c r="AN199" s="4140">
        <v>575010</v>
      </c>
      <c r="AO199" s="4175"/>
      <c r="AP199" s="4175"/>
      <c r="AQ199" s="4153"/>
    </row>
    <row r="200" spans="1:43" ht="36" customHeight="1" x14ac:dyDescent="0.2">
      <c r="A200" s="2141"/>
      <c r="B200" s="2142"/>
      <c r="C200" s="2143"/>
      <c r="D200" s="2142"/>
      <c r="E200" s="2142"/>
      <c r="F200" s="2143"/>
      <c r="G200" s="2176">
        <v>43</v>
      </c>
      <c r="H200" s="2147" t="s">
        <v>2143</v>
      </c>
      <c r="I200" s="2147"/>
      <c r="J200" s="2147"/>
      <c r="K200" s="2148"/>
      <c r="L200" s="2147"/>
      <c r="M200" s="2147"/>
      <c r="N200" s="2149"/>
      <c r="O200" s="2177"/>
      <c r="P200" s="2148"/>
      <c r="Q200" s="2147"/>
      <c r="R200" s="2178"/>
      <c r="S200" s="2147"/>
      <c r="T200" s="2148"/>
      <c r="U200" s="2148"/>
      <c r="V200" s="2179"/>
      <c r="W200" s="2236"/>
      <c r="X200" s="2199"/>
      <c r="Y200" s="2149"/>
      <c r="Z200" s="2149"/>
      <c r="AA200" s="2149"/>
      <c r="AB200" s="2149"/>
      <c r="AC200" s="2149"/>
      <c r="AD200" s="2149"/>
      <c r="AE200" s="2149"/>
      <c r="AF200" s="2149"/>
      <c r="AG200" s="2149"/>
      <c r="AH200" s="2149"/>
      <c r="AI200" s="2149"/>
      <c r="AJ200" s="2149"/>
      <c r="AK200" s="2149"/>
      <c r="AL200" s="2149"/>
      <c r="AM200" s="2149"/>
      <c r="AN200" s="2149"/>
      <c r="AO200" s="2147"/>
      <c r="AP200" s="2147"/>
      <c r="AQ200" s="2154"/>
    </row>
    <row r="201" spans="1:43" ht="81.75" customHeight="1" x14ac:dyDescent="0.2">
      <c r="A201" s="2181"/>
      <c r="B201" s="2182"/>
      <c r="C201" s="2183"/>
      <c r="D201" s="2182"/>
      <c r="E201" s="2182"/>
      <c r="F201" s="2183"/>
      <c r="G201" s="2184"/>
      <c r="H201" s="2185"/>
      <c r="I201" s="2186"/>
      <c r="J201" s="4163">
        <v>151</v>
      </c>
      <c r="K201" s="4161" t="s">
        <v>2144</v>
      </c>
      <c r="L201" s="4217" t="s">
        <v>1905</v>
      </c>
      <c r="M201" s="4217">
        <v>12</v>
      </c>
      <c r="N201" s="2234"/>
      <c r="O201" s="4156" t="s">
        <v>2145</v>
      </c>
      <c r="P201" s="4141" t="s">
        <v>2146</v>
      </c>
      <c r="Q201" s="4166">
        <f>SUM(V201:V205)/R201</f>
        <v>7.1805462249808105E-2</v>
      </c>
      <c r="R201" s="4158">
        <f>SUM(V201:V216)</f>
        <v>1615475987</v>
      </c>
      <c r="S201" s="4141" t="s">
        <v>2147</v>
      </c>
      <c r="T201" s="4141" t="s">
        <v>2148</v>
      </c>
      <c r="U201" s="2164" t="s">
        <v>2149</v>
      </c>
      <c r="V201" s="2237">
        <v>15000000</v>
      </c>
      <c r="W201" s="2238">
        <v>61</v>
      </c>
      <c r="X201" s="2239" t="s">
        <v>2025</v>
      </c>
      <c r="Y201" s="4185">
        <v>292684</v>
      </c>
      <c r="Z201" s="4185">
        <v>282326</v>
      </c>
      <c r="AA201" s="4185">
        <v>135912</v>
      </c>
      <c r="AB201" s="4185">
        <v>45122</v>
      </c>
      <c r="AC201" s="4185">
        <v>307101</v>
      </c>
      <c r="AD201" s="4185">
        <v>86875</v>
      </c>
      <c r="AE201" s="4185">
        <v>2145</v>
      </c>
      <c r="AF201" s="4185">
        <v>12718</v>
      </c>
      <c r="AG201" s="4185">
        <v>26</v>
      </c>
      <c r="AH201" s="4185">
        <v>37</v>
      </c>
      <c r="AI201" s="4185" t="s">
        <v>1913</v>
      </c>
      <c r="AJ201" s="4185" t="s">
        <v>1913</v>
      </c>
      <c r="AK201" s="4185">
        <v>53164</v>
      </c>
      <c r="AL201" s="4185">
        <v>16982</v>
      </c>
      <c r="AM201" s="4185">
        <v>60013</v>
      </c>
      <c r="AN201" s="4185">
        <v>575010</v>
      </c>
      <c r="AO201" s="4247">
        <f>+AO189</f>
        <v>43467</v>
      </c>
      <c r="AP201" s="4247">
        <v>43830</v>
      </c>
      <c r="AQ201" s="4136" t="s">
        <v>1914</v>
      </c>
    </row>
    <row r="202" spans="1:43" ht="29.25" customHeight="1" x14ac:dyDescent="0.2">
      <c r="A202" s="2181"/>
      <c r="B202" s="2182"/>
      <c r="C202" s="2183"/>
      <c r="D202" s="2182"/>
      <c r="E202" s="2182"/>
      <c r="F202" s="2183"/>
      <c r="G202" s="2188"/>
      <c r="H202" s="2182"/>
      <c r="I202" s="2183"/>
      <c r="J202" s="4164"/>
      <c r="K202" s="4162"/>
      <c r="L202" s="4217"/>
      <c r="M202" s="4217"/>
      <c r="N202" s="2240"/>
      <c r="O202" s="4157"/>
      <c r="P202" s="4142"/>
      <c r="Q202" s="4146"/>
      <c r="R202" s="4159"/>
      <c r="S202" s="4142"/>
      <c r="T202" s="4142"/>
      <c r="U202" s="4226" t="s">
        <v>2150</v>
      </c>
      <c r="V202" s="2237">
        <v>9000000</v>
      </c>
      <c r="W202" s="2238">
        <v>61</v>
      </c>
      <c r="X202" s="2239" t="s">
        <v>2025</v>
      </c>
      <c r="Y202" s="4186"/>
      <c r="Z202" s="4186">
        <v>282326</v>
      </c>
      <c r="AA202" s="4186">
        <v>135912</v>
      </c>
      <c r="AB202" s="4186">
        <v>45122</v>
      </c>
      <c r="AC202" s="4186">
        <v>307101</v>
      </c>
      <c r="AD202" s="4186">
        <v>86875</v>
      </c>
      <c r="AE202" s="4186">
        <v>2145</v>
      </c>
      <c r="AF202" s="4186">
        <v>12718</v>
      </c>
      <c r="AG202" s="4186">
        <v>26</v>
      </c>
      <c r="AH202" s="4186">
        <v>37</v>
      </c>
      <c r="AI202" s="4186" t="s">
        <v>1913</v>
      </c>
      <c r="AJ202" s="4186" t="s">
        <v>1913</v>
      </c>
      <c r="AK202" s="4186">
        <v>53164</v>
      </c>
      <c r="AL202" s="4186">
        <v>16982</v>
      </c>
      <c r="AM202" s="4186">
        <v>60013</v>
      </c>
      <c r="AN202" s="4186">
        <v>575010</v>
      </c>
      <c r="AO202" s="4248"/>
      <c r="AP202" s="4248"/>
      <c r="AQ202" s="4137"/>
    </row>
    <row r="203" spans="1:43" ht="30" customHeight="1" x14ac:dyDescent="0.2">
      <c r="A203" s="2181"/>
      <c r="B203" s="2182"/>
      <c r="C203" s="2183"/>
      <c r="D203" s="2182"/>
      <c r="E203" s="2182"/>
      <c r="F203" s="2183"/>
      <c r="G203" s="2188"/>
      <c r="H203" s="2182"/>
      <c r="I203" s="2183"/>
      <c r="J203" s="4164"/>
      <c r="K203" s="4162"/>
      <c r="L203" s="4217"/>
      <c r="M203" s="4217"/>
      <c r="N203" s="2240"/>
      <c r="O203" s="4157"/>
      <c r="P203" s="4142"/>
      <c r="Q203" s="4146"/>
      <c r="R203" s="4159"/>
      <c r="S203" s="4142"/>
      <c r="T203" s="4142"/>
      <c r="U203" s="4227"/>
      <c r="V203" s="2237">
        <v>36000000</v>
      </c>
      <c r="W203" s="2238">
        <v>20</v>
      </c>
      <c r="X203" s="2239" t="s">
        <v>62</v>
      </c>
      <c r="Y203" s="4186"/>
      <c r="Z203" s="4186">
        <v>282326</v>
      </c>
      <c r="AA203" s="4186">
        <v>135912</v>
      </c>
      <c r="AB203" s="4186">
        <v>45122</v>
      </c>
      <c r="AC203" s="4186">
        <v>307101</v>
      </c>
      <c r="AD203" s="4186">
        <v>86875</v>
      </c>
      <c r="AE203" s="4186">
        <v>2145</v>
      </c>
      <c r="AF203" s="4186">
        <v>12718</v>
      </c>
      <c r="AG203" s="4186">
        <v>26</v>
      </c>
      <c r="AH203" s="4186">
        <v>37</v>
      </c>
      <c r="AI203" s="4186" t="s">
        <v>1913</v>
      </c>
      <c r="AJ203" s="4186" t="s">
        <v>1913</v>
      </c>
      <c r="AK203" s="4186">
        <v>53164</v>
      </c>
      <c r="AL203" s="4186">
        <v>16982</v>
      </c>
      <c r="AM203" s="4186">
        <v>60013</v>
      </c>
      <c r="AN203" s="4186">
        <v>575010</v>
      </c>
      <c r="AO203" s="4248"/>
      <c r="AP203" s="4248"/>
      <c r="AQ203" s="4137"/>
    </row>
    <row r="204" spans="1:43" ht="36" customHeight="1" x14ac:dyDescent="0.2">
      <c r="A204" s="2181"/>
      <c r="B204" s="2182"/>
      <c r="C204" s="2183"/>
      <c r="D204" s="2182"/>
      <c r="E204" s="2182"/>
      <c r="F204" s="2183"/>
      <c r="G204" s="2188"/>
      <c r="H204" s="2182"/>
      <c r="I204" s="2183"/>
      <c r="J204" s="4164"/>
      <c r="K204" s="4162"/>
      <c r="L204" s="4217"/>
      <c r="M204" s="4217"/>
      <c r="N204" s="2240"/>
      <c r="O204" s="4157"/>
      <c r="P204" s="4142"/>
      <c r="Q204" s="4146"/>
      <c r="R204" s="4159"/>
      <c r="S204" s="4142"/>
      <c r="T204" s="4142"/>
      <c r="U204" s="4240"/>
      <c r="V204" s="2241">
        <v>32000000</v>
      </c>
      <c r="W204" s="2238">
        <v>98</v>
      </c>
      <c r="X204" s="2239" t="s">
        <v>2151</v>
      </c>
      <c r="Y204" s="4186"/>
      <c r="Z204" s="4186">
        <v>282326</v>
      </c>
      <c r="AA204" s="4186">
        <v>135912</v>
      </c>
      <c r="AB204" s="4186">
        <v>45122</v>
      </c>
      <c r="AC204" s="4186">
        <v>307101</v>
      </c>
      <c r="AD204" s="4186">
        <v>86875</v>
      </c>
      <c r="AE204" s="4186">
        <v>2145</v>
      </c>
      <c r="AF204" s="4186">
        <v>12718</v>
      </c>
      <c r="AG204" s="4186">
        <v>26</v>
      </c>
      <c r="AH204" s="4186">
        <v>37</v>
      </c>
      <c r="AI204" s="4186" t="s">
        <v>1913</v>
      </c>
      <c r="AJ204" s="4186" t="s">
        <v>1913</v>
      </c>
      <c r="AK204" s="4186">
        <v>53164</v>
      </c>
      <c r="AL204" s="4186">
        <v>16982</v>
      </c>
      <c r="AM204" s="4186">
        <v>60013</v>
      </c>
      <c r="AN204" s="4186">
        <v>575010</v>
      </c>
      <c r="AO204" s="4248"/>
      <c r="AP204" s="4248"/>
      <c r="AQ204" s="4137"/>
    </row>
    <row r="205" spans="1:43" ht="85.5" x14ac:dyDescent="0.2">
      <c r="A205" s="2181"/>
      <c r="B205" s="2182"/>
      <c r="C205" s="2183"/>
      <c r="D205" s="2182"/>
      <c r="E205" s="2182"/>
      <c r="F205" s="2183"/>
      <c r="G205" s="2188"/>
      <c r="H205" s="2182"/>
      <c r="I205" s="2183"/>
      <c r="J205" s="4254"/>
      <c r="K205" s="4162"/>
      <c r="L205" s="4138"/>
      <c r="M205" s="4138"/>
      <c r="N205" s="2240"/>
      <c r="O205" s="4157"/>
      <c r="P205" s="4142"/>
      <c r="Q205" s="4147"/>
      <c r="R205" s="4159"/>
      <c r="S205" s="4142"/>
      <c r="T205" s="4143"/>
      <c r="U205" s="2164" t="s">
        <v>2152</v>
      </c>
      <c r="V205" s="2237">
        <v>24000000</v>
      </c>
      <c r="W205" s="2238">
        <v>61</v>
      </c>
      <c r="X205" s="2242" t="s">
        <v>62</v>
      </c>
      <c r="Y205" s="4186"/>
      <c r="Z205" s="4186">
        <v>282326</v>
      </c>
      <c r="AA205" s="4186">
        <v>135912</v>
      </c>
      <c r="AB205" s="4186">
        <v>45122</v>
      </c>
      <c r="AC205" s="4186">
        <v>307101</v>
      </c>
      <c r="AD205" s="4186">
        <v>86875</v>
      </c>
      <c r="AE205" s="4186">
        <v>2145</v>
      </c>
      <c r="AF205" s="4186">
        <v>12718</v>
      </c>
      <c r="AG205" s="4186">
        <v>26</v>
      </c>
      <c r="AH205" s="4186">
        <v>37</v>
      </c>
      <c r="AI205" s="4186" t="s">
        <v>1913</v>
      </c>
      <c r="AJ205" s="4186" t="s">
        <v>1913</v>
      </c>
      <c r="AK205" s="4186">
        <v>53164</v>
      </c>
      <c r="AL205" s="4186">
        <v>16982</v>
      </c>
      <c r="AM205" s="4186">
        <v>60013</v>
      </c>
      <c r="AN205" s="4186">
        <v>575010</v>
      </c>
      <c r="AO205" s="4248"/>
      <c r="AP205" s="4248"/>
      <c r="AQ205" s="4137"/>
    </row>
    <row r="206" spans="1:43" ht="43.5" customHeight="1" x14ac:dyDescent="0.2">
      <c r="A206" s="2181"/>
      <c r="B206" s="2182"/>
      <c r="C206" s="2183"/>
      <c r="D206" s="2182"/>
      <c r="E206" s="2182"/>
      <c r="F206" s="2183"/>
      <c r="G206" s="2188"/>
      <c r="H206" s="2182"/>
      <c r="I206" s="2182"/>
      <c r="J206" s="4181">
        <v>152</v>
      </c>
      <c r="K206" s="4255" t="s">
        <v>2153</v>
      </c>
      <c r="L206" s="4256" t="s">
        <v>1905</v>
      </c>
      <c r="M206" s="4257">
        <v>1</v>
      </c>
      <c r="N206" s="2243" t="s">
        <v>2154</v>
      </c>
      <c r="O206" s="4157"/>
      <c r="P206" s="4142"/>
      <c r="Q206" s="4166">
        <f>SUM(V206:V207)/R201</f>
        <v>4.0854831969718411E-2</v>
      </c>
      <c r="R206" s="4159"/>
      <c r="S206" s="4142"/>
      <c r="T206" s="4141" t="s">
        <v>2155</v>
      </c>
      <c r="U206" s="4226" t="s">
        <v>2156</v>
      </c>
      <c r="V206" s="2202">
        <v>48000000</v>
      </c>
      <c r="W206" s="2244">
        <v>61</v>
      </c>
      <c r="X206" s="2239" t="s">
        <v>2113</v>
      </c>
      <c r="Y206" s="4186"/>
      <c r="Z206" s="4186">
        <v>282326</v>
      </c>
      <c r="AA206" s="4186">
        <v>135912</v>
      </c>
      <c r="AB206" s="4186">
        <v>45122</v>
      </c>
      <c r="AC206" s="4186">
        <v>307101</v>
      </c>
      <c r="AD206" s="4186">
        <v>86875</v>
      </c>
      <c r="AE206" s="4186">
        <v>2145</v>
      </c>
      <c r="AF206" s="4186">
        <v>12718</v>
      </c>
      <c r="AG206" s="4186">
        <v>26</v>
      </c>
      <c r="AH206" s="4186">
        <v>37</v>
      </c>
      <c r="AI206" s="4186" t="s">
        <v>1913</v>
      </c>
      <c r="AJ206" s="4186" t="s">
        <v>1913</v>
      </c>
      <c r="AK206" s="4186">
        <v>53164</v>
      </c>
      <c r="AL206" s="4186">
        <v>16982</v>
      </c>
      <c r="AM206" s="4186">
        <v>60013</v>
      </c>
      <c r="AN206" s="4186">
        <v>575010</v>
      </c>
      <c r="AO206" s="4248"/>
      <c r="AP206" s="4248"/>
      <c r="AQ206" s="4137"/>
    </row>
    <row r="207" spans="1:43" ht="54.75" customHeight="1" x14ac:dyDescent="0.2">
      <c r="A207" s="2181"/>
      <c r="B207" s="2182"/>
      <c r="C207" s="2183"/>
      <c r="D207" s="2182"/>
      <c r="E207" s="2182"/>
      <c r="F207" s="2183"/>
      <c r="G207" s="2188"/>
      <c r="H207" s="2182"/>
      <c r="I207" s="2182"/>
      <c r="J207" s="4183"/>
      <c r="K207" s="4255"/>
      <c r="L207" s="4256"/>
      <c r="M207" s="4257"/>
      <c r="N207" s="2243"/>
      <c r="O207" s="4157"/>
      <c r="P207" s="4142"/>
      <c r="Q207" s="4147"/>
      <c r="R207" s="4159"/>
      <c r="S207" s="4142"/>
      <c r="T207" s="4142"/>
      <c r="U207" s="4240"/>
      <c r="V207" s="2061">
        <v>18000000</v>
      </c>
      <c r="W207" s="2244">
        <v>98</v>
      </c>
      <c r="X207" s="2239" t="s">
        <v>2151</v>
      </c>
      <c r="Y207" s="4186"/>
      <c r="Z207" s="4186">
        <v>282326</v>
      </c>
      <c r="AA207" s="4186">
        <v>135912</v>
      </c>
      <c r="AB207" s="4186">
        <v>45122</v>
      </c>
      <c r="AC207" s="4186">
        <v>307101</v>
      </c>
      <c r="AD207" s="4186">
        <v>86875</v>
      </c>
      <c r="AE207" s="4186">
        <v>2145</v>
      </c>
      <c r="AF207" s="4186">
        <v>12718</v>
      </c>
      <c r="AG207" s="4186">
        <v>26</v>
      </c>
      <c r="AH207" s="4186">
        <v>37</v>
      </c>
      <c r="AI207" s="4186" t="s">
        <v>1913</v>
      </c>
      <c r="AJ207" s="4186" t="s">
        <v>1913</v>
      </c>
      <c r="AK207" s="4186">
        <v>53164</v>
      </c>
      <c r="AL207" s="4186">
        <v>16982</v>
      </c>
      <c r="AM207" s="4186">
        <v>60013</v>
      </c>
      <c r="AN207" s="4186">
        <v>575010</v>
      </c>
      <c r="AO207" s="4248"/>
      <c r="AP207" s="4248"/>
      <c r="AQ207" s="4137"/>
    </row>
    <row r="208" spans="1:43" ht="71.25" x14ac:dyDescent="0.2">
      <c r="A208" s="2181"/>
      <c r="B208" s="2182"/>
      <c r="C208" s="2183"/>
      <c r="D208" s="2182"/>
      <c r="E208" s="2182"/>
      <c r="F208" s="2183"/>
      <c r="G208" s="2188"/>
      <c r="H208" s="2182"/>
      <c r="I208" s="2183"/>
      <c r="J208" s="4253">
        <v>153</v>
      </c>
      <c r="K208" s="4162" t="s">
        <v>2157</v>
      </c>
      <c r="L208" s="4139" t="s">
        <v>1905</v>
      </c>
      <c r="M208" s="4139">
        <v>150</v>
      </c>
      <c r="N208" s="2243" t="s">
        <v>2158</v>
      </c>
      <c r="O208" s="4157"/>
      <c r="P208" s="4142"/>
      <c r="Q208" s="4166">
        <f>SUM(V208:V216)/R201</f>
        <v>0.8873397057804735</v>
      </c>
      <c r="R208" s="4159"/>
      <c r="S208" s="4142"/>
      <c r="T208" s="4142"/>
      <c r="U208" s="2245" t="s">
        <v>2159</v>
      </c>
      <c r="V208" s="2202">
        <v>24000000</v>
      </c>
      <c r="W208" s="2161">
        <v>63</v>
      </c>
      <c r="X208" s="2246" t="s">
        <v>2160</v>
      </c>
      <c r="Y208" s="4186"/>
      <c r="Z208" s="4186">
        <v>282326</v>
      </c>
      <c r="AA208" s="4186">
        <v>135912</v>
      </c>
      <c r="AB208" s="4186">
        <v>45122</v>
      </c>
      <c r="AC208" s="4186">
        <v>307101</v>
      </c>
      <c r="AD208" s="4186">
        <v>86875</v>
      </c>
      <c r="AE208" s="4186">
        <v>2145</v>
      </c>
      <c r="AF208" s="4186">
        <v>12718</v>
      </c>
      <c r="AG208" s="4186">
        <v>26</v>
      </c>
      <c r="AH208" s="4186">
        <v>37</v>
      </c>
      <c r="AI208" s="4186" t="s">
        <v>1913</v>
      </c>
      <c r="AJ208" s="4186" t="s">
        <v>1913</v>
      </c>
      <c r="AK208" s="4186">
        <v>53164</v>
      </c>
      <c r="AL208" s="4186">
        <v>16982</v>
      </c>
      <c r="AM208" s="4186">
        <v>60013</v>
      </c>
      <c r="AN208" s="4186">
        <v>575010</v>
      </c>
      <c r="AO208" s="4248"/>
      <c r="AP208" s="4248"/>
      <c r="AQ208" s="4137"/>
    </row>
    <row r="209" spans="1:43" ht="33.75" customHeight="1" x14ac:dyDescent="0.2">
      <c r="A209" s="2181"/>
      <c r="B209" s="2182"/>
      <c r="C209" s="2183"/>
      <c r="D209" s="2182"/>
      <c r="E209" s="2182"/>
      <c r="F209" s="2183"/>
      <c r="G209" s="2188"/>
      <c r="H209" s="2182"/>
      <c r="I209" s="2183"/>
      <c r="J209" s="4164"/>
      <c r="K209" s="4162"/>
      <c r="L209" s="4139"/>
      <c r="M209" s="4139"/>
      <c r="N209" s="2243"/>
      <c r="O209" s="4157"/>
      <c r="P209" s="4142"/>
      <c r="Q209" s="4146"/>
      <c r="R209" s="4159"/>
      <c r="S209" s="4142"/>
      <c r="T209" s="4142"/>
      <c r="U209" s="4226" t="s">
        <v>2161</v>
      </c>
      <c r="V209" s="2202">
        <v>718800528</v>
      </c>
      <c r="W209" s="2161">
        <v>63</v>
      </c>
      <c r="X209" s="2246" t="s">
        <v>2160</v>
      </c>
      <c r="Y209" s="4186"/>
      <c r="Z209" s="4186">
        <v>282326</v>
      </c>
      <c r="AA209" s="4186">
        <v>135912</v>
      </c>
      <c r="AB209" s="4186">
        <v>45122</v>
      </c>
      <c r="AC209" s="4186">
        <v>307101</v>
      </c>
      <c r="AD209" s="4186">
        <v>86875</v>
      </c>
      <c r="AE209" s="4186">
        <v>2145</v>
      </c>
      <c r="AF209" s="4186">
        <v>12718</v>
      </c>
      <c r="AG209" s="4186">
        <v>26</v>
      </c>
      <c r="AH209" s="4186">
        <v>37</v>
      </c>
      <c r="AI209" s="4186" t="s">
        <v>1913</v>
      </c>
      <c r="AJ209" s="4186" t="s">
        <v>1913</v>
      </c>
      <c r="AK209" s="4186">
        <v>53164</v>
      </c>
      <c r="AL209" s="4186">
        <v>16982</v>
      </c>
      <c r="AM209" s="4186">
        <v>60013</v>
      </c>
      <c r="AN209" s="4186">
        <v>575010</v>
      </c>
      <c r="AO209" s="4248"/>
      <c r="AP209" s="4248"/>
      <c r="AQ209" s="4137"/>
    </row>
    <row r="210" spans="1:43" ht="45" customHeight="1" x14ac:dyDescent="0.2">
      <c r="A210" s="2181"/>
      <c r="B210" s="2182"/>
      <c r="C210" s="2183"/>
      <c r="D210" s="2182"/>
      <c r="E210" s="2182"/>
      <c r="F210" s="2183"/>
      <c r="G210" s="2188"/>
      <c r="H210" s="2182"/>
      <c r="I210" s="2183"/>
      <c r="J210" s="4164"/>
      <c r="K210" s="4162"/>
      <c r="L210" s="4139"/>
      <c r="M210" s="4139"/>
      <c r="N210" s="2243" t="s">
        <v>2162</v>
      </c>
      <c r="O210" s="4157"/>
      <c r="P210" s="4142"/>
      <c r="Q210" s="4146"/>
      <c r="R210" s="4159"/>
      <c r="S210" s="4142"/>
      <c r="T210" s="4142"/>
      <c r="U210" s="4227"/>
      <c r="V210" s="2061">
        <v>590675459</v>
      </c>
      <c r="W210" s="2161">
        <v>99</v>
      </c>
      <c r="X210" s="2246" t="s">
        <v>2163</v>
      </c>
      <c r="Y210" s="4186"/>
      <c r="Z210" s="4186">
        <v>282326</v>
      </c>
      <c r="AA210" s="4186">
        <v>135912</v>
      </c>
      <c r="AB210" s="4186">
        <v>45122</v>
      </c>
      <c r="AC210" s="4186">
        <v>307101</v>
      </c>
      <c r="AD210" s="4186">
        <v>86875</v>
      </c>
      <c r="AE210" s="4186">
        <v>2145</v>
      </c>
      <c r="AF210" s="4186">
        <v>12718</v>
      </c>
      <c r="AG210" s="4186">
        <v>26</v>
      </c>
      <c r="AH210" s="4186">
        <v>37</v>
      </c>
      <c r="AI210" s="4186" t="s">
        <v>1913</v>
      </c>
      <c r="AJ210" s="4186" t="s">
        <v>1913</v>
      </c>
      <c r="AK210" s="4186">
        <v>53164</v>
      </c>
      <c r="AL210" s="4186">
        <v>16982</v>
      </c>
      <c r="AM210" s="4186">
        <v>60013</v>
      </c>
      <c r="AN210" s="4186">
        <v>575010</v>
      </c>
      <c r="AO210" s="4248"/>
      <c r="AP210" s="4248"/>
      <c r="AQ210" s="4137"/>
    </row>
    <row r="211" spans="1:43" ht="45" customHeight="1" x14ac:dyDescent="0.2">
      <c r="A211" s="2181"/>
      <c r="B211" s="2182"/>
      <c r="C211" s="2183"/>
      <c r="D211" s="2182"/>
      <c r="E211" s="2182"/>
      <c r="F211" s="2183"/>
      <c r="G211" s="2188"/>
      <c r="H211" s="2182"/>
      <c r="I211" s="2183"/>
      <c r="J211" s="4164"/>
      <c r="K211" s="4162"/>
      <c r="L211" s="4139"/>
      <c r="M211" s="4139"/>
      <c r="N211" s="2243"/>
      <c r="O211" s="4157"/>
      <c r="P211" s="4142"/>
      <c r="Q211" s="4146"/>
      <c r="R211" s="4159"/>
      <c r="S211" s="4142"/>
      <c r="T211" s="4142"/>
      <c r="U211" s="2164" t="s">
        <v>2164</v>
      </c>
      <c r="V211" s="2061">
        <v>0</v>
      </c>
      <c r="W211" s="2161">
        <v>63</v>
      </c>
      <c r="X211" s="2246" t="s">
        <v>2160</v>
      </c>
      <c r="Y211" s="4186"/>
      <c r="Z211" s="4186">
        <v>282326</v>
      </c>
      <c r="AA211" s="4186">
        <v>135912</v>
      </c>
      <c r="AB211" s="4186">
        <v>45122</v>
      </c>
      <c r="AC211" s="4186">
        <v>307101</v>
      </c>
      <c r="AD211" s="4186">
        <v>86875</v>
      </c>
      <c r="AE211" s="4186">
        <v>2145</v>
      </c>
      <c r="AF211" s="4186">
        <v>12718</v>
      </c>
      <c r="AG211" s="4186">
        <v>26</v>
      </c>
      <c r="AH211" s="4186">
        <v>37</v>
      </c>
      <c r="AI211" s="4186" t="s">
        <v>1913</v>
      </c>
      <c r="AJ211" s="4186" t="s">
        <v>1913</v>
      </c>
      <c r="AK211" s="4186">
        <v>53164</v>
      </c>
      <c r="AL211" s="4186">
        <v>16982</v>
      </c>
      <c r="AM211" s="4186">
        <v>60013</v>
      </c>
      <c r="AN211" s="4186">
        <v>575010</v>
      </c>
      <c r="AO211" s="4248"/>
      <c r="AP211" s="4248"/>
      <c r="AQ211" s="4137"/>
    </row>
    <row r="212" spans="1:43" ht="42.75" x14ac:dyDescent="0.2">
      <c r="A212" s="2181"/>
      <c r="B212" s="2182"/>
      <c r="C212" s="2183"/>
      <c r="D212" s="2182"/>
      <c r="E212" s="2182"/>
      <c r="F212" s="2183"/>
      <c r="G212" s="2188"/>
      <c r="H212" s="2182"/>
      <c r="I212" s="2183"/>
      <c r="J212" s="4164"/>
      <c r="K212" s="4162"/>
      <c r="L212" s="4139"/>
      <c r="M212" s="4139"/>
      <c r="N212" s="2243" t="s">
        <v>2165</v>
      </c>
      <c r="O212" s="4157"/>
      <c r="P212" s="4142"/>
      <c r="Q212" s="4146"/>
      <c r="R212" s="4159"/>
      <c r="S212" s="4142"/>
      <c r="T212" s="4142"/>
      <c r="U212" s="2164" t="s">
        <v>2166</v>
      </c>
      <c r="V212" s="2202">
        <v>20000000</v>
      </c>
      <c r="W212" s="2161">
        <v>63</v>
      </c>
      <c r="X212" s="2246" t="s">
        <v>2160</v>
      </c>
      <c r="Y212" s="4186"/>
      <c r="Z212" s="4186">
        <v>282326</v>
      </c>
      <c r="AA212" s="4186">
        <v>135912</v>
      </c>
      <c r="AB212" s="4186">
        <v>45122</v>
      </c>
      <c r="AC212" s="4186">
        <v>307101</v>
      </c>
      <c r="AD212" s="4186">
        <v>86875</v>
      </c>
      <c r="AE212" s="4186">
        <v>2145</v>
      </c>
      <c r="AF212" s="4186">
        <v>12718</v>
      </c>
      <c r="AG212" s="4186">
        <v>26</v>
      </c>
      <c r="AH212" s="4186">
        <v>37</v>
      </c>
      <c r="AI212" s="4186" t="s">
        <v>1913</v>
      </c>
      <c r="AJ212" s="4186" t="s">
        <v>1913</v>
      </c>
      <c r="AK212" s="4186">
        <v>53164</v>
      </c>
      <c r="AL212" s="4186">
        <v>16982</v>
      </c>
      <c r="AM212" s="4186">
        <v>60013</v>
      </c>
      <c r="AN212" s="4186">
        <v>575010</v>
      </c>
      <c r="AO212" s="4248"/>
      <c r="AP212" s="4248"/>
      <c r="AQ212" s="4137"/>
    </row>
    <row r="213" spans="1:43" ht="71.25" x14ac:dyDescent="0.2">
      <c r="A213" s="2181"/>
      <c r="B213" s="2182"/>
      <c r="C213" s="2183"/>
      <c r="D213" s="2182"/>
      <c r="E213" s="2182"/>
      <c r="F213" s="2183"/>
      <c r="G213" s="2188"/>
      <c r="H213" s="2182"/>
      <c r="I213" s="2183"/>
      <c r="J213" s="4164"/>
      <c r="K213" s="4162"/>
      <c r="L213" s="4139"/>
      <c r="M213" s="4139"/>
      <c r="N213" s="2243" t="s">
        <v>2167</v>
      </c>
      <c r="O213" s="4157"/>
      <c r="P213" s="4142"/>
      <c r="Q213" s="4146"/>
      <c r="R213" s="4159"/>
      <c r="S213" s="4142"/>
      <c r="T213" s="4142"/>
      <c r="U213" s="2164" t="s">
        <v>2168</v>
      </c>
      <c r="V213" s="2202">
        <v>20000000</v>
      </c>
      <c r="W213" s="2161">
        <v>63</v>
      </c>
      <c r="X213" s="2246" t="s">
        <v>2160</v>
      </c>
      <c r="Y213" s="4186"/>
      <c r="Z213" s="4186">
        <v>282326</v>
      </c>
      <c r="AA213" s="4186">
        <v>135912</v>
      </c>
      <c r="AB213" s="4186">
        <v>45122</v>
      </c>
      <c r="AC213" s="4186">
        <v>307101</v>
      </c>
      <c r="AD213" s="4186">
        <v>86875</v>
      </c>
      <c r="AE213" s="4186">
        <v>2145</v>
      </c>
      <c r="AF213" s="4186">
        <v>12718</v>
      </c>
      <c r="AG213" s="4186">
        <v>26</v>
      </c>
      <c r="AH213" s="4186">
        <v>37</v>
      </c>
      <c r="AI213" s="4186" t="s">
        <v>1913</v>
      </c>
      <c r="AJ213" s="4186" t="s">
        <v>1913</v>
      </c>
      <c r="AK213" s="4186">
        <v>53164</v>
      </c>
      <c r="AL213" s="4186">
        <v>16982</v>
      </c>
      <c r="AM213" s="4186">
        <v>60013</v>
      </c>
      <c r="AN213" s="4186">
        <v>575010</v>
      </c>
      <c r="AO213" s="4248"/>
      <c r="AP213" s="4248"/>
      <c r="AQ213" s="4137"/>
    </row>
    <row r="214" spans="1:43" ht="71.25" x14ac:dyDescent="0.2">
      <c r="A214" s="2181"/>
      <c r="B214" s="2182"/>
      <c r="C214" s="2183"/>
      <c r="D214" s="2182"/>
      <c r="E214" s="2182"/>
      <c r="F214" s="2183"/>
      <c r="G214" s="2188"/>
      <c r="H214" s="2182"/>
      <c r="I214" s="2183"/>
      <c r="J214" s="4164"/>
      <c r="K214" s="4162"/>
      <c r="L214" s="4139"/>
      <c r="M214" s="4139"/>
      <c r="N214" s="2247"/>
      <c r="O214" s="4157"/>
      <c r="P214" s="4142"/>
      <c r="Q214" s="4146"/>
      <c r="R214" s="4159"/>
      <c r="S214" s="4142"/>
      <c r="T214" s="4142"/>
      <c r="U214" s="2164" t="s">
        <v>2169</v>
      </c>
      <c r="V214" s="2202">
        <v>20000000</v>
      </c>
      <c r="W214" s="2161">
        <v>63</v>
      </c>
      <c r="X214" s="2246" t="s">
        <v>2160</v>
      </c>
      <c r="Y214" s="4186"/>
      <c r="Z214" s="4186">
        <v>282326</v>
      </c>
      <c r="AA214" s="4186">
        <v>135912</v>
      </c>
      <c r="AB214" s="4186">
        <v>45122</v>
      </c>
      <c r="AC214" s="4186">
        <v>307101</v>
      </c>
      <c r="AD214" s="4186">
        <v>86875</v>
      </c>
      <c r="AE214" s="4186">
        <v>2145</v>
      </c>
      <c r="AF214" s="4186">
        <v>12718</v>
      </c>
      <c r="AG214" s="4186">
        <v>26</v>
      </c>
      <c r="AH214" s="4186">
        <v>37</v>
      </c>
      <c r="AI214" s="4186" t="s">
        <v>1913</v>
      </c>
      <c r="AJ214" s="4186" t="s">
        <v>1913</v>
      </c>
      <c r="AK214" s="4186">
        <v>53164</v>
      </c>
      <c r="AL214" s="4186">
        <v>16982</v>
      </c>
      <c r="AM214" s="4186">
        <v>60013</v>
      </c>
      <c r="AN214" s="4186">
        <v>575010</v>
      </c>
      <c r="AO214" s="4248"/>
      <c r="AP214" s="4248"/>
      <c r="AQ214" s="4137"/>
    </row>
    <row r="215" spans="1:43" ht="45" customHeight="1" x14ac:dyDescent="0.2">
      <c r="A215" s="2181"/>
      <c r="B215" s="2182"/>
      <c r="C215" s="2183"/>
      <c r="D215" s="2182"/>
      <c r="E215" s="2182"/>
      <c r="F215" s="2183"/>
      <c r="G215" s="2188"/>
      <c r="H215" s="2182"/>
      <c r="I215" s="2183"/>
      <c r="J215" s="4164"/>
      <c r="K215" s="4162"/>
      <c r="L215" s="4139"/>
      <c r="M215" s="4139"/>
      <c r="O215" s="4157"/>
      <c r="P215" s="4142"/>
      <c r="Q215" s="4146"/>
      <c r="R215" s="4159"/>
      <c r="S215" s="4142"/>
      <c r="T215" s="4142"/>
      <c r="U215" s="2164" t="s">
        <v>2170</v>
      </c>
      <c r="V215" s="2202">
        <v>20000000</v>
      </c>
      <c r="W215" s="2161">
        <v>63</v>
      </c>
      <c r="X215" s="2246" t="s">
        <v>2160</v>
      </c>
      <c r="Y215" s="4186"/>
      <c r="Z215" s="4186">
        <v>282326</v>
      </c>
      <c r="AA215" s="4186">
        <v>135912</v>
      </c>
      <c r="AB215" s="4186">
        <v>45122</v>
      </c>
      <c r="AC215" s="4186">
        <v>307101</v>
      </c>
      <c r="AD215" s="4186">
        <v>86875</v>
      </c>
      <c r="AE215" s="4186">
        <v>2145</v>
      </c>
      <c r="AF215" s="4186">
        <v>12718</v>
      </c>
      <c r="AG215" s="4186">
        <v>26</v>
      </c>
      <c r="AH215" s="4186">
        <v>37</v>
      </c>
      <c r="AI215" s="4186" t="s">
        <v>1913</v>
      </c>
      <c r="AJ215" s="4186" t="s">
        <v>1913</v>
      </c>
      <c r="AK215" s="4186">
        <v>53164</v>
      </c>
      <c r="AL215" s="4186">
        <v>16982</v>
      </c>
      <c r="AM215" s="4186">
        <v>60013</v>
      </c>
      <c r="AN215" s="4186">
        <v>575010</v>
      </c>
      <c r="AO215" s="4248"/>
      <c r="AP215" s="4248"/>
      <c r="AQ215" s="4137"/>
    </row>
    <row r="216" spans="1:43" ht="81" customHeight="1" x14ac:dyDescent="0.2">
      <c r="A216" s="2155"/>
      <c r="B216" s="2156"/>
      <c r="C216" s="2157"/>
      <c r="D216" s="2156"/>
      <c r="E216" s="2156"/>
      <c r="F216" s="2157"/>
      <c r="G216" s="2167"/>
      <c r="H216" s="2165"/>
      <c r="I216" s="2166"/>
      <c r="J216" s="4165"/>
      <c r="K216" s="4173"/>
      <c r="L216" s="4140"/>
      <c r="M216" s="4140"/>
      <c r="N216" s="2249"/>
      <c r="O216" s="4190"/>
      <c r="P216" s="4143"/>
      <c r="Q216" s="4147"/>
      <c r="R216" s="4176"/>
      <c r="S216" s="4143"/>
      <c r="T216" s="4143"/>
      <c r="U216" s="2164" t="s">
        <v>2171</v>
      </c>
      <c r="V216" s="2202">
        <v>20000000</v>
      </c>
      <c r="W216" s="2161">
        <v>61</v>
      </c>
      <c r="X216" s="2239" t="s">
        <v>2113</v>
      </c>
      <c r="Y216" s="4191"/>
      <c r="Z216" s="4191">
        <v>282326</v>
      </c>
      <c r="AA216" s="4191">
        <v>135912</v>
      </c>
      <c r="AB216" s="4191">
        <v>45122</v>
      </c>
      <c r="AC216" s="4191">
        <v>307101</v>
      </c>
      <c r="AD216" s="4191">
        <v>86875</v>
      </c>
      <c r="AE216" s="4191">
        <v>2145</v>
      </c>
      <c r="AF216" s="4191">
        <v>12718</v>
      </c>
      <c r="AG216" s="4191">
        <v>26</v>
      </c>
      <c r="AH216" s="4191">
        <v>37</v>
      </c>
      <c r="AI216" s="4191" t="s">
        <v>1913</v>
      </c>
      <c r="AJ216" s="4191" t="s">
        <v>1913</v>
      </c>
      <c r="AK216" s="4191">
        <v>53164</v>
      </c>
      <c r="AL216" s="4191">
        <v>16982</v>
      </c>
      <c r="AM216" s="4191">
        <v>60013</v>
      </c>
      <c r="AN216" s="4191">
        <v>575010</v>
      </c>
      <c r="AO216" s="4249"/>
      <c r="AP216" s="4249"/>
      <c r="AQ216" s="4153"/>
    </row>
    <row r="217" spans="1:43" ht="36" customHeight="1" x14ac:dyDescent="0.2">
      <c r="A217" s="2141"/>
      <c r="B217" s="2142"/>
      <c r="C217" s="2143"/>
      <c r="D217" s="2142"/>
      <c r="E217" s="2142"/>
      <c r="F217" s="2143"/>
      <c r="G217" s="2176">
        <v>44</v>
      </c>
      <c r="H217" s="2147" t="s">
        <v>2172</v>
      </c>
      <c r="I217" s="2147"/>
      <c r="J217" s="2147"/>
      <c r="K217" s="2148"/>
      <c r="L217" s="2147"/>
      <c r="M217" s="2147"/>
      <c r="N217" s="2149"/>
      <c r="O217" s="2177"/>
      <c r="P217" s="2148"/>
      <c r="Q217" s="2147"/>
      <c r="R217" s="2178"/>
      <c r="S217" s="2147"/>
      <c r="T217" s="2148"/>
      <c r="U217" s="2148"/>
      <c r="V217" s="2250"/>
      <c r="W217" s="2180"/>
      <c r="X217" s="2149"/>
      <c r="Y217" s="2149"/>
      <c r="Z217" s="2149"/>
      <c r="AA217" s="2149"/>
      <c r="AB217" s="2149"/>
      <c r="AC217" s="2149"/>
      <c r="AD217" s="2149"/>
      <c r="AE217" s="2149"/>
      <c r="AF217" s="2149"/>
      <c r="AG217" s="2149"/>
      <c r="AH217" s="2149"/>
      <c r="AI217" s="2149"/>
      <c r="AJ217" s="2149"/>
      <c r="AK217" s="2149"/>
      <c r="AL217" s="2149"/>
      <c r="AM217" s="2149"/>
      <c r="AN217" s="2149"/>
      <c r="AO217" s="2149"/>
      <c r="AP217" s="2147"/>
      <c r="AQ217" s="2154"/>
    </row>
    <row r="218" spans="1:43" ht="85.5" x14ac:dyDescent="0.2">
      <c r="A218" s="2155"/>
      <c r="B218" s="2156"/>
      <c r="C218" s="2157"/>
      <c r="D218" s="2156"/>
      <c r="E218" s="2156"/>
      <c r="F218" s="2157"/>
      <c r="G218" s="2158"/>
      <c r="H218" s="2159"/>
      <c r="I218" s="2160"/>
      <c r="J218" s="4163">
        <v>154</v>
      </c>
      <c r="K218" s="4141" t="s">
        <v>2173</v>
      </c>
      <c r="L218" s="4138" t="s">
        <v>1905</v>
      </c>
      <c r="M218" s="4138">
        <v>5</v>
      </c>
      <c r="N218" s="4138" t="s">
        <v>2174</v>
      </c>
      <c r="O218" s="4156" t="s">
        <v>2175</v>
      </c>
      <c r="P218" s="4141" t="s">
        <v>2176</v>
      </c>
      <c r="Q218" s="4166">
        <f>SUM(V218:V224)/R218</f>
        <v>0.18272536398900383</v>
      </c>
      <c r="R218" s="4158">
        <f>SUM(V218:V248)</f>
        <v>317416251</v>
      </c>
      <c r="S218" s="4141" t="s">
        <v>2177</v>
      </c>
      <c r="T218" s="4141" t="s">
        <v>2178</v>
      </c>
      <c r="U218" s="2164" t="s">
        <v>2179</v>
      </c>
      <c r="V218" s="2202">
        <v>4000000</v>
      </c>
      <c r="W218" s="2161">
        <v>61</v>
      </c>
      <c r="X218" s="2251" t="s">
        <v>2113</v>
      </c>
      <c r="Y218" s="4244">
        <v>292684</v>
      </c>
      <c r="Z218" s="4244">
        <v>282326</v>
      </c>
      <c r="AA218" s="4244" t="s">
        <v>1913</v>
      </c>
      <c r="AB218" s="4244" t="s">
        <v>1913</v>
      </c>
      <c r="AC218" s="4244" t="s">
        <v>1913</v>
      </c>
      <c r="AD218" s="4244" t="s">
        <v>1913</v>
      </c>
      <c r="AE218" s="4244">
        <v>2145</v>
      </c>
      <c r="AF218" s="4244">
        <v>12718</v>
      </c>
      <c r="AG218" s="4244">
        <v>26</v>
      </c>
      <c r="AH218" s="4244">
        <v>37</v>
      </c>
      <c r="AI218" s="4244" t="s">
        <v>1913</v>
      </c>
      <c r="AJ218" s="4244" t="s">
        <v>1913</v>
      </c>
      <c r="AK218" s="4244">
        <v>53164</v>
      </c>
      <c r="AL218" s="4244">
        <v>16982</v>
      </c>
      <c r="AM218" s="4244">
        <v>60013</v>
      </c>
      <c r="AN218" s="4244">
        <v>575010</v>
      </c>
      <c r="AO218" s="4247">
        <v>43467</v>
      </c>
      <c r="AP218" s="4247">
        <v>43830</v>
      </c>
      <c r="AQ218" s="4250" t="s">
        <v>1914</v>
      </c>
    </row>
    <row r="219" spans="1:43" ht="42.75" x14ac:dyDescent="0.2">
      <c r="A219" s="2155"/>
      <c r="B219" s="2156"/>
      <c r="C219" s="2157"/>
      <c r="D219" s="2156"/>
      <c r="E219" s="2156"/>
      <c r="F219" s="2157"/>
      <c r="G219" s="2163"/>
      <c r="H219" s="2156"/>
      <c r="I219" s="2157"/>
      <c r="J219" s="4164"/>
      <c r="K219" s="4142"/>
      <c r="L219" s="4139"/>
      <c r="M219" s="4139"/>
      <c r="N219" s="4139"/>
      <c r="O219" s="4157"/>
      <c r="P219" s="4142"/>
      <c r="Q219" s="4146"/>
      <c r="R219" s="4159"/>
      <c r="S219" s="4142"/>
      <c r="T219" s="4142"/>
      <c r="U219" s="2164" t="s">
        <v>2180</v>
      </c>
      <c r="V219" s="2202">
        <v>3000000</v>
      </c>
      <c r="W219" s="2161">
        <v>61</v>
      </c>
      <c r="X219" s="2251" t="s">
        <v>2113</v>
      </c>
      <c r="Y219" s="4245"/>
      <c r="Z219" s="4245">
        <v>282326</v>
      </c>
      <c r="AA219" s="4245" t="s">
        <v>1913</v>
      </c>
      <c r="AB219" s="4245" t="s">
        <v>1913</v>
      </c>
      <c r="AC219" s="4245" t="s">
        <v>1913</v>
      </c>
      <c r="AD219" s="4245" t="s">
        <v>1913</v>
      </c>
      <c r="AE219" s="4245">
        <v>2145</v>
      </c>
      <c r="AF219" s="4245">
        <v>12718</v>
      </c>
      <c r="AG219" s="4245">
        <v>26</v>
      </c>
      <c r="AH219" s="4245">
        <v>37</v>
      </c>
      <c r="AI219" s="4245" t="s">
        <v>1913</v>
      </c>
      <c r="AJ219" s="4245" t="s">
        <v>1913</v>
      </c>
      <c r="AK219" s="4245">
        <v>53164</v>
      </c>
      <c r="AL219" s="4245">
        <v>16982</v>
      </c>
      <c r="AM219" s="4245">
        <v>60013</v>
      </c>
      <c r="AN219" s="4245">
        <v>575010</v>
      </c>
      <c r="AO219" s="4248"/>
      <c r="AP219" s="4248"/>
      <c r="AQ219" s="4251"/>
    </row>
    <row r="220" spans="1:43" ht="78" customHeight="1" x14ac:dyDescent="0.2">
      <c r="A220" s="2155"/>
      <c r="B220" s="2156"/>
      <c r="C220" s="2157"/>
      <c r="D220" s="2156"/>
      <c r="E220" s="2156"/>
      <c r="F220" s="2157"/>
      <c r="G220" s="2163"/>
      <c r="H220" s="2156"/>
      <c r="I220" s="2157"/>
      <c r="J220" s="4164"/>
      <c r="K220" s="4142"/>
      <c r="L220" s="4139"/>
      <c r="M220" s="4139"/>
      <c r="N220" s="4139"/>
      <c r="O220" s="4157"/>
      <c r="P220" s="4142"/>
      <c r="Q220" s="4146"/>
      <c r="R220" s="4159"/>
      <c r="S220" s="4142"/>
      <c r="T220" s="4142"/>
      <c r="U220" s="2164" t="s">
        <v>2181</v>
      </c>
      <c r="V220" s="2202">
        <v>16000000</v>
      </c>
      <c r="W220" s="2161">
        <v>61</v>
      </c>
      <c r="X220" s="2251" t="s">
        <v>2113</v>
      </c>
      <c r="Y220" s="4245"/>
      <c r="Z220" s="4245">
        <v>282326</v>
      </c>
      <c r="AA220" s="4245" t="s">
        <v>1913</v>
      </c>
      <c r="AB220" s="4245" t="s">
        <v>1913</v>
      </c>
      <c r="AC220" s="4245" t="s">
        <v>1913</v>
      </c>
      <c r="AD220" s="4245" t="s">
        <v>1913</v>
      </c>
      <c r="AE220" s="4245">
        <v>2145</v>
      </c>
      <c r="AF220" s="4245">
        <v>12718</v>
      </c>
      <c r="AG220" s="4245">
        <v>26</v>
      </c>
      <c r="AH220" s="4245">
        <v>37</v>
      </c>
      <c r="AI220" s="4245" t="s">
        <v>1913</v>
      </c>
      <c r="AJ220" s="4245" t="s">
        <v>1913</v>
      </c>
      <c r="AK220" s="4245">
        <v>53164</v>
      </c>
      <c r="AL220" s="4245">
        <v>16982</v>
      </c>
      <c r="AM220" s="4245">
        <v>60013</v>
      </c>
      <c r="AN220" s="4245">
        <v>575010</v>
      </c>
      <c r="AO220" s="4248"/>
      <c r="AP220" s="4248"/>
      <c r="AQ220" s="4251"/>
    </row>
    <row r="221" spans="1:43" ht="54" customHeight="1" x14ac:dyDescent="0.2">
      <c r="A221" s="2155"/>
      <c r="B221" s="2156"/>
      <c r="C221" s="2157"/>
      <c r="D221" s="2156"/>
      <c r="E221" s="2156"/>
      <c r="F221" s="2157"/>
      <c r="G221" s="2163"/>
      <c r="H221" s="2156"/>
      <c r="I221" s="2157"/>
      <c r="J221" s="4164"/>
      <c r="K221" s="4142"/>
      <c r="L221" s="4139"/>
      <c r="M221" s="4139"/>
      <c r="N221" s="4139"/>
      <c r="O221" s="4157"/>
      <c r="P221" s="4142"/>
      <c r="Q221" s="4146"/>
      <c r="R221" s="4159"/>
      <c r="S221" s="4142"/>
      <c r="T221" s="4142"/>
      <c r="U221" s="2164" t="s">
        <v>2182</v>
      </c>
      <c r="V221" s="2202">
        <v>6000000</v>
      </c>
      <c r="W221" s="2161">
        <v>61</v>
      </c>
      <c r="X221" s="2251" t="s">
        <v>2113</v>
      </c>
      <c r="Y221" s="4245"/>
      <c r="Z221" s="4245">
        <v>282326</v>
      </c>
      <c r="AA221" s="4245" t="s">
        <v>1913</v>
      </c>
      <c r="AB221" s="4245" t="s">
        <v>1913</v>
      </c>
      <c r="AC221" s="4245" t="s">
        <v>1913</v>
      </c>
      <c r="AD221" s="4245" t="s">
        <v>1913</v>
      </c>
      <c r="AE221" s="4245">
        <v>2145</v>
      </c>
      <c r="AF221" s="4245">
        <v>12718</v>
      </c>
      <c r="AG221" s="4245">
        <v>26</v>
      </c>
      <c r="AH221" s="4245">
        <v>37</v>
      </c>
      <c r="AI221" s="4245" t="s">
        <v>1913</v>
      </c>
      <c r="AJ221" s="4245" t="s">
        <v>1913</v>
      </c>
      <c r="AK221" s="4245">
        <v>53164</v>
      </c>
      <c r="AL221" s="4245">
        <v>16982</v>
      </c>
      <c r="AM221" s="4245">
        <v>60013</v>
      </c>
      <c r="AN221" s="4245">
        <v>575010</v>
      </c>
      <c r="AO221" s="4248"/>
      <c r="AP221" s="4248"/>
      <c r="AQ221" s="4251"/>
    </row>
    <row r="222" spans="1:43" ht="128.25" x14ac:dyDescent="0.2">
      <c r="A222" s="2155"/>
      <c r="B222" s="2156"/>
      <c r="C222" s="2157"/>
      <c r="D222" s="2156"/>
      <c r="E222" s="2156"/>
      <c r="F222" s="2157"/>
      <c r="G222" s="2163"/>
      <c r="H222" s="2156"/>
      <c r="I222" s="2157"/>
      <c r="J222" s="4164"/>
      <c r="K222" s="4142"/>
      <c r="L222" s="4139"/>
      <c r="M222" s="4139"/>
      <c r="N222" s="4139"/>
      <c r="O222" s="4157"/>
      <c r="P222" s="4142"/>
      <c r="Q222" s="4146"/>
      <c r="R222" s="4159"/>
      <c r="S222" s="4142"/>
      <c r="T222" s="4142"/>
      <c r="U222" s="2164" t="s">
        <v>2183</v>
      </c>
      <c r="V222" s="2202">
        <v>3000000</v>
      </c>
      <c r="W222" s="2161">
        <v>61</v>
      </c>
      <c r="X222" s="2251" t="s">
        <v>2113</v>
      </c>
      <c r="Y222" s="4245"/>
      <c r="Z222" s="4245">
        <v>282326</v>
      </c>
      <c r="AA222" s="4245" t="s">
        <v>1913</v>
      </c>
      <c r="AB222" s="4245" t="s">
        <v>1913</v>
      </c>
      <c r="AC222" s="4245" t="s">
        <v>1913</v>
      </c>
      <c r="AD222" s="4245" t="s">
        <v>1913</v>
      </c>
      <c r="AE222" s="4245">
        <v>2145</v>
      </c>
      <c r="AF222" s="4245">
        <v>12718</v>
      </c>
      <c r="AG222" s="4245">
        <v>26</v>
      </c>
      <c r="AH222" s="4245">
        <v>37</v>
      </c>
      <c r="AI222" s="4245" t="s">
        <v>1913</v>
      </c>
      <c r="AJ222" s="4245" t="s">
        <v>1913</v>
      </c>
      <c r="AK222" s="4245">
        <v>53164</v>
      </c>
      <c r="AL222" s="4245">
        <v>16982</v>
      </c>
      <c r="AM222" s="4245">
        <v>60013</v>
      </c>
      <c r="AN222" s="4245">
        <v>575010</v>
      </c>
      <c r="AO222" s="4248"/>
      <c r="AP222" s="4248"/>
      <c r="AQ222" s="4251"/>
    </row>
    <row r="223" spans="1:43" ht="63.75" customHeight="1" x14ac:dyDescent="0.2">
      <c r="A223" s="2155"/>
      <c r="B223" s="2156"/>
      <c r="C223" s="2157"/>
      <c r="D223" s="2156"/>
      <c r="E223" s="2156"/>
      <c r="F223" s="2157"/>
      <c r="G223" s="2163"/>
      <c r="H223" s="2156"/>
      <c r="I223" s="2157"/>
      <c r="J223" s="4164"/>
      <c r="K223" s="4142"/>
      <c r="L223" s="4139"/>
      <c r="M223" s="4139"/>
      <c r="N223" s="4139"/>
      <c r="O223" s="4157"/>
      <c r="P223" s="4142"/>
      <c r="Q223" s="4146"/>
      <c r="R223" s="4159"/>
      <c r="S223" s="4142"/>
      <c r="T223" s="4142"/>
      <c r="U223" s="4226" t="s">
        <v>2184</v>
      </c>
      <c r="V223" s="2202">
        <v>12000000</v>
      </c>
      <c r="W223" s="2161">
        <v>61</v>
      </c>
      <c r="X223" s="2251" t="s">
        <v>2113</v>
      </c>
      <c r="Y223" s="4245"/>
      <c r="Z223" s="4245">
        <v>282326</v>
      </c>
      <c r="AA223" s="4245" t="s">
        <v>1913</v>
      </c>
      <c r="AB223" s="4245" t="s">
        <v>1913</v>
      </c>
      <c r="AC223" s="4245" t="s">
        <v>1913</v>
      </c>
      <c r="AD223" s="4245" t="s">
        <v>1913</v>
      </c>
      <c r="AE223" s="4245">
        <v>2145</v>
      </c>
      <c r="AF223" s="4245">
        <v>12718</v>
      </c>
      <c r="AG223" s="4245">
        <v>26</v>
      </c>
      <c r="AH223" s="4245">
        <v>37</v>
      </c>
      <c r="AI223" s="4245" t="s">
        <v>1913</v>
      </c>
      <c r="AJ223" s="4245" t="s">
        <v>1913</v>
      </c>
      <c r="AK223" s="4245">
        <v>53164</v>
      </c>
      <c r="AL223" s="4245">
        <v>16982</v>
      </c>
      <c r="AM223" s="4245">
        <v>60013</v>
      </c>
      <c r="AN223" s="4245">
        <v>575010</v>
      </c>
      <c r="AO223" s="4248"/>
      <c r="AP223" s="4248"/>
      <c r="AQ223" s="4251"/>
    </row>
    <row r="224" spans="1:43" ht="54.75" customHeight="1" x14ac:dyDescent="0.2">
      <c r="A224" s="2155"/>
      <c r="B224" s="2156"/>
      <c r="C224" s="2157"/>
      <c r="D224" s="2156"/>
      <c r="E224" s="2156"/>
      <c r="F224" s="2157"/>
      <c r="G224" s="2163"/>
      <c r="H224" s="2156"/>
      <c r="I224" s="2157"/>
      <c r="J224" s="4165"/>
      <c r="K224" s="4143"/>
      <c r="L224" s="4140"/>
      <c r="M224" s="4140"/>
      <c r="N224" s="4139"/>
      <c r="O224" s="4157"/>
      <c r="P224" s="4142"/>
      <c r="Q224" s="4147"/>
      <c r="R224" s="4159"/>
      <c r="S224" s="4142"/>
      <c r="T224" s="4143"/>
      <c r="U224" s="4240"/>
      <c r="V224" s="2061">
        <v>14000000</v>
      </c>
      <c r="W224" s="2161">
        <v>98</v>
      </c>
      <c r="X224" s="2251" t="s">
        <v>2185</v>
      </c>
      <c r="Y224" s="4245"/>
      <c r="Z224" s="4245">
        <v>282326</v>
      </c>
      <c r="AA224" s="4245" t="s">
        <v>1913</v>
      </c>
      <c r="AB224" s="4245" t="s">
        <v>1913</v>
      </c>
      <c r="AC224" s="4245" t="s">
        <v>1913</v>
      </c>
      <c r="AD224" s="4245" t="s">
        <v>1913</v>
      </c>
      <c r="AE224" s="4245">
        <v>2145</v>
      </c>
      <c r="AF224" s="4245">
        <v>12718</v>
      </c>
      <c r="AG224" s="4245">
        <v>26</v>
      </c>
      <c r="AH224" s="4245">
        <v>37</v>
      </c>
      <c r="AI224" s="4245" t="s">
        <v>1913</v>
      </c>
      <c r="AJ224" s="4245" t="s">
        <v>1913</v>
      </c>
      <c r="AK224" s="4245">
        <v>53164</v>
      </c>
      <c r="AL224" s="4245">
        <v>16982</v>
      </c>
      <c r="AM224" s="4245">
        <v>60013</v>
      </c>
      <c r="AN224" s="4245">
        <v>575010</v>
      </c>
      <c r="AO224" s="4248"/>
      <c r="AP224" s="4248"/>
      <c r="AQ224" s="4251"/>
    </row>
    <row r="225" spans="1:43" ht="71.25" x14ac:dyDescent="0.2">
      <c r="A225" s="2155"/>
      <c r="B225" s="2156"/>
      <c r="C225" s="2157"/>
      <c r="D225" s="2156"/>
      <c r="E225" s="2156"/>
      <c r="F225" s="2157"/>
      <c r="G225" s="2163"/>
      <c r="H225" s="2156"/>
      <c r="I225" s="2157"/>
      <c r="J225" s="4163">
        <v>155</v>
      </c>
      <c r="K225" s="4141" t="s">
        <v>2186</v>
      </c>
      <c r="L225" s="4138" t="s">
        <v>1905</v>
      </c>
      <c r="M225" s="4138">
        <v>1</v>
      </c>
      <c r="N225" s="4139"/>
      <c r="O225" s="4157"/>
      <c r="P225" s="4142"/>
      <c r="Q225" s="4166">
        <f>SUM(V225:V233)/R218</f>
        <v>0.31346851236044621</v>
      </c>
      <c r="R225" s="4159"/>
      <c r="S225" s="4142"/>
      <c r="T225" s="4141" t="s">
        <v>2187</v>
      </c>
      <c r="U225" s="2164" t="s">
        <v>2188</v>
      </c>
      <c r="V225" s="2202">
        <v>1000000</v>
      </c>
      <c r="W225" s="2161">
        <v>61</v>
      </c>
      <c r="X225" s="2251" t="s">
        <v>2113</v>
      </c>
      <c r="Y225" s="4245"/>
      <c r="Z225" s="4245">
        <v>282326</v>
      </c>
      <c r="AA225" s="4245" t="s">
        <v>1913</v>
      </c>
      <c r="AB225" s="4245" t="s">
        <v>1913</v>
      </c>
      <c r="AC225" s="4245" t="s">
        <v>1913</v>
      </c>
      <c r="AD225" s="4245" t="s">
        <v>1913</v>
      </c>
      <c r="AE225" s="4245">
        <v>2145</v>
      </c>
      <c r="AF225" s="4245">
        <v>12718</v>
      </c>
      <c r="AG225" s="4245">
        <v>26</v>
      </c>
      <c r="AH225" s="4245">
        <v>37</v>
      </c>
      <c r="AI225" s="4245" t="s">
        <v>1913</v>
      </c>
      <c r="AJ225" s="4245" t="s">
        <v>1913</v>
      </c>
      <c r="AK225" s="4245">
        <v>53164</v>
      </c>
      <c r="AL225" s="4245">
        <v>16982</v>
      </c>
      <c r="AM225" s="4245">
        <v>60013</v>
      </c>
      <c r="AN225" s="4245">
        <v>575010</v>
      </c>
      <c r="AO225" s="4248"/>
      <c r="AP225" s="4248"/>
      <c r="AQ225" s="4251"/>
    </row>
    <row r="226" spans="1:43" ht="99.75" customHeight="1" x14ac:dyDescent="0.2">
      <c r="A226" s="2155"/>
      <c r="B226" s="2156"/>
      <c r="C226" s="2157"/>
      <c r="D226" s="2156"/>
      <c r="E226" s="2156"/>
      <c r="F226" s="2157"/>
      <c r="G226" s="2163"/>
      <c r="H226" s="2156"/>
      <c r="I226" s="2157"/>
      <c r="J226" s="4164"/>
      <c r="K226" s="4142"/>
      <c r="L226" s="4139"/>
      <c r="M226" s="4139"/>
      <c r="N226" s="4139"/>
      <c r="O226" s="4157"/>
      <c r="P226" s="4142"/>
      <c r="Q226" s="4146"/>
      <c r="R226" s="4159"/>
      <c r="S226" s="4142"/>
      <c r="T226" s="4142"/>
      <c r="U226" s="2164" t="s">
        <v>2189</v>
      </c>
      <c r="V226" s="2202">
        <v>18000000</v>
      </c>
      <c r="W226" s="2161">
        <v>61</v>
      </c>
      <c r="X226" s="2251" t="s">
        <v>2113</v>
      </c>
      <c r="Y226" s="4245"/>
      <c r="Z226" s="4245">
        <v>282326</v>
      </c>
      <c r="AA226" s="4245" t="s">
        <v>1913</v>
      </c>
      <c r="AB226" s="4245" t="s">
        <v>1913</v>
      </c>
      <c r="AC226" s="4245" t="s">
        <v>1913</v>
      </c>
      <c r="AD226" s="4245" t="s">
        <v>1913</v>
      </c>
      <c r="AE226" s="4245">
        <v>2145</v>
      </c>
      <c r="AF226" s="4245">
        <v>12718</v>
      </c>
      <c r="AG226" s="4245">
        <v>26</v>
      </c>
      <c r="AH226" s="4245">
        <v>37</v>
      </c>
      <c r="AI226" s="4245" t="s">
        <v>1913</v>
      </c>
      <c r="AJ226" s="4245" t="s">
        <v>1913</v>
      </c>
      <c r="AK226" s="4245">
        <v>53164</v>
      </c>
      <c r="AL226" s="4245">
        <v>16982</v>
      </c>
      <c r="AM226" s="4245">
        <v>60013</v>
      </c>
      <c r="AN226" s="4245">
        <v>575010</v>
      </c>
      <c r="AO226" s="4248"/>
      <c r="AP226" s="4248"/>
      <c r="AQ226" s="4251"/>
    </row>
    <row r="227" spans="1:43" ht="44.25" customHeight="1" x14ac:dyDescent="0.2">
      <c r="A227" s="2155"/>
      <c r="B227" s="2156"/>
      <c r="C227" s="2157"/>
      <c r="D227" s="2156"/>
      <c r="E227" s="2156"/>
      <c r="F227" s="2157"/>
      <c r="G227" s="2163"/>
      <c r="H227" s="2156"/>
      <c r="I227" s="2157"/>
      <c r="J227" s="4164"/>
      <c r="K227" s="4142"/>
      <c r="L227" s="4139"/>
      <c r="M227" s="4139"/>
      <c r="N227" s="4139"/>
      <c r="O227" s="4157"/>
      <c r="P227" s="4142"/>
      <c r="Q227" s="4146"/>
      <c r="R227" s="4159"/>
      <c r="S227" s="4142"/>
      <c r="T227" s="4142"/>
      <c r="U227" s="4226" t="s">
        <v>2190</v>
      </c>
      <c r="V227" s="2202">
        <v>45000000</v>
      </c>
      <c r="W227" s="2161">
        <v>61</v>
      </c>
      <c r="X227" s="2251" t="s">
        <v>2113</v>
      </c>
      <c r="Y227" s="4245"/>
      <c r="Z227" s="4245">
        <v>282326</v>
      </c>
      <c r="AA227" s="4245" t="s">
        <v>1913</v>
      </c>
      <c r="AB227" s="4245" t="s">
        <v>1913</v>
      </c>
      <c r="AC227" s="4245" t="s">
        <v>1913</v>
      </c>
      <c r="AD227" s="4245" t="s">
        <v>1913</v>
      </c>
      <c r="AE227" s="4245">
        <v>2145</v>
      </c>
      <c r="AF227" s="4245">
        <v>12718</v>
      </c>
      <c r="AG227" s="4245">
        <v>26</v>
      </c>
      <c r="AH227" s="4245">
        <v>37</v>
      </c>
      <c r="AI227" s="4245" t="s">
        <v>1913</v>
      </c>
      <c r="AJ227" s="4245" t="s">
        <v>1913</v>
      </c>
      <c r="AK227" s="4245">
        <v>53164</v>
      </c>
      <c r="AL227" s="4245">
        <v>16982</v>
      </c>
      <c r="AM227" s="4245">
        <v>60013</v>
      </c>
      <c r="AN227" s="4245">
        <v>575010</v>
      </c>
      <c r="AO227" s="4248"/>
      <c r="AP227" s="4248"/>
      <c r="AQ227" s="4251"/>
    </row>
    <row r="228" spans="1:43" ht="33" customHeight="1" x14ac:dyDescent="0.2">
      <c r="A228" s="2155"/>
      <c r="B228" s="2156"/>
      <c r="C228" s="2157"/>
      <c r="D228" s="2156"/>
      <c r="E228" s="2156"/>
      <c r="F228" s="2157"/>
      <c r="G228" s="2163"/>
      <c r="H228" s="2156"/>
      <c r="I228" s="2157"/>
      <c r="J228" s="4164"/>
      <c r="K228" s="4142"/>
      <c r="L228" s="4139"/>
      <c r="M228" s="4139"/>
      <c r="N228" s="4139"/>
      <c r="O228" s="4157"/>
      <c r="P228" s="4142"/>
      <c r="Q228" s="4146"/>
      <c r="R228" s="4159"/>
      <c r="S228" s="4142"/>
      <c r="T228" s="4142"/>
      <c r="U228" s="4240"/>
      <c r="V228" s="2061">
        <v>15500000</v>
      </c>
      <c r="W228" s="2197">
        <v>88</v>
      </c>
      <c r="X228" s="2218" t="s">
        <v>2185</v>
      </c>
      <c r="Y228" s="4245"/>
      <c r="Z228" s="4245">
        <v>282326</v>
      </c>
      <c r="AA228" s="4245" t="s">
        <v>1913</v>
      </c>
      <c r="AB228" s="4245" t="s">
        <v>1913</v>
      </c>
      <c r="AC228" s="4245" t="s">
        <v>1913</v>
      </c>
      <c r="AD228" s="4245" t="s">
        <v>1913</v>
      </c>
      <c r="AE228" s="4245">
        <v>2145</v>
      </c>
      <c r="AF228" s="4245">
        <v>12718</v>
      </c>
      <c r="AG228" s="4245">
        <v>26</v>
      </c>
      <c r="AH228" s="4245">
        <v>37</v>
      </c>
      <c r="AI228" s="4245" t="s">
        <v>1913</v>
      </c>
      <c r="AJ228" s="4245" t="s">
        <v>1913</v>
      </c>
      <c r="AK228" s="4245">
        <v>53164</v>
      </c>
      <c r="AL228" s="4245">
        <v>16982</v>
      </c>
      <c r="AM228" s="4245">
        <v>60013</v>
      </c>
      <c r="AN228" s="4245">
        <v>575010</v>
      </c>
      <c r="AO228" s="4248"/>
      <c r="AP228" s="4248"/>
      <c r="AQ228" s="4251"/>
    </row>
    <row r="229" spans="1:43" ht="42.75" x14ac:dyDescent="0.2">
      <c r="A229" s="2155"/>
      <c r="B229" s="2156"/>
      <c r="C229" s="2157"/>
      <c r="D229" s="2156"/>
      <c r="E229" s="2156"/>
      <c r="F229" s="2157"/>
      <c r="G229" s="2163"/>
      <c r="H229" s="2156"/>
      <c r="I229" s="2157"/>
      <c r="J229" s="4164"/>
      <c r="K229" s="4142"/>
      <c r="L229" s="4139"/>
      <c r="M229" s="4139"/>
      <c r="N229" s="4139"/>
      <c r="O229" s="4157"/>
      <c r="P229" s="4142"/>
      <c r="Q229" s="4146"/>
      <c r="R229" s="4159"/>
      <c r="S229" s="4142"/>
      <c r="T229" s="4142"/>
      <c r="U229" s="2164" t="s">
        <v>2191</v>
      </c>
      <c r="V229" s="2202">
        <v>1000000</v>
      </c>
      <c r="W229" s="2161">
        <v>61</v>
      </c>
      <c r="X229" s="2251" t="s">
        <v>2113</v>
      </c>
      <c r="Y229" s="4245"/>
      <c r="Z229" s="4245">
        <v>282326</v>
      </c>
      <c r="AA229" s="4245" t="s">
        <v>1913</v>
      </c>
      <c r="AB229" s="4245" t="s">
        <v>1913</v>
      </c>
      <c r="AC229" s="4245" t="s">
        <v>1913</v>
      </c>
      <c r="AD229" s="4245" t="s">
        <v>1913</v>
      </c>
      <c r="AE229" s="4245">
        <v>2145</v>
      </c>
      <c r="AF229" s="4245">
        <v>12718</v>
      </c>
      <c r="AG229" s="4245">
        <v>26</v>
      </c>
      <c r="AH229" s="4245">
        <v>37</v>
      </c>
      <c r="AI229" s="4245" t="s">
        <v>1913</v>
      </c>
      <c r="AJ229" s="4245" t="s">
        <v>1913</v>
      </c>
      <c r="AK229" s="4245">
        <v>53164</v>
      </c>
      <c r="AL229" s="4245">
        <v>16982</v>
      </c>
      <c r="AM229" s="4245">
        <v>60013</v>
      </c>
      <c r="AN229" s="4245">
        <v>575010</v>
      </c>
      <c r="AO229" s="4248"/>
      <c r="AP229" s="4248"/>
      <c r="AQ229" s="4251"/>
    </row>
    <row r="230" spans="1:43" ht="71.25" x14ac:dyDescent="0.2">
      <c r="A230" s="2155"/>
      <c r="B230" s="2156"/>
      <c r="C230" s="2157"/>
      <c r="D230" s="2156"/>
      <c r="E230" s="2156"/>
      <c r="F230" s="2157"/>
      <c r="G230" s="2163"/>
      <c r="H230" s="2156"/>
      <c r="I230" s="2157"/>
      <c r="J230" s="4164"/>
      <c r="K230" s="4142"/>
      <c r="L230" s="4139"/>
      <c r="M230" s="4139"/>
      <c r="N230" s="4139"/>
      <c r="O230" s="4157"/>
      <c r="P230" s="4142"/>
      <c r="Q230" s="4146"/>
      <c r="R230" s="4159"/>
      <c r="S230" s="4142"/>
      <c r="T230" s="4142"/>
      <c r="U230" s="2164" t="s">
        <v>2192</v>
      </c>
      <c r="V230" s="2202">
        <v>1000000</v>
      </c>
      <c r="W230" s="2161">
        <v>61</v>
      </c>
      <c r="X230" s="2251" t="s">
        <v>2113</v>
      </c>
      <c r="Y230" s="4245"/>
      <c r="Z230" s="4245">
        <v>282326</v>
      </c>
      <c r="AA230" s="4245" t="s">
        <v>1913</v>
      </c>
      <c r="AB230" s="4245" t="s">
        <v>1913</v>
      </c>
      <c r="AC230" s="4245" t="s">
        <v>1913</v>
      </c>
      <c r="AD230" s="4245" t="s">
        <v>1913</v>
      </c>
      <c r="AE230" s="4245">
        <v>2145</v>
      </c>
      <c r="AF230" s="4245">
        <v>12718</v>
      </c>
      <c r="AG230" s="4245">
        <v>26</v>
      </c>
      <c r="AH230" s="4245">
        <v>37</v>
      </c>
      <c r="AI230" s="4245" t="s">
        <v>1913</v>
      </c>
      <c r="AJ230" s="4245" t="s">
        <v>1913</v>
      </c>
      <c r="AK230" s="4245">
        <v>53164</v>
      </c>
      <c r="AL230" s="4245">
        <v>16982</v>
      </c>
      <c r="AM230" s="4245">
        <v>60013</v>
      </c>
      <c r="AN230" s="4245">
        <v>575010</v>
      </c>
      <c r="AO230" s="4248"/>
      <c r="AP230" s="4248"/>
      <c r="AQ230" s="4251"/>
    </row>
    <row r="231" spans="1:43" ht="57" x14ac:dyDescent="0.2">
      <c r="A231" s="2155"/>
      <c r="B231" s="2156"/>
      <c r="C231" s="2157"/>
      <c r="D231" s="2156"/>
      <c r="E231" s="2156"/>
      <c r="F231" s="2157"/>
      <c r="G231" s="2163"/>
      <c r="H231" s="2156"/>
      <c r="I231" s="2157"/>
      <c r="J231" s="4164"/>
      <c r="K231" s="4142"/>
      <c r="L231" s="4139"/>
      <c r="M231" s="4139"/>
      <c r="N231" s="4139"/>
      <c r="O231" s="4157"/>
      <c r="P231" s="4142"/>
      <c r="Q231" s="4146"/>
      <c r="R231" s="4159"/>
      <c r="S231" s="4142"/>
      <c r="T231" s="4142"/>
      <c r="U231" s="2164" t="s">
        <v>2193</v>
      </c>
      <c r="V231" s="2202">
        <v>13500000</v>
      </c>
      <c r="W231" s="2161">
        <v>61</v>
      </c>
      <c r="X231" s="2251" t="s">
        <v>2113</v>
      </c>
      <c r="Y231" s="4245"/>
      <c r="Z231" s="4245">
        <v>282326</v>
      </c>
      <c r="AA231" s="4245" t="s">
        <v>1913</v>
      </c>
      <c r="AB231" s="4245" t="s">
        <v>1913</v>
      </c>
      <c r="AC231" s="4245" t="s">
        <v>1913</v>
      </c>
      <c r="AD231" s="4245" t="s">
        <v>1913</v>
      </c>
      <c r="AE231" s="4245">
        <v>2145</v>
      </c>
      <c r="AF231" s="4245">
        <v>12718</v>
      </c>
      <c r="AG231" s="4245">
        <v>26</v>
      </c>
      <c r="AH231" s="4245">
        <v>37</v>
      </c>
      <c r="AI231" s="4245" t="s">
        <v>1913</v>
      </c>
      <c r="AJ231" s="4245" t="s">
        <v>1913</v>
      </c>
      <c r="AK231" s="4245">
        <v>53164</v>
      </c>
      <c r="AL231" s="4245">
        <v>16982</v>
      </c>
      <c r="AM231" s="4245">
        <v>60013</v>
      </c>
      <c r="AN231" s="4245">
        <v>575010</v>
      </c>
      <c r="AO231" s="4248"/>
      <c r="AP231" s="4248"/>
      <c r="AQ231" s="4251"/>
    </row>
    <row r="232" spans="1:43" ht="42.75" x14ac:dyDescent="0.2">
      <c r="A232" s="2155"/>
      <c r="B232" s="2156"/>
      <c r="C232" s="2157"/>
      <c r="D232" s="2156"/>
      <c r="E232" s="2156"/>
      <c r="F232" s="2157"/>
      <c r="G232" s="2163"/>
      <c r="H232" s="2156"/>
      <c r="I232" s="2157"/>
      <c r="J232" s="4164"/>
      <c r="K232" s="4142"/>
      <c r="L232" s="4139"/>
      <c r="M232" s="4139"/>
      <c r="N232" s="4139"/>
      <c r="O232" s="4157"/>
      <c r="P232" s="4142"/>
      <c r="Q232" s="4146"/>
      <c r="R232" s="4159"/>
      <c r="S232" s="4142"/>
      <c r="T232" s="4142"/>
      <c r="U232" s="2164" t="s">
        <v>2194</v>
      </c>
      <c r="V232" s="2202">
        <v>3500000</v>
      </c>
      <c r="W232" s="2161">
        <v>61</v>
      </c>
      <c r="X232" s="2251" t="s">
        <v>2113</v>
      </c>
      <c r="Y232" s="4245"/>
      <c r="Z232" s="4245">
        <v>282326</v>
      </c>
      <c r="AA232" s="4245" t="s">
        <v>1913</v>
      </c>
      <c r="AB232" s="4245" t="s">
        <v>1913</v>
      </c>
      <c r="AC232" s="4245" t="s">
        <v>1913</v>
      </c>
      <c r="AD232" s="4245" t="s">
        <v>1913</v>
      </c>
      <c r="AE232" s="4245">
        <v>2145</v>
      </c>
      <c r="AF232" s="4245">
        <v>12718</v>
      </c>
      <c r="AG232" s="4245">
        <v>26</v>
      </c>
      <c r="AH232" s="4245">
        <v>37</v>
      </c>
      <c r="AI232" s="4245" t="s">
        <v>1913</v>
      </c>
      <c r="AJ232" s="4245" t="s">
        <v>1913</v>
      </c>
      <c r="AK232" s="4245">
        <v>53164</v>
      </c>
      <c r="AL232" s="4245">
        <v>16982</v>
      </c>
      <c r="AM232" s="4245">
        <v>60013</v>
      </c>
      <c r="AN232" s="4245">
        <v>575010</v>
      </c>
      <c r="AO232" s="4248"/>
      <c r="AP232" s="4248"/>
      <c r="AQ232" s="4251"/>
    </row>
    <row r="233" spans="1:43" ht="42.75" x14ac:dyDescent="0.2">
      <c r="A233" s="2155"/>
      <c r="B233" s="2156"/>
      <c r="C233" s="2157"/>
      <c r="D233" s="2156"/>
      <c r="E233" s="2156"/>
      <c r="F233" s="2157"/>
      <c r="G233" s="2163"/>
      <c r="H233" s="2156"/>
      <c r="I233" s="2157"/>
      <c r="J233" s="4165"/>
      <c r="K233" s="4143"/>
      <c r="L233" s="4140"/>
      <c r="M233" s="4140"/>
      <c r="N233" s="4139"/>
      <c r="O233" s="4157"/>
      <c r="P233" s="4142"/>
      <c r="Q233" s="4147"/>
      <c r="R233" s="4159"/>
      <c r="S233" s="4142"/>
      <c r="T233" s="4143"/>
      <c r="U233" s="2164" t="s">
        <v>2195</v>
      </c>
      <c r="V233" s="2202">
        <v>1000000</v>
      </c>
      <c r="W233" s="2161">
        <v>61</v>
      </c>
      <c r="X233" s="2251" t="s">
        <v>2113</v>
      </c>
      <c r="Y233" s="4245"/>
      <c r="Z233" s="4245">
        <v>282326</v>
      </c>
      <c r="AA233" s="4245" t="s">
        <v>1913</v>
      </c>
      <c r="AB233" s="4245" t="s">
        <v>1913</v>
      </c>
      <c r="AC233" s="4245" t="s">
        <v>1913</v>
      </c>
      <c r="AD233" s="4245" t="s">
        <v>1913</v>
      </c>
      <c r="AE233" s="4245">
        <v>2145</v>
      </c>
      <c r="AF233" s="4245">
        <v>12718</v>
      </c>
      <c r="AG233" s="4245">
        <v>26</v>
      </c>
      <c r="AH233" s="4245">
        <v>37</v>
      </c>
      <c r="AI233" s="4245" t="s">
        <v>1913</v>
      </c>
      <c r="AJ233" s="4245" t="s">
        <v>1913</v>
      </c>
      <c r="AK233" s="4245">
        <v>53164</v>
      </c>
      <c r="AL233" s="4245">
        <v>16982</v>
      </c>
      <c r="AM233" s="4245">
        <v>60013</v>
      </c>
      <c r="AN233" s="4245">
        <v>575010</v>
      </c>
      <c r="AO233" s="4248"/>
      <c r="AP233" s="4248"/>
      <c r="AQ233" s="4251"/>
    </row>
    <row r="234" spans="1:43" ht="68.25" customHeight="1" x14ac:dyDescent="0.2">
      <c r="A234" s="2155"/>
      <c r="B234" s="2156"/>
      <c r="C234" s="2157"/>
      <c r="D234" s="2156"/>
      <c r="E234" s="2156"/>
      <c r="F234" s="2157"/>
      <c r="G234" s="2163"/>
      <c r="H234" s="2156"/>
      <c r="I234" s="2157"/>
      <c r="J234" s="4163">
        <v>156</v>
      </c>
      <c r="K234" s="4141" t="s">
        <v>2196</v>
      </c>
      <c r="L234" s="4138" t="s">
        <v>1905</v>
      </c>
      <c r="M234" s="4138">
        <v>12</v>
      </c>
      <c r="N234" s="4139"/>
      <c r="O234" s="4157"/>
      <c r="P234" s="4142"/>
      <c r="Q234" s="4166">
        <f>SUM(V234:V240)/R218</f>
        <v>0.32738163428185663</v>
      </c>
      <c r="R234" s="4159"/>
      <c r="S234" s="4142"/>
      <c r="T234" s="4141" t="s">
        <v>2197</v>
      </c>
      <c r="U234" s="2164" t="s">
        <v>2198</v>
      </c>
      <c r="V234" s="2202">
        <v>20000000</v>
      </c>
      <c r="W234" s="2161">
        <v>61</v>
      </c>
      <c r="X234" s="2251" t="s">
        <v>2113</v>
      </c>
      <c r="Y234" s="4245"/>
      <c r="Z234" s="4245">
        <v>282326</v>
      </c>
      <c r="AA234" s="4245" t="s">
        <v>1913</v>
      </c>
      <c r="AB234" s="4245" t="s">
        <v>1913</v>
      </c>
      <c r="AC234" s="4245" t="s">
        <v>1913</v>
      </c>
      <c r="AD234" s="4245" t="s">
        <v>1913</v>
      </c>
      <c r="AE234" s="4245">
        <v>2145</v>
      </c>
      <c r="AF234" s="4245">
        <v>12718</v>
      </c>
      <c r="AG234" s="4245">
        <v>26</v>
      </c>
      <c r="AH234" s="4245">
        <v>37</v>
      </c>
      <c r="AI234" s="4245" t="s">
        <v>1913</v>
      </c>
      <c r="AJ234" s="4245" t="s">
        <v>1913</v>
      </c>
      <c r="AK234" s="4245">
        <v>53164</v>
      </c>
      <c r="AL234" s="4245">
        <v>16982</v>
      </c>
      <c r="AM234" s="4245">
        <v>60013</v>
      </c>
      <c r="AN234" s="4245">
        <v>575010</v>
      </c>
      <c r="AO234" s="4248"/>
      <c r="AP234" s="4248"/>
      <c r="AQ234" s="4251"/>
    </row>
    <row r="235" spans="1:43" ht="69.75" customHeight="1" x14ac:dyDescent="0.2">
      <c r="A235" s="2155"/>
      <c r="B235" s="2156"/>
      <c r="C235" s="2157"/>
      <c r="D235" s="2156"/>
      <c r="E235" s="2156"/>
      <c r="F235" s="2157"/>
      <c r="G235" s="2163"/>
      <c r="H235" s="2156"/>
      <c r="I235" s="2157"/>
      <c r="J235" s="4164"/>
      <c r="K235" s="4142"/>
      <c r="L235" s="4139"/>
      <c r="M235" s="4139"/>
      <c r="N235" s="4139"/>
      <c r="O235" s="4157"/>
      <c r="P235" s="4142"/>
      <c r="Q235" s="4146"/>
      <c r="R235" s="4159"/>
      <c r="S235" s="4142"/>
      <c r="T235" s="4142"/>
      <c r="U235" s="2164" t="s">
        <v>2199</v>
      </c>
      <c r="V235" s="2202">
        <v>20000000</v>
      </c>
      <c r="W235" s="2161">
        <v>61</v>
      </c>
      <c r="X235" s="2251" t="s">
        <v>2113</v>
      </c>
      <c r="Y235" s="4245"/>
      <c r="Z235" s="4245">
        <v>282326</v>
      </c>
      <c r="AA235" s="4245" t="s">
        <v>1913</v>
      </c>
      <c r="AB235" s="4245" t="s">
        <v>1913</v>
      </c>
      <c r="AC235" s="4245" t="s">
        <v>1913</v>
      </c>
      <c r="AD235" s="4245" t="s">
        <v>1913</v>
      </c>
      <c r="AE235" s="4245">
        <v>2145</v>
      </c>
      <c r="AF235" s="4245">
        <v>12718</v>
      </c>
      <c r="AG235" s="4245">
        <v>26</v>
      </c>
      <c r="AH235" s="4245">
        <v>37</v>
      </c>
      <c r="AI235" s="4245" t="s">
        <v>1913</v>
      </c>
      <c r="AJ235" s="4245" t="s">
        <v>1913</v>
      </c>
      <c r="AK235" s="4245">
        <v>53164</v>
      </c>
      <c r="AL235" s="4245">
        <v>16982</v>
      </c>
      <c r="AM235" s="4245">
        <v>60013</v>
      </c>
      <c r="AN235" s="4245">
        <v>575010</v>
      </c>
      <c r="AO235" s="4248"/>
      <c r="AP235" s="4248"/>
      <c r="AQ235" s="4251"/>
    </row>
    <row r="236" spans="1:43" ht="57" x14ac:dyDescent="0.2">
      <c r="A236" s="2155"/>
      <c r="B236" s="2156"/>
      <c r="C236" s="2157"/>
      <c r="D236" s="2156"/>
      <c r="E236" s="2156"/>
      <c r="F236" s="2157"/>
      <c r="G236" s="2163"/>
      <c r="H236" s="2156"/>
      <c r="I236" s="2157"/>
      <c r="J236" s="4164"/>
      <c r="K236" s="4142"/>
      <c r="L236" s="4139"/>
      <c r="M236" s="4139"/>
      <c r="N236" s="4139"/>
      <c r="O236" s="4157"/>
      <c r="P236" s="4142"/>
      <c r="Q236" s="4146"/>
      <c r="R236" s="4159"/>
      <c r="S236" s="4142"/>
      <c r="T236" s="4142"/>
      <c r="U236" s="2164" t="s">
        <v>2200</v>
      </c>
      <c r="V236" s="2202">
        <v>4000000</v>
      </c>
      <c r="W236" s="2161">
        <v>61</v>
      </c>
      <c r="X236" s="2251" t="s">
        <v>2113</v>
      </c>
      <c r="Y236" s="4245"/>
      <c r="Z236" s="4245">
        <v>282326</v>
      </c>
      <c r="AA236" s="4245" t="s">
        <v>1913</v>
      </c>
      <c r="AB236" s="4245" t="s">
        <v>1913</v>
      </c>
      <c r="AC236" s="4245" t="s">
        <v>1913</v>
      </c>
      <c r="AD236" s="4245" t="s">
        <v>1913</v>
      </c>
      <c r="AE236" s="4245">
        <v>2145</v>
      </c>
      <c r="AF236" s="4245">
        <v>12718</v>
      </c>
      <c r="AG236" s="4245">
        <v>26</v>
      </c>
      <c r="AH236" s="4245">
        <v>37</v>
      </c>
      <c r="AI236" s="4245" t="s">
        <v>1913</v>
      </c>
      <c r="AJ236" s="4245" t="s">
        <v>1913</v>
      </c>
      <c r="AK236" s="4245">
        <v>53164</v>
      </c>
      <c r="AL236" s="4245">
        <v>16982</v>
      </c>
      <c r="AM236" s="4245">
        <v>60013</v>
      </c>
      <c r="AN236" s="4245">
        <v>575010</v>
      </c>
      <c r="AO236" s="4248"/>
      <c r="AP236" s="4248"/>
      <c r="AQ236" s="4251"/>
    </row>
    <row r="237" spans="1:43" ht="57" customHeight="1" x14ac:dyDescent="0.2">
      <c r="A237" s="2155"/>
      <c r="B237" s="2156"/>
      <c r="C237" s="2157"/>
      <c r="D237" s="2156"/>
      <c r="E237" s="2156"/>
      <c r="F237" s="2157"/>
      <c r="G237" s="2163"/>
      <c r="H237" s="2156"/>
      <c r="I237" s="2157"/>
      <c r="J237" s="4164"/>
      <c r="K237" s="4142"/>
      <c r="L237" s="4139"/>
      <c r="M237" s="4139"/>
      <c r="N237" s="4139"/>
      <c r="O237" s="4157"/>
      <c r="P237" s="4142"/>
      <c r="Q237" s="4146"/>
      <c r="R237" s="4159"/>
      <c r="S237" s="4142"/>
      <c r="T237" s="4142"/>
      <c r="U237" s="4226" t="s">
        <v>2201</v>
      </c>
      <c r="V237" s="2202">
        <v>16000000</v>
      </c>
      <c r="W237" s="2161">
        <v>61</v>
      </c>
      <c r="X237" s="2251" t="s">
        <v>2113</v>
      </c>
      <c r="Y237" s="4245"/>
      <c r="Z237" s="4245">
        <v>282326</v>
      </c>
      <c r="AA237" s="4245" t="s">
        <v>1913</v>
      </c>
      <c r="AB237" s="4245" t="s">
        <v>1913</v>
      </c>
      <c r="AC237" s="4245" t="s">
        <v>1913</v>
      </c>
      <c r="AD237" s="4245" t="s">
        <v>1913</v>
      </c>
      <c r="AE237" s="4245">
        <v>2145</v>
      </c>
      <c r="AF237" s="4245">
        <v>12718</v>
      </c>
      <c r="AG237" s="4245">
        <v>26</v>
      </c>
      <c r="AH237" s="4245">
        <v>37</v>
      </c>
      <c r="AI237" s="4245" t="s">
        <v>1913</v>
      </c>
      <c r="AJ237" s="4245" t="s">
        <v>1913</v>
      </c>
      <c r="AK237" s="4245">
        <v>53164</v>
      </c>
      <c r="AL237" s="4245">
        <v>16982</v>
      </c>
      <c r="AM237" s="4245">
        <v>60013</v>
      </c>
      <c r="AN237" s="4245">
        <v>575010</v>
      </c>
      <c r="AO237" s="4248"/>
      <c r="AP237" s="4248"/>
      <c r="AQ237" s="4251"/>
    </row>
    <row r="238" spans="1:43" ht="27.75" customHeight="1" x14ac:dyDescent="0.2">
      <c r="A238" s="2155"/>
      <c r="B238" s="2156"/>
      <c r="C238" s="2157"/>
      <c r="D238" s="2156"/>
      <c r="E238" s="2156"/>
      <c r="F238" s="2157"/>
      <c r="G238" s="2163"/>
      <c r="H238" s="2156"/>
      <c r="I238" s="2157"/>
      <c r="J238" s="4164"/>
      <c r="K238" s="4142"/>
      <c r="L238" s="4139"/>
      <c r="M238" s="4139"/>
      <c r="N238" s="4139"/>
      <c r="O238" s="4157"/>
      <c r="P238" s="4142"/>
      <c r="Q238" s="4146"/>
      <c r="R238" s="4159"/>
      <c r="S238" s="4142"/>
      <c r="T238" s="4142"/>
      <c r="U238" s="4240"/>
      <c r="V238" s="2061">
        <v>11916251</v>
      </c>
      <c r="W238" s="2197">
        <v>88</v>
      </c>
      <c r="X238" s="2218" t="s">
        <v>2185</v>
      </c>
      <c r="Y238" s="4245"/>
      <c r="Z238" s="4245">
        <v>282326</v>
      </c>
      <c r="AA238" s="4245" t="s">
        <v>1913</v>
      </c>
      <c r="AB238" s="4245" t="s">
        <v>1913</v>
      </c>
      <c r="AC238" s="4245" t="s">
        <v>1913</v>
      </c>
      <c r="AD238" s="4245" t="s">
        <v>1913</v>
      </c>
      <c r="AE238" s="4245">
        <v>2145</v>
      </c>
      <c r="AF238" s="4245">
        <v>12718</v>
      </c>
      <c r="AG238" s="4245">
        <v>26</v>
      </c>
      <c r="AH238" s="4245">
        <v>37</v>
      </c>
      <c r="AI238" s="4245" t="s">
        <v>1913</v>
      </c>
      <c r="AJ238" s="4245" t="s">
        <v>1913</v>
      </c>
      <c r="AK238" s="4245">
        <v>53164</v>
      </c>
      <c r="AL238" s="4245">
        <v>16982</v>
      </c>
      <c r="AM238" s="4245">
        <v>60013</v>
      </c>
      <c r="AN238" s="4245">
        <v>575010</v>
      </c>
      <c r="AO238" s="4248"/>
      <c r="AP238" s="4248"/>
      <c r="AQ238" s="4251"/>
    </row>
    <row r="239" spans="1:43" ht="57" x14ac:dyDescent="0.2">
      <c r="A239" s="2155"/>
      <c r="B239" s="2156"/>
      <c r="C239" s="2157"/>
      <c r="D239" s="2156"/>
      <c r="E239" s="2156"/>
      <c r="F239" s="2157"/>
      <c r="G239" s="2163"/>
      <c r="H239" s="2156"/>
      <c r="I239" s="2157"/>
      <c r="J239" s="4164"/>
      <c r="K239" s="4142"/>
      <c r="L239" s="4139"/>
      <c r="M239" s="4139"/>
      <c r="N239" s="4139"/>
      <c r="O239" s="4157"/>
      <c r="P239" s="4142"/>
      <c r="Q239" s="4146"/>
      <c r="R239" s="4159"/>
      <c r="S239" s="4142"/>
      <c r="T239" s="4142"/>
      <c r="U239" s="2164" t="s">
        <v>2202</v>
      </c>
      <c r="V239" s="2202">
        <v>16000000</v>
      </c>
      <c r="W239" s="2161">
        <v>61</v>
      </c>
      <c r="X239" s="2251" t="s">
        <v>2113</v>
      </c>
      <c r="Y239" s="4245"/>
      <c r="Z239" s="4245">
        <v>282326</v>
      </c>
      <c r="AA239" s="4245" t="s">
        <v>1913</v>
      </c>
      <c r="AB239" s="4245" t="s">
        <v>1913</v>
      </c>
      <c r="AC239" s="4245" t="s">
        <v>1913</v>
      </c>
      <c r="AD239" s="4245" t="s">
        <v>1913</v>
      </c>
      <c r="AE239" s="4245">
        <v>2145</v>
      </c>
      <c r="AF239" s="4245">
        <v>12718</v>
      </c>
      <c r="AG239" s="4245">
        <v>26</v>
      </c>
      <c r="AH239" s="4245">
        <v>37</v>
      </c>
      <c r="AI239" s="4245" t="s">
        <v>1913</v>
      </c>
      <c r="AJ239" s="4245" t="s">
        <v>1913</v>
      </c>
      <c r="AK239" s="4245">
        <v>53164</v>
      </c>
      <c r="AL239" s="4245">
        <v>16982</v>
      </c>
      <c r="AM239" s="4245">
        <v>60013</v>
      </c>
      <c r="AN239" s="4245">
        <v>575010</v>
      </c>
      <c r="AO239" s="4248"/>
      <c r="AP239" s="4248"/>
      <c r="AQ239" s="4251"/>
    </row>
    <row r="240" spans="1:43" ht="57" x14ac:dyDescent="0.2">
      <c r="A240" s="2155"/>
      <c r="B240" s="2156"/>
      <c r="C240" s="2157"/>
      <c r="D240" s="2156"/>
      <c r="E240" s="2156"/>
      <c r="F240" s="2157"/>
      <c r="G240" s="2163"/>
      <c r="H240" s="2156"/>
      <c r="I240" s="2157"/>
      <c r="J240" s="4165"/>
      <c r="K240" s="4143"/>
      <c r="L240" s="4140"/>
      <c r="M240" s="4140"/>
      <c r="N240" s="4139"/>
      <c r="O240" s="4157"/>
      <c r="P240" s="4142"/>
      <c r="Q240" s="4147"/>
      <c r="R240" s="4159"/>
      <c r="S240" s="4142"/>
      <c r="T240" s="4143"/>
      <c r="U240" s="2164" t="s">
        <v>2203</v>
      </c>
      <c r="V240" s="2202">
        <v>16000000</v>
      </c>
      <c r="W240" s="2161">
        <v>61</v>
      </c>
      <c r="X240" s="2251" t="s">
        <v>2113</v>
      </c>
      <c r="Y240" s="4245"/>
      <c r="Z240" s="4245">
        <v>282326</v>
      </c>
      <c r="AA240" s="4245" t="s">
        <v>1913</v>
      </c>
      <c r="AB240" s="4245" t="s">
        <v>1913</v>
      </c>
      <c r="AC240" s="4245" t="s">
        <v>1913</v>
      </c>
      <c r="AD240" s="4245" t="s">
        <v>1913</v>
      </c>
      <c r="AE240" s="4245">
        <v>2145</v>
      </c>
      <c r="AF240" s="4245">
        <v>12718</v>
      </c>
      <c r="AG240" s="4245">
        <v>26</v>
      </c>
      <c r="AH240" s="4245">
        <v>37</v>
      </c>
      <c r="AI240" s="4245" t="s">
        <v>1913</v>
      </c>
      <c r="AJ240" s="4245" t="s">
        <v>1913</v>
      </c>
      <c r="AK240" s="4245">
        <v>53164</v>
      </c>
      <c r="AL240" s="4245">
        <v>16982</v>
      </c>
      <c r="AM240" s="4245">
        <v>60013</v>
      </c>
      <c r="AN240" s="4245">
        <v>575010</v>
      </c>
      <c r="AO240" s="4248"/>
      <c r="AP240" s="4248"/>
      <c r="AQ240" s="4251"/>
    </row>
    <row r="241" spans="1:43" ht="42.75" x14ac:dyDescent="0.2">
      <c r="A241" s="2155"/>
      <c r="B241" s="2156"/>
      <c r="C241" s="2157"/>
      <c r="D241" s="2156"/>
      <c r="E241" s="2156"/>
      <c r="F241" s="2157"/>
      <c r="G241" s="2163"/>
      <c r="H241" s="2156"/>
      <c r="I241" s="2157"/>
      <c r="J241" s="4163">
        <v>157</v>
      </c>
      <c r="K241" s="4141" t="s">
        <v>2204</v>
      </c>
      <c r="L241" s="4138" t="s">
        <v>1905</v>
      </c>
      <c r="M241" s="4138">
        <v>12</v>
      </c>
      <c r="N241" s="4139"/>
      <c r="O241" s="4157"/>
      <c r="P241" s="4142"/>
      <c r="Q241" s="4166">
        <f>SUM(V241:V248)/R218</f>
        <v>0.17642448936869334</v>
      </c>
      <c r="R241" s="4159"/>
      <c r="S241" s="4142"/>
      <c r="T241" s="4141" t="s">
        <v>2205</v>
      </c>
      <c r="U241" s="2164" t="s">
        <v>2206</v>
      </c>
      <c r="V241" s="1160">
        <v>4800000</v>
      </c>
      <c r="W241" s="2161">
        <v>61</v>
      </c>
      <c r="X241" s="2251" t="s">
        <v>2113</v>
      </c>
      <c r="Y241" s="4245"/>
      <c r="Z241" s="4245">
        <v>282326</v>
      </c>
      <c r="AA241" s="4245" t="s">
        <v>1913</v>
      </c>
      <c r="AB241" s="4245" t="s">
        <v>1913</v>
      </c>
      <c r="AC241" s="4245" t="s">
        <v>1913</v>
      </c>
      <c r="AD241" s="4245" t="s">
        <v>1913</v>
      </c>
      <c r="AE241" s="4245">
        <v>2145</v>
      </c>
      <c r="AF241" s="4245">
        <v>12718</v>
      </c>
      <c r="AG241" s="4245">
        <v>26</v>
      </c>
      <c r="AH241" s="4245">
        <v>37</v>
      </c>
      <c r="AI241" s="4245" t="s">
        <v>1913</v>
      </c>
      <c r="AJ241" s="4245" t="s">
        <v>1913</v>
      </c>
      <c r="AK241" s="4245">
        <v>53164</v>
      </c>
      <c r="AL241" s="4245">
        <v>16982</v>
      </c>
      <c r="AM241" s="4245">
        <v>60013</v>
      </c>
      <c r="AN241" s="4245">
        <v>575010</v>
      </c>
      <c r="AO241" s="4248"/>
      <c r="AP241" s="4248"/>
      <c r="AQ241" s="4251"/>
    </row>
    <row r="242" spans="1:43" ht="57" x14ac:dyDescent="0.2">
      <c r="A242" s="2155"/>
      <c r="B242" s="2156"/>
      <c r="C242" s="2157"/>
      <c r="D242" s="2156"/>
      <c r="E242" s="2156"/>
      <c r="F242" s="2157"/>
      <c r="G242" s="2163"/>
      <c r="H242" s="2156"/>
      <c r="I242" s="2157"/>
      <c r="J242" s="4164"/>
      <c r="K242" s="4142"/>
      <c r="L242" s="4139"/>
      <c r="M242" s="4139"/>
      <c r="N242" s="4139"/>
      <c r="O242" s="4157"/>
      <c r="P242" s="4142"/>
      <c r="Q242" s="4146"/>
      <c r="R242" s="4159"/>
      <c r="S242" s="4142"/>
      <c r="T242" s="4142"/>
      <c r="U242" s="2164" t="s">
        <v>2207</v>
      </c>
      <c r="V242" s="2202">
        <v>10800000</v>
      </c>
      <c r="W242" s="2161">
        <v>61</v>
      </c>
      <c r="X242" s="2251" t="s">
        <v>2113</v>
      </c>
      <c r="Y242" s="4245"/>
      <c r="Z242" s="4245">
        <v>282326</v>
      </c>
      <c r="AA242" s="4245" t="s">
        <v>1913</v>
      </c>
      <c r="AB242" s="4245" t="s">
        <v>1913</v>
      </c>
      <c r="AC242" s="4245" t="s">
        <v>1913</v>
      </c>
      <c r="AD242" s="4245" t="s">
        <v>1913</v>
      </c>
      <c r="AE242" s="4245">
        <v>2145</v>
      </c>
      <c r="AF242" s="4245">
        <v>12718</v>
      </c>
      <c r="AG242" s="4245">
        <v>26</v>
      </c>
      <c r="AH242" s="4245">
        <v>37</v>
      </c>
      <c r="AI242" s="4245" t="s">
        <v>1913</v>
      </c>
      <c r="AJ242" s="4245" t="s">
        <v>1913</v>
      </c>
      <c r="AK242" s="4245">
        <v>53164</v>
      </c>
      <c r="AL242" s="4245">
        <v>16982</v>
      </c>
      <c r="AM242" s="4245">
        <v>60013</v>
      </c>
      <c r="AN242" s="4245">
        <v>575010</v>
      </c>
      <c r="AO242" s="4248"/>
      <c r="AP242" s="4248"/>
      <c r="AQ242" s="4251"/>
    </row>
    <row r="243" spans="1:43" ht="87.75" customHeight="1" x14ac:dyDescent="0.2">
      <c r="A243" s="2155"/>
      <c r="B243" s="2156"/>
      <c r="C243" s="2157"/>
      <c r="D243" s="2156"/>
      <c r="E243" s="2156"/>
      <c r="F243" s="2157"/>
      <c r="G243" s="2163"/>
      <c r="H243" s="2156"/>
      <c r="I243" s="2157"/>
      <c r="J243" s="4164"/>
      <c r="K243" s="4142"/>
      <c r="L243" s="4139"/>
      <c r="M243" s="4139"/>
      <c r="N243" s="4139"/>
      <c r="O243" s="4157"/>
      <c r="P243" s="4142"/>
      <c r="Q243" s="4146"/>
      <c r="R243" s="4159"/>
      <c r="S243" s="4142"/>
      <c r="T243" s="4142"/>
      <c r="U243" s="2164" t="s">
        <v>2208</v>
      </c>
      <c r="V243" s="2202">
        <v>4800000</v>
      </c>
      <c r="W243" s="2161">
        <v>61</v>
      </c>
      <c r="X243" s="2251" t="s">
        <v>2113</v>
      </c>
      <c r="Y243" s="4245"/>
      <c r="Z243" s="4245">
        <v>282326</v>
      </c>
      <c r="AA243" s="4245" t="s">
        <v>1913</v>
      </c>
      <c r="AB243" s="4245" t="s">
        <v>1913</v>
      </c>
      <c r="AC243" s="4245" t="s">
        <v>1913</v>
      </c>
      <c r="AD243" s="4245" t="s">
        <v>1913</v>
      </c>
      <c r="AE243" s="4245">
        <v>2145</v>
      </c>
      <c r="AF243" s="4245">
        <v>12718</v>
      </c>
      <c r="AG243" s="4245">
        <v>26</v>
      </c>
      <c r="AH243" s="4245">
        <v>37</v>
      </c>
      <c r="AI243" s="4245" t="s">
        <v>1913</v>
      </c>
      <c r="AJ243" s="4245" t="s">
        <v>1913</v>
      </c>
      <c r="AK243" s="4245">
        <v>53164</v>
      </c>
      <c r="AL243" s="4245">
        <v>16982</v>
      </c>
      <c r="AM243" s="4245">
        <v>60013</v>
      </c>
      <c r="AN243" s="4245">
        <v>575010</v>
      </c>
      <c r="AO243" s="4248"/>
      <c r="AP243" s="4248"/>
      <c r="AQ243" s="4251"/>
    </row>
    <row r="244" spans="1:43" ht="42.75" x14ac:dyDescent="0.2">
      <c r="A244" s="2155"/>
      <c r="B244" s="2156"/>
      <c r="C244" s="2157"/>
      <c r="D244" s="2156"/>
      <c r="E244" s="2156"/>
      <c r="F244" s="2157"/>
      <c r="G244" s="2163"/>
      <c r="H244" s="2156"/>
      <c r="I244" s="2157"/>
      <c r="J244" s="4164"/>
      <c r="K244" s="4142"/>
      <c r="L244" s="4139"/>
      <c r="M244" s="4139"/>
      <c r="N244" s="4139"/>
      <c r="O244" s="4157"/>
      <c r="P244" s="4142"/>
      <c r="Q244" s="4146"/>
      <c r="R244" s="4159"/>
      <c r="S244" s="4142"/>
      <c r="T244" s="4142"/>
      <c r="U244" s="2164" t="s">
        <v>2209</v>
      </c>
      <c r="V244" s="2202">
        <v>3600000</v>
      </c>
      <c r="W244" s="2161">
        <v>61</v>
      </c>
      <c r="X244" s="2251" t="s">
        <v>2113</v>
      </c>
      <c r="Y244" s="4245"/>
      <c r="Z244" s="4245">
        <v>282326</v>
      </c>
      <c r="AA244" s="4245" t="s">
        <v>1913</v>
      </c>
      <c r="AB244" s="4245" t="s">
        <v>1913</v>
      </c>
      <c r="AC244" s="4245" t="s">
        <v>1913</v>
      </c>
      <c r="AD244" s="4245" t="s">
        <v>1913</v>
      </c>
      <c r="AE244" s="4245">
        <v>2145</v>
      </c>
      <c r="AF244" s="4245">
        <v>12718</v>
      </c>
      <c r="AG244" s="4245">
        <v>26</v>
      </c>
      <c r="AH244" s="4245">
        <v>37</v>
      </c>
      <c r="AI244" s="4245" t="s">
        <v>1913</v>
      </c>
      <c r="AJ244" s="4245" t="s">
        <v>1913</v>
      </c>
      <c r="AK244" s="4245">
        <v>53164</v>
      </c>
      <c r="AL244" s="4245">
        <v>16982</v>
      </c>
      <c r="AM244" s="4245">
        <v>60013</v>
      </c>
      <c r="AN244" s="4245">
        <v>575010</v>
      </c>
      <c r="AO244" s="4248"/>
      <c r="AP244" s="4248"/>
      <c r="AQ244" s="4251"/>
    </row>
    <row r="245" spans="1:43" ht="57" x14ac:dyDescent="0.2">
      <c r="A245" s="2155"/>
      <c r="B245" s="2156"/>
      <c r="C245" s="2157"/>
      <c r="D245" s="2156"/>
      <c r="E245" s="2156"/>
      <c r="F245" s="2157"/>
      <c r="G245" s="2163"/>
      <c r="H245" s="2156"/>
      <c r="I245" s="2157"/>
      <c r="J245" s="4164"/>
      <c r="K245" s="4142"/>
      <c r="L245" s="4139"/>
      <c r="M245" s="4139"/>
      <c r="N245" s="4139"/>
      <c r="O245" s="4157"/>
      <c r="P245" s="4142"/>
      <c r="Q245" s="4146"/>
      <c r="R245" s="4159"/>
      <c r="S245" s="4142"/>
      <c r="T245" s="4142"/>
      <c r="U245" s="2164" t="s">
        <v>2210</v>
      </c>
      <c r="V245" s="2202">
        <v>6000000</v>
      </c>
      <c r="W245" s="2161">
        <v>61</v>
      </c>
      <c r="X245" s="2251" t="s">
        <v>2113</v>
      </c>
      <c r="Y245" s="4245"/>
      <c r="Z245" s="4245">
        <v>282326</v>
      </c>
      <c r="AA245" s="4245" t="s">
        <v>1913</v>
      </c>
      <c r="AB245" s="4245" t="s">
        <v>1913</v>
      </c>
      <c r="AC245" s="4245" t="s">
        <v>1913</v>
      </c>
      <c r="AD245" s="4245" t="s">
        <v>1913</v>
      </c>
      <c r="AE245" s="4245">
        <v>2145</v>
      </c>
      <c r="AF245" s="4245">
        <v>12718</v>
      </c>
      <c r="AG245" s="4245">
        <v>26</v>
      </c>
      <c r="AH245" s="4245">
        <v>37</v>
      </c>
      <c r="AI245" s="4245" t="s">
        <v>1913</v>
      </c>
      <c r="AJ245" s="4245" t="s">
        <v>1913</v>
      </c>
      <c r="AK245" s="4245">
        <v>53164</v>
      </c>
      <c r="AL245" s="4245">
        <v>16982</v>
      </c>
      <c r="AM245" s="4245">
        <v>60013</v>
      </c>
      <c r="AN245" s="4245">
        <v>575010</v>
      </c>
      <c r="AO245" s="4248"/>
      <c r="AP245" s="4248"/>
      <c r="AQ245" s="4251"/>
    </row>
    <row r="246" spans="1:43" ht="57" x14ac:dyDescent="0.2">
      <c r="A246" s="2155"/>
      <c r="B246" s="2156"/>
      <c r="C246" s="2157"/>
      <c r="D246" s="2156"/>
      <c r="E246" s="2156"/>
      <c r="F246" s="2157"/>
      <c r="G246" s="2163"/>
      <c r="H246" s="2156"/>
      <c r="I246" s="2157"/>
      <c r="J246" s="4164"/>
      <c r="K246" s="4142"/>
      <c r="L246" s="4139"/>
      <c r="M246" s="4139"/>
      <c r="N246" s="4139"/>
      <c r="O246" s="4157"/>
      <c r="P246" s="4142"/>
      <c r="Q246" s="4146"/>
      <c r="R246" s="4159"/>
      <c r="S246" s="4142"/>
      <c r="T246" s="4142"/>
      <c r="U246" s="2164" t="s">
        <v>2211</v>
      </c>
      <c r="V246" s="2202">
        <v>8000000</v>
      </c>
      <c r="W246" s="2161">
        <v>61</v>
      </c>
      <c r="X246" s="2251" t="s">
        <v>2113</v>
      </c>
      <c r="Y246" s="4245"/>
      <c r="Z246" s="4245">
        <v>282326</v>
      </c>
      <c r="AA246" s="4245" t="s">
        <v>1913</v>
      </c>
      <c r="AB246" s="4245" t="s">
        <v>1913</v>
      </c>
      <c r="AC246" s="4245" t="s">
        <v>1913</v>
      </c>
      <c r="AD246" s="4245" t="s">
        <v>1913</v>
      </c>
      <c r="AE246" s="4245">
        <v>2145</v>
      </c>
      <c r="AF246" s="4245">
        <v>12718</v>
      </c>
      <c r="AG246" s="4245">
        <v>26</v>
      </c>
      <c r="AH246" s="4245">
        <v>37</v>
      </c>
      <c r="AI246" s="4245" t="s">
        <v>1913</v>
      </c>
      <c r="AJ246" s="4245" t="s">
        <v>1913</v>
      </c>
      <c r="AK246" s="4245">
        <v>53164</v>
      </c>
      <c r="AL246" s="4245">
        <v>16982</v>
      </c>
      <c r="AM246" s="4245">
        <v>60013</v>
      </c>
      <c r="AN246" s="4245">
        <v>575010</v>
      </c>
      <c r="AO246" s="4248"/>
      <c r="AP246" s="4248"/>
      <c r="AQ246" s="4251"/>
    </row>
    <row r="247" spans="1:43" ht="57" customHeight="1" x14ac:dyDescent="0.2">
      <c r="A247" s="2155"/>
      <c r="B247" s="2156"/>
      <c r="C247" s="2157"/>
      <c r="D247" s="2156"/>
      <c r="E247" s="2156"/>
      <c r="F247" s="2157"/>
      <c r="G247" s="2163"/>
      <c r="H247" s="2156"/>
      <c r="I247" s="2157"/>
      <c r="J247" s="4164"/>
      <c r="K247" s="4142"/>
      <c r="L247" s="4139"/>
      <c r="M247" s="4139"/>
      <c r="N247" s="4139"/>
      <c r="O247" s="4157"/>
      <c r="P247" s="4142"/>
      <c r="Q247" s="4146"/>
      <c r="R247" s="4159"/>
      <c r="S247" s="4142"/>
      <c r="T247" s="4142"/>
      <c r="U247" s="2164" t="s">
        <v>2212</v>
      </c>
      <c r="V247" s="2202">
        <v>12000000</v>
      </c>
      <c r="W247" s="2161">
        <v>61</v>
      </c>
      <c r="X247" s="2251" t="s">
        <v>2113</v>
      </c>
      <c r="Y247" s="4245"/>
      <c r="Z247" s="4245">
        <v>282326</v>
      </c>
      <c r="AA247" s="4245" t="s">
        <v>1913</v>
      </c>
      <c r="AB247" s="4245" t="s">
        <v>1913</v>
      </c>
      <c r="AC247" s="4245" t="s">
        <v>1913</v>
      </c>
      <c r="AD247" s="4245" t="s">
        <v>1913</v>
      </c>
      <c r="AE247" s="4245">
        <v>2145</v>
      </c>
      <c r="AF247" s="4245">
        <v>12718</v>
      </c>
      <c r="AG247" s="4245">
        <v>26</v>
      </c>
      <c r="AH247" s="4245">
        <v>37</v>
      </c>
      <c r="AI247" s="4245" t="s">
        <v>1913</v>
      </c>
      <c r="AJ247" s="4245" t="s">
        <v>1913</v>
      </c>
      <c r="AK247" s="4245">
        <v>53164</v>
      </c>
      <c r="AL247" s="4245">
        <v>16982</v>
      </c>
      <c r="AM247" s="4245">
        <v>60013</v>
      </c>
      <c r="AN247" s="4245">
        <v>575010</v>
      </c>
      <c r="AO247" s="4248"/>
      <c r="AP247" s="4248"/>
      <c r="AQ247" s="4251"/>
    </row>
    <row r="248" spans="1:43" ht="85.5" x14ac:dyDescent="0.2">
      <c r="A248" s="2155"/>
      <c r="B248" s="2156"/>
      <c r="C248" s="2157"/>
      <c r="D248" s="2156"/>
      <c r="E248" s="2156"/>
      <c r="F248" s="2157"/>
      <c r="G248" s="2167"/>
      <c r="H248" s="2165"/>
      <c r="I248" s="2166"/>
      <c r="J248" s="4165"/>
      <c r="K248" s="4143"/>
      <c r="L248" s="4140"/>
      <c r="M248" s="4140"/>
      <c r="N248" s="4140"/>
      <c r="O248" s="4190"/>
      <c r="P248" s="4143"/>
      <c r="Q248" s="4147"/>
      <c r="R248" s="4176"/>
      <c r="S248" s="4143"/>
      <c r="T248" s="4143"/>
      <c r="U248" s="2164" t="s">
        <v>2213</v>
      </c>
      <c r="V248" s="2202">
        <v>6000000</v>
      </c>
      <c r="W248" s="2161">
        <v>61</v>
      </c>
      <c r="X248" s="2251" t="s">
        <v>2113</v>
      </c>
      <c r="Y248" s="4246"/>
      <c r="Z248" s="4246">
        <v>282326</v>
      </c>
      <c r="AA248" s="4246" t="s">
        <v>1913</v>
      </c>
      <c r="AB248" s="4246" t="s">
        <v>1913</v>
      </c>
      <c r="AC248" s="4246" t="s">
        <v>1913</v>
      </c>
      <c r="AD248" s="4246" t="s">
        <v>1913</v>
      </c>
      <c r="AE248" s="4246">
        <v>2145</v>
      </c>
      <c r="AF248" s="4246">
        <v>12718</v>
      </c>
      <c r="AG248" s="4246">
        <v>26</v>
      </c>
      <c r="AH248" s="4246">
        <v>37</v>
      </c>
      <c r="AI248" s="4246" t="s">
        <v>1913</v>
      </c>
      <c r="AJ248" s="4246" t="s">
        <v>1913</v>
      </c>
      <c r="AK248" s="4246">
        <v>53164</v>
      </c>
      <c r="AL248" s="4246">
        <v>16982</v>
      </c>
      <c r="AM248" s="4246">
        <v>60013</v>
      </c>
      <c r="AN248" s="4246">
        <v>575010</v>
      </c>
      <c r="AO248" s="4249"/>
      <c r="AP248" s="4249"/>
      <c r="AQ248" s="4252"/>
    </row>
    <row r="249" spans="1:43" ht="36" customHeight="1" x14ac:dyDescent="0.2">
      <c r="A249" s="2141"/>
      <c r="B249" s="2142"/>
      <c r="C249" s="2143"/>
      <c r="D249" s="2142"/>
      <c r="E249" s="2142"/>
      <c r="F249" s="2143"/>
      <c r="G249" s="2176">
        <v>45</v>
      </c>
      <c r="H249" s="2147" t="s">
        <v>2214</v>
      </c>
      <c r="I249" s="2147"/>
      <c r="J249" s="2147"/>
      <c r="K249" s="2148"/>
      <c r="L249" s="2147"/>
      <c r="M249" s="2147"/>
      <c r="N249" s="2149"/>
      <c r="O249" s="2177"/>
      <c r="P249" s="2148"/>
      <c r="Q249" s="2147"/>
      <c r="R249" s="2178"/>
      <c r="S249" s="2147"/>
      <c r="T249" s="2148"/>
      <c r="U249" s="2148"/>
      <c r="V249" s="2231"/>
      <c r="W249" s="2180"/>
      <c r="X249" s="2149"/>
      <c r="Y249" s="2149"/>
      <c r="Z249" s="2149"/>
      <c r="AA249" s="2149"/>
      <c r="AB249" s="2149"/>
      <c r="AC249" s="2149"/>
      <c r="AD249" s="2149"/>
      <c r="AE249" s="2149"/>
      <c r="AF249" s="2149"/>
      <c r="AG249" s="2149"/>
      <c r="AH249" s="2149"/>
      <c r="AI249" s="2149"/>
      <c r="AJ249" s="2149"/>
      <c r="AK249" s="2149"/>
      <c r="AL249" s="2149"/>
      <c r="AM249" s="2149"/>
      <c r="AN249" s="2149"/>
      <c r="AO249" s="2149"/>
      <c r="AP249" s="2147"/>
      <c r="AQ249" s="2154"/>
    </row>
    <row r="250" spans="1:43" s="2162" customFormat="1" ht="32.25" customHeight="1" x14ac:dyDescent="0.2">
      <c r="A250" s="2155"/>
      <c r="B250" s="2156"/>
      <c r="C250" s="2157"/>
      <c r="D250" s="2156"/>
      <c r="E250" s="2156"/>
      <c r="F250" s="2157"/>
      <c r="G250" s="2158"/>
      <c r="H250" s="2159"/>
      <c r="I250" s="2160"/>
      <c r="J250" s="4163">
        <v>158</v>
      </c>
      <c r="K250" s="4141" t="s">
        <v>2215</v>
      </c>
      <c r="L250" s="4138" t="s">
        <v>1905</v>
      </c>
      <c r="M250" s="4138">
        <v>11</v>
      </c>
      <c r="N250" s="4138" t="s">
        <v>2216</v>
      </c>
      <c r="O250" s="4156" t="s">
        <v>2217</v>
      </c>
      <c r="P250" s="4141" t="s">
        <v>2218</v>
      </c>
      <c r="Q250" s="4166">
        <f>+SUM(V250:V256)/R250</f>
        <v>0.98622219924217924</v>
      </c>
      <c r="R250" s="4158">
        <f>SUM(V250:V257)</f>
        <v>1538707111</v>
      </c>
      <c r="S250" s="4141" t="s">
        <v>2219</v>
      </c>
      <c r="T250" s="4179" t="s">
        <v>2220</v>
      </c>
      <c r="U250" s="4226" t="s">
        <v>2221</v>
      </c>
      <c r="V250" s="2189">
        <v>180000000</v>
      </c>
      <c r="W250" s="2161">
        <v>61</v>
      </c>
      <c r="X250" s="2251" t="s">
        <v>2113</v>
      </c>
      <c r="Y250" s="4138">
        <v>292684</v>
      </c>
      <c r="Z250" s="4138">
        <v>282326</v>
      </c>
      <c r="AA250" s="4138">
        <v>135912</v>
      </c>
      <c r="AB250" s="4138">
        <v>45122</v>
      </c>
      <c r="AC250" s="4138">
        <v>307101</v>
      </c>
      <c r="AD250" s="4138">
        <v>86875</v>
      </c>
      <c r="AE250" s="4138">
        <v>2145</v>
      </c>
      <c r="AF250" s="4138">
        <v>12718</v>
      </c>
      <c r="AG250" s="4138">
        <v>26</v>
      </c>
      <c r="AH250" s="4138">
        <v>37</v>
      </c>
      <c r="AI250" s="4138" t="s">
        <v>1913</v>
      </c>
      <c r="AJ250" s="4138" t="s">
        <v>1913</v>
      </c>
      <c r="AK250" s="4138">
        <v>53164</v>
      </c>
      <c r="AL250" s="4138">
        <v>16982</v>
      </c>
      <c r="AM250" s="4138">
        <v>60013</v>
      </c>
      <c r="AN250" s="4138">
        <v>575010</v>
      </c>
      <c r="AO250" s="4149">
        <v>43467</v>
      </c>
      <c r="AP250" s="4149">
        <v>43830</v>
      </c>
      <c r="AQ250" s="4136" t="s">
        <v>1914</v>
      </c>
    </row>
    <row r="251" spans="1:43" s="2162" customFormat="1" ht="32.25" customHeight="1" x14ac:dyDescent="0.2">
      <c r="A251" s="2155"/>
      <c r="B251" s="2156"/>
      <c r="C251" s="2157"/>
      <c r="D251" s="2156"/>
      <c r="E251" s="2156"/>
      <c r="F251" s="2157"/>
      <c r="G251" s="2163"/>
      <c r="H251" s="2156"/>
      <c r="I251" s="2157"/>
      <c r="J251" s="4164"/>
      <c r="K251" s="4142"/>
      <c r="L251" s="4139"/>
      <c r="M251" s="4139"/>
      <c r="N251" s="4139"/>
      <c r="O251" s="4157"/>
      <c r="P251" s="4142"/>
      <c r="Q251" s="4146"/>
      <c r="R251" s="4159"/>
      <c r="S251" s="4142"/>
      <c r="T251" s="4204"/>
      <c r="U251" s="4240"/>
      <c r="V251" s="2189">
        <v>33000000</v>
      </c>
      <c r="W251" s="2161">
        <v>98</v>
      </c>
      <c r="X251" s="2251" t="s">
        <v>2114</v>
      </c>
      <c r="Y251" s="4139"/>
      <c r="Z251" s="4139"/>
      <c r="AA251" s="4139"/>
      <c r="AB251" s="4139"/>
      <c r="AC251" s="4139"/>
      <c r="AD251" s="4139"/>
      <c r="AE251" s="4139"/>
      <c r="AF251" s="4139"/>
      <c r="AG251" s="4139"/>
      <c r="AH251" s="4139"/>
      <c r="AI251" s="4139"/>
      <c r="AJ251" s="4139"/>
      <c r="AK251" s="4139"/>
      <c r="AL251" s="4139"/>
      <c r="AM251" s="4139"/>
      <c r="AN251" s="4139"/>
      <c r="AO251" s="4150"/>
      <c r="AP251" s="4150"/>
      <c r="AQ251" s="4137"/>
    </row>
    <row r="252" spans="1:43" s="2162" customFormat="1" ht="32.25" customHeight="1" x14ac:dyDescent="0.2">
      <c r="A252" s="2155"/>
      <c r="B252" s="2156"/>
      <c r="C252" s="2157"/>
      <c r="D252" s="2156"/>
      <c r="E252" s="2156"/>
      <c r="F252" s="2157"/>
      <c r="G252" s="2163"/>
      <c r="H252" s="2156"/>
      <c r="I252" s="2157"/>
      <c r="J252" s="4164"/>
      <c r="K252" s="4142"/>
      <c r="L252" s="4139"/>
      <c r="M252" s="4139"/>
      <c r="N252" s="4139"/>
      <c r="O252" s="4157"/>
      <c r="P252" s="4142"/>
      <c r="Q252" s="4146"/>
      <c r="R252" s="4159"/>
      <c r="S252" s="4142"/>
      <c r="T252" s="4204"/>
      <c r="U252" s="4226" t="s">
        <v>2222</v>
      </c>
      <c r="V252" s="2187">
        <f>20000000+102300000</f>
        <v>122300000</v>
      </c>
      <c r="W252" s="2161">
        <v>61</v>
      </c>
      <c r="X252" s="2251" t="s">
        <v>2113</v>
      </c>
      <c r="Y252" s="4139"/>
      <c r="Z252" s="4139">
        <v>282326</v>
      </c>
      <c r="AA252" s="4139">
        <v>135912</v>
      </c>
      <c r="AB252" s="4139">
        <v>45122</v>
      </c>
      <c r="AC252" s="4139">
        <v>307101</v>
      </c>
      <c r="AD252" s="4139">
        <v>86875</v>
      </c>
      <c r="AE252" s="4139">
        <v>2145</v>
      </c>
      <c r="AF252" s="4139">
        <v>12718</v>
      </c>
      <c r="AG252" s="4139">
        <v>26</v>
      </c>
      <c r="AH252" s="4139">
        <v>37</v>
      </c>
      <c r="AI252" s="4139" t="s">
        <v>1913</v>
      </c>
      <c r="AJ252" s="4139" t="s">
        <v>1913</v>
      </c>
      <c r="AK252" s="4139">
        <v>53164</v>
      </c>
      <c r="AL252" s="4139">
        <v>16982</v>
      </c>
      <c r="AM252" s="4139">
        <v>60013</v>
      </c>
      <c r="AN252" s="4139">
        <v>575010</v>
      </c>
      <c r="AO252" s="4150"/>
      <c r="AP252" s="4150"/>
      <c r="AQ252" s="4137"/>
    </row>
    <row r="253" spans="1:43" s="2162" customFormat="1" ht="32.25" customHeight="1" x14ac:dyDescent="0.2">
      <c r="A253" s="2155"/>
      <c r="B253" s="2156"/>
      <c r="C253" s="2157"/>
      <c r="D253" s="2156"/>
      <c r="E253" s="2156"/>
      <c r="F253" s="2157"/>
      <c r="G253" s="2163"/>
      <c r="H253" s="2156"/>
      <c r="I253" s="2157"/>
      <c r="J253" s="4164"/>
      <c r="K253" s="4142"/>
      <c r="L253" s="4139"/>
      <c r="M253" s="4139"/>
      <c r="N253" s="4139"/>
      <c r="O253" s="4157"/>
      <c r="P253" s="4142"/>
      <c r="Q253" s="4146"/>
      <c r="R253" s="4159"/>
      <c r="S253" s="4142"/>
      <c r="T253" s="4204"/>
      <c r="U253" s="4240"/>
      <c r="V253" s="2187">
        <v>100000000</v>
      </c>
      <c r="W253" s="2161">
        <v>98</v>
      </c>
      <c r="X253" s="2251" t="s">
        <v>2114</v>
      </c>
      <c r="Y253" s="4139"/>
      <c r="Z253" s="4139">
        <v>282326</v>
      </c>
      <c r="AA253" s="4139">
        <v>135912</v>
      </c>
      <c r="AB253" s="4139">
        <v>45122</v>
      </c>
      <c r="AC253" s="4139">
        <v>307101</v>
      </c>
      <c r="AD253" s="4139">
        <v>86875</v>
      </c>
      <c r="AE253" s="4139">
        <v>2145</v>
      </c>
      <c r="AF253" s="4139">
        <v>12718</v>
      </c>
      <c r="AG253" s="4139">
        <v>26</v>
      </c>
      <c r="AH253" s="4139">
        <v>37</v>
      </c>
      <c r="AI253" s="4139" t="s">
        <v>1913</v>
      </c>
      <c r="AJ253" s="4139" t="s">
        <v>1913</v>
      </c>
      <c r="AK253" s="4139">
        <v>53164</v>
      </c>
      <c r="AL253" s="4139">
        <v>16982</v>
      </c>
      <c r="AM253" s="4139">
        <v>60013</v>
      </c>
      <c r="AN253" s="4139">
        <v>575010</v>
      </c>
      <c r="AO253" s="4150"/>
      <c r="AP253" s="4150"/>
      <c r="AQ253" s="4137"/>
    </row>
    <row r="254" spans="1:43" s="2162" customFormat="1" ht="58.5" customHeight="1" x14ac:dyDescent="0.2">
      <c r="A254" s="2155"/>
      <c r="B254" s="2156"/>
      <c r="C254" s="2157"/>
      <c r="D254" s="2156"/>
      <c r="E254" s="2156"/>
      <c r="F254" s="2157"/>
      <c r="G254" s="2163"/>
      <c r="H254" s="2156"/>
      <c r="I254" s="2157"/>
      <c r="J254" s="4164"/>
      <c r="K254" s="4142"/>
      <c r="L254" s="4139"/>
      <c r="M254" s="4139"/>
      <c r="N254" s="4139"/>
      <c r="O254" s="4157"/>
      <c r="P254" s="4142"/>
      <c r="Q254" s="4146"/>
      <c r="R254" s="4159"/>
      <c r="S254" s="4142"/>
      <c r="T254" s="4204"/>
      <c r="U254" s="2164" t="s">
        <v>2223</v>
      </c>
      <c r="V254" s="2189">
        <v>300000000</v>
      </c>
      <c r="W254" s="2161">
        <v>61</v>
      </c>
      <c r="X254" s="2251" t="s">
        <v>2113</v>
      </c>
      <c r="Y254" s="4139"/>
      <c r="Z254" s="4139">
        <v>282326</v>
      </c>
      <c r="AA254" s="4139">
        <v>135912</v>
      </c>
      <c r="AB254" s="4139">
        <v>45122</v>
      </c>
      <c r="AC254" s="4139">
        <v>307101</v>
      </c>
      <c r="AD254" s="4139">
        <v>86875</v>
      </c>
      <c r="AE254" s="4139">
        <v>2145</v>
      </c>
      <c r="AF254" s="4139">
        <v>12718</v>
      </c>
      <c r="AG254" s="4139">
        <v>26</v>
      </c>
      <c r="AH254" s="4139">
        <v>37</v>
      </c>
      <c r="AI254" s="4139" t="s">
        <v>1913</v>
      </c>
      <c r="AJ254" s="4139" t="s">
        <v>1913</v>
      </c>
      <c r="AK254" s="4139">
        <v>53164</v>
      </c>
      <c r="AL254" s="4139">
        <v>16982</v>
      </c>
      <c r="AM254" s="4139">
        <v>60013</v>
      </c>
      <c r="AN254" s="4139">
        <v>575010</v>
      </c>
      <c r="AO254" s="4150"/>
      <c r="AP254" s="4150"/>
      <c r="AQ254" s="4137"/>
    </row>
    <row r="255" spans="1:43" s="2162" customFormat="1" ht="32.25" customHeight="1" x14ac:dyDescent="0.2">
      <c r="A255" s="2155"/>
      <c r="B255" s="2156"/>
      <c r="C255" s="2157"/>
      <c r="D255" s="2156"/>
      <c r="E255" s="2156"/>
      <c r="F255" s="2157"/>
      <c r="G255" s="2163"/>
      <c r="H255" s="2156"/>
      <c r="I255" s="2157"/>
      <c r="J255" s="4164"/>
      <c r="K255" s="4142"/>
      <c r="L255" s="2240"/>
      <c r="M255" s="4139"/>
      <c r="N255" s="4139"/>
      <c r="O255" s="4157"/>
      <c r="P255" s="4142"/>
      <c r="Q255" s="4146"/>
      <c r="R255" s="4159"/>
      <c r="S255" s="4142"/>
      <c r="T255" s="4204"/>
      <c r="U255" s="4226" t="s">
        <v>2224</v>
      </c>
      <c r="V255" s="2189">
        <v>722110000</v>
      </c>
      <c r="W255" s="2161">
        <v>61</v>
      </c>
      <c r="X255" s="2251" t="s">
        <v>2113</v>
      </c>
      <c r="Y255" s="4139"/>
      <c r="Z255" s="4139">
        <v>282326</v>
      </c>
      <c r="AA255" s="4139">
        <v>135912</v>
      </c>
      <c r="AB255" s="4139">
        <v>45122</v>
      </c>
      <c r="AC255" s="4139">
        <v>307101</v>
      </c>
      <c r="AD255" s="4139">
        <v>86875</v>
      </c>
      <c r="AE255" s="4139">
        <v>2145</v>
      </c>
      <c r="AF255" s="4139">
        <v>12718</v>
      </c>
      <c r="AG255" s="4139">
        <v>26</v>
      </c>
      <c r="AH255" s="4139">
        <v>37</v>
      </c>
      <c r="AI255" s="4139" t="s">
        <v>1913</v>
      </c>
      <c r="AJ255" s="4139" t="s">
        <v>1913</v>
      </c>
      <c r="AK255" s="4139">
        <v>53164</v>
      </c>
      <c r="AL255" s="4139">
        <v>16982</v>
      </c>
      <c r="AM255" s="4139">
        <v>60013</v>
      </c>
      <c r="AN255" s="4139">
        <v>575010</v>
      </c>
      <c r="AO255" s="4150"/>
      <c r="AP255" s="4150"/>
      <c r="AQ255" s="4137"/>
    </row>
    <row r="256" spans="1:43" s="2162" customFormat="1" ht="32.25" customHeight="1" x14ac:dyDescent="0.2">
      <c r="A256" s="2155"/>
      <c r="B256" s="2156"/>
      <c r="C256" s="2157"/>
      <c r="D256" s="2156"/>
      <c r="E256" s="2156"/>
      <c r="F256" s="2157"/>
      <c r="G256" s="2163"/>
      <c r="H256" s="2156"/>
      <c r="I256" s="2157"/>
      <c r="J256" s="4165"/>
      <c r="K256" s="4143"/>
      <c r="L256" s="2240"/>
      <c r="M256" s="4140"/>
      <c r="N256" s="4139"/>
      <c r="O256" s="4157"/>
      <c r="P256" s="4142"/>
      <c r="Q256" s="4147"/>
      <c r="R256" s="4159"/>
      <c r="S256" s="4142"/>
      <c r="T256" s="4197"/>
      <c r="U256" s="4240"/>
      <c r="V256" s="2187">
        <v>60097111</v>
      </c>
      <c r="W256" s="2197">
        <v>98</v>
      </c>
      <c r="X256" s="2218" t="s">
        <v>2114</v>
      </c>
      <c r="Y256" s="4139"/>
      <c r="Z256" s="4139">
        <v>282326</v>
      </c>
      <c r="AA256" s="4139">
        <v>135912</v>
      </c>
      <c r="AB256" s="4139">
        <v>45122</v>
      </c>
      <c r="AC256" s="4139">
        <v>307101</v>
      </c>
      <c r="AD256" s="4139">
        <v>86875</v>
      </c>
      <c r="AE256" s="4139">
        <v>2145</v>
      </c>
      <c r="AF256" s="4139">
        <v>12718</v>
      </c>
      <c r="AG256" s="4139">
        <v>26</v>
      </c>
      <c r="AH256" s="4139">
        <v>37</v>
      </c>
      <c r="AI256" s="4139" t="s">
        <v>1913</v>
      </c>
      <c r="AJ256" s="4139" t="s">
        <v>1913</v>
      </c>
      <c r="AK256" s="4139">
        <v>53164</v>
      </c>
      <c r="AL256" s="4139">
        <v>16982</v>
      </c>
      <c r="AM256" s="4139">
        <v>60013</v>
      </c>
      <c r="AN256" s="4139">
        <v>575010</v>
      </c>
      <c r="AO256" s="4150"/>
      <c r="AP256" s="4150"/>
      <c r="AQ256" s="4137"/>
    </row>
    <row r="257" spans="1:301" s="2162" customFormat="1" ht="57" x14ac:dyDescent="0.2">
      <c r="A257" s="2155"/>
      <c r="B257" s="2156"/>
      <c r="C257" s="2157"/>
      <c r="D257" s="2156"/>
      <c r="E257" s="2156"/>
      <c r="F257" s="2157"/>
      <c r="G257" s="2167"/>
      <c r="H257" s="2165"/>
      <c r="I257" s="2166"/>
      <c r="J257" s="2218">
        <v>159</v>
      </c>
      <c r="K257" s="2193" t="s">
        <v>2225</v>
      </c>
      <c r="L257" s="2246" t="s">
        <v>1905</v>
      </c>
      <c r="M257" s="2251">
        <v>8</v>
      </c>
      <c r="N257" s="4140"/>
      <c r="O257" s="4190"/>
      <c r="P257" s="4143"/>
      <c r="Q257" s="2252">
        <f>+V257/R250</f>
        <v>1.3777800757820764E-2</v>
      </c>
      <c r="R257" s="4176"/>
      <c r="S257" s="4143"/>
      <c r="T257" s="2253" t="s">
        <v>2226</v>
      </c>
      <c r="U257" s="2164" t="s">
        <v>2227</v>
      </c>
      <c r="V257" s="2187">
        <v>21200000</v>
      </c>
      <c r="W257" s="2197">
        <v>61</v>
      </c>
      <c r="X257" s="2218" t="s">
        <v>2113</v>
      </c>
      <c r="Y257" s="4140"/>
      <c r="Z257" s="4140">
        <v>282326</v>
      </c>
      <c r="AA257" s="4140">
        <v>135912</v>
      </c>
      <c r="AB257" s="4140">
        <v>45122</v>
      </c>
      <c r="AC257" s="4140">
        <v>307101</v>
      </c>
      <c r="AD257" s="4140">
        <v>86875</v>
      </c>
      <c r="AE257" s="4140">
        <v>2145</v>
      </c>
      <c r="AF257" s="4140">
        <v>12718</v>
      </c>
      <c r="AG257" s="4140">
        <v>26</v>
      </c>
      <c r="AH257" s="4140">
        <v>37</v>
      </c>
      <c r="AI257" s="4140" t="s">
        <v>1913</v>
      </c>
      <c r="AJ257" s="4140" t="s">
        <v>1913</v>
      </c>
      <c r="AK257" s="4140">
        <v>53164</v>
      </c>
      <c r="AL257" s="4140">
        <v>16982</v>
      </c>
      <c r="AM257" s="4140">
        <v>60013</v>
      </c>
      <c r="AN257" s="4140">
        <v>575010</v>
      </c>
      <c r="AO257" s="4175"/>
      <c r="AP257" s="4175"/>
      <c r="AQ257" s="4153"/>
    </row>
    <row r="258" spans="1:301" ht="36" customHeight="1" x14ac:dyDescent="0.2">
      <c r="A258" s="2141"/>
      <c r="B258" s="2142"/>
      <c r="C258" s="2143"/>
      <c r="D258" s="2142"/>
      <c r="E258" s="2142"/>
      <c r="F258" s="2143"/>
      <c r="G258" s="2176">
        <v>46</v>
      </c>
      <c r="H258" s="2147" t="s">
        <v>2228</v>
      </c>
      <c r="I258" s="2147"/>
      <c r="J258" s="2147"/>
      <c r="K258" s="2148"/>
      <c r="L258" s="2147"/>
      <c r="M258" s="2147"/>
      <c r="N258" s="2149"/>
      <c r="O258" s="2177"/>
      <c r="P258" s="2148"/>
      <c r="Q258" s="2147"/>
      <c r="R258" s="2178"/>
      <c r="S258" s="2147"/>
      <c r="T258" s="2148"/>
      <c r="U258" s="2148"/>
      <c r="V258" s="2254"/>
      <c r="W258" s="2236"/>
      <c r="X258" s="2199"/>
      <c r="Y258" s="2149"/>
      <c r="Z258" s="2149"/>
      <c r="AA258" s="2149"/>
      <c r="AB258" s="2149"/>
      <c r="AC258" s="2149"/>
      <c r="AD258" s="2149"/>
      <c r="AE258" s="2149"/>
      <c r="AF258" s="2149"/>
      <c r="AG258" s="2149"/>
      <c r="AH258" s="2149"/>
      <c r="AI258" s="2149"/>
      <c r="AJ258" s="2149"/>
      <c r="AK258" s="2149"/>
      <c r="AL258" s="2149"/>
      <c r="AM258" s="2149"/>
      <c r="AN258" s="2149"/>
      <c r="AO258" s="2147"/>
      <c r="AP258" s="2147"/>
      <c r="AQ258" s="2154"/>
    </row>
    <row r="259" spans="1:301" ht="51.75" customHeight="1" x14ac:dyDescent="0.2">
      <c r="A259" s="2155"/>
      <c r="B259" s="2156"/>
      <c r="C259" s="2157"/>
      <c r="D259" s="2156"/>
      <c r="E259" s="2156"/>
      <c r="F259" s="2157"/>
      <c r="G259" s="2158"/>
      <c r="H259" s="2159"/>
      <c r="I259" s="2160"/>
      <c r="J259" s="4163">
        <v>160</v>
      </c>
      <c r="K259" s="4141" t="s">
        <v>2229</v>
      </c>
      <c r="L259" s="4138" t="s">
        <v>1905</v>
      </c>
      <c r="M259" s="4138">
        <v>300</v>
      </c>
      <c r="N259" s="4138" t="s">
        <v>2230</v>
      </c>
      <c r="O259" s="4156" t="s">
        <v>2231</v>
      </c>
      <c r="P259" s="4141" t="s">
        <v>2232</v>
      </c>
      <c r="Q259" s="4166">
        <v>1</v>
      </c>
      <c r="R259" s="4158">
        <f>SUM(V259:V269)</f>
        <v>1210233390</v>
      </c>
      <c r="S259" s="4141" t="s">
        <v>2233</v>
      </c>
      <c r="T259" s="4168" t="s">
        <v>2234</v>
      </c>
      <c r="U259" s="4226" t="s">
        <v>2235</v>
      </c>
      <c r="V259" s="2064">
        <f>238058000</f>
        <v>238058000</v>
      </c>
      <c r="W259" s="2197">
        <v>61</v>
      </c>
      <c r="X259" s="2255" t="s">
        <v>2025</v>
      </c>
      <c r="Y259" s="4185">
        <v>292684</v>
      </c>
      <c r="Z259" s="4185">
        <v>282326</v>
      </c>
      <c r="AA259" s="4185">
        <v>135912</v>
      </c>
      <c r="AB259" s="4185">
        <v>45122</v>
      </c>
      <c r="AC259" s="4185">
        <f t="shared" ref="AC259:AC269" si="0">SUM(AC253)</f>
        <v>307101</v>
      </c>
      <c r="AD259" s="4185">
        <f t="shared" ref="AD259:AD269" si="1">SUM(AD253)</f>
        <v>86875</v>
      </c>
      <c r="AE259" s="4185">
        <v>2145</v>
      </c>
      <c r="AF259" s="4185">
        <v>12718</v>
      </c>
      <c r="AG259" s="4185">
        <v>26</v>
      </c>
      <c r="AH259" s="4185">
        <v>37</v>
      </c>
      <c r="AI259" s="4185" t="s">
        <v>1913</v>
      </c>
      <c r="AJ259" s="4185" t="s">
        <v>1913</v>
      </c>
      <c r="AK259" s="4185">
        <v>53164</v>
      </c>
      <c r="AL259" s="4185">
        <v>16982</v>
      </c>
      <c r="AM259" s="4185">
        <v>60013</v>
      </c>
      <c r="AN259" s="4185">
        <v>575010</v>
      </c>
      <c r="AO259" s="4201">
        <v>43467</v>
      </c>
      <c r="AP259" s="4201">
        <v>43830</v>
      </c>
      <c r="AQ259" s="4136" t="s">
        <v>1914</v>
      </c>
    </row>
    <row r="260" spans="1:301" ht="31.5" customHeight="1" x14ac:dyDescent="0.2">
      <c r="A260" s="2155"/>
      <c r="B260" s="2156"/>
      <c r="C260" s="2157"/>
      <c r="D260" s="2156"/>
      <c r="E260" s="2156"/>
      <c r="F260" s="2157"/>
      <c r="G260" s="2163"/>
      <c r="H260" s="2156"/>
      <c r="I260" s="2157"/>
      <c r="J260" s="4164"/>
      <c r="K260" s="4142"/>
      <c r="L260" s="4139"/>
      <c r="M260" s="4139"/>
      <c r="N260" s="4139"/>
      <c r="O260" s="4157"/>
      <c r="P260" s="4142"/>
      <c r="Q260" s="4146"/>
      <c r="R260" s="4159"/>
      <c r="S260" s="4142"/>
      <c r="T260" s="4169"/>
      <c r="U260" s="4227"/>
      <c r="V260" s="2064">
        <v>30000000</v>
      </c>
      <c r="W260" s="2197">
        <v>88</v>
      </c>
      <c r="X260" s="2255" t="s">
        <v>2236</v>
      </c>
      <c r="Y260" s="4186"/>
      <c r="Z260" s="4186">
        <v>282326</v>
      </c>
      <c r="AA260" s="4186">
        <v>135912</v>
      </c>
      <c r="AB260" s="4186">
        <v>45122</v>
      </c>
      <c r="AC260" s="4186">
        <f t="shared" si="0"/>
        <v>307101</v>
      </c>
      <c r="AD260" s="4186">
        <f t="shared" si="1"/>
        <v>86875</v>
      </c>
      <c r="AE260" s="4186">
        <v>2145</v>
      </c>
      <c r="AF260" s="4186">
        <v>12718</v>
      </c>
      <c r="AG260" s="4186">
        <v>26</v>
      </c>
      <c r="AH260" s="4186">
        <v>37</v>
      </c>
      <c r="AI260" s="4186" t="s">
        <v>1913</v>
      </c>
      <c r="AJ260" s="4186" t="s">
        <v>1913</v>
      </c>
      <c r="AK260" s="4186">
        <v>53164</v>
      </c>
      <c r="AL260" s="4186">
        <v>16982</v>
      </c>
      <c r="AM260" s="4186">
        <v>60013</v>
      </c>
      <c r="AN260" s="4186">
        <v>575010</v>
      </c>
      <c r="AO260" s="4201"/>
      <c r="AP260" s="4201"/>
      <c r="AQ260" s="4137"/>
    </row>
    <row r="261" spans="1:301" ht="31.5" customHeight="1" x14ac:dyDescent="0.2">
      <c r="A261" s="2155"/>
      <c r="B261" s="2156"/>
      <c r="C261" s="2157"/>
      <c r="D261" s="2156"/>
      <c r="E261" s="2156"/>
      <c r="F261" s="2157"/>
      <c r="G261" s="2163"/>
      <c r="H261" s="2156"/>
      <c r="I261" s="2157"/>
      <c r="J261" s="4164"/>
      <c r="K261" s="4142"/>
      <c r="L261" s="4139"/>
      <c r="M261" s="4139"/>
      <c r="N261" s="4139"/>
      <c r="O261" s="4157"/>
      <c r="P261" s="4142"/>
      <c r="Q261" s="4146"/>
      <c r="R261" s="4159"/>
      <c r="S261" s="4142"/>
      <c r="T261" s="4169"/>
      <c r="U261" s="4227"/>
      <c r="V261" s="2064">
        <v>211942000</v>
      </c>
      <c r="W261" s="2197">
        <v>20</v>
      </c>
      <c r="X261" s="2255" t="s">
        <v>2237</v>
      </c>
      <c r="Y261" s="4186"/>
      <c r="Z261" s="4186">
        <v>282326</v>
      </c>
      <c r="AA261" s="4186">
        <v>135912</v>
      </c>
      <c r="AB261" s="4186">
        <v>45122</v>
      </c>
      <c r="AC261" s="4186">
        <f t="shared" si="0"/>
        <v>307101</v>
      </c>
      <c r="AD261" s="4186">
        <f t="shared" si="1"/>
        <v>86875</v>
      </c>
      <c r="AE261" s="4186">
        <v>2145</v>
      </c>
      <c r="AF261" s="4186">
        <v>12718</v>
      </c>
      <c r="AG261" s="4186">
        <v>26</v>
      </c>
      <c r="AH261" s="4186">
        <v>37</v>
      </c>
      <c r="AI261" s="4186" t="s">
        <v>1913</v>
      </c>
      <c r="AJ261" s="4186" t="s">
        <v>1913</v>
      </c>
      <c r="AK261" s="4186">
        <v>53164</v>
      </c>
      <c r="AL261" s="4186">
        <v>16982</v>
      </c>
      <c r="AM261" s="4186">
        <v>60013</v>
      </c>
      <c r="AN261" s="4186">
        <v>575010</v>
      </c>
      <c r="AO261" s="4201"/>
      <c r="AP261" s="4201"/>
      <c r="AQ261" s="4137"/>
    </row>
    <row r="262" spans="1:301" ht="31.5" customHeight="1" x14ac:dyDescent="0.2">
      <c r="A262" s="2155"/>
      <c r="B262" s="2156"/>
      <c r="C262" s="2157"/>
      <c r="D262" s="2156"/>
      <c r="E262" s="2156"/>
      <c r="F262" s="2157"/>
      <c r="G262" s="2163"/>
      <c r="H262" s="2156"/>
      <c r="I262" s="2157"/>
      <c r="J262" s="4164"/>
      <c r="K262" s="4142"/>
      <c r="L262" s="4139"/>
      <c r="M262" s="4139"/>
      <c r="N262" s="4139"/>
      <c r="O262" s="4157"/>
      <c r="P262" s="4142"/>
      <c r="Q262" s="4146"/>
      <c r="R262" s="4159"/>
      <c r="S262" s="4142"/>
      <c r="T262" s="4169"/>
      <c r="U262" s="4240"/>
      <c r="V262" s="2064">
        <v>15000000</v>
      </c>
      <c r="W262" s="2197">
        <v>98</v>
      </c>
      <c r="X262" s="2255" t="s">
        <v>2185</v>
      </c>
      <c r="Y262" s="4186"/>
      <c r="Z262" s="4186">
        <v>282326</v>
      </c>
      <c r="AA262" s="4186">
        <v>135912</v>
      </c>
      <c r="AB262" s="4186">
        <v>45122</v>
      </c>
      <c r="AC262" s="4186">
        <f t="shared" si="0"/>
        <v>307101</v>
      </c>
      <c r="AD262" s="4186">
        <f t="shared" si="1"/>
        <v>86875</v>
      </c>
      <c r="AE262" s="4186">
        <v>2145</v>
      </c>
      <c r="AF262" s="4186">
        <v>12718</v>
      </c>
      <c r="AG262" s="4186">
        <v>26</v>
      </c>
      <c r="AH262" s="4186">
        <v>37</v>
      </c>
      <c r="AI262" s="4186" t="s">
        <v>1913</v>
      </c>
      <c r="AJ262" s="4186" t="s">
        <v>1913</v>
      </c>
      <c r="AK262" s="4186">
        <v>53164</v>
      </c>
      <c r="AL262" s="4186">
        <v>16982</v>
      </c>
      <c r="AM262" s="4186">
        <v>60013</v>
      </c>
      <c r="AN262" s="4186">
        <v>575010</v>
      </c>
      <c r="AO262" s="4201"/>
      <c r="AP262" s="4201"/>
      <c r="AQ262" s="4137"/>
    </row>
    <row r="263" spans="1:301" ht="31.5" customHeight="1" x14ac:dyDescent="0.2">
      <c r="A263" s="2155"/>
      <c r="B263" s="2156"/>
      <c r="C263" s="2157"/>
      <c r="D263" s="2156"/>
      <c r="E263" s="2156"/>
      <c r="F263" s="2157"/>
      <c r="G263" s="2163"/>
      <c r="H263" s="2156"/>
      <c r="I263" s="2157"/>
      <c r="J263" s="4164"/>
      <c r="K263" s="4142"/>
      <c r="L263" s="4139"/>
      <c r="M263" s="4139"/>
      <c r="N263" s="4139"/>
      <c r="O263" s="4157"/>
      <c r="P263" s="4142"/>
      <c r="Q263" s="4146"/>
      <c r="R263" s="4159"/>
      <c r="S263" s="4142"/>
      <c r="T263" s="4169"/>
      <c r="U263" s="2164" t="s">
        <v>2238</v>
      </c>
      <c r="V263" s="2064">
        <v>50000000</v>
      </c>
      <c r="W263" s="2197">
        <v>61</v>
      </c>
      <c r="X263" s="2255" t="s">
        <v>2025</v>
      </c>
      <c r="Y263" s="4186"/>
      <c r="Z263" s="4186">
        <v>282326</v>
      </c>
      <c r="AA263" s="4186">
        <v>135912</v>
      </c>
      <c r="AB263" s="4186">
        <v>45122</v>
      </c>
      <c r="AC263" s="4186">
        <f t="shared" si="0"/>
        <v>307101</v>
      </c>
      <c r="AD263" s="4186">
        <f t="shared" si="1"/>
        <v>86875</v>
      </c>
      <c r="AE263" s="4186">
        <v>2145</v>
      </c>
      <c r="AF263" s="4186">
        <v>12718</v>
      </c>
      <c r="AG263" s="4186">
        <v>26</v>
      </c>
      <c r="AH263" s="4186">
        <v>37</v>
      </c>
      <c r="AI263" s="4186" t="s">
        <v>1913</v>
      </c>
      <c r="AJ263" s="4186" t="s">
        <v>1913</v>
      </c>
      <c r="AK263" s="4186">
        <v>53164</v>
      </c>
      <c r="AL263" s="4186">
        <v>16982</v>
      </c>
      <c r="AM263" s="4186">
        <v>60013</v>
      </c>
      <c r="AN263" s="4186">
        <v>575010</v>
      </c>
      <c r="AO263" s="4201"/>
      <c r="AP263" s="4201"/>
      <c r="AQ263" s="4137"/>
    </row>
    <row r="264" spans="1:301" ht="71.25" x14ac:dyDescent="0.2">
      <c r="A264" s="2155"/>
      <c r="B264" s="2156"/>
      <c r="C264" s="2157"/>
      <c r="D264" s="2156"/>
      <c r="E264" s="2156"/>
      <c r="F264" s="2157"/>
      <c r="G264" s="2163"/>
      <c r="H264" s="2156"/>
      <c r="I264" s="2157"/>
      <c r="J264" s="4164"/>
      <c r="K264" s="4142"/>
      <c r="L264" s="4139"/>
      <c r="M264" s="4139"/>
      <c r="N264" s="4139"/>
      <c r="O264" s="4157"/>
      <c r="P264" s="4142"/>
      <c r="Q264" s="4146"/>
      <c r="R264" s="4159"/>
      <c r="S264" s="4142"/>
      <c r="T264" s="4169"/>
      <c r="U264" s="2164" t="s">
        <v>2239</v>
      </c>
      <c r="V264" s="1160">
        <v>74900000</v>
      </c>
      <c r="W264" s="2197">
        <v>61</v>
      </c>
      <c r="X264" s="2255" t="s">
        <v>2025</v>
      </c>
      <c r="Y264" s="4186"/>
      <c r="Z264" s="4186">
        <v>282326</v>
      </c>
      <c r="AA264" s="4186">
        <v>135912</v>
      </c>
      <c r="AB264" s="4186">
        <v>45122</v>
      </c>
      <c r="AC264" s="4186">
        <f t="shared" si="0"/>
        <v>0</v>
      </c>
      <c r="AD264" s="4186">
        <f t="shared" si="1"/>
        <v>0</v>
      </c>
      <c r="AE264" s="4186">
        <v>2145</v>
      </c>
      <c r="AF264" s="4186">
        <v>12718</v>
      </c>
      <c r="AG264" s="4186">
        <v>26</v>
      </c>
      <c r="AH264" s="4186">
        <v>37</v>
      </c>
      <c r="AI264" s="4186" t="s">
        <v>1913</v>
      </c>
      <c r="AJ264" s="4186" t="s">
        <v>1913</v>
      </c>
      <c r="AK264" s="4186">
        <v>53164</v>
      </c>
      <c r="AL264" s="4186">
        <v>16982</v>
      </c>
      <c r="AM264" s="4186">
        <v>60013</v>
      </c>
      <c r="AN264" s="4186">
        <v>575010</v>
      </c>
      <c r="AO264" s="4201"/>
      <c r="AP264" s="4201"/>
      <c r="AQ264" s="4137"/>
    </row>
    <row r="265" spans="1:301" ht="42.75" x14ac:dyDescent="0.2">
      <c r="A265" s="2155"/>
      <c r="B265" s="2156"/>
      <c r="C265" s="2157"/>
      <c r="D265" s="2156"/>
      <c r="E265" s="2156"/>
      <c r="F265" s="2157"/>
      <c r="G265" s="2163"/>
      <c r="H265" s="2156"/>
      <c r="I265" s="2157"/>
      <c r="J265" s="4164"/>
      <c r="K265" s="4142"/>
      <c r="L265" s="4139"/>
      <c r="M265" s="4139"/>
      <c r="N265" s="4139"/>
      <c r="O265" s="4157"/>
      <c r="P265" s="4142"/>
      <c r="Q265" s="4146"/>
      <c r="R265" s="4159"/>
      <c r="S265" s="4142"/>
      <c r="T265" s="4241"/>
      <c r="U265" s="2164" t="s">
        <v>2240</v>
      </c>
      <c r="V265" s="2064">
        <f>40630000+220000000</f>
        <v>260630000</v>
      </c>
      <c r="W265" s="2197">
        <v>61</v>
      </c>
      <c r="X265" s="2255" t="s">
        <v>2025</v>
      </c>
      <c r="Y265" s="4186"/>
      <c r="Z265" s="4186">
        <v>282326</v>
      </c>
      <c r="AA265" s="4186">
        <v>135912</v>
      </c>
      <c r="AB265" s="4186">
        <v>45122</v>
      </c>
      <c r="AC265" s="4186">
        <f t="shared" si="0"/>
        <v>307101</v>
      </c>
      <c r="AD265" s="4186">
        <f t="shared" si="1"/>
        <v>86875</v>
      </c>
      <c r="AE265" s="4186">
        <v>2145</v>
      </c>
      <c r="AF265" s="4186">
        <v>12718</v>
      </c>
      <c r="AG265" s="4186">
        <v>26</v>
      </c>
      <c r="AH265" s="4186">
        <v>37</v>
      </c>
      <c r="AI265" s="4186" t="s">
        <v>1913</v>
      </c>
      <c r="AJ265" s="4186" t="s">
        <v>1913</v>
      </c>
      <c r="AK265" s="4186">
        <v>53164</v>
      </c>
      <c r="AL265" s="4186">
        <v>16982</v>
      </c>
      <c r="AM265" s="4186">
        <v>60013</v>
      </c>
      <c r="AN265" s="4186">
        <v>575010</v>
      </c>
      <c r="AO265" s="4201"/>
      <c r="AP265" s="4201"/>
      <c r="AQ265" s="4137"/>
    </row>
    <row r="266" spans="1:301" ht="42.75" x14ac:dyDescent="0.2">
      <c r="A266" s="2155"/>
      <c r="B266" s="2156"/>
      <c r="C266" s="2157"/>
      <c r="D266" s="2156"/>
      <c r="E266" s="2156"/>
      <c r="F266" s="2157"/>
      <c r="G266" s="2163"/>
      <c r="H266" s="2156"/>
      <c r="I266" s="2157"/>
      <c r="J266" s="4164"/>
      <c r="K266" s="4142"/>
      <c r="L266" s="4139"/>
      <c r="M266" s="4139"/>
      <c r="N266" s="4139"/>
      <c r="O266" s="4157"/>
      <c r="P266" s="4142"/>
      <c r="Q266" s="4146"/>
      <c r="R266" s="4159"/>
      <c r="S266" s="4142"/>
      <c r="T266" s="4154" t="s">
        <v>2241</v>
      </c>
      <c r="U266" s="2164" t="s">
        <v>2242</v>
      </c>
      <c r="V266" s="1160">
        <v>44000000</v>
      </c>
      <c r="W266" s="2197">
        <v>61</v>
      </c>
      <c r="X266" s="2255" t="s">
        <v>2025</v>
      </c>
      <c r="Y266" s="4186"/>
      <c r="Z266" s="4186">
        <v>282326</v>
      </c>
      <c r="AA266" s="4186">
        <v>135912</v>
      </c>
      <c r="AB266" s="4186">
        <v>45122</v>
      </c>
      <c r="AC266" s="4186">
        <f t="shared" si="0"/>
        <v>307101</v>
      </c>
      <c r="AD266" s="4186">
        <f t="shared" si="1"/>
        <v>86875</v>
      </c>
      <c r="AE266" s="4186">
        <v>2145</v>
      </c>
      <c r="AF266" s="4186">
        <v>12718</v>
      </c>
      <c r="AG266" s="4186">
        <v>26</v>
      </c>
      <c r="AH266" s="4186">
        <v>37</v>
      </c>
      <c r="AI266" s="4186" t="s">
        <v>1913</v>
      </c>
      <c r="AJ266" s="4186" t="s">
        <v>1913</v>
      </c>
      <c r="AK266" s="4186">
        <v>53164</v>
      </c>
      <c r="AL266" s="4186">
        <v>16982</v>
      </c>
      <c r="AM266" s="4186">
        <v>60013</v>
      </c>
      <c r="AN266" s="4186">
        <v>575010</v>
      </c>
      <c r="AO266" s="4201"/>
      <c r="AP266" s="4201"/>
      <c r="AQ266" s="4137"/>
    </row>
    <row r="267" spans="1:301" ht="42.75" x14ac:dyDescent="0.2">
      <c r="A267" s="2155"/>
      <c r="B267" s="2156"/>
      <c r="C267" s="2157"/>
      <c r="D267" s="2156"/>
      <c r="E267" s="2156"/>
      <c r="F267" s="2157"/>
      <c r="G267" s="2163"/>
      <c r="H267" s="2156"/>
      <c r="I267" s="2157"/>
      <c r="J267" s="4164"/>
      <c r="K267" s="4142"/>
      <c r="L267" s="4139"/>
      <c r="M267" s="4139"/>
      <c r="N267" s="4139"/>
      <c r="O267" s="4157"/>
      <c r="P267" s="4142"/>
      <c r="Q267" s="4146"/>
      <c r="R267" s="4159"/>
      <c r="S267" s="4142"/>
      <c r="T267" s="4155"/>
      <c r="U267" s="2164" t="s">
        <v>2243</v>
      </c>
      <c r="V267" s="1160">
        <v>140470000</v>
      </c>
      <c r="W267" s="2197">
        <v>61</v>
      </c>
      <c r="X267" s="2255" t="s">
        <v>2025</v>
      </c>
      <c r="Y267" s="4186"/>
      <c r="Z267" s="4186">
        <v>282326</v>
      </c>
      <c r="AA267" s="4186">
        <v>135912</v>
      </c>
      <c r="AB267" s="4186">
        <v>45122</v>
      </c>
      <c r="AC267" s="4186">
        <f t="shared" si="0"/>
        <v>307101</v>
      </c>
      <c r="AD267" s="4186">
        <f t="shared" si="1"/>
        <v>86875</v>
      </c>
      <c r="AE267" s="4186">
        <v>2145</v>
      </c>
      <c r="AF267" s="4186">
        <v>12718</v>
      </c>
      <c r="AG267" s="4186">
        <v>26</v>
      </c>
      <c r="AH267" s="4186">
        <v>37</v>
      </c>
      <c r="AI267" s="4186" t="s">
        <v>1913</v>
      </c>
      <c r="AJ267" s="4186" t="s">
        <v>1913</v>
      </c>
      <c r="AK267" s="4186">
        <v>53164</v>
      </c>
      <c r="AL267" s="4186">
        <v>16982</v>
      </c>
      <c r="AM267" s="4186">
        <v>60013</v>
      </c>
      <c r="AN267" s="4186">
        <v>575010</v>
      </c>
      <c r="AO267" s="4201"/>
      <c r="AP267" s="4201"/>
      <c r="AQ267" s="4137"/>
    </row>
    <row r="268" spans="1:301" ht="32.25" customHeight="1" x14ac:dyDescent="0.2">
      <c r="A268" s="2155"/>
      <c r="B268" s="2156"/>
      <c r="C268" s="2157"/>
      <c r="D268" s="2156"/>
      <c r="E268" s="2156"/>
      <c r="F268" s="2157"/>
      <c r="G268" s="2163"/>
      <c r="H268" s="2156"/>
      <c r="I268" s="2157"/>
      <c r="J268" s="4164"/>
      <c r="K268" s="4142"/>
      <c r="L268" s="4139"/>
      <c r="M268" s="4139"/>
      <c r="N268" s="4139"/>
      <c r="O268" s="4157"/>
      <c r="P268" s="4142"/>
      <c r="Q268" s="4146"/>
      <c r="R268" s="4159"/>
      <c r="S268" s="4142"/>
      <c r="T268" s="4242" t="s">
        <v>2244</v>
      </c>
      <c r="U268" s="4226" t="s">
        <v>2245</v>
      </c>
      <c r="V268" s="1160">
        <v>88000000</v>
      </c>
      <c r="W268" s="2197">
        <v>61</v>
      </c>
      <c r="X268" s="2255" t="s">
        <v>2025</v>
      </c>
      <c r="Y268" s="4186"/>
      <c r="Z268" s="4186">
        <v>282326</v>
      </c>
      <c r="AA268" s="4186">
        <v>135912</v>
      </c>
      <c r="AB268" s="4186">
        <v>45122</v>
      </c>
      <c r="AC268" s="4186">
        <f t="shared" si="0"/>
        <v>307101</v>
      </c>
      <c r="AD268" s="4186">
        <f t="shared" si="1"/>
        <v>86875</v>
      </c>
      <c r="AE268" s="4186">
        <v>2145</v>
      </c>
      <c r="AF268" s="4186">
        <v>12718</v>
      </c>
      <c r="AG268" s="4186">
        <v>26</v>
      </c>
      <c r="AH268" s="4186">
        <v>37</v>
      </c>
      <c r="AI268" s="4186" t="s">
        <v>1913</v>
      </c>
      <c r="AJ268" s="4186" t="s">
        <v>1913</v>
      </c>
      <c r="AK268" s="4186">
        <v>53164</v>
      </c>
      <c r="AL268" s="4186">
        <v>16982</v>
      </c>
      <c r="AM268" s="4186">
        <v>60013</v>
      </c>
      <c r="AN268" s="4186">
        <v>575010</v>
      </c>
      <c r="AO268" s="4201"/>
      <c r="AP268" s="4201"/>
      <c r="AQ268" s="4137"/>
    </row>
    <row r="269" spans="1:301" ht="33.75" customHeight="1" x14ac:dyDescent="0.2">
      <c r="A269" s="2155"/>
      <c r="B269" s="2156"/>
      <c r="C269" s="2157"/>
      <c r="D269" s="2156"/>
      <c r="E269" s="2156"/>
      <c r="F269" s="2157"/>
      <c r="G269" s="2163"/>
      <c r="H269" s="2156"/>
      <c r="I269" s="2157"/>
      <c r="J269" s="4165"/>
      <c r="K269" s="4143"/>
      <c r="L269" s="4140"/>
      <c r="M269" s="4140"/>
      <c r="N269" s="4140"/>
      <c r="O269" s="4190"/>
      <c r="P269" s="4143"/>
      <c r="Q269" s="4147"/>
      <c r="R269" s="4176"/>
      <c r="S269" s="4143"/>
      <c r="T269" s="4243"/>
      <c r="U269" s="4240"/>
      <c r="V269" s="2064">
        <v>57233390</v>
      </c>
      <c r="W269" s="2197">
        <v>96</v>
      </c>
      <c r="X269" s="2256" t="s">
        <v>2246</v>
      </c>
      <c r="Y269" s="4191"/>
      <c r="Z269" s="4191">
        <v>282326</v>
      </c>
      <c r="AA269" s="4191">
        <v>135912</v>
      </c>
      <c r="AB269" s="4191">
        <v>45122</v>
      </c>
      <c r="AC269" s="4191">
        <f t="shared" si="0"/>
        <v>307101</v>
      </c>
      <c r="AD269" s="4191">
        <f t="shared" si="1"/>
        <v>86875</v>
      </c>
      <c r="AE269" s="4191">
        <v>2145</v>
      </c>
      <c r="AF269" s="4191">
        <v>12718</v>
      </c>
      <c r="AG269" s="4191">
        <v>26</v>
      </c>
      <c r="AH269" s="4191">
        <v>37</v>
      </c>
      <c r="AI269" s="4191" t="s">
        <v>1913</v>
      </c>
      <c r="AJ269" s="4191" t="s">
        <v>1913</v>
      </c>
      <c r="AK269" s="4191">
        <v>53164</v>
      </c>
      <c r="AL269" s="4191">
        <v>16982</v>
      </c>
      <c r="AM269" s="4191">
        <v>60013</v>
      </c>
      <c r="AN269" s="4191">
        <v>575010</v>
      </c>
      <c r="AO269" s="4201"/>
      <c r="AP269" s="4201"/>
      <c r="AQ269" s="4153"/>
    </row>
    <row r="270" spans="1:301" s="2195" customFormat="1" ht="47.25" customHeight="1" x14ac:dyDescent="0.2">
      <c r="A270" s="2155"/>
      <c r="B270" s="2156"/>
      <c r="C270" s="2157"/>
      <c r="D270" s="2156"/>
      <c r="E270" s="2156"/>
      <c r="F270" s="2157"/>
      <c r="G270" s="2163"/>
      <c r="H270" s="2156"/>
      <c r="I270" s="2157"/>
      <c r="J270" s="4163">
        <v>161</v>
      </c>
      <c r="K270" s="4141" t="s">
        <v>2247</v>
      </c>
      <c r="L270" s="4138" t="s">
        <v>1905</v>
      </c>
      <c r="M270" s="4138">
        <v>100</v>
      </c>
      <c r="N270" s="4138" t="s">
        <v>2248</v>
      </c>
      <c r="O270" s="4156" t="s">
        <v>2249</v>
      </c>
      <c r="P270" s="4141" t="s">
        <v>2250</v>
      </c>
      <c r="Q270" s="4166">
        <f>SUM(V270:V275)/R270</f>
        <v>0.25432610708385361</v>
      </c>
      <c r="R270" s="4158">
        <f>SUM(V270:V281)</f>
        <v>412466385</v>
      </c>
      <c r="S270" s="4141" t="s">
        <v>2251</v>
      </c>
      <c r="T270" s="4141" t="s">
        <v>2252</v>
      </c>
      <c r="U270" s="2164" t="s">
        <v>2253</v>
      </c>
      <c r="V270" s="2237">
        <v>15000000</v>
      </c>
      <c r="W270" s="2197">
        <v>61</v>
      </c>
      <c r="X270" s="2246" t="s">
        <v>2113</v>
      </c>
      <c r="Y270" s="4138">
        <v>292684</v>
      </c>
      <c r="Z270" s="4138">
        <v>282326</v>
      </c>
      <c r="AA270" s="4138">
        <v>135912</v>
      </c>
      <c r="AB270" s="4138">
        <v>45122</v>
      </c>
      <c r="AC270" s="4138">
        <v>307101</v>
      </c>
      <c r="AD270" s="4138">
        <v>86875</v>
      </c>
      <c r="AE270" s="4138">
        <v>2145</v>
      </c>
      <c r="AF270" s="4138">
        <v>12718</v>
      </c>
      <c r="AG270" s="4138">
        <v>26</v>
      </c>
      <c r="AH270" s="4138">
        <v>37</v>
      </c>
      <c r="AI270" s="4138" t="s">
        <v>1913</v>
      </c>
      <c r="AJ270" s="4138" t="s">
        <v>1913</v>
      </c>
      <c r="AK270" s="4138">
        <v>53164</v>
      </c>
      <c r="AL270" s="4138">
        <v>16982</v>
      </c>
      <c r="AM270" s="4138">
        <v>60013</v>
      </c>
      <c r="AN270" s="4138">
        <v>575010</v>
      </c>
      <c r="AO270" s="4149">
        <v>43467</v>
      </c>
      <c r="AP270" s="4149">
        <v>43830</v>
      </c>
      <c r="AQ270" s="4136" t="s">
        <v>1914</v>
      </c>
      <c r="AR270" s="2130"/>
      <c r="AS270" s="2130"/>
      <c r="AT270" s="2130"/>
      <c r="AU270" s="2130"/>
      <c r="AV270" s="2130"/>
      <c r="AW270" s="2130"/>
      <c r="AX270" s="2130"/>
      <c r="AY270" s="2130"/>
      <c r="AZ270" s="2130"/>
      <c r="BA270" s="2130"/>
      <c r="BB270" s="2130"/>
      <c r="BC270" s="2130"/>
      <c r="BD270" s="2130"/>
      <c r="BE270" s="2130"/>
      <c r="BF270" s="2130"/>
      <c r="BG270" s="2130"/>
      <c r="BH270" s="2130"/>
      <c r="BI270" s="2130"/>
      <c r="BJ270" s="2130"/>
      <c r="BK270" s="2130"/>
      <c r="BL270" s="2130"/>
      <c r="BM270" s="2130"/>
      <c r="BN270" s="2130"/>
      <c r="BO270" s="2130"/>
      <c r="BP270" s="2130"/>
      <c r="BQ270" s="2130"/>
      <c r="BR270" s="2130"/>
      <c r="BS270" s="2130"/>
      <c r="BT270" s="2130"/>
      <c r="BU270" s="2130"/>
      <c r="BV270" s="2130"/>
      <c r="BW270" s="2130"/>
      <c r="BX270" s="2130"/>
      <c r="BY270" s="2130"/>
      <c r="BZ270" s="2130"/>
      <c r="CA270" s="2130"/>
      <c r="CB270" s="2130"/>
      <c r="CC270" s="2130"/>
      <c r="CD270" s="2130"/>
      <c r="CE270" s="2130"/>
      <c r="CF270" s="2130"/>
      <c r="CG270" s="2130"/>
      <c r="CH270" s="2130"/>
      <c r="CI270" s="2130"/>
      <c r="CJ270" s="2130"/>
      <c r="CK270" s="2130"/>
      <c r="CL270" s="2130"/>
      <c r="CM270" s="2130"/>
      <c r="CN270" s="2130"/>
      <c r="CO270" s="2130"/>
      <c r="CP270" s="2130"/>
      <c r="CQ270" s="2130"/>
      <c r="CR270" s="2130"/>
      <c r="CS270" s="2130"/>
      <c r="CT270" s="2130"/>
      <c r="CU270" s="2130"/>
      <c r="CV270" s="2130"/>
      <c r="CW270" s="2130"/>
      <c r="CX270" s="2130"/>
      <c r="CY270" s="2130"/>
      <c r="CZ270" s="2130"/>
      <c r="DA270" s="2130"/>
      <c r="DB270" s="2130"/>
      <c r="DC270" s="2130"/>
      <c r="DD270" s="2130"/>
      <c r="DE270" s="2130"/>
      <c r="DF270" s="2130"/>
      <c r="DG270" s="2130"/>
      <c r="DH270" s="2130"/>
      <c r="DI270" s="2130"/>
      <c r="DJ270" s="2130"/>
      <c r="DK270" s="2130"/>
      <c r="DL270" s="2130"/>
      <c r="DM270" s="2130"/>
      <c r="DN270" s="2130"/>
      <c r="DO270" s="2130"/>
      <c r="DP270" s="2130"/>
      <c r="DQ270" s="2130"/>
      <c r="DR270" s="2130"/>
      <c r="DS270" s="2130"/>
      <c r="DT270" s="2130"/>
      <c r="DU270" s="2130"/>
      <c r="DV270" s="2130"/>
      <c r="DW270" s="2130"/>
      <c r="DX270" s="2130"/>
      <c r="DY270" s="2130"/>
      <c r="DZ270" s="2130"/>
      <c r="EA270" s="2130"/>
      <c r="EB270" s="2130"/>
      <c r="EC270" s="2130"/>
      <c r="ED270" s="2130"/>
      <c r="EE270" s="2130"/>
      <c r="EF270" s="2130"/>
      <c r="EG270" s="2130"/>
      <c r="EH270" s="2130"/>
      <c r="EI270" s="2130"/>
      <c r="EJ270" s="2130"/>
      <c r="EK270" s="2130"/>
      <c r="EL270" s="2130"/>
      <c r="EM270" s="2130"/>
      <c r="EN270" s="2130"/>
      <c r="EO270" s="2130"/>
      <c r="EP270" s="2130"/>
      <c r="EQ270" s="2130"/>
      <c r="ER270" s="2130"/>
      <c r="ES270" s="2130"/>
      <c r="ET270" s="2130"/>
      <c r="EU270" s="2130"/>
      <c r="EV270" s="2130"/>
      <c r="EW270" s="2130"/>
      <c r="EX270" s="2130"/>
      <c r="EY270" s="2130"/>
      <c r="EZ270" s="2130"/>
      <c r="FA270" s="2130"/>
      <c r="FB270" s="2130"/>
      <c r="FC270" s="2130"/>
      <c r="FD270" s="2130"/>
      <c r="FE270" s="2130"/>
      <c r="FF270" s="2130"/>
      <c r="FG270" s="2130"/>
      <c r="FH270" s="2130"/>
      <c r="FI270" s="2130"/>
      <c r="FJ270" s="2130"/>
      <c r="FK270" s="2130"/>
      <c r="FL270" s="2130"/>
      <c r="FM270" s="2130"/>
      <c r="FN270" s="2130"/>
      <c r="FO270" s="2130"/>
      <c r="FP270" s="2130"/>
      <c r="FQ270" s="2130"/>
      <c r="FR270" s="2130"/>
      <c r="FS270" s="2130"/>
      <c r="FT270" s="2130"/>
      <c r="FU270" s="2130"/>
      <c r="FV270" s="2130"/>
      <c r="FW270" s="2130"/>
      <c r="FX270" s="2130"/>
      <c r="FY270" s="2130"/>
      <c r="FZ270" s="2130"/>
      <c r="GA270" s="2130"/>
      <c r="GB270" s="2130"/>
      <c r="GC270" s="2130"/>
      <c r="GD270" s="2130"/>
      <c r="GE270" s="2130"/>
      <c r="GF270" s="2130"/>
      <c r="GG270" s="2130"/>
      <c r="GH270" s="2130"/>
      <c r="GI270" s="2130"/>
      <c r="GJ270" s="2130"/>
      <c r="GK270" s="2130"/>
      <c r="GL270" s="2130"/>
      <c r="GM270" s="2130"/>
      <c r="GN270" s="2130"/>
      <c r="GO270" s="2130"/>
      <c r="GP270" s="2130"/>
      <c r="GQ270" s="2130"/>
      <c r="GR270" s="2130"/>
      <c r="GS270" s="2130"/>
      <c r="GT270" s="2130"/>
      <c r="GU270" s="2130"/>
      <c r="GV270" s="2130"/>
      <c r="GW270" s="2130"/>
      <c r="GX270" s="2130"/>
      <c r="GY270" s="2130"/>
      <c r="GZ270" s="2130"/>
      <c r="HA270" s="2130"/>
      <c r="HB270" s="2130"/>
      <c r="HC270" s="2130"/>
      <c r="HD270" s="2130"/>
      <c r="HE270" s="2130"/>
      <c r="HF270" s="2130"/>
      <c r="HG270" s="2130"/>
      <c r="HH270" s="2130"/>
      <c r="HI270" s="2130"/>
      <c r="HJ270" s="2130"/>
      <c r="HK270" s="2130"/>
      <c r="HL270" s="2130"/>
      <c r="HM270" s="2130"/>
      <c r="HN270" s="2130"/>
      <c r="HO270" s="2130"/>
      <c r="HP270" s="2130"/>
      <c r="HQ270" s="2130"/>
      <c r="HR270" s="2130"/>
      <c r="HS270" s="2130"/>
      <c r="HT270" s="2130"/>
      <c r="HU270" s="2130"/>
      <c r="HV270" s="2130"/>
      <c r="HW270" s="2130"/>
      <c r="HX270" s="2130"/>
      <c r="HY270" s="2130"/>
      <c r="HZ270" s="2130"/>
      <c r="IA270" s="2130"/>
      <c r="IB270" s="2130"/>
      <c r="IC270" s="2130"/>
      <c r="ID270" s="2130"/>
      <c r="IE270" s="2130"/>
      <c r="IF270" s="2130"/>
      <c r="IG270" s="2130"/>
      <c r="IH270" s="2130"/>
      <c r="II270" s="2130"/>
      <c r="IJ270" s="2130"/>
      <c r="IK270" s="2130"/>
      <c r="IL270" s="2130"/>
      <c r="IM270" s="2130"/>
      <c r="IN270" s="2130"/>
      <c r="IO270" s="2130"/>
      <c r="IP270" s="2130"/>
      <c r="IQ270" s="2130"/>
      <c r="IR270" s="2130"/>
      <c r="IS270" s="2130"/>
      <c r="IT270" s="2130"/>
      <c r="IU270" s="2130"/>
      <c r="IV270" s="2130"/>
      <c r="IW270" s="2130"/>
      <c r="IX270" s="2130"/>
      <c r="IY270" s="2130"/>
      <c r="IZ270" s="2130"/>
      <c r="JA270" s="2130"/>
      <c r="JB270" s="2130"/>
      <c r="JC270" s="2130"/>
      <c r="JD270" s="2130"/>
      <c r="JE270" s="2130"/>
      <c r="JF270" s="2130"/>
      <c r="JG270" s="2130"/>
      <c r="JH270" s="2130"/>
      <c r="JI270" s="2130"/>
      <c r="JJ270" s="2130"/>
      <c r="JK270" s="2130"/>
      <c r="JL270" s="2130"/>
      <c r="JM270" s="2130"/>
      <c r="JN270" s="2130"/>
      <c r="JO270" s="2130"/>
      <c r="JP270" s="2130"/>
      <c r="JQ270" s="2130"/>
      <c r="JR270" s="2130"/>
      <c r="JS270" s="2130"/>
      <c r="JT270" s="2130"/>
      <c r="JU270" s="2130"/>
      <c r="JV270" s="2130"/>
      <c r="JW270" s="2130"/>
      <c r="JX270" s="2130"/>
      <c r="JY270" s="2130"/>
      <c r="JZ270" s="2130"/>
      <c r="KA270" s="2130"/>
      <c r="KB270" s="2130"/>
      <c r="KC270" s="2130"/>
      <c r="KD270" s="2130"/>
      <c r="KE270" s="2130"/>
      <c r="KF270" s="2130"/>
      <c r="KG270" s="2130"/>
      <c r="KH270" s="2130"/>
      <c r="KI270" s="2130"/>
      <c r="KJ270" s="2130"/>
      <c r="KK270" s="2130"/>
      <c r="KL270" s="2130"/>
      <c r="KM270" s="2130"/>
      <c r="KN270" s="2130"/>
      <c r="KO270" s="2130"/>
    </row>
    <row r="271" spans="1:301" s="2195" customFormat="1" ht="34.5" customHeight="1" x14ac:dyDescent="0.2">
      <c r="A271" s="2155"/>
      <c r="B271" s="2156"/>
      <c r="C271" s="2157"/>
      <c r="D271" s="2156"/>
      <c r="E271" s="2156"/>
      <c r="F271" s="2157"/>
      <c r="G271" s="2163"/>
      <c r="H271" s="2156"/>
      <c r="I271" s="2157"/>
      <c r="J271" s="4164"/>
      <c r="K271" s="4142"/>
      <c r="L271" s="4139"/>
      <c r="M271" s="4139"/>
      <c r="N271" s="4139"/>
      <c r="O271" s="4157"/>
      <c r="P271" s="4142"/>
      <c r="Q271" s="4146"/>
      <c r="R271" s="4159"/>
      <c r="S271" s="4142"/>
      <c r="T271" s="4142"/>
      <c r="U271" s="4226" t="s">
        <v>2254</v>
      </c>
      <c r="V271" s="2189">
        <v>25000000</v>
      </c>
      <c r="W271" s="2197">
        <v>61</v>
      </c>
      <c r="X271" s="2251" t="s">
        <v>2113</v>
      </c>
      <c r="Y271" s="4139"/>
      <c r="Z271" s="4139">
        <v>282326</v>
      </c>
      <c r="AA271" s="4139">
        <v>135912</v>
      </c>
      <c r="AB271" s="4139">
        <v>45122</v>
      </c>
      <c r="AC271" s="4139">
        <v>307101</v>
      </c>
      <c r="AD271" s="4139">
        <v>86875</v>
      </c>
      <c r="AE271" s="4139">
        <v>2145</v>
      </c>
      <c r="AF271" s="4139">
        <v>12718</v>
      </c>
      <c r="AG271" s="4139">
        <v>26</v>
      </c>
      <c r="AH271" s="4139">
        <v>37</v>
      </c>
      <c r="AI271" s="4139" t="s">
        <v>1913</v>
      </c>
      <c r="AJ271" s="4139" t="s">
        <v>1913</v>
      </c>
      <c r="AK271" s="4139">
        <v>53164</v>
      </c>
      <c r="AL271" s="4139">
        <v>16982</v>
      </c>
      <c r="AM271" s="4139">
        <v>60013</v>
      </c>
      <c r="AN271" s="4139">
        <v>575010</v>
      </c>
      <c r="AO271" s="4150"/>
      <c r="AP271" s="4150"/>
      <c r="AQ271" s="4137"/>
      <c r="AR271" s="2130"/>
      <c r="AS271" s="2130"/>
      <c r="AT271" s="2130"/>
      <c r="AU271" s="2130"/>
      <c r="AV271" s="2130"/>
      <c r="AW271" s="2130"/>
      <c r="AX271" s="2130"/>
      <c r="AY271" s="2130"/>
      <c r="AZ271" s="2130"/>
      <c r="BA271" s="2130"/>
      <c r="BB271" s="2130"/>
      <c r="BC271" s="2130"/>
      <c r="BD271" s="2130"/>
      <c r="BE271" s="2130"/>
      <c r="BF271" s="2130"/>
      <c r="BG271" s="2130"/>
      <c r="BH271" s="2130"/>
      <c r="BI271" s="2130"/>
      <c r="BJ271" s="2130"/>
      <c r="BK271" s="2130"/>
      <c r="BL271" s="2130"/>
      <c r="BM271" s="2130"/>
      <c r="BN271" s="2130"/>
      <c r="BO271" s="2130"/>
      <c r="BP271" s="2130"/>
      <c r="BQ271" s="2130"/>
      <c r="BR271" s="2130"/>
      <c r="BS271" s="2130"/>
      <c r="BT271" s="2130"/>
      <c r="BU271" s="2130"/>
      <c r="BV271" s="2130"/>
      <c r="BW271" s="2130"/>
      <c r="BX271" s="2130"/>
      <c r="BY271" s="2130"/>
      <c r="BZ271" s="2130"/>
      <c r="CA271" s="2130"/>
      <c r="CB271" s="2130"/>
      <c r="CC271" s="2130"/>
      <c r="CD271" s="2130"/>
      <c r="CE271" s="2130"/>
      <c r="CF271" s="2130"/>
      <c r="CG271" s="2130"/>
      <c r="CH271" s="2130"/>
      <c r="CI271" s="2130"/>
      <c r="CJ271" s="2130"/>
      <c r="CK271" s="2130"/>
      <c r="CL271" s="2130"/>
      <c r="CM271" s="2130"/>
      <c r="CN271" s="2130"/>
      <c r="CO271" s="2130"/>
      <c r="CP271" s="2130"/>
      <c r="CQ271" s="2130"/>
      <c r="CR271" s="2130"/>
      <c r="CS271" s="2130"/>
      <c r="CT271" s="2130"/>
      <c r="CU271" s="2130"/>
      <c r="CV271" s="2130"/>
      <c r="CW271" s="2130"/>
      <c r="CX271" s="2130"/>
      <c r="CY271" s="2130"/>
      <c r="CZ271" s="2130"/>
      <c r="DA271" s="2130"/>
      <c r="DB271" s="2130"/>
      <c r="DC271" s="2130"/>
      <c r="DD271" s="2130"/>
      <c r="DE271" s="2130"/>
      <c r="DF271" s="2130"/>
      <c r="DG271" s="2130"/>
      <c r="DH271" s="2130"/>
      <c r="DI271" s="2130"/>
      <c r="DJ271" s="2130"/>
      <c r="DK271" s="2130"/>
      <c r="DL271" s="2130"/>
      <c r="DM271" s="2130"/>
      <c r="DN271" s="2130"/>
      <c r="DO271" s="2130"/>
      <c r="DP271" s="2130"/>
      <c r="DQ271" s="2130"/>
      <c r="DR271" s="2130"/>
      <c r="DS271" s="2130"/>
      <c r="DT271" s="2130"/>
      <c r="DU271" s="2130"/>
      <c r="DV271" s="2130"/>
      <c r="DW271" s="2130"/>
      <c r="DX271" s="2130"/>
      <c r="DY271" s="2130"/>
      <c r="DZ271" s="2130"/>
      <c r="EA271" s="2130"/>
      <c r="EB271" s="2130"/>
      <c r="EC271" s="2130"/>
      <c r="ED271" s="2130"/>
      <c r="EE271" s="2130"/>
      <c r="EF271" s="2130"/>
      <c r="EG271" s="2130"/>
      <c r="EH271" s="2130"/>
      <c r="EI271" s="2130"/>
      <c r="EJ271" s="2130"/>
      <c r="EK271" s="2130"/>
      <c r="EL271" s="2130"/>
      <c r="EM271" s="2130"/>
      <c r="EN271" s="2130"/>
      <c r="EO271" s="2130"/>
      <c r="EP271" s="2130"/>
      <c r="EQ271" s="2130"/>
      <c r="ER271" s="2130"/>
      <c r="ES271" s="2130"/>
      <c r="ET271" s="2130"/>
      <c r="EU271" s="2130"/>
      <c r="EV271" s="2130"/>
      <c r="EW271" s="2130"/>
      <c r="EX271" s="2130"/>
      <c r="EY271" s="2130"/>
      <c r="EZ271" s="2130"/>
      <c r="FA271" s="2130"/>
      <c r="FB271" s="2130"/>
      <c r="FC271" s="2130"/>
      <c r="FD271" s="2130"/>
      <c r="FE271" s="2130"/>
      <c r="FF271" s="2130"/>
      <c r="FG271" s="2130"/>
      <c r="FH271" s="2130"/>
      <c r="FI271" s="2130"/>
      <c r="FJ271" s="2130"/>
      <c r="FK271" s="2130"/>
      <c r="FL271" s="2130"/>
      <c r="FM271" s="2130"/>
      <c r="FN271" s="2130"/>
      <c r="FO271" s="2130"/>
      <c r="FP271" s="2130"/>
      <c r="FQ271" s="2130"/>
      <c r="FR271" s="2130"/>
      <c r="FS271" s="2130"/>
      <c r="FT271" s="2130"/>
      <c r="FU271" s="2130"/>
      <c r="FV271" s="2130"/>
      <c r="FW271" s="2130"/>
      <c r="FX271" s="2130"/>
      <c r="FY271" s="2130"/>
      <c r="FZ271" s="2130"/>
      <c r="GA271" s="2130"/>
      <c r="GB271" s="2130"/>
      <c r="GC271" s="2130"/>
      <c r="GD271" s="2130"/>
      <c r="GE271" s="2130"/>
      <c r="GF271" s="2130"/>
      <c r="GG271" s="2130"/>
      <c r="GH271" s="2130"/>
      <c r="GI271" s="2130"/>
      <c r="GJ271" s="2130"/>
      <c r="GK271" s="2130"/>
      <c r="GL271" s="2130"/>
      <c r="GM271" s="2130"/>
      <c r="GN271" s="2130"/>
      <c r="GO271" s="2130"/>
      <c r="GP271" s="2130"/>
      <c r="GQ271" s="2130"/>
      <c r="GR271" s="2130"/>
      <c r="GS271" s="2130"/>
      <c r="GT271" s="2130"/>
      <c r="GU271" s="2130"/>
      <c r="GV271" s="2130"/>
      <c r="GW271" s="2130"/>
      <c r="GX271" s="2130"/>
      <c r="GY271" s="2130"/>
      <c r="GZ271" s="2130"/>
      <c r="HA271" s="2130"/>
      <c r="HB271" s="2130"/>
      <c r="HC271" s="2130"/>
      <c r="HD271" s="2130"/>
      <c r="HE271" s="2130"/>
      <c r="HF271" s="2130"/>
      <c r="HG271" s="2130"/>
      <c r="HH271" s="2130"/>
      <c r="HI271" s="2130"/>
      <c r="HJ271" s="2130"/>
      <c r="HK271" s="2130"/>
      <c r="HL271" s="2130"/>
      <c r="HM271" s="2130"/>
      <c r="HN271" s="2130"/>
      <c r="HO271" s="2130"/>
      <c r="HP271" s="2130"/>
      <c r="HQ271" s="2130"/>
      <c r="HR271" s="2130"/>
      <c r="HS271" s="2130"/>
      <c r="HT271" s="2130"/>
      <c r="HU271" s="2130"/>
      <c r="HV271" s="2130"/>
      <c r="HW271" s="2130"/>
      <c r="HX271" s="2130"/>
      <c r="HY271" s="2130"/>
      <c r="HZ271" s="2130"/>
      <c r="IA271" s="2130"/>
      <c r="IB271" s="2130"/>
      <c r="IC271" s="2130"/>
      <c r="ID271" s="2130"/>
      <c r="IE271" s="2130"/>
      <c r="IF271" s="2130"/>
      <c r="IG271" s="2130"/>
      <c r="IH271" s="2130"/>
      <c r="II271" s="2130"/>
      <c r="IJ271" s="2130"/>
      <c r="IK271" s="2130"/>
      <c r="IL271" s="2130"/>
      <c r="IM271" s="2130"/>
      <c r="IN271" s="2130"/>
      <c r="IO271" s="2130"/>
      <c r="IP271" s="2130"/>
      <c r="IQ271" s="2130"/>
      <c r="IR271" s="2130"/>
      <c r="IS271" s="2130"/>
      <c r="IT271" s="2130"/>
      <c r="IU271" s="2130"/>
      <c r="IV271" s="2130"/>
      <c r="IW271" s="2130"/>
      <c r="IX271" s="2130"/>
      <c r="IY271" s="2130"/>
      <c r="IZ271" s="2130"/>
      <c r="JA271" s="2130"/>
      <c r="JB271" s="2130"/>
      <c r="JC271" s="2130"/>
      <c r="JD271" s="2130"/>
      <c r="JE271" s="2130"/>
      <c r="JF271" s="2130"/>
      <c r="JG271" s="2130"/>
      <c r="JH271" s="2130"/>
      <c r="JI271" s="2130"/>
      <c r="JJ271" s="2130"/>
      <c r="JK271" s="2130"/>
      <c r="JL271" s="2130"/>
      <c r="JM271" s="2130"/>
      <c r="JN271" s="2130"/>
      <c r="JO271" s="2130"/>
      <c r="JP271" s="2130"/>
      <c r="JQ271" s="2130"/>
      <c r="JR271" s="2130"/>
      <c r="JS271" s="2130"/>
      <c r="JT271" s="2130"/>
      <c r="JU271" s="2130"/>
      <c r="JV271" s="2130"/>
      <c r="JW271" s="2130"/>
      <c r="JX271" s="2130"/>
      <c r="JY271" s="2130"/>
      <c r="JZ271" s="2130"/>
      <c r="KA271" s="2130"/>
      <c r="KB271" s="2130"/>
      <c r="KC271" s="2130"/>
      <c r="KD271" s="2130"/>
      <c r="KE271" s="2130"/>
      <c r="KF271" s="2130"/>
      <c r="KG271" s="2130"/>
      <c r="KH271" s="2130"/>
      <c r="KI271" s="2130"/>
      <c r="KJ271" s="2130"/>
      <c r="KK271" s="2130"/>
      <c r="KL271" s="2130"/>
      <c r="KM271" s="2130"/>
      <c r="KN271" s="2130"/>
      <c r="KO271" s="2130"/>
    </row>
    <row r="272" spans="1:301" s="2195" customFormat="1" ht="39" customHeight="1" x14ac:dyDescent="0.2">
      <c r="A272" s="2155"/>
      <c r="B272" s="2156"/>
      <c r="C272" s="2157"/>
      <c r="D272" s="2156"/>
      <c r="E272" s="2156"/>
      <c r="F272" s="2157"/>
      <c r="G272" s="2163"/>
      <c r="H272" s="2156"/>
      <c r="I272" s="2157"/>
      <c r="J272" s="4164"/>
      <c r="K272" s="4142"/>
      <c r="L272" s="4139"/>
      <c r="M272" s="4139"/>
      <c r="N272" s="4139"/>
      <c r="O272" s="4157"/>
      <c r="P272" s="4142"/>
      <c r="Q272" s="4146"/>
      <c r="R272" s="4159"/>
      <c r="S272" s="4142"/>
      <c r="T272" s="4142"/>
      <c r="U272" s="4240"/>
      <c r="V272" s="2064">
        <v>14450485</v>
      </c>
      <c r="W272" s="2161">
        <v>98</v>
      </c>
      <c r="X272" s="2251" t="s">
        <v>2185</v>
      </c>
      <c r="Y272" s="4139"/>
      <c r="Z272" s="4139">
        <v>282326</v>
      </c>
      <c r="AA272" s="4139">
        <v>135912</v>
      </c>
      <c r="AB272" s="4139">
        <v>45122</v>
      </c>
      <c r="AC272" s="4139">
        <v>307101</v>
      </c>
      <c r="AD272" s="4139">
        <v>86875</v>
      </c>
      <c r="AE272" s="4139">
        <v>2145</v>
      </c>
      <c r="AF272" s="4139">
        <v>12718</v>
      </c>
      <c r="AG272" s="4139">
        <v>26</v>
      </c>
      <c r="AH272" s="4139">
        <v>37</v>
      </c>
      <c r="AI272" s="4139" t="s">
        <v>1913</v>
      </c>
      <c r="AJ272" s="4139" t="s">
        <v>1913</v>
      </c>
      <c r="AK272" s="4139">
        <v>53164</v>
      </c>
      <c r="AL272" s="4139">
        <v>16982</v>
      </c>
      <c r="AM272" s="4139">
        <v>60013</v>
      </c>
      <c r="AN272" s="4139">
        <v>575010</v>
      </c>
      <c r="AO272" s="4150"/>
      <c r="AP272" s="4150"/>
      <c r="AQ272" s="4137"/>
      <c r="AR272" s="2130"/>
      <c r="AS272" s="2130"/>
      <c r="AT272" s="2130"/>
      <c r="AU272" s="2130"/>
      <c r="AV272" s="2130"/>
      <c r="AW272" s="2130"/>
      <c r="AX272" s="2130"/>
      <c r="AY272" s="2130"/>
      <c r="AZ272" s="2130"/>
      <c r="BA272" s="2130"/>
      <c r="BB272" s="2130"/>
      <c r="BC272" s="2130"/>
      <c r="BD272" s="2130"/>
      <c r="BE272" s="2130"/>
      <c r="BF272" s="2130"/>
      <c r="BG272" s="2130"/>
      <c r="BH272" s="2130"/>
      <c r="BI272" s="2130"/>
      <c r="BJ272" s="2130"/>
      <c r="BK272" s="2130"/>
      <c r="BL272" s="2130"/>
      <c r="BM272" s="2130"/>
      <c r="BN272" s="2130"/>
      <c r="BO272" s="2130"/>
      <c r="BP272" s="2130"/>
      <c r="BQ272" s="2130"/>
      <c r="BR272" s="2130"/>
      <c r="BS272" s="2130"/>
      <c r="BT272" s="2130"/>
      <c r="BU272" s="2130"/>
      <c r="BV272" s="2130"/>
      <c r="BW272" s="2130"/>
      <c r="BX272" s="2130"/>
      <c r="BY272" s="2130"/>
      <c r="BZ272" s="2130"/>
      <c r="CA272" s="2130"/>
      <c r="CB272" s="2130"/>
      <c r="CC272" s="2130"/>
      <c r="CD272" s="2130"/>
      <c r="CE272" s="2130"/>
      <c r="CF272" s="2130"/>
      <c r="CG272" s="2130"/>
      <c r="CH272" s="2130"/>
      <c r="CI272" s="2130"/>
      <c r="CJ272" s="2130"/>
      <c r="CK272" s="2130"/>
      <c r="CL272" s="2130"/>
      <c r="CM272" s="2130"/>
      <c r="CN272" s="2130"/>
      <c r="CO272" s="2130"/>
      <c r="CP272" s="2130"/>
      <c r="CQ272" s="2130"/>
      <c r="CR272" s="2130"/>
      <c r="CS272" s="2130"/>
      <c r="CT272" s="2130"/>
      <c r="CU272" s="2130"/>
      <c r="CV272" s="2130"/>
      <c r="CW272" s="2130"/>
      <c r="CX272" s="2130"/>
      <c r="CY272" s="2130"/>
      <c r="CZ272" s="2130"/>
      <c r="DA272" s="2130"/>
      <c r="DB272" s="2130"/>
      <c r="DC272" s="2130"/>
      <c r="DD272" s="2130"/>
      <c r="DE272" s="2130"/>
      <c r="DF272" s="2130"/>
      <c r="DG272" s="2130"/>
      <c r="DH272" s="2130"/>
      <c r="DI272" s="2130"/>
      <c r="DJ272" s="2130"/>
      <c r="DK272" s="2130"/>
      <c r="DL272" s="2130"/>
      <c r="DM272" s="2130"/>
      <c r="DN272" s="2130"/>
      <c r="DO272" s="2130"/>
      <c r="DP272" s="2130"/>
      <c r="DQ272" s="2130"/>
      <c r="DR272" s="2130"/>
      <c r="DS272" s="2130"/>
      <c r="DT272" s="2130"/>
      <c r="DU272" s="2130"/>
      <c r="DV272" s="2130"/>
      <c r="DW272" s="2130"/>
      <c r="DX272" s="2130"/>
      <c r="DY272" s="2130"/>
      <c r="DZ272" s="2130"/>
      <c r="EA272" s="2130"/>
      <c r="EB272" s="2130"/>
      <c r="EC272" s="2130"/>
      <c r="ED272" s="2130"/>
      <c r="EE272" s="2130"/>
      <c r="EF272" s="2130"/>
      <c r="EG272" s="2130"/>
      <c r="EH272" s="2130"/>
      <c r="EI272" s="2130"/>
      <c r="EJ272" s="2130"/>
      <c r="EK272" s="2130"/>
      <c r="EL272" s="2130"/>
      <c r="EM272" s="2130"/>
      <c r="EN272" s="2130"/>
      <c r="EO272" s="2130"/>
      <c r="EP272" s="2130"/>
      <c r="EQ272" s="2130"/>
      <c r="ER272" s="2130"/>
      <c r="ES272" s="2130"/>
      <c r="ET272" s="2130"/>
      <c r="EU272" s="2130"/>
      <c r="EV272" s="2130"/>
      <c r="EW272" s="2130"/>
      <c r="EX272" s="2130"/>
      <c r="EY272" s="2130"/>
      <c r="EZ272" s="2130"/>
      <c r="FA272" s="2130"/>
      <c r="FB272" s="2130"/>
      <c r="FC272" s="2130"/>
      <c r="FD272" s="2130"/>
      <c r="FE272" s="2130"/>
      <c r="FF272" s="2130"/>
      <c r="FG272" s="2130"/>
      <c r="FH272" s="2130"/>
      <c r="FI272" s="2130"/>
      <c r="FJ272" s="2130"/>
      <c r="FK272" s="2130"/>
      <c r="FL272" s="2130"/>
      <c r="FM272" s="2130"/>
      <c r="FN272" s="2130"/>
      <c r="FO272" s="2130"/>
      <c r="FP272" s="2130"/>
      <c r="FQ272" s="2130"/>
      <c r="FR272" s="2130"/>
      <c r="FS272" s="2130"/>
      <c r="FT272" s="2130"/>
      <c r="FU272" s="2130"/>
      <c r="FV272" s="2130"/>
      <c r="FW272" s="2130"/>
      <c r="FX272" s="2130"/>
      <c r="FY272" s="2130"/>
      <c r="FZ272" s="2130"/>
      <c r="GA272" s="2130"/>
      <c r="GB272" s="2130"/>
      <c r="GC272" s="2130"/>
      <c r="GD272" s="2130"/>
      <c r="GE272" s="2130"/>
      <c r="GF272" s="2130"/>
      <c r="GG272" s="2130"/>
      <c r="GH272" s="2130"/>
      <c r="GI272" s="2130"/>
      <c r="GJ272" s="2130"/>
      <c r="GK272" s="2130"/>
      <c r="GL272" s="2130"/>
      <c r="GM272" s="2130"/>
      <c r="GN272" s="2130"/>
      <c r="GO272" s="2130"/>
      <c r="GP272" s="2130"/>
      <c r="GQ272" s="2130"/>
      <c r="GR272" s="2130"/>
      <c r="GS272" s="2130"/>
      <c r="GT272" s="2130"/>
      <c r="GU272" s="2130"/>
      <c r="GV272" s="2130"/>
      <c r="GW272" s="2130"/>
      <c r="GX272" s="2130"/>
      <c r="GY272" s="2130"/>
      <c r="GZ272" s="2130"/>
      <c r="HA272" s="2130"/>
      <c r="HB272" s="2130"/>
      <c r="HC272" s="2130"/>
      <c r="HD272" s="2130"/>
      <c r="HE272" s="2130"/>
      <c r="HF272" s="2130"/>
      <c r="HG272" s="2130"/>
      <c r="HH272" s="2130"/>
      <c r="HI272" s="2130"/>
      <c r="HJ272" s="2130"/>
      <c r="HK272" s="2130"/>
      <c r="HL272" s="2130"/>
      <c r="HM272" s="2130"/>
      <c r="HN272" s="2130"/>
      <c r="HO272" s="2130"/>
      <c r="HP272" s="2130"/>
      <c r="HQ272" s="2130"/>
      <c r="HR272" s="2130"/>
      <c r="HS272" s="2130"/>
      <c r="HT272" s="2130"/>
      <c r="HU272" s="2130"/>
      <c r="HV272" s="2130"/>
      <c r="HW272" s="2130"/>
      <c r="HX272" s="2130"/>
      <c r="HY272" s="2130"/>
      <c r="HZ272" s="2130"/>
      <c r="IA272" s="2130"/>
      <c r="IB272" s="2130"/>
      <c r="IC272" s="2130"/>
      <c r="ID272" s="2130"/>
      <c r="IE272" s="2130"/>
      <c r="IF272" s="2130"/>
      <c r="IG272" s="2130"/>
      <c r="IH272" s="2130"/>
      <c r="II272" s="2130"/>
      <c r="IJ272" s="2130"/>
      <c r="IK272" s="2130"/>
      <c r="IL272" s="2130"/>
      <c r="IM272" s="2130"/>
      <c r="IN272" s="2130"/>
      <c r="IO272" s="2130"/>
      <c r="IP272" s="2130"/>
      <c r="IQ272" s="2130"/>
      <c r="IR272" s="2130"/>
      <c r="IS272" s="2130"/>
      <c r="IT272" s="2130"/>
      <c r="IU272" s="2130"/>
      <c r="IV272" s="2130"/>
      <c r="IW272" s="2130"/>
      <c r="IX272" s="2130"/>
      <c r="IY272" s="2130"/>
      <c r="IZ272" s="2130"/>
      <c r="JA272" s="2130"/>
      <c r="JB272" s="2130"/>
      <c r="JC272" s="2130"/>
      <c r="JD272" s="2130"/>
      <c r="JE272" s="2130"/>
      <c r="JF272" s="2130"/>
      <c r="JG272" s="2130"/>
      <c r="JH272" s="2130"/>
      <c r="JI272" s="2130"/>
      <c r="JJ272" s="2130"/>
      <c r="JK272" s="2130"/>
      <c r="JL272" s="2130"/>
      <c r="JM272" s="2130"/>
      <c r="JN272" s="2130"/>
      <c r="JO272" s="2130"/>
      <c r="JP272" s="2130"/>
      <c r="JQ272" s="2130"/>
      <c r="JR272" s="2130"/>
      <c r="JS272" s="2130"/>
      <c r="JT272" s="2130"/>
      <c r="JU272" s="2130"/>
      <c r="JV272" s="2130"/>
      <c r="JW272" s="2130"/>
      <c r="JX272" s="2130"/>
      <c r="JY272" s="2130"/>
      <c r="JZ272" s="2130"/>
      <c r="KA272" s="2130"/>
      <c r="KB272" s="2130"/>
      <c r="KC272" s="2130"/>
      <c r="KD272" s="2130"/>
      <c r="KE272" s="2130"/>
      <c r="KF272" s="2130"/>
      <c r="KG272" s="2130"/>
      <c r="KH272" s="2130"/>
      <c r="KI272" s="2130"/>
      <c r="KJ272" s="2130"/>
      <c r="KK272" s="2130"/>
      <c r="KL272" s="2130"/>
      <c r="KM272" s="2130"/>
      <c r="KN272" s="2130"/>
      <c r="KO272" s="2130"/>
    </row>
    <row r="273" spans="1:301" s="2195" customFormat="1" ht="39" customHeight="1" x14ac:dyDescent="0.2">
      <c r="A273" s="2155"/>
      <c r="B273" s="2156"/>
      <c r="C273" s="2157"/>
      <c r="D273" s="2156"/>
      <c r="E273" s="2156"/>
      <c r="F273" s="2157"/>
      <c r="G273" s="2163"/>
      <c r="H273" s="2156"/>
      <c r="I273" s="2157"/>
      <c r="J273" s="4164"/>
      <c r="K273" s="4142"/>
      <c r="L273" s="4139"/>
      <c r="M273" s="4139"/>
      <c r="N273" s="4139"/>
      <c r="O273" s="4157"/>
      <c r="P273" s="4142"/>
      <c r="Q273" s="4146"/>
      <c r="R273" s="4159"/>
      <c r="S273" s="4142"/>
      <c r="T273" s="4142"/>
      <c r="U273" s="4226" t="s">
        <v>2255</v>
      </c>
      <c r="V273" s="2189">
        <v>25000000</v>
      </c>
      <c r="W273" s="2161">
        <v>61</v>
      </c>
      <c r="X273" s="2251" t="s">
        <v>2113</v>
      </c>
      <c r="Y273" s="4139"/>
      <c r="Z273" s="4139">
        <v>282326</v>
      </c>
      <c r="AA273" s="4139">
        <v>135912</v>
      </c>
      <c r="AB273" s="4139">
        <v>45122</v>
      </c>
      <c r="AC273" s="4139">
        <v>307101</v>
      </c>
      <c r="AD273" s="4139">
        <v>86875</v>
      </c>
      <c r="AE273" s="4139">
        <v>2145</v>
      </c>
      <c r="AF273" s="4139">
        <v>12718</v>
      </c>
      <c r="AG273" s="4139">
        <v>26</v>
      </c>
      <c r="AH273" s="4139">
        <v>37</v>
      </c>
      <c r="AI273" s="4139" t="s">
        <v>1913</v>
      </c>
      <c r="AJ273" s="4139" t="s">
        <v>1913</v>
      </c>
      <c r="AK273" s="4139">
        <v>53164</v>
      </c>
      <c r="AL273" s="4139">
        <v>16982</v>
      </c>
      <c r="AM273" s="4139">
        <v>60013</v>
      </c>
      <c r="AN273" s="4139">
        <v>575010</v>
      </c>
      <c r="AO273" s="4150"/>
      <c r="AP273" s="4150"/>
      <c r="AQ273" s="4137"/>
      <c r="AR273" s="2130"/>
      <c r="AS273" s="2130"/>
      <c r="AT273" s="2130"/>
      <c r="AU273" s="2130"/>
      <c r="AV273" s="2130"/>
      <c r="AW273" s="2130"/>
      <c r="AX273" s="2130"/>
      <c r="AY273" s="2130"/>
      <c r="AZ273" s="2130"/>
      <c r="BA273" s="2130"/>
      <c r="BB273" s="2130"/>
      <c r="BC273" s="2130"/>
      <c r="BD273" s="2130"/>
      <c r="BE273" s="2130"/>
      <c r="BF273" s="2130"/>
      <c r="BG273" s="2130"/>
      <c r="BH273" s="2130"/>
      <c r="BI273" s="2130"/>
      <c r="BJ273" s="2130"/>
      <c r="BK273" s="2130"/>
      <c r="BL273" s="2130"/>
      <c r="BM273" s="2130"/>
      <c r="BN273" s="2130"/>
      <c r="BO273" s="2130"/>
      <c r="BP273" s="2130"/>
      <c r="BQ273" s="2130"/>
      <c r="BR273" s="2130"/>
      <c r="BS273" s="2130"/>
      <c r="BT273" s="2130"/>
      <c r="BU273" s="2130"/>
      <c r="BV273" s="2130"/>
      <c r="BW273" s="2130"/>
      <c r="BX273" s="2130"/>
      <c r="BY273" s="2130"/>
      <c r="BZ273" s="2130"/>
      <c r="CA273" s="2130"/>
      <c r="CB273" s="2130"/>
      <c r="CC273" s="2130"/>
      <c r="CD273" s="2130"/>
      <c r="CE273" s="2130"/>
      <c r="CF273" s="2130"/>
      <c r="CG273" s="2130"/>
      <c r="CH273" s="2130"/>
      <c r="CI273" s="2130"/>
      <c r="CJ273" s="2130"/>
      <c r="CK273" s="2130"/>
      <c r="CL273" s="2130"/>
      <c r="CM273" s="2130"/>
      <c r="CN273" s="2130"/>
      <c r="CO273" s="2130"/>
      <c r="CP273" s="2130"/>
      <c r="CQ273" s="2130"/>
      <c r="CR273" s="2130"/>
      <c r="CS273" s="2130"/>
      <c r="CT273" s="2130"/>
      <c r="CU273" s="2130"/>
      <c r="CV273" s="2130"/>
      <c r="CW273" s="2130"/>
      <c r="CX273" s="2130"/>
      <c r="CY273" s="2130"/>
      <c r="CZ273" s="2130"/>
      <c r="DA273" s="2130"/>
      <c r="DB273" s="2130"/>
      <c r="DC273" s="2130"/>
      <c r="DD273" s="2130"/>
      <c r="DE273" s="2130"/>
      <c r="DF273" s="2130"/>
      <c r="DG273" s="2130"/>
      <c r="DH273" s="2130"/>
      <c r="DI273" s="2130"/>
      <c r="DJ273" s="2130"/>
      <c r="DK273" s="2130"/>
      <c r="DL273" s="2130"/>
      <c r="DM273" s="2130"/>
      <c r="DN273" s="2130"/>
      <c r="DO273" s="2130"/>
      <c r="DP273" s="2130"/>
      <c r="DQ273" s="2130"/>
      <c r="DR273" s="2130"/>
      <c r="DS273" s="2130"/>
      <c r="DT273" s="2130"/>
      <c r="DU273" s="2130"/>
      <c r="DV273" s="2130"/>
      <c r="DW273" s="2130"/>
      <c r="DX273" s="2130"/>
      <c r="DY273" s="2130"/>
      <c r="DZ273" s="2130"/>
      <c r="EA273" s="2130"/>
      <c r="EB273" s="2130"/>
      <c r="EC273" s="2130"/>
      <c r="ED273" s="2130"/>
      <c r="EE273" s="2130"/>
      <c r="EF273" s="2130"/>
      <c r="EG273" s="2130"/>
      <c r="EH273" s="2130"/>
      <c r="EI273" s="2130"/>
      <c r="EJ273" s="2130"/>
      <c r="EK273" s="2130"/>
      <c r="EL273" s="2130"/>
      <c r="EM273" s="2130"/>
      <c r="EN273" s="2130"/>
      <c r="EO273" s="2130"/>
      <c r="EP273" s="2130"/>
      <c r="EQ273" s="2130"/>
      <c r="ER273" s="2130"/>
      <c r="ES273" s="2130"/>
      <c r="ET273" s="2130"/>
      <c r="EU273" s="2130"/>
      <c r="EV273" s="2130"/>
      <c r="EW273" s="2130"/>
      <c r="EX273" s="2130"/>
      <c r="EY273" s="2130"/>
      <c r="EZ273" s="2130"/>
      <c r="FA273" s="2130"/>
      <c r="FB273" s="2130"/>
      <c r="FC273" s="2130"/>
      <c r="FD273" s="2130"/>
      <c r="FE273" s="2130"/>
      <c r="FF273" s="2130"/>
      <c r="FG273" s="2130"/>
      <c r="FH273" s="2130"/>
      <c r="FI273" s="2130"/>
      <c r="FJ273" s="2130"/>
      <c r="FK273" s="2130"/>
      <c r="FL273" s="2130"/>
      <c r="FM273" s="2130"/>
      <c r="FN273" s="2130"/>
      <c r="FO273" s="2130"/>
      <c r="FP273" s="2130"/>
      <c r="FQ273" s="2130"/>
      <c r="FR273" s="2130"/>
      <c r="FS273" s="2130"/>
      <c r="FT273" s="2130"/>
      <c r="FU273" s="2130"/>
      <c r="FV273" s="2130"/>
      <c r="FW273" s="2130"/>
      <c r="FX273" s="2130"/>
      <c r="FY273" s="2130"/>
      <c r="FZ273" s="2130"/>
      <c r="GA273" s="2130"/>
      <c r="GB273" s="2130"/>
      <c r="GC273" s="2130"/>
      <c r="GD273" s="2130"/>
      <c r="GE273" s="2130"/>
      <c r="GF273" s="2130"/>
      <c r="GG273" s="2130"/>
      <c r="GH273" s="2130"/>
      <c r="GI273" s="2130"/>
      <c r="GJ273" s="2130"/>
      <c r="GK273" s="2130"/>
      <c r="GL273" s="2130"/>
      <c r="GM273" s="2130"/>
      <c r="GN273" s="2130"/>
      <c r="GO273" s="2130"/>
      <c r="GP273" s="2130"/>
      <c r="GQ273" s="2130"/>
      <c r="GR273" s="2130"/>
      <c r="GS273" s="2130"/>
      <c r="GT273" s="2130"/>
      <c r="GU273" s="2130"/>
      <c r="GV273" s="2130"/>
      <c r="GW273" s="2130"/>
      <c r="GX273" s="2130"/>
      <c r="GY273" s="2130"/>
      <c r="GZ273" s="2130"/>
      <c r="HA273" s="2130"/>
      <c r="HB273" s="2130"/>
      <c r="HC273" s="2130"/>
      <c r="HD273" s="2130"/>
      <c r="HE273" s="2130"/>
      <c r="HF273" s="2130"/>
      <c r="HG273" s="2130"/>
      <c r="HH273" s="2130"/>
      <c r="HI273" s="2130"/>
      <c r="HJ273" s="2130"/>
      <c r="HK273" s="2130"/>
      <c r="HL273" s="2130"/>
      <c r="HM273" s="2130"/>
      <c r="HN273" s="2130"/>
      <c r="HO273" s="2130"/>
      <c r="HP273" s="2130"/>
      <c r="HQ273" s="2130"/>
      <c r="HR273" s="2130"/>
      <c r="HS273" s="2130"/>
      <c r="HT273" s="2130"/>
      <c r="HU273" s="2130"/>
      <c r="HV273" s="2130"/>
      <c r="HW273" s="2130"/>
      <c r="HX273" s="2130"/>
      <c r="HY273" s="2130"/>
      <c r="HZ273" s="2130"/>
      <c r="IA273" s="2130"/>
      <c r="IB273" s="2130"/>
      <c r="IC273" s="2130"/>
      <c r="ID273" s="2130"/>
      <c r="IE273" s="2130"/>
      <c r="IF273" s="2130"/>
      <c r="IG273" s="2130"/>
      <c r="IH273" s="2130"/>
      <c r="II273" s="2130"/>
      <c r="IJ273" s="2130"/>
      <c r="IK273" s="2130"/>
      <c r="IL273" s="2130"/>
      <c r="IM273" s="2130"/>
      <c r="IN273" s="2130"/>
      <c r="IO273" s="2130"/>
      <c r="IP273" s="2130"/>
      <c r="IQ273" s="2130"/>
      <c r="IR273" s="2130"/>
      <c r="IS273" s="2130"/>
      <c r="IT273" s="2130"/>
      <c r="IU273" s="2130"/>
      <c r="IV273" s="2130"/>
      <c r="IW273" s="2130"/>
      <c r="IX273" s="2130"/>
      <c r="IY273" s="2130"/>
      <c r="IZ273" s="2130"/>
      <c r="JA273" s="2130"/>
      <c r="JB273" s="2130"/>
      <c r="JC273" s="2130"/>
      <c r="JD273" s="2130"/>
      <c r="JE273" s="2130"/>
      <c r="JF273" s="2130"/>
      <c r="JG273" s="2130"/>
      <c r="JH273" s="2130"/>
      <c r="JI273" s="2130"/>
      <c r="JJ273" s="2130"/>
      <c r="JK273" s="2130"/>
      <c r="JL273" s="2130"/>
      <c r="JM273" s="2130"/>
      <c r="JN273" s="2130"/>
      <c r="JO273" s="2130"/>
      <c r="JP273" s="2130"/>
      <c r="JQ273" s="2130"/>
      <c r="JR273" s="2130"/>
      <c r="JS273" s="2130"/>
      <c r="JT273" s="2130"/>
      <c r="JU273" s="2130"/>
      <c r="JV273" s="2130"/>
      <c r="JW273" s="2130"/>
      <c r="JX273" s="2130"/>
      <c r="JY273" s="2130"/>
      <c r="JZ273" s="2130"/>
      <c r="KA273" s="2130"/>
      <c r="KB273" s="2130"/>
      <c r="KC273" s="2130"/>
      <c r="KD273" s="2130"/>
      <c r="KE273" s="2130"/>
      <c r="KF273" s="2130"/>
      <c r="KG273" s="2130"/>
      <c r="KH273" s="2130"/>
      <c r="KI273" s="2130"/>
      <c r="KJ273" s="2130"/>
      <c r="KK273" s="2130"/>
      <c r="KL273" s="2130"/>
      <c r="KM273" s="2130"/>
      <c r="KN273" s="2130"/>
      <c r="KO273" s="2130"/>
    </row>
    <row r="274" spans="1:301" s="2195" customFormat="1" ht="52.5" customHeight="1" x14ac:dyDescent="0.2">
      <c r="A274" s="2155"/>
      <c r="B274" s="2156"/>
      <c r="C274" s="2157"/>
      <c r="D274" s="2156"/>
      <c r="E274" s="2156"/>
      <c r="F274" s="2157"/>
      <c r="G274" s="2163"/>
      <c r="H274" s="2156"/>
      <c r="I274" s="2157"/>
      <c r="J274" s="4164"/>
      <c r="K274" s="4142"/>
      <c r="L274" s="4139"/>
      <c r="M274" s="4139"/>
      <c r="N274" s="4139"/>
      <c r="O274" s="4157"/>
      <c r="P274" s="4142"/>
      <c r="Q274" s="4146"/>
      <c r="R274" s="4159"/>
      <c r="S274" s="4142"/>
      <c r="T274" s="4142"/>
      <c r="U274" s="4240"/>
      <c r="V274" s="2187">
        <v>14450485</v>
      </c>
      <c r="W274" s="2161">
        <v>98</v>
      </c>
      <c r="X274" s="2251" t="s">
        <v>2185</v>
      </c>
      <c r="Y274" s="4139"/>
      <c r="Z274" s="4139">
        <v>282326</v>
      </c>
      <c r="AA274" s="4139">
        <v>135912</v>
      </c>
      <c r="AB274" s="4139">
        <v>45122</v>
      </c>
      <c r="AC274" s="4139">
        <v>307101</v>
      </c>
      <c r="AD274" s="4139">
        <v>86875</v>
      </c>
      <c r="AE274" s="4139">
        <v>2145</v>
      </c>
      <c r="AF274" s="4139">
        <v>12718</v>
      </c>
      <c r="AG274" s="4139">
        <v>26</v>
      </c>
      <c r="AH274" s="4139">
        <v>37</v>
      </c>
      <c r="AI274" s="4139" t="s">
        <v>1913</v>
      </c>
      <c r="AJ274" s="4139" t="s">
        <v>1913</v>
      </c>
      <c r="AK274" s="4139">
        <v>53164</v>
      </c>
      <c r="AL274" s="4139">
        <v>16982</v>
      </c>
      <c r="AM274" s="4139">
        <v>60013</v>
      </c>
      <c r="AN274" s="4139">
        <v>575010</v>
      </c>
      <c r="AO274" s="4150"/>
      <c r="AP274" s="4150"/>
      <c r="AQ274" s="4137"/>
      <c r="AR274" s="2130"/>
      <c r="AS274" s="2130"/>
      <c r="AT274" s="2130"/>
      <c r="AU274" s="2130"/>
      <c r="AV274" s="2130"/>
      <c r="AW274" s="2130"/>
      <c r="AX274" s="2130"/>
      <c r="AY274" s="2130"/>
      <c r="AZ274" s="2130"/>
      <c r="BA274" s="2130"/>
      <c r="BB274" s="2130"/>
      <c r="BC274" s="2130"/>
      <c r="BD274" s="2130"/>
      <c r="BE274" s="2130"/>
      <c r="BF274" s="2130"/>
      <c r="BG274" s="2130"/>
      <c r="BH274" s="2130"/>
      <c r="BI274" s="2130"/>
      <c r="BJ274" s="2130"/>
      <c r="BK274" s="2130"/>
      <c r="BL274" s="2130"/>
      <c r="BM274" s="2130"/>
      <c r="BN274" s="2130"/>
      <c r="BO274" s="2130"/>
      <c r="BP274" s="2130"/>
      <c r="BQ274" s="2130"/>
      <c r="BR274" s="2130"/>
      <c r="BS274" s="2130"/>
      <c r="BT274" s="2130"/>
      <c r="BU274" s="2130"/>
      <c r="BV274" s="2130"/>
      <c r="BW274" s="2130"/>
      <c r="BX274" s="2130"/>
      <c r="BY274" s="2130"/>
      <c r="BZ274" s="2130"/>
      <c r="CA274" s="2130"/>
      <c r="CB274" s="2130"/>
      <c r="CC274" s="2130"/>
      <c r="CD274" s="2130"/>
      <c r="CE274" s="2130"/>
      <c r="CF274" s="2130"/>
      <c r="CG274" s="2130"/>
      <c r="CH274" s="2130"/>
      <c r="CI274" s="2130"/>
      <c r="CJ274" s="2130"/>
      <c r="CK274" s="2130"/>
      <c r="CL274" s="2130"/>
      <c r="CM274" s="2130"/>
      <c r="CN274" s="2130"/>
      <c r="CO274" s="2130"/>
      <c r="CP274" s="2130"/>
      <c r="CQ274" s="2130"/>
      <c r="CR274" s="2130"/>
      <c r="CS274" s="2130"/>
      <c r="CT274" s="2130"/>
      <c r="CU274" s="2130"/>
      <c r="CV274" s="2130"/>
      <c r="CW274" s="2130"/>
      <c r="CX274" s="2130"/>
      <c r="CY274" s="2130"/>
      <c r="CZ274" s="2130"/>
      <c r="DA274" s="2130"/>
      <c r="DB274" s="2130"/>
      <c r="DC274" s="2130"/>
      <c r="DD274" s="2130"/>
      <c r="DE274" s="2130"/>
      <c r="DF274" s="2130"/>
      <c r="DG274" s="2130"/>
      <c r="DH274" s="2130"/>
      <c r="DI274" s="2130"/>
      <c r="DJ274" s="2130"/>
      <c r="DK274" s="2130"/>
      <c r="DL274" s="2130"/>
      <c r="DM274" s="2130"/>
      <c r="DN274" s="2130"/>
      <c r="DO274" s="2130"/>
      <c r="DP274" s="2130"/>
      <c r="DQ274" s="2130"/>
      <c r="DR274" s="2130"/>
      <c r="DS274" s="2130"/>
      <c r="DT274" s="2130"/>
      <c r="DU274" s="2130"/>
      <c r="DV274" s="2130"/>
      <c r="DW274" s="2130"/>
      <c r="DX274" s="2130"/>
      <c r="DY274" s="2130"/>
      <c r="DZ274" s="2130"/>
      <c r="EA274" s="2130"/>
      <c r="EB274" s="2130"/>
      <c r="EC274" s="2130"/>
      <c r="ED274" s="2130"/>
      <c r="EE274" s="2130"/>
      <c r="EF274" s="2130"/>
      <c r="EG274" s="2130"/>
      <c r="EH274" s="2130"/>
      <c r="EI274" s="2130"/>
      <c r="EJ274" s="2130"/>
      <c r="EK274" s="2130"/>
      <c r="EL274" s="2130"/>
      <c r="EM274" s="2130"/>
      <c r="EN274" s="2130"/>
      <c r="EO274" s="2130"/>
      <c r="EP274" s="2130"/>
      <c r="EQ274" s="2130"/>
      <c r="ER274" s="2130"/>
      <c r="ES274" s="2130"/>
      <c r="ET274" s="2130"/>
      <c r="EU274" s="2130"/>
      <c r="EV274" s="2130"/>
      <c r="EW274" s="2130"/>
      <c r="EX274" s="2130"/>
      <c r="EY274" s="2130"/>
      <c r="EZ274" s="2130"/>
      <c r="FA274" s="2130"/>
      <c r="FB274" s="2130"/>
      <c r="FC274" s="2130"/>
      <c r="FD274" s="2130"/>
      <c r="FE274" s="2130"/>
      <c r="FF274" s="2130"/>
      <c r="FG274" s="2130"/>
      <c r="FH274" s="2130"/>
      <c r="FI274" s="2130"/>
      <c r="FJ274" s="2130"/>
      <c r="FK274" s="2130"/>
      <c r="FL274" s="2130"/>
      <c r="FM274" s="2130"/>
      <c r="FN274" s="2130"/>
      <c r="FO274" s="2130"/>
      <c r="FP274" s="2130"/>
      <c r="FQ274" s="2130"/>
      <c r="FR274" s="2130"/>
      <c r="FS274" s="2130"/>
      <c r="FT274" s="2130"/>
      <c r="FU274" s="2130"/>
      <c r="FV274" s="2130"/>
      <c r="FW274" s="2130"/>
      <c r="FX274" s="2130"/>
      <c r="FY274" s="2130"/>
      <c r="FZ274" s="2130"/>
      <c r="GA274" s="2130"/>
      <c r="GB274" s="2130"/>
      <c r="GC274" s="2130"/>
      <c r="GD274" s="2130"/>
      <c r="GE274" s="2130"/>
      <c r="GF274" s="2130"/>
      <c r="GG274" s="2130"/>
      <c r="GH274" s="2130"/>
      <c r="GI274" s="2130"/>
      <c r="GJ274" s="2130"/>
      <c r="GK274" s="2130"/>
      <c r="GL274" s="2130"/>
      <c r="GM274" s="2130"/>
      <c r="GN274" s="2130"/>
      <c r="GO274" s="2130"/>
      <c r="GP274" s="2130"/>
      <c r="GQ274" s="2130"/>
      <c r="GR274" s="2130"/>
      <c r="GS274" s="2130"/>
      <c r="GT274" s="2130"/>
      <c r="GU274" s="2130"/>
      <c r="GV274" s="2130"/>
      <c r="GW274" s="2130"/>
      <c r="GX274" s="2130"/>
      <c r="GY274" s="2130"/>
      <c r="GZ274" s="2130"/>
      <c r="HA274" s="2130"/>
      <c r="HB274" s="2130"/>
      <c r="HC274" s="2130"/>
      <c r="HD274" s="2130"/>
      <c r="HE274" s="2130"/>
      <c r="HF274" s="2130"/>
      <c r="HG274" s="2130"/>
      <c r="HH274" s="2130"/>
      <c r="HI274" s="2130"/>
      <c r="HJ274" s="2130"/>
      <c r="HK274" s="2130"/>
      <c r="HL274" s="2130"/>
      <c r="HM274" s="2130"/>
      <c r="HN274" s="2130"/>
      <c r="HO274" s="2130"/>
      <c r="HP274" s="2130"/>
      <c r="HQ274" s="2130"/>
      <c r="HR274" s="2130"/>
      <c r="HS274" s="2130"/>
      <c r="HT274" s="2130"/>
      <c r="HU274" s="2130"/>
      <c r="HV274" s="2130"/>
      <c r="HW274" s="2130"/>
      <c r="HX274" s="2130"/>
      <c r="HY274" s="2130"/>
      <c r="HZ274" s="2130"/>
      <c r="IA274" s="2130"/>
      <c r="IB274" s="2130"/>
      <c r="IC274" s="2130"/>
      <c r="ID274" s="2130"/>
      <c r="IE274" s="2130"/>
      <c r="IF274" s="2130"/>
      <c r="IG274" s="2130"/>
      <c r="IH274" s="2130"/>
      <c r="II274" s="2130"/>
      <c r="IJ274" s="2130"/>
      <c r="IK274" s="2130"/>
      <c r="IL274" s="2130"/>
      <c r="IM274" s="2130"/>
      <c r="IN274" s="2130"/>
      <c r="IO274" s="2130"/>
      <c r="IP274" s="2130"/>
      <c r="IQ274" s="2130"/>
      <c r="IR274" s="2130"/>
      <c r="IS274" s="2130"/>
      <c r="IT274" s="2130"/>
      <c r="IU274" s="2130"/>
      <c r="IV274" s="2130"/>
      <c r="IW274" s="2130"/>
      <c r="IX274" s="2130"/>
      <c r="IY274" s="2130"/>
      <c r="IZ274" s="2130"/>
      <c r="JA274" s="2130"/>
      <c r="JB274" s="2130"/>
      <c r="JC274" s="2130"/>
      <c r="JD274" s="2130"/>
      <c r="JE274" s="2130"/>
      <c r="JF274" s="2130"/>
      <c r="JG274" s="2130"/>
      <c r="JH274" s="2130"/>
      <c r="JI274" s="2130"/>
      <c r="JJ274" s="2130"/>
      <c r="JK274" s="2130"/>
      <c r="JL274" s="2130"/>
      <c r="JM274" s="2130"/>
      <c r="JN274" s="2130"/>
      <c r="JO274" s="2130"/>
      <c r="JP274" s="2130"/>
      <c r="JQ274" s="2130"/>
      <c r="JR274" s="2130"/>
      <c r="JS274" s="2130"/>
      <c r="JT274" s="2130"/>
      <c r="JU274" s="2130"/>
      <c r="JV274" s="2130"/>
      <c r="JW274" s="2130"/>
      <c r="JX274" s="2130"/>
      <c r="JY274" s="2130"/>
      <c r="JZ274" s="2130"/>
      <c r="KA274" s="2130"/>
      <c r="KB274" s="2130"/>
      <c r="KC274" s="2130"/>
      <c r="KD274" s="2130"/>
      <c r="KE274" s="2130"/>
      <c r="KF274" s="2130"/>
      <c r="KG274" s="2130"/>
      <c r="KH274" s="2130"/>
      <c r="KI274" s="2130"/>
      <c r="KJ274" s="2130"/>
      <c r="KK274" s="2130"/>
      <c r="KL274" s="2130"/>
      <c r="KM274" s="2130"/>
      <c r="KN274" s="2130"/>
      <c r="KO274" s="2130"/>
    </row>
    <row r="275" spans="1:301" s="2195" customFormat="1" ht="40.5" customHeight="1" x14ac:dyDescent="0.2">
      <c r="A275" s="2155"/>
      <c r="B275" s="2156"/>
      <c r="C275" s="2157"/>
      <c r="D275" s="2156"/>
      <c r="E275" s="2156"/>
      <c r="F275" s="2157"/>
      <c r="G275" s="2163"/>
      <c r="H275" s="2156"/>
      <c r="I275" s="2157"/>
      <c r="J275" s="4165"/>
      <c r="K275" s="4143"/>
      <c r="L275" s="4140"/>
      <c r="M275" s="4140"/>
      <c r="N275" s="4139"/>
      <c r="O275" s="4157"/>
      <c r="P275" s="4142"/>
      <c r="Q275" s="4147"/>
      <c r="R275" s="4159"/>
      <c r="S275" s="4142"/>
      <c r="T275" s="4143"/>
      <c r="U275" s="2164" t="s">
        <v>2256</v>
      </c>
      <c r="V275" s="2189">
        <v>11000000</v>
      </c>
      <c r="W275" s="2161">
        <v>61</v>
      </c>
      <c r="X275" s="2251" t="s">
        <v>2113</v>
      </c>
      <c r="Y275" s="4139"/>
      <c r="Z275" s="4139">
        <v>282326</v>
      </c>
      <c r="AA275" s="4139">
        <v>135912</v>
      </c>
      <c r="AB275" s="4139">
        <v>45122</v>
      </c>
      <c r="AC275" s="4139">
        <v>307101</v>
      </c>
      <c r="AD275" s="4139">
        <v>86875</v>
      </c>
      <c r="AE275" s="4139">
        <v>2145</v>
      </c>
      <c r="AF275" s="4139">
        <v>12718</v>
      </c>
      <c r="AG275" s="4139">
        <v>26</v>
      </c>
      <c r="AH275" s="4139">
        <v>37</v>
      </c>
      <c r="AI275" s="4139" t="s">
        <v>1913</v>
      </c>
      <c r="AJ275" s="4139" t="s">
        <v>1913</v>
      </c>
      <c r="AK275" s="4139">
        <v>53164</v>
      </c>
      <c r="AL275" s="4139">
        <v>16982</v>
      </c>
      <c r="AM275" s="4139">
        <v>60013</v>
      </c>
      <c r="AN275" s="4139">
        <v>575010</v>
      </c>
      <c r="AO275" s="4150"/>
      <c r="AP275" s="4150"/>
      <c r="AQ275" s="4137"/>
      <c r="AR275" s="2130"/>
      <c r="AS275" s="2130"/>
      <c r="AT275" s="2130"/>
      <c r="AU275" s="2130"/>
      <c r="AV275" s="2130"/>
      <c r="AW275" s="2130"/>
      <c r="AX275" s="2130"/>
      <c r="AY275" s="2130"/>
      <c r="AZ275" s="2130"/>
      <c r="BA275" s="2130"/>
      <c r="BB275" s="2130"/>
      <c r="BC275" s="2130"/>
      <c r="BD275" s="2130"/>
      <c r="BE275" s="2130"/>
      <c r="BF275" s="2130"/>
      <c r="BG275" s="2130"/>
      <c r="BH275" s="2130"/>
      <c r="BI275" s="2130"/>
      <c r="BJ275" s="2130"/>
      <c r="BK275" s="2130"/>
      <c r="BL275" s="2130"/>
      <c r="BM275" s="2130"/>
      <c r="BN275" s="2130"/>
      <c r="BO275" s="2130"/>
      <c r="BP275" s="2130"/>
      <c r="BQ275" s="2130"/>
      <c r="BR275" s="2130"/>
      <c r="BS275" s="2130"/>
      <c r="BT275" s="2130"/>
      <c r="BU275" s="2130"/>
      <c r="BV275" s="2130"/>
      <c r="BW275" s="2130"/>
      <c r="BX275" s="2130"/>
      <c r="BY275" s="2130"/>
      <c r="BZ275" s="2130"/>
      <c r="CA275" s="2130"/>
      <c r="CB275" s="2130"/>
      <c r="CC275" s="2130"/>
      <c r="CD275" s="2130"/>
      <c r="CE275" s="2130"/>
      <c r="CF275" s="2130"/>
      <c r="CG275" s="2130"/>
      <c r="CH275" s="2130"/>
      <c r="CI275" s="2130"/>
      <c r="CJ275" s="2130"/>
      <c r="CK275" s="2130"/>
      <c r="CL275" s="2130"/>
      <c r="CM275" s="2130"/>
      <c r="CN275" s="2130"/>
      <c r="CO275" s="2130"/>
      <c r="CP275" s="2130"/>
      <c r="CQ275" s="2130"/>
      <c r="CR275" s="2130"/>
      <c r="CS275" s="2130"/>
      <c r="CT275" s="2130"/>
      <c r="CU275" s="2130"/>
      <c r="CV275" s="2130"/>
      <c r="CW275" s="2130"/>
      <c r="CX275" s="2130"/>
      <c r="CY275" s="2130"/>
      <c r="CZ275" s="2130"/>
      <c r="DA275" s="2130"/>
      <c r="DB275" s="2130"/>
      <c r="DC275" s="2130"/>
      <c r="DD275" s="2130"/>
      <c r="DE275" s="2130"/>
      <c r="DF275" s="2130"/>
      <c r="DG275" s="2130"/>
      <c r="DH275" s="2130"/>
      <c r="DI275" s="2130"/>
      <c r="DJ275" s="2130"/>
      <c r="DK275" s="2130"/>
      <c r="DL275" s="2130"/>
      <c r="DM275" s="2130"/>
      <c r="DN275" s="2130"/>
      <c r="DO275" s="2130"/>
      <c r="DP275" s="2130"/>
      <c r="DQ275" s="2130"/>
      <c r="DR275" s="2130"/>
      <c r="DS275" s="2130"/>
      <c r="DT275" s="2130"/>
      <c r="DU275" s="2130"/>
      <c r="DV275" s="2130"/>
      <c r="DW275" s="2130"/>
      <c r="DX275" s="2130"/>
      <c r="DY275" s="2130"/>
      <c r="DZ275" s="2130"/>
      <c r="EA275" s="2130"/>
      <c r="EB275" s="2130"/>
      <c r="EC275" s="2130"/>
      <c r="ED275" s="2130"/>
      <c r="EE275" s="2130"/>
      <c r="EF275" s="2130"/>
      <c r="EG275" s="2130"/>
      <c r="EH275" s="2130"/>
      <c r="EI275" s="2130"/>
      <c r="EJ275" s="2130"/>
      <c r="EK275" s="2130"/>
      <c r="EL275" s="2130"/>
      <c r="EM275" s="2130"/>
      <c r="EN275" s="2130"/>
      <c r="EO275" s="2130"/>
      <c r="EP275" s="2130"/>
      <c r="EQ275" s="2130"/>
      <c r="ER275" s="2130"/>
      <c r="ES275" s="2130"/>
      <c r="ET275" s="2130"/>
      <c r="EU275" s="2130"/>
      <c r="EV275" s="2130"/>
      <c r="EW275" s="2130"/>
      <c r="EX275" s="2130"/>
      <c r="EY275" s="2130"/>
      <c r="EZ275" s="2130"/>
      <c r="FA275" s="2130"/>
      <c r="FB275" s="2130"/>
      <c r="FC275" s="2130"/>
      <c r="FD275" s="2130"/>
      <c r="FE275" s="2130"/>
      <c r="FF275" s="2130"/>
      <c r="FG275" s="2130"/>
      <c r="FH275" s="2130"/>
      <c r="FI275" s="2130"/>
      <c r="FJ275" s="2130"/>
      <c r="FK275" s="2130"/>
      <c r="FL275" s="2130"/>
      <c r="FM275" s="2130"/>
      <c r="FN275" s="2130"/>
      <c r="FO275" s="2130"/>
      <c r="FP275" s="2130"/>
      <c r="FQ275" s="2130"/>
      <c r="FR275" s="2130"/>
      <c r="FS275" s="2130"/>
      <c r="FT275" s="2130"/>
      <c r="FU275" s="2130"/>
      <c r="FV275" s="2130"/>
      <c r="FW275" s="2130"/>
      <c r="FX275" s="2130"/>
      <c r="FY275" s="2130"/>
      <c r="FZ275" s="2130"/>
      <c r="GA275" s="2130"/>
      <c r="GB275" s="2130"/>
      <c r="GC275" s="2130"/>
      <c r="GD275" s="2130"/>
      <c r="GE275" s="2130"/>
      <c r="GF275" s="2130"/>
      <c r="GG275" s="2130"/>
      <c r="GH275" s="2130"/>
      <c r="GI275" s="2130"/>
      <c r="GJ275" s="2130"/>
      <c r="GK275" s="2130"/>
      <c r="GL275" s="2130"/>
      <c r="GM275" s="2130"/>
      <c r="GN275" s="2130"/>
      <c r="GO275" s="2130"/>
      <c r="GP275" s="2130"/>
      <c r="GQ275" s="2130"/>
      <c r="GR275" s="2130"/>
      <c r="GS275" s="2130"/>
      <c r="GT275" s="2130"/>
      <c r="GU275" s="2130"/>
      <c r="GV275" s="2130"/>
      <c r="GW275" s="2130"/>
      <c r="GX275" s="2130"/>
      <c r="GY275" s="2130"/>
      <c r="GZ275" s="2130"/>
      <c r="HA275" s="2130"/>
      <c r="HB275" s="2130"/>
      <c r="HC275" s="2130"/>
      <c r="HD275" s="2130"/>
      <c r="HE275" s="2130"/>
      <c r="HF275" s="2130"/>
      <c r="HG275" s="2130"/>
      <c r="HH275" s="2130"/>
      <c r="HI275" s="2130"/>
      <c r="HJ275" s="2130"/>
      <c r="HK275" s="2130"/>
      <c r="HL275" s="2130"/>
      <c r="HM275" s="2130"/>
      <c r="HN275" s="2130"/>
      <c r="HO275" s="2130"/>
      <c r="HP275" s="2130"/>
      <c r="HQ275" s="2130"/>
      <c r="HR275" s="2130"/>
      <c r="HS275" s="2130"/>
      <c r="HT275" s="2130"/>
      <c r="HU275" s="2130"/>
      <c r="HV275" s="2130"/>
      <c r="HW275" s="2130"/>
      <c r="HX275" s="2130"/>
      <c r="HY275" s="2130"/>
      <c r="HZ275" s="2130"/>
      <c r="IA275" s="2130"/>
      <c r="IB275" s="2130"/>
      <c r="IC275" s="2130"/>
      <c r="ID275" s="2130"/>
      <c r="IE275" s="2130"/>
      <c r="IF275" s="2130"/>
      <c r="IG275" s="2130"/>
      <c r="IH275" s="2130"/>
      <c r="II275" s="2130"/>
      <c r="IJ275" s="2130"/>
      <c r="IK275" s="2130"/>
      <c r="IL275" s="2130"/>
      <c r="IM275" s="2130"/>
      <c r="IN275" s="2130"/>
      <c r="IO275" s="2130"/>
      <c r="IP275" s="2130"/>
      <c r="IQ275" s="2130"/>
      <c r="IR275" s="2130"/>
      <c r="IS275" s="2130"/>
      <c r="IT275" s="2130"/>
      <c r="IU275" s="2130"/>
      <c r="IV275" s="2130"/>
      <c r="IW275" s="2130"/>
      <c r="IX275" s="2130"/>
      <c r="IY275" s="2130"/>
      <c r="IZ275" s="2130"/>
      <c r="JA275" s="2130"/>
      <c r="JB275" s="2130"/>
      <c r="JC275" s="2130"/>
      <c r="JD275" s="2130"/>
      <c r="JE275" s="2130"/>
      <c r="JF275" s="2130"/>
      <c r="JG275" s="2130"/>
      <c r="JH275" s="2130"/>
      <c r="JI275" s="2130"/>
      <c r="JJ275" s="2130"/>
      <c r="JK275" s="2130"/>
      <c r="JL275" s="2130"/>
      <c r="JM275" s="2130"/>
      <c r="JN275" s="2130"/>
      <c r="JO275" s="2130"/>
      <c r="JP275" s="2130"/>
      <c r="JQ275" s="2130"/>
      <c r="JR275" s="2130"/>
      <c r="JS275" s="2130"/>
      <c r="JT275" s="2130"/>
      <c r="JU275" s="2130"/>
      <c r="JV275" s="2130"/>
      <c r="JW275" s="2130"/>
      <c r="JX275" s="2130"/>
      <c r="JY275" s="2130"/>
      <c r="JZ275" s="2130"/>
      <c r="KA275" s="2130"/>
      <c r="KB275" s="2130"/>
      <c r="KC275" s="2130"/>
      <c r="KD275" s="2130"/>
      <c r="KE275" s="2130"/>
      <c r="KF275" s="2130"/>
      <c r="KG275" s="2130"/>
      <c r="KH275" s="2130"/>
      <c r="KI275" s="2130"/>
      <c r="KJ275" s="2130"/>
      <c r="KK275" s="2130"/>
      <c r="KL275" s="2130"/>
      <c r="KM275" s="2130"/>
      <c r="KN275" s="2130"/>
      <c r="KO275" s="2130"/>
    </row>
    <row r="276" spans="1:301" s="2195" customFormat="1" ht="71.25" x14ac:dyDescent="0.2">
      <c r="A276" s="2155"/>
      <c r="B276" s="2156"/>
      <c r="C276" s="2157"/>
      <c r="D276" s="2156"/>
      <c r="E276" s="2156"/>
      <c r="F276" s="2157"/>
      <c r="G276" s="2163"/>
      <c r="H276" s="2156"/>
      <c r="I276" s="2157"/>
      <c r="J276" s="4163">
        <v>162</v>
      </c>
      <c r="K276" s="4141" t="s">
        <v>2257</v>
      </c>
      <c r="L276" s="4138" t="s">
        <v>1905</v>
      </c>
      <c r="M276" s="4138">
        <v>83</v>
      </c>
      <c r="N276" s="4139"/>
      <c r="O276" s="4157"/>
      <c r="P276" s="4142"/>
      <c r="Q276" s="4166">
        <f>SUM(V276:V281)/R270</f>
        <v>0.74567389291614639</v>
      </c>
      <c r="R276" s="4159"/>
      <c r="S276" s="4142"/>
      <c r="T276" s="4141" t="s">
        <v>2258</v>
      </c>
      <c r="U276" s="2164" t="s">
        <v>2259</v>
      </c>
      <c r="V276" s="2189">
        <v>120000000</v>
      </c>
      <c r="W276" s="2161">
        <v>61</v>
      </c>
      <c r="X276" s="2251" t="s">
        <v>2113</v>
      </c>
      <c r="Y276" s="4139"/>
      <c r="Z276" s="4139">
        <v>282326</v>
      </c>
      <c r="AA276" s="4139">
        <v>135912</v>
      </c>
      <c r="AB276" s="4139">
        <v>45122</v>
      </c>
      <c r="AC276" s="4139">
        <v>307101</v>
      </c>
      <c r="AD276" s="4139">
        <v>86875</v>
      </c>
      <c r="AE276" s="4139">
        <v>2145</v>
      </c>
      <c r="AF276" s="4139">
        <v>12718</v>
      </c>
      <c r="AG276" s="4139">
        <v>26</v>
      </c>
      <c r="AH276" s="4139">
        <v>37</v>
      </c>
      <c r="AI276" s="4139" t="s">
        <v>1913</v>
      </c>
      <c r="AJ276" s="4139" t="s">
        <v>1913</v>
      </c>
      <c r="AK276" s="4139">
        <v>53164</v>
      </c>
      <c r="AL276" s="4139">
        <v>16982</v>
      </c>
      <c r="AM276" s="4139">
        <v>60013</v>
      </c>
      <c r="AN276" s="4139">
        <v>575010</v>
      </c>
      <c r="AO276" s="4150"/>
      <c r="AP276" s="4150"/>
      <c r="AQ276" s="4137"/>
      <c r="AR276" s="2130"/>
      <c r="AS276" s="2130"/>
      <c r="AT276" s="2130"/>
      <c r="AU276" s="2130"/>
      <c r="AV276" s="2130"/>
      <c r="AW276" s="2130"/>
      <c r="AX276" s="2130"/>
      <c r="AY276" s="2130"/>
      <c r="AZ276" s="2130"/>
      <c r="BA276" s="2130"/>
      <c r="BB276" s="2130"/>
      <c r="BC276" s="2130"/>
      <c r="BD276" s="2130"/>
      <c r="BE276" s="2130"/>
      <c r="BF276" s="2130"/>
      <c r="BG276" s="2130"/>
      <c r="BH276" s="2130"/>
      <c r="BI276" s="2130"/>
      <c r="BJ276" s="2130"/>
      <c r="BK276" s="2130"/>
      <c r="BL276" s="2130"/>
      <c r="BM276" s="2130"/>
      <c r="BN276" s="2130"/>
      <c r="BO276" s="2130"/>
      <c r="BP276" s="2130"/>
      <c r="BQ276" s="2130"/>
      <c r="BR276" s="2130"/>
      <c r="BS276" s="2130"/>
      <c r="BT276" s="2130"/>
      <c r="BU276" s="2130"/>
      <c r="BV276" s="2130"/>
      <c r="BW276" s="2130"/>
      <c r="BX276" s="2130"/>
      <c r="BY276" s="2130"/>
      <c r="BZ276" s="2130"/>
      <c r="CA276" s="2130"/>
      <c r="CB276" s="2130"/>
      <c r="CC276" s="2130"/>
      <c r="CD276" s="2130"/>
      <c r="CE276" s="2130"/>
      <c r="CF276" s="2130"/>
      <c r="CG276" s="2130"/>
      <c r="CH276" s="2130"/>
      <c r="CI276" s="2130"/>
      <c r="CJ276" s="2130"/>
      <c r="CK276" s="2130"/>
      <c r="CL276" s="2130"/>
      <c r="CM276" s="2130"/>
      <c r="CN276" s="2130"/>
      <c r="CO276" s="2130"/>
      <c r="CP276" s="2130"/>
      <c r="CQ276" s="2130"/>
      <c r="CR276" s="2130"/>
      <c r="CS276" s="2130"/>
      <c r="CT276" s="2130"/>
      <c r="CU276" s="2130"/>
      <c r="CV276" s="2130"/>
      <c r="CW276" s="2130"/>
      <c r="CX276" s="2130"/>
      <c r="CY276" s="2130"/>
      <c r="CZ276" s="2130"/>
      <c r="DA276" s="2130"/>
      <c r="DB276" s="2130"/>
      <c r="DC276" s="2130"/>
      <c r="DD276" s="2130"/>
      <c r="DE276" s="2130"/>
      <c r="DF276" s="2130"/>
      <c r="DG276" s="2130"/>
      <c r="DH276" s="2130"/>
      <c r="DI276" s="2130"/>
      <c r="DJ276" s="2130"/>
      <c r="DK276" s="2130"/>
      <c r="DL276" s="2130"/>
      <c r="DM276" s="2130"/>
      <c r="DN276" s="2130"/>
      <c r="DO276" s="2130"/>
      <c r="DP276" s="2130"/>
      <c r="DQ276" s="2130"/>
      <c r="DR276" s="2130"/>
      <c r="DS276" s="2130"/>
      <c r="DT276" s="2130"/>
      <c r="DU276" s="2130"/>
      <c r="DV276" s="2130"/>
      <c r="DW276" s="2130"/>
      <c r="DX276" s="2130"/>
      <c r="DY276" s="2130"/>
      <c r="DZ276" s="2130"/>
      <c r="EA276" s="2130"/>
      <c r="EB276" s="2130"/>
      <c r="EC276" s="2130"/>
      <c r="ED276" s="2130"/>
      <c r="EE276" s="2130"/>
      <c r="EF276" s="2130"/>
      <c r="EG276" s="2130"/>
      <c r="EH276" s="2130"/>
      <c r="EI276" s="2130"/>
      <c r="EJ276" s="2130"/>
      <c r="EK276" s="2130"/>
      <c r="EL276" s="2130"/>
      <c r="EM276" s="2130"/>
      <c r="EN276" s="2130"/>
      <c r="EO276" s="2130"/>
      <c r="EP276" s="2130"/>
      <c r="EQ276" s="2130"/>
      <c r="ER276" s="2130"/>
      <c r="ES276" s="2130"/>
      <c r="ET276" s="2130"/>
      <c r="EU276" s="2130"/>
      <c r="EV276" s="2130"/>
      <c r="EW276" s="2130"/>
      <c r="EX276" s="2130"/>
      <c r="EY276" s="2130"/>
      <c r="EZ276" s="2130"/>
      <c r="FA276" s="2130"/>
      <c r="FB276" s="2130"/>
      <c r="FC276" s="2130"/>
      <c r="FD276" s="2130"/>
      <c r="FE276" s="2130"/>
      <c r="FF276" s="2130"/>
      <c r="FG276" s="2130"/>
      <c r="FH276" s="2130"/>
      <c r="FI276" s="2130"/>
      <c r="FJ276" s="2130"/>
      <c r="FK276" s="2130"/>
      <c r="FL276" s="2130"/>
      <c r="FM276" s="2130"/>
      <c r="FN276" s="2130"/>
      <c r="FO276" s="2130"/>
      <c r="FP276" s="2130"/>
      <c r="FQ276" s="2130"/>
      <c r="FR276" s="2130"/>
      <c r="FS276" s="2130"/>
      <c r="FT276" s="2130"/>
      <c r="FU276" s="2130"/>
      <c r="FV276" s="2130"/>
      <c r="FW276" s="2130"/>
      <c r="FX276" s="2130"/>
      <c r="FY276" s="2130"/>
      <c r="FZ276" s="2130"/>
      <c r="GA276" s="2130"/>
      <c r="GB276" s="2130"/>
      <c r="GC276" s="2130"/>
      <c r="GD276" s="2130"/>
      <c r="GE276" s="2130"/>
      <c r="GF276" s="2130"/>
      <c r="GG276" s="2130"/>
      <c r="GH276" s="2130"/>
      <c r="GI276" s="2130"/>
      <c r="GJ276" s="2130"/>
      <c r="GK276" s="2130"/>
      <c r="GL276" s="2130"/>
      <c r="GM276" s="2130"/>
      <c r="GN276" s="2130"/>
      <c r="GO276" s="2130"/>
      <c r="GP276" s="2130"/>
      <c r="GQ276" s="2130"/>
      <c r="GR276" s="2130"/>
      <c r="GS276" s="2130"/>
      <c r="GT276" s="2130"/>
      <c r="GU276" s="2130"/>
      <c r="GV276" s="2130"/>
      <c r="GW276" s="2130"/>
      <c r="GX276" s="2130"/>
      <c r="GY276" s="2130"/>
      <c r="GZ276" s="2130"/>
      <c r="HA276" s="2130"/>
      <c r="HB276" s="2130"/>
      <c r="HC276" s="2130"/>
      <c r="HD276" s="2130"/>
      <c r="HE276" s="2130"/>
      <c r="HF276" s="2130"/>
      <c r="HG276" s="2130"/>
      <c r="HH276" s="2130"/>
      <c r="HI276" s="2130"/>
      <c r="HJ276" s="2130"/>
      <c r="HK276" s="2130"/>
      <c r="HL276" s="2130"/>
      <c r="HM276" s="2130"/>
      <c r="HN276" s="2130"/>
      <c r="HO276" s="2130"/>
      <c r="HP276" s="2130"/>
      <c r="HQ276" s="2130"/>
      <c r="HR276" s="2130"/>
      <c r="HS276" s="2130"/>
      <c r="HT276" s="2130"/>
      <c r="HU276" s="2130"/>
      <c r="HV276" s="2130"/>
      <c r="HW276" s="2130"/>
      <c r="HX276" s="2130"/>
      <c r="HY276" s="2130"/>
      <c r="HZ276" s="2130"/>
      <c r="IA276" s="2130"/>
      <c r="IB276" s="2130"/>
      <c r="IC276" s="2130"/>
      <c r="ID276" s="2130"/>
      <c r="IE276" s="2130"/>
      <c r="IF276" s="2130"/>
      <c r="IG276" s="2130"/>
      <c r="IH276" s="2130"/>
      <c r="II276" s="2130"/>
      <c r="IJ276" s="2130"/>
      <c r="IK276" s="2130"/>
      <c r="IL276" s="2130"/>
      <c r="IM276" s="2130"/>
      <c r="IN276" s="2130"/>
      <c r="IO276" s="2130"/>
      <c r="IP276" s="2130"/>
      <c r="IQ276" s="2130"/>
      <c r="IR276" s="2130"/>
      <c r="IS276" s="2130"/>
      <c r="IT276" s="2130"/>
      <c r="IU276" s="2130"/>
      <c r="IV276" s="2130"/>
      <c r="IW276" s="2130"/>
      <c r="IX276" s="2130"/>
      <c r="IY276" s="2130"/>
      <c r="IZ276" s="2130"/>
      <c r="JA276" s="2130"/>
      <c r="JB276" s="2130"/>
      <c r="JC276" s="2130"/>
      <c r="JD276" s="2130"/>
      <c r="JE276" s="2130"/>
      <c r="JF276" s="2130"/>
      <c r="JG276" s="2130"/>
      <c r="JH276" s="2130"/>
      <c r="JI276" s="2130"/>
      <c r="JJ276" s="2130"/>
      <c r="JK276" s="2130"/>
      <c r="JL276" s="2130"/>
      <c r="JM276" s="2130"/>
      <c r="JN276" s="2130"/>
      <c r="JO276" s="2130"/>
      <c r="JP276" s="2130"/>
      <c r="JQ276" s="2130"/>
      <c r="JR276" s="2130"/>
      <c r="JS276" s="2130"/>
      <c r="JT276" s="2130"/>
      <c r="JU276" s="2130"/>
      <c r="JV276" s="2130"/>
      <c r="JW276" s="2130"/>
      <c r="JX276" s="2130"/>
      <c r="JY276" s="2130"/>
      <c r="JZ276" s="2130"/>
      <c r="KA276" s="2130"/>
      <c r="KB276" s="2130"/>
      <c r="KC276" s="2130"/>
      <c r="KD276" s="2130"/>
      <c r="KE276" s="2130"/>
      <c r="KF276" s="2130"/>
      <c r="KG276" s="2130"/>
      <c r="KH276" s="2130"/>
      <c r="KI276" s="2130"/>
      <c r="KJ276" s="2130"/>
      <c r="KK276" s="2130"/>
      <c r="KL276" s="2130"/>
      <c r="KM276" s="2130"/>
      <c r="KN276" s="2130"/>
      <c r="KO276" s="2130"/>
    </row>
    <row r="277" spans="1:301" s="2195" customFormat="1" ht="44.25" customHeight="1" x14ac:dyDescent="0.2">
      <c r="A277" s="2155"/>
      <c r="B277" s="2156"/>
      <c r="C277" s="2157"/>
      <c r="D277" s="2156"/>
      <c r="E277" s="2156"/>
      <c r="F277" s="2157"/>
      <c r="G277" s="2163"/>
      <c r="H277" s="2156"/>
      <c r="I277" s="2157"/>
      <c r="J277" s="4164"/>
      <c r="K277" s="4142"/>
      <c r="L277" s="4139"/>
      <c r="M277" s="4139"/>
      <c r="N277" s="4139"/>
      <c r="O277" s="4157"/>
      <c r="P277" s="4142"/>
      <c r="Q277" s="4146"/>
      <c r="R277" s="4159"/>
      <c r="S277" s="4142"/>
      <c r="T277" s="4142"/>
      <c r="U277" s="2164" t="s">
        <v>2260</v>
      </c>
      <c r="V277" s="2189">
        <v>53800000</v>
      </c>
      <c r="W277" s="2161">
        <v>61</v>
      </c>
      <c r="X277" s="2251" t="s">
        <v>2113</v>
      </c>
      <c r="Y277" s="4139"/>
      <c r="Z277" s="4139">
        <v>282326</v>
      </c>
      <c r="AA277" s="4139">
        <v>135912</v>
      </c>
      <c r="AB277" s="4139">
        <v>45122</v>
      </c>
      <c r="AC277" s="4139">
        <v>307101</v>
      </c>
      <c r="AD277" s="4139">
        <v>86875</v>
      </c>
      <c r="AE277" s="4139">
        <v>2145</v>
      </c>
      <c r="AF277" s="4139">
        <v>12718</v>
      </c>
      <c r="AG277" s="4139">
        <v>26</v>
      </c>
      <c r="AH277" s="4139">
        <v>37</v>
      </c>
      <c r="AI277" s="4139" t="s">
        <v>1913</v>
      </c>
      <c r="AJ277" s="4139" t="s">
        <v>1913</v>
      </c>
      <c r="AK277" s="4139">
        <v>53164</v>
      </c>
      <c r="AL277" s="4139">
        <v>16982</v>
      </c>
      <c r="AM277" s="4139">
        <v>60013</v>
      </c>
      <c r="AN277" s="4139">
        <v>575010</v>
      </c>
      <c r="AO277" s="4150"/>
      <c r="AP277" s="4150"/>
      <c r="AQ277" s="4137"/>
      <c r="AR277" s="2130"/>
      <c r="AS277" s="2130"/>
      <c r="AT277" s="2130"/>
      <c r="AU277" s="2130"/>
      <c r="AV277" s="2130"/>
      <c r="AW277" s="2130"/>
      <c r="AX277" s="2130"/>
      <c r="AY277" s="2130"/>
      <c r="AZ277" s="2130"/>
      <c r="BA277" s="2130"/>
      <c r="BB277" s="2130"/>
      <c r="BC277" s="2130"/>
      <c r="BD277" s="2130"/>
      <c r="BE277" s="2130"/>
      <c r="BF277" s="2130"/>
      <c r="BG277" s="2130"/>
      <c r="BH277" s="2130"/>
      <c r="BI277" s="2130"/>
      <c r="BJ277" s="2130"/>
      <c r="BK277" s="2130"/>
      <c r="BL277" s="2130"/>
      <c r="BM277" s="2130"/>
      <c r="BN277" s="2130"/>
      <c r="BO277" s="2130"/>
      <c r="BP277" s="2130"/>
      <c r="BQ277" s="2130"/>
      <c r="BR277" s="2130"/>
      <c r="BS277" s="2130"/>
      <c r="BT277" s="2130"/>
      <c r="BU277" s="2130"/>
      <c r="BV277" s="2130"/>
      <c r="BW277" s="2130"/>
      <c r="BX277" s="2130"/>
      <c r="BY277" s="2130"/>
      <c r="BZ277" s="2130"/>
      <c r="CA277" s="2130"/>
      <c r="CB277" s="2130"/>
      <c r="CC277" s="2130"/>
      <c r="CD277" s="2130"/>
      <c r="CE277" s="2130"/>
      <c r="CF277" s="2130"/>
      <c r="CG277" s="2130"/>
      <c r="CH277" s="2130"/>
      <c r="CI277" s="2130"/>
      <c r="CJ277" s="2130"/>
      <c r="CK277" s="2130"/>
      <c r="CL277" s="2130"/>
      <c r="CM277" s="2130"/>
      <c r="CN277" s="2130"/>
      <c r="CO277" s="2130"/>
      <c r="CP277" s="2130"/>
      <c r="CQ277" s="2130"/>
      <c r="CR277" s="2130"/>
      <c r="CS277" s="2130"/>
      <c r="CT277" s="2130"/>
      <c r="CU277" s="2130"/>
      <c r="CV277" s="2130"/>
      <c r="CW277" s="2130"/>
      <c r="CX277" s="2130"/>
      <c r="CY277" s="2130"/>
      <c r="CZ277" s="2130"/>
      <c r="DA277" s="2130"/>
      <c r="DB277" s="2130"/>
      <c r="DC277" s="2130"/>
      <c r="DD277" s="2130"/>
      <c r="DE277" s="2130"/>
      <c r="DF277" s="2130"/>
      <c r="DG277" s="2130"/>
      <c r="DH277" s="2130"/>
      <c r="DI277" s="2130"/>
      <c r="DJ277" s="2130"/>
      <c r="DK277" s="2130"/>
      <c r="DL277" s="2130"/>
      <c r="DM277" s="2130"/>
      <c r="DN277" s="2130"/>
      <c r="DO277" s="2130"/>
      <c r="DP277" s="2130"/>
      <c r="DQ277" s="2130"/>
      <c r="DR277" s="2130"/>
      <c r="DS277" s="2130"/>
      <c r="DT277" s="2130"/>
      <c r="DU277" s="2130"/>
      <c r="DV277" s="2130"/>
      <c r="DW277" s="2130"/>
      <c r="DX277" s="2130"/>
      <c r="DY277" s="2130"/>
      <c r="DZ277" s="2130"/>
      <c r="EA277" s="2130"/>
      <c r="EB277" s="2130"/>
      <c r="EC277" s="2130"/>
      <c r="ED277" s="2130"/>
      <c r="EE277" s="2130"/>
      <c r="EF277" s="2130"/>
      <c r="EG277" s="2130"/>
      <c r="EH277" s="2130"/>
      <c r="EI277" s="2130"/>
      <c r="EJ277" s="2130"/>
      <c r="EK277" s="2130"/>
      <c r="EL277" s="2130"/>
      <c r="EM277" s="2130"/>
      <c r="EN277" s="2130"/>
      <c r="EO277" s="2130"/>
      <c r="EP277" s="2130"/>
      <c r="EQ277" s="2130"/>
      <c r="ER277" s="2130"/>
      <c r="ES277" s="2130"/>
      <c r="ET277" s="2130"/>
      <c r="EU277" s="2130"/>
      <c r="EV277" s="2130"/>
      <c r="EW277" s="2130"/>
      <c r="EX277" s="2130"/>
      <c r="EY277" s="2130"/>
      <c r="EZ277" s="2130"/>
      <c r="FA277" s="2130"/>
      <c r="FB277" s="2130"/>
      <c r="FC277" s="2130"/>
      <c r="FD277" s="2130"/>
      <c r="FE277" s="2130"/>
      <c r="FF277" s="2130"/>
      <c r="FG277" s="2130"/>
      <c r="FH277" s="2130"/>
      <c r="FI277" s="2130"/>
      <c r="FJ277" s="2130"/>
      <c r="FK277" s="2130"/>
      <c r="FL277" s="2130"/>
      <c r="FM277" s="2130"/>
      <c r="FN277" s="2130"/>
      <c r="FO277" s="2130"/>
      <c r="FP277" s="2130"/>
      <c r="FQ277" s="2130"/>
      <c r="FR277" s="2130"/>
      <c r="FS277" s="2130"/>
      <c r="FT277" s="2130"/>
      <c r="FU277" s="2130"/>
      <c r="FV277" s="2130"/>
      <c r="FW277" s="2130"/>
      <c r="FX277" s="2130"/>
      <c r="FY277" s="2130"/>
      <c r="FZ277" s="2130"/>
      <c r="GA277" s="2130"/>
      <c r="GB277" s="2130"/>
      <c r="GC277" s="2130"/>
      <c r="GD277" s="2130"/>
      <c r="GE277" s="2130"/>
      <c r="GF277" s="2130"/>
      <c r="GG277" s="2130"/>
      <c r="GH277" s="2130"/>
      <c r="GI277" s="2130"/>
      <c r="GJ277" s="2130"/>
      <c r="GK277" s="2130"/>
      <c r="GL277" s="2130"/>
      <c r="GM277" s="2130"/>
      <c r="GN277" s="2130"/>
      <c r="GO277" s="2130"/>
      <c r="GP277" s="2130"/>
      <c r="GQ277" s="2130"/>
      <c r="GR277" s="2130"/>
      <c r="GS277" s="2130"/>
      <c r="GT277" s="2130"/>
      <c r="GU277" s="2130"/>
      <c r="GV277" s="2130"/>
      <c r="GW277" s="2130"/>
      <c r="GX277" s="2130"/>
      <c r="GY277" s="2130"/>
      <c r="GZ277" s="2130"/>
      <c r="HA277" s="2130"/>
      <c r="HB277" s="2130"/>
      <c r="HC277" s="2130"/>
      <c r="HD277" s="2130"/>
      <c r="HE277" s="2130"/>
      <c r="HF277" s="2130"/>
      <c r="HG277" s="2130"/>
      <c r="HH277" s="2130"/>
      <c r="HI277" s="2130"/>
      <c r="HJ277" s="2130"/>
      <c r="HK277" s="2130"/>
      <c r="HL277" s="2130"/>
      <c r="HM277" s="2130"/>
      <c r="HN277" s="2130"/>
      <c r="HO277" s="2130"/>
      <c r="HP277" s="2130"/>
      <c r="HQ277" s="2130"/>
      <c r="HR277" s="2130"/>
      <c r="HS277" s="2130"/>
      <c r="HT277" s="2130"/>
      <c r="HU277" s="2130"/>
      <c r="HV277" s="2130"/>
      <c r="HW277" s="2130"/>
      <c r="HX277" s="2130"/>
      <c r="HY277" s="2130"/>
      <c r="HZ277" s="2130"/>
      <c r="IA277" s="2130"/>
      <c r="IB277" s="2130"/>
      <c r="IC277" s="2130"/>
      <c r="ID277" s="2130"/>
      <c r="IE277" s="2130"/>
      <c r="IF277" s="2130"/>
      <c r="IG277" s="2130"/>
      <c r="IH277" s="2130"/>
      <c r="II277" s="2130"/>
      <c r="IJ277" s="2130"/>
      <c r="IK277" s="2130"/>
      <c r="IL277" s="2130"/>
      <c r="IM277" s="2130"/>
      <c r="IN277" s="2130"/>
      <c r="IO277" s="2130"/>
      <c r="IP277" s="2130"/>
      <c r="IQ277" s="2130"/>
      <c r="IR277" s="2130"/>
      <c r="IS277" s="2130"/>
      <c r="IT277" s="2130"/>
      <c r="IU277" s="2130"/>
      <c r="IV277" s="2130"/>
      <c r="IW277" s="2130"/>
      <c r="IX277" s="2130"/>
      <c r="IY277" s="2130"/>
      <c r="IZ277" s="2130"/>
      <c r="JA277" s="2130"/>
      <c r="JB277" s="2130"/>
      <c r="JC277" s="2130"/>
      <c r="JD277" s="2130"/>
      <c r="JE277" s="2130"/>
      <c r="JF277" s="2130"/>
      <c r="JG277" s="2130"/>
      <c r="JH277" s="2130"/>
      <c r="JI277" s="2130"/>
      <c r="JJ277" s="2130"/>
      <c r="JK277" s="2130"/>
      <c r="JL277" s="2130"/>
      <c r="JM277" s="2130"/>
      <c r="JN277" s="2130"/>
      <c r="JO277" s="2130"/>
      <c r="JP277" s="2130"/>
      <c r="JQ277" s="2130"/>
      <c r="JR277" s="2130"/>
      <c r="JS277" s="2130"/>
      <c r="JT277" s="2130"/>
      <c r="JU277" s="2130"/>
      <c r="JV277" s="2130"/>
      <c r="JW277" s="2130"/>
      <c r="JX277" s="2130"/>
      <c r="JY277" s="2130"/>
      <c r="JZ277" s="2130"/>
      <c r="KA277" s="2130"/>
      <c r="KB277" s="2130"/>
      <c r="KC277" s="2130"/>
      <c r="KD277" s="2130"/>
      <c r="KE277" s="2130"/>
      <c r="KF277" s="2130"/>
      <c r="KG277" s="2130"/>
      <c r="KH277" s="2130"/>
      <c r="KI277" s="2130"/>
      <c r="KJ277" s="2130"/>
      <c r="KK277" s="2130"/>
      <c r="KL277" s="2130"/>
      <c r="KM277" s="2130"/>
      <c r="KN277" s="2130"/>
      <c r="KO277" s="2130"/>
    </row>
    <row r="278" spans="1:301" s="2195" customFormat="1" ht="32.25" customHeight="1" x14ac:dyDescent="0.2">
      <c r="A278" s="2155"/>
      <c r="B278" s="2156"/>
      <c r="C278" s="2157"/>
      <c r="D278" s="2156"/>
      <c r="E278" s="2156"/>
      <c r="F278" s="2157"/>
      <c r="G278" s="2163"/>
      <c r="H278" s="2156"/>
      <c r="I278" s="2157"/>
      <c r="J278" s="4164"/>
      <c r="K278" s="4142"/>
      <c r="L278" s="4139"/>
      <c r="M278" s="4139"/>
      <c r="N278" s="4139"/>
      <c r="O278" s="4157"/>
      <c r="P278" s="4142"/>
      <c r="Q278" s="4146"/>
      <c r="R278" s="4159"/>
      <c r="S278" s="4142"/>
      <c r="T278" s="4142"/>
      <c r="U278" s="4226" t="s">
        <v>2261</v>
      </c>
      <c r="V278" s="2187">
        <f>30000000+18924714</f>
        <v>48924714</v>
      </c>
      <c r="W278" s="2197">
        <v>61</v>
      </c>
      <c r="X278" s="2251" t="s">
        <v>2113</v>
      </c>
      <c r="Y278" s="4139"/>
      <c r="Z278" s="4139">
        <v>282326</v>
      </c>
      <c r="AA278" s="4139">
        <v>135912</v>
      </c>
      <c r="AB278" s="4139">
        <v>45122</v>
      </c>
      <c r="AC278" s="4139">
        <v>307101</v>
      </c>
      <c r="AD278" s="4139">
        <v>86875</v>
      </c>
      <c r="AE278" s="4139">
        <v>2145</v>
      </c>
      <c r="AF278" s="4139">
        <v>12718</v>
      </c>
      <c r="AG278" s="4139">
        <v>26</v>
      </c>
      <c r="AH278" s="4139">
        <v>37</v>
      </c>
      <c r="AI278" s="4139" t="s">
        <v>1913</v>
      </c>
      <c r="AJ278" s="4139" t="s">
        <v>1913</v>
      </c>
      <c r="AK278" s="4139">
        <v>53164</v>
      </c>
      <c r="AL278" s="4139">
        <v>16982</v>
      </c>
      <c r="AM278" s="4139">
        <v>60013</v>
      </c>
      <c r="AN278" s="4139">
        <v>575010</v>
      </c>
      <c r="AO278" s="4150"/>
      <c r="AP278" s="4150"/>
      <c r="AQ278" s="4137"/>
      <c r="AR278" s="2130"/>
      <c r="AS278" s="2130"/>
      <c r="AT278" s="2130"/>
      <c r="AU278" s="2130"/>
      <c r="AV278" s="2130"/>
      <c r="AW278" s="2130"/>
      <c r="AX278" s="2130"/>
      <c r="AY278" s="2130"/>
      <c r="AZ278" s="2130"/>
      <c r="BA278" s="2130"/>
      <c r="BB278" s="2130"/>
      <c r="BC278" s="2130"/>
      <c r="BD278" s="2130"/>
      <c r="BE278" s="2130"/>
      <c r="BF278" s="2130"/>
      <c r="BG278" s="2130"/>
      <c r="BH278" s="2130"/>
      <c r="BI278" s="2130"/>
      <c r="BJ278" s="2130"/>
      <c r="BK278" s="2130"/>
      <c r="BL278" s="2130"/>
      <c r="BM278" s="2130"/>
      <c r="BN278" s="2130"/>
      <c r="BO278" s="2130"/>
      <c r="BP278" s="2130"/>
      <c r="BQ278" s="2130"/>
      <c r="BR278" s="2130"/>
      <c r="BS278" s="2130"/>
      <c r="BT278" s="2130"/>
      <c r="BU278" s="2130"/>
      <c r="BV278" s="2130"/>
      <c r="BW278" s="2130"/>
      <c r="BX278" s="2130"/>
      <c r="BY278" s="2130"/>
      <c r="BZ278" s="2130"/>
      <c r="CA278" s="2130"/>
      <c r="CB278" s="2130"/>
      <c r="CC278" s="2130"/>
      <c r="CD278" s="2130"/>
      <c r="CE278" s="2130"/>
      <c r="CF278" s="2130"/>
      <c r="CG278" s="2130"/>
      <c r="CH278" s="2130"/>
      <c r="CI278" s="2130"/>
      <c r="CJ278" s="2130"/>
      <c r="CK278" s="2130"/>
      <c r="CL278" s="2130"/>
      <c r="CM278" s="2130"/>
      <c r="CN278" s="2130"/>
      <c r="CO278" s="2130"/>
      <c r="CP278" s="2130"/>
      <c r="CQ278" s="2130"/>
      <c r="CR278" s="2130"/>
      <c r="CS278" s="2130"/>
      <c r="CT278" s="2130"/>
      <c r="CU278" s="2130"/>
      <c r="CV278" s="2130"/>
      <c r="CW278" s="2130"/>
      <c r="CX278" s="2130"/>
      <c r="CY278" s="2130"/>
      <c r="CZ278" s="2130"/>
      <c r="DA278" s="2130"/>
      <c r="DB278" s="2130"/>
      <c r="DC278" s="2130"/>
      <c r="DD278" s="2130"/>
      <c r="DE278" s="2130"/>
      <c r="DF278" s="2130"/>
      <c r="DG278" s="2130"/>
      <c r="DH278" s="2130"/>
      <c r="DI278" s="2130"/>
      <c r="DJ278" s="2130"/>
      <c r="DK278" s="2130"/>
      <c r="DL278" s="2130"/>
      <c r="DM278" s="2130"/>
      <c r="DN278" s="2130"/>
      <c r="DO278" s="2130"/>
      <c r="DP278" s="2130"/>
      <c r="DQ278" s="2130"/>
      <c r="DR278" s="2130"/>
      <c r="DS278" s="2130"/>
      <c r="DT278" s="2130"/>
      <c r="DU278" s="2130"/>
      <c r="DV278" s="2130"/>
      <c r="DW278" s="2130"/>
      <c r="DX278" s="2130"/>
      <c r="DY278" s="2130"/>
      <c r="DZ278" s="2130"/>
      <c r="EA278" s="2130"/>
      <c r="EB278" s="2130"/>
      <c r="EC278" s="2130"/>
      <c r="ED278" s="2130"/>
      <c r="EE278" s="2130"/>
      <c r="EF278" s="2130"/>
      <c r="EG278" s="2130"/>
      <c r="EH278" s="2130"/>
      <c r="EI278" s="2130"/>
      <c r="EJ278" s="2130"/>
      <c r="EK278" s="2130"/>
      <c r="EL278" s="2130"/>
      <c r="EM278" s="2130"/>
      <c r="EN278" s="2130"/>
      <c r="EO278" s="2130"/>
      <c r="EP278" s="2130"/>
      <c r="EQ278" s="2130"/>
      <c r="ER278" s="2130"/>
      <c r="ES278" s="2130"/>
      <c r="ET278" s="2130"/>
      <c r="EU278" s="2130"/>
      <c r="EV278" s="2130"/>
      <c r="EW278" s="2130"/>
      <c r="EX278" s="2130"/>
      <c r="EY278" s="2130"/>
      <c r="EZ278" s="2130"/>
      <c r="FA278" s="2130"/>
      <c r="FB278" s="2130"/>
      <c r="FC278" s="2130"/>
      <c r="FD278" s="2130"/>
      <c r="FE278" s="2130"/>
      <c r="FF278" s="2130"/>
      <c r="FG278" s="2130"/>
      <c r="FH278" s="2130"/>
      <c r="FI278" s="2130"/>
      <c r="FJ278" s="2130"/>
      <c r="FK278" s="2130"/>
      <c r="FL278" s="2130"/>
      <c r="FM278" s="2130"/>
      <c r="FN278" s="2130"/>
      <c r="FO278" s="2130"/>
      <c r="FP278" s="2130"/>
      <c r="FQ278" s="2130"/>
      <c r="FR278" s="2130"/>
      <c r="FS278" s="2130"/>
      <c r="FT278" s="2130"/>
      <c r="FU278" s="2130"/>
      <c r="FV278" s="2130"/>
      <c r="FW278" s="2130"/>
      <c r="FX278" s="2130"/>
      <c r="FY278" s="2130"/>
      <c r="FZ278" s="2130"/>
      <c r="GA278" s="2130"/>
      <c r="GB278" s="2130"/>
      <c r="GC278" s="2130"/>
      <c r="GD278" s="2130"/>
      <c r="GE278" s="2130"/>
      <c r="GF278" s="2130"/>
      <c r="GG278" s="2130"/>
      <c r="GH278" s="2130"/>
      <c r="GI278" s="2130"/>
      <c r="GJ278" s="2130"/>
      <c r="GK278" s="2130"/>
      <c r="GL278" s="2130"/>
      <c r="GM278" s="2130"/>
      <c r="GN278" s="2130"/>
      <c r="GO278" s="2130"/>
      <c r="GP278" s="2130"/>
      <c r="GQ278" s="2130"/>
      <c r="GR278" s="2130"/>
      <c r="GS278" s="2130"/>
      <c r="GT278" s="2130"/>
      <c r="GU278" s="2130"/>
      <c r="GV278" s="2130"/>
      <c r="GW278" s="2130"/>
      <c r="GX278" s="2130"/>
      <c r="GY278" s="2130"/>
      <c r="GZ278" s="2130"/>
      <c r="HA278" s="2130"/>
      <c r="HB278" s="2130"/>
      <c r="HC278" s="2130"/>
      <c r="HD278" s="2130"/>
      <c r="HE278" s="2130"/>
      <c r="HF278" s="2130"/>
      <c r="HG278" s="2130"/>
      <c r="HH278" s="2130"/>
      <c r="HI278" s="2130"/>
      <c r="HJ278" s="2130"/>
      <c r="HK278" s="2130"/>
      <c r="HL278" s="2130"/>
      <c r="HM278" s="2130"/>
      <c r="HN278" s="2130"/>
      <c r="HO278" s="2130"/>
      <c r="HP278" s="2130"/>
      <c r="HQ278" s="2130"/>
      <c r="HR278" s="2130"/>
      <c r="HS278" s="2130"/>
      <c r="HT278" s="2130"/>
      <c r="HU278" s="2130"/>
      <c r="HV278" s="2130"/>
      <c r="HW278" s="2130"/>
      <c r="HX278" s="2130"/>
      <c r="HY278" s="2130"/>
      <c r="HZ278" s="2130"/>
      <c r="IA278" s="2130"/>
      <c r="IB278" s="2130"/>
      <c r="IC278" s="2130"/>
      <c r="ID278" s="2130"/>
      <c r="IE278" s="2130"/>
      <c r="IF278" s="2130"/>
      <c r="IG278" s="2130"/>
      <c r="IH278" s="2130"/>
      <c r="II278" s="2130"/>
      <c r="IJ278" s="2130"/>
      <c r="IK278" s="2130"/>
      <c r="IL278" s="2130"/>
      <c r="IM278" s="2130"/>
      <c r="IN278" s="2130"/>
      <c r="IO278" s="2130"/>
      <c r="IP278" s="2130"/>
      <c r="IQ278" s="2130"/>
      <c r="IR278" s="2130"/>
      <c r="IS278" s="2130"/>
      <c r="IT278" s="2130"/>
      <c r="IU278" s="2130"/>
      <c r="IV278" s="2130"/>
      <c r="IW278" s="2130"/>
      <c r="IX278" s="2130"/>
      <c r="IY278" s="2130"/>
      <c r="IZ278" s="2130"/>
      <c r="JA278" s="2130"/>
      <c r="JB278" s="2130"/>
      <c r="JC278" s="2130"/>
      <c r="JD278" s="2130"/>
      <c r="JE278" s="2130"/>
      <c r="JF278" s="2130"/>
      <c r="JG278" s="2130"/>
      <c r="JH278" s="2130"/>
      <c r="JI278" s="2130"/>
      <c r="JJ278" s="2130"/>
      <c r="JK278" s="2130"/>
      <c r="JL278" s="2130"/>
      <c r="JM278" s="2130"/>
      <c r="JN278" s="2130"/>
      <c r="JO278" s="2130"/>
      <c r="JP278" s="2130"/>
      <c r="JQ278" s="2130"/>
      <c r="JR278" s="2130"/>
      <c r="JS278" s="2130"/>
      <c r="JT278" s="2130"/>
      <c r="JU278" s="2130"/>
      <c r="JV278" s="2130"/>
      <c r="JW278" s="2130"/>
      <c r="JX278" s="2130"/>
      <c r="JY278" s="2130"/>
      <c r="JZ278" s="2130"/>
      <c r="KA278" s="2130"/>
      <c r="KB278" s="2130"/>
      <c r="KC278" s="2130"/>
      <c r="KD278" s="2130"/>
      <c r="KE278" s="2130"/>
      <c r="KF278" s="2130"/>
      <c r="KG278" s="2130"/>
      <c r="KH278" s="2130"/>
      <c r="KI278" s="2130"/>
      <c r="KJ278" s="2130"/>
      <c r="KK278" s="2130"/>
      <c r="KL278" s="2130"/>
      <c r="KM278" s="2130"/>
      <c r="KN278" s="2130"/>
      <c r="KO278" s="2130"/>
    </row>
    <row r="279" spans="1:301" s="2195" customFormat="1" ht="32.25" customHeight="1" x14ac:dyDescent="0.2">
      <c r="A279" s="2156"/>
      <c r="B279" s="2156"/>
      <c r="C279" s="2157"/>
      <c r="D279" s="2156"/>
      <c r="E279" s="2156"/>
      <c r="F279" s="2157"/>
      <c r="G279" s="2163"/>
      <c r="H279" s="2156"/>
      <c r="I279" s="2157"/>
      <c r="J279" s="4164"/>
      <c r="K279" s="4142"/>
      <c r="L279" s="4139"/>
      <c r="M279" s="4139"/>
      <c r="N279" s="4139"/>
      <c r="O279" s="4157"/>
      <c r="P279" s="4142"/>
      <c r="Q279" s="4146"/>
      <c r="R279" s="4159"/>
      <c r="S279" s="4142"/>
      <c r="T279" s="4142"/>
      <c r="U279" s="4227"/>
      <c r="V279" s="2187">
        <f>5915987+20000000</f>
        <v>25915987</v>
      </c>
      <c r="W279" s="2197">
        <v>98</v>
      </c>
      <c r="X279" s="2251" t="s">
        <v>2185</v>
      </c>
      <c r="Y279" s="4139"/>
      <c r="Z279" s="4139">
        <v>282326</v>
      </c>
      <c r="AA279" s="4139">
        <v>135912</v>
      </c>
      <c r="AB279" s="4139">
        <v>45122</v>
      </c>
      <c r="AC279" s="4139">
        <v>307101</v>
      </c>
      <c r="AD279" s="4139">
        <v>86875</v>
      </c>
      <c r="AE279" s="4139">
        <v>2145</v>
      </c>
      <c r="AF279" s="4139">
        <v>12718</v>
      </c>
      <c r="AG279" s="4139">
        <v>26</v>
      </c>
      <c r="AH279" s="4139">
        <v>37</v>
      </c>
      <c r="AI279" s="4139" t="s">
        <v>1913</v>
      </c>
      <c r="AJ279" s="4139" t="s">
        <v>1913</v>
      </c>
      <c r="AK279" s="4139">
        <v>53164</v>
      </c>
      <c r="AL279" s="4139">
        <v>16982</v>
      </c>
      <c r="AM279" s="4139">
        <v>60013</v>
      </c>
      <c r="AN279" s="4139">
        <v>575010</v>
      </c>
      <c r="AO279" s="4150"/>
      <c r="AP279" s="4150"/>
      <c r="AQ279" s="4137"/>
      <c r="AR279" s="2130"/>
      <c r="AS279" s="2130"/>
      <c r="AT279" s="2130"/>
      <c r="AU279" s="2130"/>
      <c r="AV279" s="2130"/>
      <c r="AW279" s="2130"/>
      <c r="AX279" s="2130"/>
      <c r="AY279" s="2130"/>
      <c r="AZ279" s="2130"/>
      <c r="BA279" s="2130"/>
      <c r="BB279" s="2130"/>
      <c r="BC279" s="2130"/>
      <c r="BD279" s="2130"/>
      <c r="BE279" s="2130"/>
      <c r="BF279" s="2130"/>
      <c r="BG279" s="2130"/>
      <c r="BH279" s="2130"/>
      <c r="BI279" s="2130"/>
      <c r="BJ279" s="2130"/>
      <c r="BK279" s="2130"/>
      <c r="BL279" s="2130"/>
      <c r="BM279" s="2130"/>
      <c r="BN279" s="2130"/>
      <c r="BO279" s="2130"/>
      <c r="BP279" s="2130"/>
      <c r="BQ279" s="2130"/>
      <c r="BR279" s="2130"/>
      <c r="BS279" s="2130"/>
      <c r="BT279" s="2130"/>
      <c r="BU279" s="2130"/>
      <c r="BV279" s="2130"/>
      <c r="BW279" s="2130"/>
      <c r="BX279" s="2130"/>
      <c r="BY279" s="2130"/>
      <c r="BZ279" s="2130"/>
      <c r="CA279" s="2130"/>
      <c r="CB279" s="2130"/>
      <c r="CC279" s="2130"/>
      <c r="CD279" s="2130"/>
      <c r="CE279" s="2130"/>
      <c r="CF279" s="2130"/>
      <c r="CG279" s="2130"/>
      <c r="CH279" s="2130"/>
      <c r="CI279" s="2130"/>
      <c r="CJ279" s="2130"/>
      <c r="CK279" s="2130"/>
      <c r="CL279" s="2130"/>
      <c r="CM279" s="2130"/>
      <c r="CN279" s="2130"/>
      <c r="CO279" s="2130"/>
      <c r="CP279" s="2130"/>
      <c r="CQ279" s="2130"/>
      <c r="CR279" s="2130"/>
      <c r="CS279" s="2130"/>
      <c r="CT279" s="2130"/>
      <c r="CU279" s="2130"/>
      <c r="CV279" s="2130"/>
      <c r="CW279" s="2130"/>
      <c r="CX279" s="2130"/>
      <c r="CY279" s="2130"/>
      <c r="CZ279" s="2130"/>
      <c r="DA279" s="2130"/>
      <c r="DB279" s="2130"/>
      <c r="DC279" s="2130"/>
      <c r="DD279" s="2130"/>
      <c r="DE279" s="2130"/>
      <c r="DF279" s="2130"/>
      <c r="DG279" s="2130"/>
      <c r="DH279" s="2130"/>
      <c r="DI279" s="2130"/>
      <c r="DJ279" s="2130"/>
      <c r="DK279" s="2130"/>
      <c r="DL279" s="2130"/>
      <c r="DM279" s="2130"/>
      <c r="DN279" s="2130"/>
      <c r="DO279" s="2130"/>
      <c r="DP279" s="2130"/>
      <c r="DQ279" s="2130"/>
      <c r="DR279" s="2130"/>
      <c r="DS279" s="2130"/>
      <c r="DT279" s="2130"/>
      <c r="DU279" s="2130"/>
      <c r="DV279" s="2130"/>
      <c r="DW279" s="2130"/>
      <c r="DX279" s="2130"/>
      <c r="DY279" s="2130"/>
      <c r="DZ279" s="2130"/>
      <c r="EA279" s="2130"/>
      <c r="EB279" s="2130"/>
      <c r="EC279" s="2130"/>
      <c r="ED279" s="2130"/>
      <c r="EE279" s="2130"/>
      <c r="EF279" s="2130"/>
      <c r="EG279" s="2130"/>
      <c r="EH279" s="2130"/>
      <c r="EI279" s="2130"/>
      <c r="EJ279" s="2130"/>
      <c r="EK279" s="2130"/>
      <c r="EL279" s="2130"/>
      <c r="EM279" s="2130"/>
      <c r="EN279" s="2130"/>
      <c r="EO279" s="2130"/>
      <c r="EP279" s="2130"/>
      <c r="EQ279" s="2130"/>
      <c r="ER279" s="2130"/>
      <c r="ES279" s="2130"/>
      <c r="ET279" s="2130"/>
      <c r="EU279" s="2130"/>
      <c r="EV279" s="2130"/>
      <c r="EW279" s="2130"/>
      <c r="EX279" s="2130"/>
      <c r="EY279" s="2130"/>
      <c r="EZ279" s="2130"/>
      <c r="FA279" s="2130"/>
      <c r="FB279" s="2130"/>
      <c r="FC279" s="2130"/>
      <c r="FD279" s="2130"/>
      <c r="FE279" s="2130"/>
      <c r="FF279" s="2130"/>
      <c r="FG279" s="2130"/>
      <c r="FH279" s="2130"/>
      <c r="FI279" s="2130"/>
      <c r="FJ279" s="2130"/>
      <c r="FK279" s="2130"/>
      <c r="FL279" s="2130"/>
      <c r="FM279" s="2130"/>
      <c r="FN279" s="2130"/>
      <c r="FO279" s="2130"/>
      <c r="FP279" s="2130"/>
      <c r="FQ279" s="2130"/>
      <c r="FR279" s="2130"/>
      <c r="FS279" s="2130"/>
      <c r="FT279" s="2130"/>
      <c r="FU279" s="2130"/>
      <c r="FV279" s="2130"/>
      <c r="FW279" s="2130"/>
      <c r="FX279" s="2130"/>
      <c r="FY279" s="2130"/>
      <c r="FZ279" s="2130"/>
      <c r="GA279" s="2130"/>
      <c r="GB279" s="2130"/>
      <c r="GC279" s="2130"/>
      <c r="GD279" s="2130"/>
      <c r="GE279" s="2130"/>
      <c r="GF279" s="2130"/>
      <c r="GG279" s="2130"/>
      <c r="GH279" s="2130"/>
      <c r="GI279" s="2130"/>
      <c r="GJ279" s="2130"/>
      <c r="GK279" s="2130"/>
      <c r="GL279" s="2130"/>
      <c r="GM279" s="2130"/>
      <c r="GN279" s="2130"/>
      <c r="GO279" s="2130"/>
      <c r="GP279" s="2130"/>
      <c r="GQ279" s="2130"/>
      <c r="GR279" s="2130"/>
      <c r="GS279" s="2130"/>
      <c r="GT279" s="2130"/>
      <c r="GU279" s="2130"/>
      <c r="GV279" s="2130"/>
      <c r="GW279" s="2130"/>
      <c r="GX279" s="2130"/>
      <c r="GY279" s="2130"/>
      <c r="GZ279" s="2130"/>
      <c r="HA279" s="2130"/>
      <c r="HB279" s="2130"/>
      <c r="HC279" s="2130"/>
      <c r="HD279" s="2130"/>
      <c r="HE279" s="2130"/>
      <c r="HF279" s="2130"/>
      <c r="HG279" s="2130"/>
      <c r="HH279" s="2130"/>
      <c r="HI279" s="2130"/>
      <c r="HJ279" s="2130"/>
      <c r="HK279" s="2130"/>
      <c r="HL279" s="2130"/>
      <c r="HM279" s="2130"/>
      <c r="HN279" s="2130"/>
      <c r="HO279" s="2130"/>
      <c r="HP279" s="2130"/>
      <c r="HQ279" s="2130"/>
      <c r="HR279" s="2130"/>
      <c r="HS279" s="2130"/>
      <c r="HT279" s="2130"/>
      <c r="HU279" s="2130"/>
      <c r="HV279" s="2130"/>
      <c r="HW279" s="2130"/>
      <c r="HX279" s="2130"/>
      <c r="HY279" s="2130"/>
      <c r="HZ279" s="2130"/>
      <c r="IA279" s="2130"/>
      <c r="IB279" s="2130"/>
      <c r="IC279" s="2130"/>
      <c r="ID279" s="2130"/>
      <c r="IE279" s="2130"/>
      <c r="IF279" s="2130"/>
      <c r="IG279" s="2130"/>
      <c r="IH279" s="2130"/>
      <c r="II279" s="2130"/>
      <c r="IJ279" s="2130"/>
      <c r="IK279" s="2130"/>
      <c r="IL279" s="2130"/>
      <c r="IM279" s="2130"/>
      <c r="IN279" s="2130"/>
      <c r="IO279" s="2130"/>
      <c r="IP279" s="2130"/>
      <c r="IQ279" s="2130"/>
      <c r="IR279" s="2130"/>
      <c r="IS279" s="2130"/>
      <c r="IT279" s="2130"/>
      <c r="IU279" s="2130"/>
      <c r="IV279" s="2130"/>
      <c r="IW279" s="2130"/>
      <c r="IX279" s="2130"/>
      <c r="IY279" s="2130"/>
      <c r="IZ279" s="2130"/>
      <c r="JA279" s="2130"/>
      <c r="JB279" s="2130"/>
      <c r="JC279" s="2130"/>
      <c r="JD279" s="2130"/>
      <c r="JE279" s="2130"/>
      <c r="JF279" s="2130"/>
      <c r="JG279" s="2130"/>
      <c r="JH279" s="2130"/>
      <c r="JI279" s="2130"/>
      <c r="JJ279" s="2130"/>
      <c r="JK279" s="2130"/>
      <c r="JL279" s="2130"/>
      <c r="JM279" s="2130"/>
      <c r="JN279" s="2130"/>
      <c r="JO279" s="2130"/>
      <c r="JP279" s="2130"/>
      <c r="JQ279" s="2130"/>
      <c r="JR279" s="2130"/>
      <c r="JS279" s="2130"/>
      <c r="JT279" s="2130"/>
      <c r="JU279" s="2130"/>
      <c r="JV279" s="2130"/>
      <c r="JW279" s="2130"/>
      <c r="JX279" s="2130"/>
      <c r="JY279" s="2130"/>
      <c r="JZ279" s="2130"/>
      <c r="KA279" s="2130"/>
      <c r="KB279" s="2130"/>
      <c r="KC279" s="2130"/>
      <c r="KD279" s="2130"/>
      <c r="KE279" s="2130"/>
      <c r="KF279" s="2130"/>
      <c r="KG279" s="2130"/>
      <c r="KH279" s="2130"/>
      <c r="KI279" s="2130"/>
      <c r="KJ279" s="2130"/>
      <c r="KK279" s="2130"/>
      <c r="KL279" s="2130"/>
      <c r="KM279" s="2130"/>
      <c r="KN279" s="2130"/>
      <c r="KO279" s="2130"/>
    </row>
    <row r="280" spans="1:301" s="2195" customFormat="1" ht="49.5" customHeight="1" x14ac:dyDescent="0.2">
      <c r="A280" s="2155"/>
      <c r="B280" s="2156"/>
      <c r="C280" s="2157"/>
      <c r="D280" s="2156"/>
      <c r="E280" s="2156"/>
      <c r="F280" s="2157"/>
      <c r="G280" s="2163"/>
      <c r="H280" s="2156"/>
      <c r="I280" s="2157"/>
      <c r="J280" s="4164"/>
      <c r="K280" s="4142"/>
      <c r="L280" s="4139"/>
      <c r="M280" s="4139"/>
      <c r="N280" s="4139"/>
      <c r="O280" s="4157"/>
      <c r="P280" s="4142"/>
      <c r="Q280" s="4146"/>
      <c r="R280" s="4159"/>
      <c r="S280" s="4142"/>
      <c r="T280" s="4142"/>
      <c r="U280" s="2164" t="s">
        <v>2262</v>
      </c>
      <c r="V280" s="2187">
        <f>10000000+18924714</f>
        <v>28924714</v>
      </c>
      <c r="W280" s="2197">
        <v>61</v>
      </c>
      <c r="X280" s="2251" t="s">
        <v>2113</v>
      </c>
      <c r="Y280" s="4139"/>
      <c r="Z280" s="4139">
        <v>282326</v>
      </c>
      <c r="AA280" s="4139">
        <v>135912</v>
      </c>
      <c r="AB280" s="4139">
        <v>45122</v>
      </c>
      <c r="AC280" s="4139">
        <v>307101</v>
      </c>
      <c r="AD280" s="4139">
        <v>86875</v>
      </c>
      <c r="AE280" s="4139">
        <v>2145</v>
      </c>
      <c r="AF280" s="4139">
        <v>12718</v>
      </c>
      <c r="AG280" s="4139">
        <v>26</v>
      </c>
      <c r="AH280" s="4139">
        <v>37</v>
      </c>
      <c r="AI280" s="4139" t="s">
        <v>1913</v>
      </c>
      <c r="AJ280" s="4139" t="s">
        <v>1913</v>
      </c>
      <c r="AK280" s="4139">
        <v>53164</v>
      </c>
      <c r="AL280" s="4139">
        <v>16982</v>
      </c>
      <c r="AM280" s="4139">
        <v>60013</v>
      </c>
      <c r="AN280" s="4139">
        <v>575010</v>
      </c>
      <c r="AO280" s="4150"/>
      <c r="AP280" s="4150"/>
      <c r="AQ280" s="4137"/>
      <c r="AR280" s="2130"/>
      <c r="AS280" s="2130"/>
      <c r="AT280" s="2130"/>
      <c r="AU280" s="2130"/>
      <c r="AV280" s="2130"/>
      <c r="AW280" s="2130"/>
      <c r="AX280" s="2130"/>
      <c r="AY280" s="2130"/>
      <c r="AZ280" s="2130"/>
      <c r="BA280" s="2130"/>
      <c r="BB280" s="2130"/>
      <c r="BC280" s="2130"/>
      <c r="BD280" s="2130"/>
      <c r="BE280" s="2130"/>
      <c r="BF280" s="2130"/>
      <c r="BG280" s="2130"/>
      <c r="BH280" s="2130"/>
      <c r="BI280" s="2130"/>
      <c r="BJ280" s="2130"/>
      <c r="BK280" s="2130"/>
      <c r="BL280" s="2130"/>
      <c r="BM280" s="2130"/>
      <c r="BN280" s="2130"/>
      <c r="BO280" s="2130"/>
      <c r="BP280" s="2130"/>
      <c r="BQ280" s="2130"/>
      <c r="BR280" s="2130"/>
      <c r="BS280" s="2130"/>
      <c r="BT280" s="2130"/>
      <c r="BU280" s="2130"/>
      <c r="BV280" s="2130"/>
      <c r="BW280" s="2130"/>
      <c r="BX280" s="2130"/>
      <c r="BY280" s="2130"/>
      <c r="BZ280" s="2130"/>
      <c r="CA280" s="2130"/>
      <c r="CB280" s="2130"/>
      <c r="CC280" s="2130"/>
      <c r="CD280" s="2130"/>
      <c r="CE280" s="2130"/>
      <c r="CF280" s="2130"/>
      <c r="CG280" s="2130"/>
      <c r="CH280" s="2130"/>
      <c r="CI280" s="2130"/>
      <c r="CJ280" s="2130"/>
      <c r="CK280" s="2130"/>
      <c r="CL280" s="2130"/>
      <c r="CM280" s="2130"/>
      <c r="CN280" s="2130"/>
      <c r="CO280" s="2130"/>
      <c r="CP280" s="2130"/>
      <c r="CQ280" s="2130"/>
      <c r="CR280" s="2130"/>
      <c r="CS280" s="2130"/>
      <c r="CT280" s="2130"/>
      <c r="CU280" s="2130"/>
      <c r="CV280" s="2130"/>
      <c r="CW280" s="2130"/>
      <c r="CX280" s="2130"/>
      <c r="CY280" s="2130"/>
      <c r="CZ280" s="2130"/>
      <c r="DA280" s="2130"/>
      <c r="DB280" s="2130"/>
      <c r="DC280" s="2130"/>
      <c r="DD280" s="2130"/>
      <c r="DE280" s="2130"/>
      <c r="DF280" s="2130"/>
      <c r="DG280" s="2130"/>
      <c r="DH280" s="2130"/>
      <c r="DI280" s="2130"/>
      <c r="DJ280" s="2130"/>
      <c r="DK280" s="2130"/>
      <c r="DL280" s="2130"/>
      <c r="DM280" s="2130"/>
      <c r="DN280" s="2130"/>
      <c r="DO280" s="2130"/>
      <c r="DP280" s="2130"/>
      <c r="DQ280" s="2130"/>
      <c r="DR280" s="2130"/>
      <c r="DS280" s="2130"/>
      <c r="DT280" s="2130"/>
      <c r="DU280" s="2130"/>
      <c r="DV280" s="2130"/>
      <c r="DW280" s="2130"/>
      <c r="DX280" s="2130"/>
      <c r="DY280" s="2130"/>
      <c r="DZ280" s="2130"/>
      <c r="EA280" s="2130"/>
      <c r="EB280" s="2130"/>
      <c r="EC280" s="2130"/>
      <c r="ED280" s="2130"/>
      <c r="EE280" s="2130"/>
      <c r="EF280" s="2130"/>
      <c r="EG280" s="2130"/>
      <c r="EH280" s="2130"/>
      <c r="EI280" s="2130"/>
      <c r="EJ280" s="2130"/>
      <c r="EK280" s="2130"/>
      <c r="EL280" s="2130"/>
      <c r="EM280" s="2130"/>
      <c r="EN280" s="2130"/>
      <c r="EO280" s="2130"/>
      <c r="EP280" s="2130"/>
      <c r="EQ280" s="2130"/>
      <c r="ER280" s="2130"/>
      <c r="ES280" s="2130"/>
      <c r="ET280" s="2130"/>
      <c r="EU280" s="2130"/>
      <c r="EV280" s="2130"/>
      <c r="EW280" s="2130"/>
      <c r="EX280" s="2130"/>
      <c r="EY280" s="2130"/>
      <c r="EZ280" s="2130"/>
      <c r="FA280" s="2130"/>
      <c r="FB280" s="2130"/>
      <c r="FC280" s="2130"/>
      <c r="FD280" s="2130"/>
      <c r="FE280" s="2130"/>
      <c r="FF280" s="2130"/>
      <c r="FG280" s="2130"/>
      <c r="FH280" s="2130"/>
      <c r="FI280" s="2130"/>
      <c r="FJ280" s="2130"/>
      <c r="FK280" s="2130"/>
      <c r="FL280" s="2130"/>
      <c r="FM280" s="2130"/>
      <c r="FN280" s="2130"/>
      <c r="FO280" s="2130"/>
      <c r="FP280" s="2130"/>
      <c r="FQ280" s="2130"/>
      <c r="FR280" s="2130"/>
      <c r="FS280" s="2130"/>
      <c r="FT280" s="2130"/>
      <c r="FU280" s="2130"/>
      <c r="FV280" s="2130"/>
      <c r="FW280" s="2130"/>
      <c r="FX280" s="2130"/>
      <c r="FY280" s="2130"/>
      <c r="FZ280" s="2130"/>
      <c r="GA280" s="2130"/>
      <c r="GB280" s="2130"/>
      <c r="GC280" s="2130"/>
      <c r="GD280" s="2130"/>
      <c r="GE280" s="2130"/>
      <c r="GF280" s="2130"/>
      <c r="GG280" s="2130"/>
      <c r="GH280" s="2130"/>
      <c r="GI280" s="2130"/>
      <c r="GJ280" s="2130"/>
      <c r="GK280" s="2130"/>
      <c r="GL280" s="2130"/>
      <c r="GM280" s="2130"/>
      <c r="GN280" s="2130"/>
      <c r="GO280" s="2130"/>
      <c r="GP280" s="2130"/>
      <c r="GQ280" s="2130"/>
      <c r="GR280" s="2130"/>
      <c r="GS280" s="2130"/>
      <c r="GT280" s="2130"/>
      <c r="GU280" s="2130"/>
      <c r="GV280" s="2130"/>
      <c r="GW280" s="2130"/>
      <c r="GX280" s="2130"/>
      <c r="GY280" s="2130"/>
      <c r="GZ280" s="2130"/>
      <c r="HA280" s="2130"/>
      <c r="HB280" s="2130"/>
      <c r="HC280" s="2130"/>
      <c r="HD280" s="2130"/>
      <c r="HE280" s="2130"/>
      <c r="HF280" s="2130"/>
      <c r="HG280" s="2130"/>
      <c r="HH280" s="2130"/>
      <c r="HI280" s="2130"/>
      <c r="HJ280" s="2130"/>
      <c r="HK280" s="2130"/>
      <c r="HL280" s="2130"/>
      <c r="HM280" s="2130"/>
      <c r="HN280" s="2130"/>
      <c r="HO280" s="2130"/>
      <c r="HP280" s="2130"/>
      <c r="HQ280" s="2130"/>
      <c r="HR280" s="2130"/>
      <c r="HS280" s="2130"/>
      <c r="HT280" s="2130"/>
      <c r="HU280" s="2130"/>
      <c r="HV280" s="2130"/>
      <c r="HW280" s="2130"/>
      <c r="HX280" s="2130"/>
      <c r="HY280" s="2130"/>
      <c r="HZ280" s="2130"/>
      <c r="IA280" s="2130"/>
      <c r="IB280" s="2130"/>
      <c r="IC280" s="2130"/>
      <c r="ID280" s="2130"/>
      <c r="IE280" s="2130"/>
      <c r="IF280" s="2130"/>
      <c r="IG280" s="2130"/>
      <c r="IH280" s="2130"/>
      <c r="II280" s="2130"/>
      <c r="IJ280" s="2130"/>
      <c r="IK280" s="2130"/>
      <c r="IL280" s="2130"/>
      <c r="IM280" s="2130"/>
      <c r="IN280" s="2130"/>
      <c r="IO280" s="2130"/>
      <c r="IP280" s="2130"/>
      <c r="IQ280" s="2130"/>
      <c r="IR280" s="2130"/>
      <c r="IS280" s="2130"/>
      <c r="IT280" s="2130"/>
      <c r="IU280" s="2130"/>
      <c r="IV280" s="2130"/>
      <c r="IW280" s="2130"/>
      <c r="IX280" s="2130"/>
      <c r="IY280" s="2130"/>
      <c r="IZ280" s="2130"/>
      <c r="JA280" s="2130"/>
      <c r="JB280" s="2130"/>
      <c r="JC280" s="2130"/>
      <c r="JD280" s="2130"/>
      <c r="JE280" s="2130"/>
      <c r="JF280" s="2130"/>
      <c r="JG280" s="2130"/>
      <c r="JH280" s="2130"/>
      <c r="JI280" s="2130"/>
      <c r="JJ280" s="2130"/>
      <c r="JK280" s="2130"/>
      <c r="JL280" s="2130"/>
      <c r="JM280" s="2130"/>
      <c r="JN280" s="2130"/>
      <c r="JO280" s="2130"/>
      <c r="JP280" s="2130"/>
      <c r="JQ280" s="2130"/>
      <c r="JR280" s="2130"/>
      <c r="JS280" s="2130"/>
      <c r="JT280" s="2130"/>
      <c r="JU280" s="2130"/>
      <c r="JV280" s="2130"/>
      <c r="JW280" s="2130"/>
      <c r="JX280" s="2130"/>
      <c r="JY280" s="2130"/>
      <c r="JZ280" s="2130"/>
      <c r="KA280" s="2130"/>
      <c r="KB280" s="2130"/>
      <c r="KC280" s="2130"/>
      <c r="KD280" s="2130"/>
      <c r="KE280" s="2130"/>
      <c r="KF280" s="2130"/>
      <c r="KG280" s="2130"/>
      <c r="KH280" s="2130"/>
      <c r="KI280" s="2130"/>
      <c r="KJ280" s="2130"/>
      <c r="KK280" s="2130"/>
      <c r="KL280" s="2130"/>
      <c r="KM280" s="2130"/>
      <c r="KN280" s="2130"/>
      <c r="KO280" s="2130"/>
    </row>
    <row r="281" spans="1:301" s="2195" customFormat="1" ht="85.5" x14ac:dyDescent="0.2">
      <c r="A281" s="2155"/>
      <c r="B281" s="2156"/>
      <c r="C281" s="2157"/>
      <c r="D281" s="2165"/>
      <c r="E281" s="2165"/>
      <c r="F281" s="2166"/>
      <c r="G281" s="2167"/>
      <c r="H281" s="2165"/>
      <c r="I281" s="2166"/>
      <c r="J281" s="4165"/>
      <c r="K281" s="4142"/>
      <c r="L281" s="4139"/>
      <c r="M281" s="4139"/>
      <c r="N281" s="4139"/>
      <c r="O281" s="4157"/>
      <c r="P281" s="4142"/>
      <c r="Q281" s="4146"/>
      <c r="R281" s="4159"/>
      <c r="S281" s="4142"/>
      <c r="T281" s="4142"/>
      <c r="U281" s="2164" t="s">
        <v>2263</v>
      </c>
      <c r="V281" s="2187">
        <v>30000000</v>
      </c>
      <c r="W281" s="2197">
        <v>61</v>
      </c>
      <c r="X281" s="2251" t="s">
        <v>2113</v>
      </c>
      <c r="Y281" s="4139"/>
      <c r="Z281" s="4139">
        <v>282326</v>
      </c>
      <c r="AA281" s="4139">
        <v>135912</v>
      </c>
      <c r="AB281" s="4139">
        <v>45122</v>
      </c>
      <c r="AC281" s="4139">
        <v>307101</v>
      </c>
      <c r="AD281" s="4139">
        <v>86875</v>
      </c>
      <c r="AE281" s="4139">
        <v>2145</v>
      </c>
      <c r="AF281" s="4139">
        <v>12718</v>
      </c>
      <c r="AG281" s="4139">
        <v>26</v>
      </c>
      <c r="AH281" s="4139">
        <v>37</v>
      </c>
      <c r="AI281" s="4139" t="s">
        <v>1913</v>
      </c>
      <c r="AJ281" s="4139" t="s">
        <v>1913</v>
      </c>
      <c r="AK281" s="4139">
        <v>53164</v>
      </c>
      <c r="AL281" s="4139">
        <v>16982</v>
      </c>
      <c r="AM281" s="4139">
        <v>60013</v>
      </c>
      <c r="AN281" s="4139">
        <v>575010</v>
      </c>
      <c r="AO281" s="4150"/>
      <c r="AP281" s="4150"/>
      <c r="AQ281" s="4137"/>
      <c r="AR281" s="2130"/>
      <c r="AS281" s="2130"/>
      <c r="AT281" s="2130"/>
      <c r="AU281" s="2130"/>
      <c r="AV281" s="2130"/>
      <c r="AW281" s="2130"/>
      <c r="AX281" s="2130"/>
      <c r="AY281" s="2130"/>
      <c r="AZ281" s="2130"/>
      <c r="BA281" s="2130"/>
      <c r="BB281" s="2130"/>
      <c r="BC281" s="2130"/>
      <c r="BD281" s="2130"/>
      <c r="BE281" s="2130"/>
      <c r="BF281" s="2130"/>
      <c r="BG281" s="2130"/>
      <c r="BH281" s="2130"/>
      <c r="BI281" s="2130"/>
      <c r="BJ281" s="2130"/>
      <c r="BK281" s="2130"/>
      <c r="BL281" s="2130"/>
      <c r="BM281" s="2130"/>
      <c r="BN281" s="2130"/>
      <c r="BO281" s="2130"/>
      <c r="BP281" s="2130"/>
      <c r="BQ281" s="2130"/>
      <c r="BR281" s="2130"/>
      <c r="BS281" s="2130"/>
      <c r="BT281" s="2130"/>
      <c r="BU281" s="2130"/>
      <c r="BV281" s="2130"/>
      <c r="BW281" s="2130"/>
      <c r="BX281" s="2130"/>
      <c r="BY281" s="2130"/>
      <c r="BZ281" s="2130"/>
      <c r="CA281" s="2130"/>
      <c r="CB281" s="2130"/>
      <c r="CC281" s="2130"/>
      <c r="CD281" s="2130"/>
      <c r="CE281" s="2130"/>
      <c r="CF281" s="2130"/>
      <c r="CG281" s="2130"/>
      <c r="CH281" s="2130"/>
      <c r="CI281" s="2130"/>
      <c r="CJ281" s="2130"/>
      <c r="CK281" s="2130"/>
      <c r="CL281" s="2130"/>
      <c r="CM281" s="2130"/>
      <c r="CN281" s="2130"/>
      <c r="CO281" s="2130"/>
      <c r="CP281" s="2130"/>
      <c r="CQ281" s="2130"/>
      <c r="CR281" s="2130"/>
      <c r="CS281" s="2130"/>
      <c r="CT281" s="2130"/>
      <c r="CU281" s="2130"/>
      <c r="CV281" s="2130"/>
      <c r="CW281" s="2130"/>
      <c r="CX281" s="2130"/>
      <c r="CY281" s="2130"/>
      <c r="CZ281" s="2130"/>
      <c r="DA281" s="2130"/>
      <c r="DB281" s="2130"/>
      <c r="DC281" s="2130"/>
      <c r="DD281" s="2130"/>
      <c r="DE281" s="2130"/>
      <c r="DF281" s="2130"/>
      <c r="DG281" s="2130"/>
      <c r="DH281" s="2130"/>
      <c r="DI281" s="2130"/>
      <c r="DJ281" s="2130"/>
      <c r="DK281" s="2130"/>
      <c r="DL281" s="2130"/>
      <c r="DM281" s="2130"/>
      <c r="DN281" s="2130"/>
      <c r="DO281" s="2130"/>
      <c r="DP281" s="2130"/>
      <c r="DQ281" s="2130"/>
      <c r="DR281" s="2130"/>
      <c r="DS281" s="2130"/>
      <c r="DT281" s="2130"/>
      <c r="DU281" s="2130"/>
      <c r="DV281" s="2130"/>
      <c r="DW281" s="2130"/>
      <c r="DX281" s="2130"/>
      <c r="DY281" s="2130"/>
      <c r="DZ281" s="2130"/>
      <c r="EA281" s="2130"/>
      <c r="EB281" s="2130"/>
      <c r="EC281" s="2130"/>
      <c r="ED281" s="2130"/>
      <c r="EE281" s="2130"/>
      <c r="EF281" s="2130"/>
      <c r="EG281" s="2130"/>
      <c r="EH281" s="2130"/>
      <c r="EI281" s="2130"/>
      <c r="EJ281" s="2130"/>
      <c r="EK281" s="2130"/>
      <c r="EL281" s="2130"/>
      <c r="EM281" s="2130"/>
      <c r="EN281" s="2130"/>
      <c r="EO281" s="2130"/>
      <c r="EP281" s="2130"/>
      <c r="EQ281" s="2130"/>
      <c r="ER281" s="2130"/>
      <c r="ES281" s="2130"/>
      <c r="ET281" s="2130"/>
      <c r="EU281" s="2130"/>
      <c r="EV281" s="2130"/>
      <c r="EW281" s="2130"/>
      <c r="EX281" s="2130"/>
      <c r="EY281" s="2130"/>
      <c r="EZ281" s="2130"/>
      <c r="FA281" s="2130"/>
      <c r="FB281" s="2130"/>
      <c r="FC281" s="2130"/>
      <c r="FD281" s="2130"/>
      <c r="FE281" s="2130"/>
      <c r="FF281" s="2130"/>
      <c r="FG281" s="2130"/>
      <c r="FH281" s="2130"/>
      <c r="FI281" s="2130"/>
      <c r="FJ281" s="2130"/>
      <c r="FK281" s="2130"/>
      <c r="FL281" s="2130"/>
      <c r="FM281" s="2130"/>
      <c r="FN281" s="2130"/>
      <c r="FO281" s="2130"/>
      <c r="FP281" s="2130"/>
      <c r="FQ281" s="2130"/>
      <c r="FR281" s="2130"/>
      <c r="FS281" s="2130"/>
      <c r="FT281" s="2130"/>
      <c r="FU281" s="2130"/>
      <c r="FV281" s="2130"/>
      <c r="FW281" s="2130"/>
      <c r="FX281" s="2130"/>
      <c r="FY281" s="2130"/>
      <c r="FZ281" s="2130"/>
      <c r="GA281" s="2130"/>
      <c r="GB281" s="2130"/>
      <c r="GC281" s="2130"/>
      <c r="GD281" s="2130"/>
      <c r="GE281" s="2130"/>
      <c r="GF281" s="2130"/>
      <c r="GG281" s="2130"/>
      <c r="GH281" s="2130"/>
      <c r="GI281" s="2130"/>
      <c r="GJ281" s="2130"/>
      <c r="GK281" s="2130"/>
      <c r="GL281" s="2130"/>
      <c r="GM281" s="2130"/>
      <c r="GN281" s="2130"/>
      <c r="GO281" s="2130"/>
      <c r="GP281" s="2130"/>
      <c r="GQ281" s="2130"/>
      <c r="GR281" s="2130"/>
      <c r="GS281" s="2130"/>
      <c r="GT281" s="2130"/>
      <c r="GU281" s="2130"/>
      <c r="GV281" s="2130"/>
      <c r="GW281" s="2130"/>
      <c r="GX281" s="2130"/>
      <c r="GY281" s="2130"/>
      <c r="GZ281" s="2130"/>
      <c r="HA281" s="2130"/>
      <c r="HB281" s="2130"/>
      <c r="HC281" s="2130"/>
      <c r="HD281" s="2130"/>
      <c r="HE281" s="2130"/>
      <c r="HF281" s="2130"/>
      <c r="HG281" s="2130"/>
      <c r="HH281" s="2130"/>
      <c r="HI281" s="2130"/>
      <c r="HJ281" s="2130"/>
      <c r="HK281" s="2130"/>
      <c r="HL281" s="2130"/>
      <c r="HM281" s="2130"/>
      <c r="HN281" s="2130"/>
      <c r="HO281" s="2130"/>
      <c r="HP281" s="2130"/>
      <c r="HQ281" s="2130"/>
      <c r="HR281" s="2130"/>
      <c r="HS281" s="2130"/>
      <c r="HT281" s="2130"/>
      <c r="HU281" s="2130"/>
      <c r="HV281" s="2130"/>
      <c r="HW281" s="2130"/>
      <c r="HX281" s="2130"/>
      <c r="HY281" s="2130"/>
      <c r="HZ281" s="2130"/>
      <c r="IA281" s="2130"/>
      <c r="IB281" s="2130"/>
      <c r="IC281" s="2130"/>
      <c r="ID281" s="2130"/>
      <c r="IE281" s="2130"/>
      <c r="IF281" s="2130"/>
      <c r="IG281" s="2130"/>
      <c r="IH281" s="2130"/>
      <c r="II281" s="2130"/>
      <c r="IJ281" s="2130"/>
      <c r="IK281" s="2130"/>
      <c r="IL281" s="2130"/>
      <c r="IM281" s="2130"/>
      <c r="IN281" s="2130"/>
      <c r="IO281" s="2130"/>
      <c r="IP281" s="2130"/>
      <c r="IQ281" s="2130"/>
      <c r="IR281" s="2130"/>
      <c r="IS281" s="2130"/>
      <c r="IT281" s="2130"/>
      <c r="IU281" s="2130"/>
      <c r="IV281" s="2130"/>
      <c r="IW281" s="2130"/>
      <c r="IX281" s="2130"/>
      <c r="IY281" s="2130"/>
      <c r="IZ281" s="2130"/>
      <c r="JA281" s="2130"/>
      <c r="JB281" s="2130"/>
      <c r="JC281" s="2130"/>
      <c r="JD281" s="2130"/>
      <c r="JE281" s="2130"/>
      <c r="JF281" s="2130"/>
      <c r="JG281" s="2130"/>
      <c r="JH281" s="2130"/>
      <c r="JI281" s="2130"/>
      <c r="JJ281" s="2130"/>
      <c r="JK281" s="2130"/>
      <c r="JL281" s="2130"/>
      <c r="JM281" s="2130"/>
      <c r="JN281" s="2130"/>
      <c r="JO281" s="2130"/>
      <c r="JP281" s="2130"/>
      <c r="JQ281" s="2130"/>
      <c r="JR281" s="2130"/>
      <c r="JS281" s="2130"/>
      <c r="JT281" s="2130"/>
      <c r="JU281" s="2130"/>
      <c r="JV281" s="2130"/>
      <c r="JW281" s="2130"/>
      <c r="JX281" s="2130"/>
      <c r="JY281" s="2130"/>
      <c r="JZ281" s="2130"/>
      <c r="KA281" s="2130"/>
      <c r="KB281" s="2130"/>
      <c r="KC281" s="2130"/>
      <c r="KD281" s="2130"/>
      <c r="KE281" s="2130"/>
      <c r="KF281" s="2130"/>
      <c r="KG281" s="2130"/>
      <c r="KH281" s="2130"/>
      <c r="KI281" s="2130"/>
      <c r="KJ281" s="2130"/>
      <c r="KK281" s="2130"/>
      <c r="KL281" s="2130"/>
      <c r="KM281" s="2130"/>
      <c r="KN281" s="2130"/>
      <c r="KO281" s="2130"/>
    </row>
    <row r="282" spans="1:301" ht="15" x14ac:dyDescent="0.2">
      <c r="A282" s="2141"/>
      <c r="C282" s="2168"/>
      <c r="D282" s="2257">
        <v>13</v>
      </c>
      <c r="E282" s="2258" t="s">
        <v>2264</v>
      </c>
      <c r="F282" s="2258"/>
      <c r="G282" s="2259"/>
      <c r="H282" s="2259"/>
      <c r="I282" s="2259"/>
      <c r="J282" s="2259"/>
      <c r="K282" s="2260"/>
      <c r="L282" s="2259"/>
      <c r="M282" s="2259"/>
      <c r="N282" s="2261"/>
      <c r="O282" s="2262"/>
      <c r="P282" s="2260"/>
      <c r="Q282" s="2259"/>
      <c r="R282" s="2263"/>
      <c r="S282" s="2259"/>
      <c r="T282" s="2260"/>
      <c r="U282" s="2260"/>
      <c r="V282" s="2264"/>
      <c r="W282" s="2265"/>
      <c r="X282" s="2261"/>
      <c r="Y282" s="2261"/>
      <c r="Z282" s="2261"/>
      <c r="AA282" s="2261"/>
      <c r="AB282" s="2261"/>
      <c r="AC282" s="2261"/>
      <c r="AD282" s="2261"/>
      <c r="AE282" s="2261"/>
      <c r="AF282" s="2261"/>
      <c r="AG282" s="2261"/>
      <c r="AH282" s="2261"/>
      <c r="AI282" s="2261"/>
      <c r="AJ282" s="2261"/>
      <c r="AK282" s="2261"/>
      <c r="AL282" s="2261"/>
      <c r="AM282" s="2266"/>
      <c r="AN282" s="2261"/>
      <c r="AO282" s="2259"/>
      <c r="AP282" s="2259"/>
      <c r="AQ282" s="2267"/>
    </row>
    <row r="283" spans="1:301" ht="15" customHeight="1" x14ac:dyDescent="0.2">
      <c r="A283" s="2141"/>
      <c r="B283" s="2142"/>
      <c r="C283" s="2143"/>
      <c r="D283" s="4228"/>
      <c r="E283" s="4229"/>
      <c r="F283" s="4229"/>
      <c r="G283" s="2176">
        <v>47</v>
      </c>
      <c r="H283" s="2147" t="s">
        <v>2265</v>
      </c>
      <c r="I283" s="2147"/>
      <c r="J283" s="2147"/>
      <c r="K283" s="2148"/>
      <c r="L283" s="2147"/>
      <c r="M283" s="2147"/>
      <c r="N283" s="2149"/>
      <c r="O283" s="2177"/>
      <c r="P283" s="2148"/>
      <c r="Q283" s="2147"/>
      <c r="R283" s="2178"/>
      <c r="S283" s="2147"/>
      <c r="T283" s="2148"/>
      <c r="U283" s="2148"/>
      <c r="V283" s="2179"/>
      <c r="W283" s="2180"/>
      <c r="X283" s="2149"/>
      <c r="Y283" s="2149"/>
      <c r="Z283" s="2149"/>
      <c r="AA283" s="2149"/>
      <c r="AB283" s="2149"/>
      <c r="AC283" s="2149"/>
      <c r="AD283" s="2149"/>
      <c r="AE283" s="2149"/>
      <c r="AF283" s="2149"/>
      <c r="AG283" s="2149"/>
      <c r="AH283" s="2149"/>
      <c r="AI283" s="2149"/>
      <c r="AJ283" s="2149"/>
      <c r="AK283" s="2149"/>
      <c r="AL283" s="2149"/>
      <c r="AM283" s="2149"/>
      <c r="AN283" s="2149"/>
      <c r="AO283" s="2147"/>
      <c r="AP283" s="2147"/>
      <c r="AQ283" s="2154"/>
    </row>
    <row r="284" spans="1:301" ht="48" customHeight="1" x14ac:dyDescent="0.2">
      <c r="A284" s="2141"/>
      <c r="B284" s="2142"/>
      <c r="C284" s="2143"/>
      <c r="D284" s="4230"/>
      <c r="E284" s="4231"/>
      <c r="F284" s="4231"/>
      <c r="G284" s="4217"/>
      <c r="H284" s="4217"/>
      <c r="I284" s="4217"/>
      <c r="J284" s="4163">
        <v>163</v>
      </c>
      <c r="K284" s="4234" t="s">
        <v>2266</v>
      </c>
      <c r="L284" s="4217" t="s">
        <v>1905</v>
      </c>
      <c r="M284" s="4217">
        <v>12</v>
      </c>
      <c r="N284" s="4236" t="s">
        <v>2267</v>
      </c>
      <c r="O284" s="4238" t="s">
        <v>2268</v>
      </c>
      <c r="P284" s="4239" t="s">
        <v>2269</v>
      </c>
      <c r="Q284" s="4222">
        <f>(V284+V285)/R284</f>
        <v>1.415969296187247E-3</v>
      </c>
      <c r="R284" s="4160">
        <f>SUM(V284:V294)</f>
        <v>21751884086</v>
      </c>
      <c r="S284" s="4223" t="s">
        <v>2270</v>
      </c>
      <c r="T284" s="4141" t="s">
        <v>2271</v>
      </c>
      <c r="U284" s="2268" t="s">
        <v>2272</v>
      </c>
      <c r="V284" s="2064">
        <v>15400000</v>
      </c>
      <c r="W284" s="2269">
        <v>20</v>
      </c>
      <c r="X284" s="2270" t="s">
        <v>2273</v>
      </c>
      <c r="Y284" s="4138">
        <v>292684</v>
      </c>
      <c r="Z284" s="4138">
        <v>282326</v>
      </c>
      <c r="AA284" s="4138">
        <v>135912</v>
      </c>
      <c r="AB284" s="4138">
        <v>45122</v>
      </c>
      <c r="AC284" s="4138">
        <v>307101</v>
      </c>
      <c r="AD284" s="4138">
        <v>86875</v>
      </c>
      <c r="AE284" s="4138">
        <v>2145</v>
      </c>
      <c r="AF284" s="4138">
        <v>12718</v>
      </c>
      <c r="AG284" s="4138">
        <v>26</v>
      </c>
      <c r="AH284" s="4138">
        <v>37</v>
      </c>
      <c r="AI284" s="4138" t="s">
        <v>1913</v>
      </c>
      <c r="AJ284" s="4138" t="s">
        <v>1913</v>
      </c>
      <c r="AK284" s="4138">
        <v>53164</v>
      </c>
      <c r="AL284" s="4138">
        <v>16982</v>
      </c>
      <c r="AM284" s="4138">
        <v>60013</v>
      </c>
      <c r="AN284" s="4138">
        <v>575010</v>
      </c>
      <c r="AO284" s="4201">
        <v>43467</v>
      </c>
      <c r="AP284" s="4201">
        <v>43830</v>
      </c>
      <c r="AQ284" s="4136" t="s">
        <v>1914</v>
      </c>
    </row>
    <row r="285" spans="1:301" ht="63.75" customHeight="1" x14ac:dyDescent="0.2">
      <c r="A285" s="2141"/>
      <c r="B285" s="2142"/>
      <c r="C285" s="2143"/>
      <c r="D285" s="4230"/>
      <c r="E285" s="4231"/>
      <c r="F285" s="4231"/>
      <c r="G285" s="4138"/>
      <c r="H285" s="4138"/>
      <c r="I285" s="4138"/>
      <c r="J285" s="4165"/>
      <c r="K285" s="4235"/>
      <c r="L285" s="4217"/>
      <c r="M285" s="4217"/>
      <c r="N285" s="4237"/>
      <c r="O285" s="4238"/>
      <c r="P285" s="4239"/>
      <c r="Q285" s="4222"/>
      <c r="R285" s="4160"/>
      <c r="S285" s="4177"/>
      <c r="T285" s="4143"/>
      <c r="U285" s="2268" t="s">
        <v>2274</v>
      </c>
      <c r="V285" s="2064">
        <v>15400000</v>
      </c>
      <c r="W285" s="2269">
        <v>20</v>
      </c>
      <c r="X285" s="2270" t="s">
        <v>2273</v>
      </c>
      <c r="Y285" s="4139"/>
      <c r="Z285" s="4139">
        <v>282326</v>
      </c>
      <c r="AA285" s="4139">
        <v>135912</v>
      </c>
      <c r="AB285" s="4139">
        <v>45122</v>
      </c>
      <c r="AC285" s="4139">
        <v>307101</v>
      </c>
      <c r="AD285" s="4139">
        <v>86875</v>
      </c>
      <c r="AE285" s="4139">
        <v>2145</v>
      </c>
      <c r="AF285" s="4139">
        <v>12718</v>
      </c>
      <c r="AG285" s="4139">
        <v>26</v>
      </c>
      <c r="AH285" s="4139">
        <v>37</v>
      </c>
      <c r="AI285" s="4139" t="s">
        <v>1913</v>
      </c>
      <c r="AJ285" s="4139" t="s">
        <v>1913</v>
      </c>
      <c r="AK285" s="4139">
        <v>53164</v>
      </c>
      <c r="AL285" s="4139">
        <v>16982</v>
      </c>
      <c r="AM285" s="4139">
        <v>60013</v>
      </c>
      <c r="AN285" s="4139">
        <v>575010</v>
      </c>
      <c r="AO285" s="4201"/>
      <c r="AP285" s="4201"/>
      <c r="AQ285" s="4137"/>
    </row>
    <row r="286" spans="1:301" ht="35.1" customHeight="1" x14ac:dyDescent="0.2">
      <c r="A286" s="2141"/>
      <c r="B286" s="2142"/>
      <c r="C286" s="2143"/>
      <c r="D286" s="4230"/>
      <c r="E286" s="4231"/>
      <c r="F286" s="4231"/>
      <c r="G286" s="2271">
        <v>48</v>
      </c>
      <c r="H286" s="2272" t="s">
        <v>2275</v>
      </c>
      <c r="I286" s="2272"/>
      <c r="J286" s="2273"/>
      <c r="K286" s="2274"/>
      <c r="L286" s="2147"/>
      <c r="M286" s="2147"/>
      <c r="N286" s="2149"/>
      <c r="O286" s="4238"/>
      <c r="P286" s="4239"/>
      <c r="Q286" s="2275"/>
      <c r="R286" s="4160"/>
      <c r="S286" s="4177"/>
      <c r="T286" s="2274"/>
      <c r="U286" s="2274"/>
      <c r="V286" s="2179"/>
      <c r="W286" s="2150"/>
      <c r="X286" s="2149"/>
      <c r="Y286" s="4139"/>
      <c r="Z286" s="4139">
        <v>282326</v>
      </c>
      <c r="AA286" s="4139">
        <v>135912</v>
      </c>
      <c r="AB286" s="4139">
        <v>45122</v>
      </c>
      <c r="AC286" s="4139">
        <v>307101</v>
      </c>
      <c r="AD286" s="4139">
        <v>86875</v>
      </c>
      <c r="AE286" s="4139">
        <v>2145</v>
      </c>
      <c r="AF286" s="4139">
        <v>12718</v>
      </c>
      <c r="AG286" s="4139">
        <v>26</v>
      </c>
      <c r="AH286" s="4139">
        <v>37</v>
      </c>
      <c r="AI286" s="4139" t="s">
        <v>1913</v>
      </c>
      <c r="AJ286" s="4139" t="s">
        <v>1913</v>
      </c>
      <c r="AK286" s="4139">
        <v>53164</v>
      </c>
      <c r="AL286" s="4139">
        <v>16982</v>
      </c>
      <c r="AM286" s="4139">
        <v>60013</v>
      </c>
      <c r="AN286" s="4139">
        <v>575010</v>
      </c>
      <c r="AO286" s="4201"/>
      <c r="AP286" s="4201"/>
      <c r="AQ286" s="4137"/>
    </row>
    <row r="287" spans="1:301" ht="35.1" customHeight="1" x14ac:dyDescent="0.2">
      <c r="A287" s="2141"/>
      <c r="B287" s="2142"/>
      <c r="C287" s="2143"/>
      <c r="D287" s="4230"/>
      <c r="E287" s="4231"/>
      <c r="F287" s="4231"/>
      <c r="G287" s="4218"/>
      <c r="H287" s="4218"/>
      <c r="I287" s="4218"/>
      <c r="J287" s="4181">
        <v>164</v>
      </c>
      <c r="K287" s="4184" t="s">
        <v>2276</v>
      </c>
      <c r="L287" s="4219" t="s">
        <v>1905</v>
      </c>
      <c r="M287" s="4217">
        <v>12</v>
      </c>
      <c r="N287" s="4185" t="s">
        <v>2277</v>
      </c>
      <c r="O287" s="4238"/>
      <c r="P287" s="4239"/>
      <c r="Q287" s="4213">
        <f>(V287+V289+V288)/R284</f>
        <v>0.99522799957973263</v>
      </c>
      <c r="R287" s="4160"/>
      <c r="S287" s="4177"/>
      <c r="T287" s="4184" t="s">
        <v>2278</v>
      </c>
      <c r="U287" s="4216" t="s">
        <v>2279</v>
      </c>
      <c r="V287" s="2276">
        <f>21153943161-78204383+314128486</f>
        <v>21389867264</v>
      </c>
      <c r="W287" s="2277">
        <v>154</v>
      </c>
      <c r="X287" s="2278" t="s">
        <v>2280</v>
      </c>
      <c r="Y287" s="4139"/>
      <c r="Z287" s="4139">
        <v>282326</v>
      </c>
      <c r="AA287" s="4139">
        <v>135912</v>
      </c>
      <c r="AB287" s="4139">
        <v>45122</v>
      </c>
      <c r="AC287" s="4139">
        <v>307101</v>
      </c>
      <c r="AD287" s="4139">
        <v>86875</v>
      </c>
      <c r="AE287" s="4139">
        <v>2145</v>
      </c>
      <c r="AF287" s="4139">
        <v>12718</v>
      </c>
      <c r="AG287" s="4139">
        <v>26</v>
      </c>
      <c r="AH287" s="4139">
        <v>37</v>
      </c>
      <c r="AI287" s="4139" t="s">
        <v>1913</v>
      </c>
      <c r="AJ287" s="4139" t="s">
        <v>1913</v>
      </c>
      <c r="AK287" s="4139">
        <v>53164</v>
      </c>
      <c r="AL287" s="4139">
        <v>16982</v>
      </c>
      <c r="AM287" s="4139">
        <v>60013</v>
      </c>
      <c r="AN287" s="4139">
        <v>575010</v>
      </c>
      <c r="AO287" s="4201"/>
      <c r="AP287" s="4201"/>
      <c r="AQ287" s="4137"/>
    </row>
    <row r="288" spans="1:301" ht="35.1" customHeight="1" x14ac:dyDescent="0.2">
      <c r="A288" s="2141"/>
      <c r="B288" s="2142"/>
      <c r="C288" s="2143"/>
      <c r="D288" s="4230"/>
      <c r="E288" s="4231"/>
      <c r="F288" s="4231"/>
      <c r="G288" s="4218"/>
      <c r="H288" s="4218"/>
      <c r="I288" s="4218"/>
      <c r="J288" s="4182"/>
      <c r="K288" s="4184"/>
      <c r="L288" s="4220"/>
      <c r="M288" s="4217"/>
      <c r="N288" s="4186"/>
      <c r="O288" s="4238"/>
      <c r="P288" s="4239"/>
      <c r="Q288" s="4214"/>
      <c r="R288" s="4160"/>
      <c r="S288" s="4177"/>
      <c r="T288" s="4184"/>
      <c r="U288" s="4216"/>
      <c r="V288" s="2276">
        <v>78204383</v>
      </c>
      <c r="W288" s="2277">
        <v>154</v>
      </c>
      <c r="X288" s="2278" t="s">
        <v>2281</v>
      </c>
      <c r="Y288" s="4139"/>
      <c r="Z288" s="4139">
        <v>282326</v>
      </c>
      <c r="AA288" s="4139">
        <v>135912</v>
      </c>
      <c r="AB288" s="4139">
        <v>45122</v>
      </c>
      <c r="AC288" s="4139">
        <v>307101</v>
      </c>
      <c r="AD288" s="4139">
        <v>86875</v>
      </c>
      <c r="AE288" s="4139">
        <v>2145</v>
      </c>
      <c r="AF288" s="4139">
        <v>12718</v>
      </c>
      <c r="AG288" s="4139">
        <v>26</v>
      </c>
      <c r="AH288" s="4139">
        <v>37</v>
      </c>
      <c r="AI288" s="4139" t="s">
        <v>1913</v>
      </c>
      <c r="AJ288" s="4139" t="s">
        <v>1913</v>
      </c>
      <c r="AK288" s="4139">
        <v>53164</v>
      </c>
      <c r="AL288" s="4139">
        <v>16982</v>
      </c>
      <c r="AM288" s="4139">
        <v>60013</v>
      </c>
      <c r="AN288" s="4139">
        <v>575010</v>
      </c>
      <c r="AO288" s="4201"/>
      <c r="AP288" s="4201"/>
      <c r="AQ288" s="4137"/>
    </row>
    <row r="289" spans="1:172" ht="48.75" customHeight="1" x14ac:dyDescent="0.2">
      <c r="A289" s="2141"/>
      <c r="B289" s="2142"/>
      <c r="C289" s="2143"/>
      <c r="D289" s="4230"/>
      <c r="E289" s="4231"/>
      <c r="F289" s="4231"/>
      <c r="G289" s="4218"/>
      <c r="H289" s="4218"/>
      <c r="I289" s="4218"/>
      <c r="J289" s="4183"/>
      <c r="K289" s="4184"/>
      <c r="L289" s="4221"/>
      <c r="M289" s="4217"/>
      <c r="N289" s="4191"/>
      <c r="O289" s="4238"/>
      <c r="P289" s="4239"/>
      <c r="Q289" s="4215"/>
      <c r="R289" s="4160"/>
      <c r="S289" s="4177"/>
      <c r="T289" s="4184"/>
      <c r="U289" s="4216"/>
      <c r="V289" s="2276">
        <v>180012439</v>
      </c>
      <c r="W289" s="2277">
        <v>148</v>
      </c>
      <c r="X289" s="2278" t="s">
        <v>2282</v>
      </c>
      <c r="Y289" s="4139"/>
      <c r="Z289" s="4139">
        <v>282326</v>
      </c>
      <c r="AA289" s="4139">
        <v>135912</v>
      </c>
      <c r="AB289" s="4139">
        <v>45122</v>
      </c>
      <c r="AC289" s="4139">
        <v>307101</v>
      </c>
      <c r="AD289" s="4139">
        <v>86875</v>
      </c>
      <c r="AE289" s="4139">
        <v>2145</v>
      </c>
      <c r="AF289" s="4139">
        <v>12718</v>
      </c>
      <c r="AG289" s="4139">
        <v>26</v>
      </c>
      <c r="AH289" s="4139">
        <v>37</v>
      </c>
      <c r="AI289" s="4139" t="s">
        <v>1913</v>
      </c>
      <c r="AJ289" s="4139" t="s">
        <v>1913</v>
      </c>
      <c r="AK289" s="4139">
        <v>53164</v>
      </c>
      <c r="AL289" s="4139">
        <v>16982</v>
      </c>
      <c r="AM289" s="4139">
        <v>60013</v>
      </c>
      <c r="AN289" s="4139">
        <v>575010</v>
      </c>
      <c r="AO289" s="4201"/>
      <c r="AP289" s="4201"/>
      <c r="AQ289" s="4137"/>
    </row>
    <row r="290" spans="1:172" ht="35.1" customHeight="1" x14ac:dyDescent="0.2">
      <c r="A290" s="2141"/>
      <c r="B290" s="2142"/>
      <c r="C290" s="2143"/>
      <c r="D290" s="4230"/>
      <c r="E290" s="4231"/>
      <c r="F290" s="4231"/>
      <c r="G290" s="2279">
        <v>49</v>
      </c>
      <c r="H290" s="2280" t="s">
        <v>2283</v>
      </c>
      <c r="I290" s="2280"/>
      <c r="J290" s="2280"/>
      <c r="K290" s="2281"/>
      <c r="L290" s="2147"/>
      <c r="M290" s="2147"/>
      <c r="N290" s="2149"/>
      <c r="O290" s="4238"/>
      <c r="P290" s="4239"/>
      <c r="Q290" s="2275"/>
      <c r="R290" s="4160"/>
      <c r="S290" s="4177"/>
      <c r="T290" s="2282"/>
      <c r="U290" s="2281"/>
      <c r="V290" s="2179"/>
      <c r="W290" s="2150"/>
      <c r="X290" s="2150"/>
      <c r="Y290" s="4139"/>
      <c r="Z290" s="4139">
        <v>282326</v>
      </c>
      <c r="AA290" s="4139">
        <v>135912</v>
      </c>
      <c r="AB290" s="4139">
        <v>45122</v>
      </c>
      <c r="AC290" s="4139">
        <v>307101</v>
      </c>
      <c r="AD290" s="4139">
        <v>86875</v>
      </c>
      <c r="AE290" s="4139">
        <v>2145</v>
      </c>
      <c r="AF290" s="4139">
        <v>12718</v>
      </c>
      <c r="AG290" s="4139">
        <v>26</v>
      </c>
      <c r="AH290" s="4139">
        <v>37</v>
      </c>
      <c r="AI290" s="4139" t="s">
        <v>1913</v>
      </c>
      <c r="AJ290" s="4139" t="s">
        <v>1913</v>
      </c>
      <c r="AK290" s="4139">
        <v>53164</v>
      </c>
      <c r="AL290" s="4139">
        <v>16982</v>
      </c>
      <c r="AM290" s="4139">
        <v>60013</v>
      </c>
      <c r="AN290" s="4139">
        <v>575010</v>
      </c>
      <c r="AO290" s="4201"/>
      <c r="AP290" s="4201"/>
      <c r="AQ290" s="4137"/>
    </row>
    <row r="291" spans="1:172" ht="35.25" customHeight="1" x14ac:dyDescent="0.2">
      <c r="A291" s="2141"/>
      <c r="B291" s="2142"/>
      <c r="C291" s="2143"/>
      <c r="D291" s="4230"/>
      <c r="E291" s="4231"/>
      <c r="F291" s="4231"/>
      <c r="G291" s="4217"/>
      <c r="H291" s="4217"/>
      <c r="I291" s="4217"/>
      <c r="J291" s="4163">
        <v>165</v>
      </c>
      <c r="K291" s="4145" t="s">
        <v>2284</v>
      </c>
      <c r="L291" s="4217" t="s">
        <v>1905</v>
      </c>
      <c r="M291" s="4217">
        <v>12</v>
      </c>
      <c r="N291" s="4217" t="s">
        <v>2285</v>
      </c>
      <c r="O291" s="4238"/>
      <c r="P291" s="4239"/>
      <c r="Q291" s="4222">
        <f>SUM(V291:V294)/R284</f>
        <v>3.3560311240801634E-3</v>
      </c>
      <c r="R291" s="4160"/>
      <c r="S291" s="4177"/>
      <c r="T291" s="4184" t="s">
        <v>2286</v>
      </c>
      <c r="U291" s="4224" t="s">
        <v>2287</v>
      </c>
      <c r="V291" s="2187">
        <v>10500000</v>
      </c>
      <c r="W291" s="2283">
        <v>20</v>
      </c>
      <c r="X291" s="2251" t="s">
        <v>2273</v>
      </c>
      <c r="Y291" s="4139"/>
      <c r="Z291" s="4139">
        <v>282326</v>
      </c>
      <c r="AA291" s="4139">
        <v>135912</v>
      </c>
      <c r="AB291" s="4139">
        <v>45122</v>
      </c>
      <c r="AC291" s="4139">
        <v>307101</v>
      </c>
      <c r="AD291" s="4139">
        <v>86875</v>
      </c>
      <c r="AE291" s="4139">
        <v>2145</v>
      </c>
      <c r="AF291" s="4139">
        <v>12718</v>
      </c>
      <c r="AG291" s="4139">
        <v>26</v>
      </c>
      <c r="AH291" s="4139">
        <v>37</v>
      </c>
      <c r="AI291" s="4139" t="s">
        <v>1913</v>
      </c>
      <c r="AJ291" s="4139" t="s">
        <v>1913</v>
      </c>
      <c r="AK291" s="4139">
        <v>53164</v>
      </c>
      <c r="AL291" s="4139">
        <v>16982</v>
      </c>
      <c r="AM291" s="4139">
        <v>60013</v>
      </c>
      <c r="AN291" s="4139">
        <v>575010</v>
      </c>
      <c r="AO291" s="4201"/>
      <c r="AP291" s="4201"/>
      <c r="AQ291" s="4137"/>
    </row>
    <row r="292" spans="1:172" ht="30" customHeight="1" x14ac:dyDescent="0.2">
      <c r="A292" s="2141"/>
      <c r="B292" s="2142"/>
      <c r="C292" s="2143"/>
      <c r="D292" s="4230"/>
      <c r="E292" s="4231"/>
      <c r="F292" s="4231"/>
      <c r="G292" s="4217"/>
      <c r="H292" s="4217"/>
      <c r="I292" s="4217"/>
      <c r="J292" s="4164"/>
      <c r="K292" s="4145"/>
      <c r="L292" s="4217"/>
      <c r="M292" s="4217"/>
      <c r="N292" s="4217"/>
      <c r="O292" s="4238"/>
      <c r="P292" s="4239"/>
      <c r="Q292" s="4222"/>
      <c r="R292" s="4160"/>
      <c r="S292" s="4177"/>
      <c r="T292" s="4184"/>
      <c r="U292" s="4225"/>
      <c r="V292" s="2064">
        <v>26000000</v>
      </c>
      <c r="W292" s="2283">
        <v>96</v>
      </c>
      <c r="X292" s="2251" t="s">
        <v>2288</v>
      </c>
      <c r="Y292" s="4139"/>
      <c r="Z292" s="4139">
        <v>282326</v>
      </c>
      <c r="AA292" s="4139">
        <v>135912</v>
      </c>
      <c r="AB292" s="4139">
        <v>45122</v>
      </c>
      <c r="AC292" s="4139">
        <v>307101</v>
      </c>
      <c r="AD292" s="4139">
        <v>86875</v>
      </c>
      <c r="AE292" s="4139">
        <v>2145</v>
      </c>
      <c r="AF292" s="4139">
        <v>12718</v>
      </c>
      <c r="AG292" s="4139">
        <v>26</v>
      </c>
      <c r="AH292" s="4139">
        <v>37</v>
      </c>
      <c r="AI292" s="4139" t="s">
        <v>1913</v>
      </c>
      <c r="AJ292" s="4139" t="s">
        <v>1913</v>
      </c>
      <c r="AK292" s="4139">
        <v>53164</v>
      </c>
      <c r="AL292" s="4139">
        <v>16982</v>
      </c>
      <c r="AM292" s="4139">
        <v>60013</v>
      </c>
      <c r="AN292" s="4139">
        <v>575010</v>
      </c>
      <c r="AO292" s="4201"/>
      <c r="AP292" s="4201"/>
      <c r="AQ292" s="4137"/>
    </row>
    <row r="293" spans="1:172" ht="33.75" customHeight="1" x14ac:dyDescent="0.2">
      <c r="A293" s="2141"/>
      <c r="B293" s="2142"/>
      <c r="C293" s="2143"/>
      <c r="D293" s="4230"/>
      <c r="E293" s="4231"/>
      <c r="F293" s="4231"/>
      <c r="G293" s="4217"/>
      <c r="H293" s="4217"/>
      <c r="I293" s="4217"/>
      <c r="J293" s="4164"/>
      <c r="K293" s="4145"/>
      <c r="L293" s="4217"/>
      <c r="M293" s="4217"/>
      <c r="N293" s="4217"/>
      <c r="O293" s="4238"/>
      <c r="P293" s="4239"/>
      <c r="Q293" s="4222"/>
      <c r="R293" s="4160"/>
      <c r="S293" s="4177"/>
      <c r="T293" s="4184"/>
      <c r="U293" s="4224" t="s">
        <v>2289</v>
      </c>
      <c r="V293" s="2064">
        <v>10500000</v>
      </c>
      <c r="W293" s="2283">
        <v>20</v>
      </c>
      <c r="X293" s="2251" t="s">
        <v>2273</v>
      </c>
      <c r="Y293" s="4139"/>
      <c r="Z293" s="4139">
        <v>282326</v>
      </c>
      <c r="AA293" s="4139">
        <v>135912</v>
      </c>
      <c r="AB293" s="4139">
        <v>45122</v>
      </c>
      <c r="AC293" s="4139">
        <v>307101</v>
      </c>
      <c r="AD293" s="4139">
        <v>86875</v>
      </c>
      <c r="AE293" s="4139">
        <v>2145</v>
      </c>
      <c r="AF293" s="4139">
        <v>12718</v>
      </c>
      <c r="AG293" s="4139">
        <v>26</v>
      </c>
      <c r="AH293" s="4139">
        <v>37</v>
      </c>
      <c r="AI293" s="4139" t="s">
        <v>1913</v>
      </c>
      <c r="AJ293" s="4139" t="s">
        <v>1913</v>
      </c>
      <c r="AK293" s="4139">
        <v>53164</v>
      </c>
      <c r="AL293" s="4139">
        <v>16982</v>
      </c>
      <c r="AM293" s="4139">
        <v>60013</v>
      </c>
      <c r="AN293" s="4139">
        <v>575010</v>
      </c>
      <c r="AO293" s="4201"/>
      <c r="AP293" s="4201"/>
      <c r="AQ293" s="4137"/>
    </row>
    <row r="294" spans="1:172" ht="39.75" customHeight="1" x14ac:dyDescent="0.2">
      <c r="A294" s="2141"/>
      <c r="B294" s="2142"/>
      <c r="C294" s="2143"/>
      <c r="D294" s="4232"/>
      <c r="E294" s="4233"/>
      <c r="F294" s="4233"/>
      <c r="G294" s="4217"/>
      <c r="H294" s="4217"/>
      <c r="I294" s="4217"/>
      <c r="J294" s="4165"/>
      <c r="K294" s="4145"/>
      <c r="L294" s="4217"/>
      <c r="M294" s="4217"/>
      <c r="N294" s="4217"/>
      <c r="O294" s="4238"/>
      <c r="P294" s="4239"/>
      <c r="Q294" s="4222"/>
      <c r="R294" s="4160"/>
      <c r="S294" s="4178"/>
      <c r="T294" s="4184"/>
      <c r="U294" s="4225"/>
      <c r="V294" s="2064">
        <v>26000000</v>
      </c>
      <c r="W294" s="2283">
        <v>96</v>
      </c>
      <c r="X294" s="2251" t="s">
        <v>2288</v>
      </c>
      <c r="Y294" s="4140"/>
      <c r="Z294" s="4140">
        <v>282326</v>
      </c>
      <c r="AA294" s="4140">
        <v>135912</v>
      </c>
      <c r="AB294" s="4140">
        <v>45122</v>
      </c>
      <c r="AC294" s="4140">
        <v>307101</v>
      </c>
      <c r="AD294" s="4140">
        <v>86875</v>
      </c>
      <c r="AE294" s="4140">
        <v>2145</v>
      </c>
      <c r="AF294" s="4140">
        <v>12718</v>
      </c>
      <c r="AG294" s="4140">
        <v>26</v>
      </c>
      <c r="AH294" s="4140">
        <v>37</v>
      </c>
      <c r="AI294" s="4140" t="s">
        <v>1913</v>
      </c>
      <c r="AJ294" s="4140" t="s">
        <v>1913</v>
      </c>
      <c r="AK294" s="4140">
        <v>53164</v>
      </c>
      <c r="AL294" s="4140">
        <v>16982</v>
      </c>
      <c r="AM294" s="4140">
        <v>60013</v>
      </c>
      <c r="AN294" s="4140">
        <v>575010</v>
      </c>
      <c r="AO294" s="4201"/>
      <c r="AP294" s="4201"/>
      <c r="AQ294" s="4153"/>
    </row>
    <row r="295" spans="1:172" ht="36" customHeight="1" x14ac:dyDescent="0.2">
      <c r="A295" s="2141"/>
      <c r="C295" s="2168"/>
      <c r="D295" s="2284">
        <v>14</v>
      </c>
      <c r="E295" s="2132" t="s">
        <v>2290</v>
      </c>
      <c r="F295" s="2132"/>
      <c r="G295" s="2133"/>
      <c r="H295" s="2133"/>
      <c r="I295" s="2133"/>
      <c r="J295" s="2133"/>
      <c r="K295" s="2134"/>
      <c r="L295" s="2133"/>
      <c r="M295" s="2133"/>
      <c r="N295" s="2135"/>
      <c r="O295" s="2172"/>
      <c r="P295" s="2134"/>
      <c r="Q295" s="2133"/>
      <c r="R295" s="2173"/>
      <c r="S295" s="2133"/>
      <c r="T295" s="2260"/>
      <c r="U295" s="2134"/>
      <c r="V295" s="2285"/>
      <c r="W295" s="2175"/>
      <c r="X295" s="2135"/>
      <c r="Y295" s="2135"/>
      <c r="Z295" s="2135"/>
      <c r="AA295" s="2135"/>
      <c r="AB295" s="2135"/>
      <c r="AC295" s="2135"/>
      <c r="AD295" s="2135"/>
      <c r="AE295" s="2135"/>
      <c r="AF295" s="2135"/>
      <c r="AG295" s="2135"/>
      <c r="AH295" s="2135"/>
      <c r="AI295" s="2135"/>
      <c r="AJ295" s="2135"/>
      <c r="AK295" s="2135"/>
      <c r="AL295" s="2135"/>
      <c r="AM295" s="2135"/>
      <c r="AN295" s="2135"/>
      <c r="AO295" s="2133"/>
      <c r="AP295" s="2133"/>
      <c r="AQ295" s="2140"/>
    </row>
    <row r="296" spans="1:172" ht="36" customHeight="1" x14ac:dyDescent="0.2">
      <c r="A296" s="2141"/>
      <c r="B296" s="2142"/>
      <c r="C296" s="2143"/>
      <c r="D296" s="2144"/>
      <c r="E296" s="2144"/>
      <c r="F296" s="2145"/>
      <c r="G296" s="2286">
        <v>50</v>
      </c>
      <c r="H296" s="2273" t="s">
        <v>2291</v>
      </c>
      <c r="I296" s="2273"/>
      <c r="J296" s="2273"/>
      <c r="K296" s="2274"/>
      <c r="L296" s="2273"/>
      <c r="M296" s="2273"/>
      <c r="N296" s="2199"/>
      <c r="O296" s="2287"/>
      <c r="P296" s="2274"/>
      <c r="Q296" s="2273"/>
      <c r="R296" s="2288"/>
      <c r="S296" s="2273"/>
      <c r="T296" s="2274"/>
      <c r="U296" s="2274"/>
      <c r="V296" s="2289"/>
      <c r="W296" s="2236"/>
      <c r="X296" s="2199"/>
      <c r="Y296" s="2199"/>
      <c r="Z296" s="2199"/>
      <c r="AA296" s="2199"/>
      <c r="AB296" s="2199"/>
      <c r="AC296" s="2199"/>
      <c r="AD296" s="2199"/>
      <c r="AE296" s="2199"/>
      <c r="AF296" s="2199"/>
      <c r="AG296" s="2199"/>
      <c r="AH296" s="2199"/>
      <c r="AI296" s="2199"/>
      <c r="AJ296" s="2199"/>
      <c r="AK296" s="2199"/>
      <c r="AL296" s="2199"/>
      <c r="AM296" s="2199"/>
      <c r="AN296" s="2199"/>
      <c r="AO296" s="2273"/>
      <c r="AP296" s="2273"/>
      <c r="AQ296" s="2290"/>
    </row>
    <row r="297" spans="1:172" s="2295" customFormat="1" ht="105.75" customHeight="1" x14ac:dyDescent="0.2">
      <c r="A297" s="2141"/>
      <c r="B297" s="2142"/>
      <c r="C297" s="2143"/>
      <c r="D297" s="2142"/>
      <c r="E297" s="2142"/>
      <c r="F297" s="2143"/>
      <c r="G297" s="2144"/>
      <c r="H297" s="2144"/>
      <c r="I297" s="2145"/>
      <c r="J297" s="2210">
        <v>166</v>
      </c>
      <c r="K297" s="2291" t="s">
        <v>2292</v>
      </c>
      <c r="L297" s="2234" t="s">
        <v>1905</v>
      </c>
      <c r="M297" s="2292">
        <v>1</v>
      </c>
      <c r="N297" s="4138" t="s">
        <v>2293</v>
      </c>
      <c r="O297" s="4208" t="s">
        <v>2294</v>
      </c>
      <c r="P297" s="4141" t="s">
        <v>2295</v>
      </c>
      <c r="Q297" s="2293">
        <v>0</v>
      </c>
      <c r="R297" s="4158">
        <f>SUM(V298:V312)</f>
        <v>16115096017</v>
      </c>
      <c r="S297" s="4141" t="s">
        <v>2296</v>
      </c>
      <c r="T297" s="2253" t="s">
        <v>2297</v>
      </c>
      <c r="U297" s="2268" t="s">
        <v>2298</v>
      </c>
      <c r="V297" s="2054">
        <v>0</v>
      </c>
      <c r="W297" s="2294"/>
      <c r="X297" s="2196"/>
      <c r="Y297" s="4138">
        <v>292684</v>
      </c>
      <c r="Z297" s="4138">
        <v>282326</v>
      </c>
      <c r="AA297" s="4138">
        <v>135912</v>
      </c>
      <c r="AB297" s="4138">
        <v>45122</v>
      </c>
      <c r="AC297" s="4138">
        <v>307101</v>
      </c>
      <c r="AD297" s="4138">
        <v>86875</v>
      </c>
      <c r="AE297" s="4138">
        <v>2145</v>
      </c>
      <c r="AF297" s="4138">
        <v>12718</v>
      </c>
      <c r="AG297" s="4138">
        <v>26</v>
      </c>
      <c r="AH297" s="4138">
        <v>37</v>
      </c>
      <c r="AI297" s="4138" t="s">
        <v>1913</v>
      </c>
      <c r="AJ297" s="4138" t="s">
        <v>1913</v>
      </c>
      <c r="AK297" s="4138">
        <v>53164</v>
      </c>
      <c r="AL297" s="4138">
        <v>16982</v>
      </c>
      <c r="AM297" s="4138">
        <v>60013</v>
      </c>
      <c r="AN297" s="4138">
        <v>575010</v>
      </c>
      <c r="AO297" s="4149">
        <v>43467</v>
      </c>
      <c r="AP297" s="4149">
        <v>43830</v>
      </c>
      <c r="AQ297" s="4136" t="s">
        <v>1914</v>
      </c>
      <c r="AR297" s="2130"/>
      <c r="AS297" s="2130"/>
      <c r="AT297" s="2130"/>
      <c r="AU297" s="2130"/>
      <c r="AV297" s="2130"/>
      <c r="AW297" s="2130"/>
      <c r="AX297" s="2130"/>
      <c r="AY297" s="2130"/>
      <c r="AZ297" s="2130"/>
      <c r="BA297" s="2130"/>
      <c r="BB297" s="2130"/>
      <c r="BC297" s="2130"/>
      <c r="BD297" s="2130"/>
      <c r="BE297" s="2130"/>
      <c r="BF297" s="2130"/>
      <c r="BG297" s="2130"/>
      <c r="BH297" s="2130"/>
      <c r="BI297" s="2130"/>
      <c r="BJ297" s="2130"/>
      <c r="BK297" s="2130"/>
      <c r="BL297" s="2130"/>
      <c r="BM297" s="2130"/>
      <c r="BN297" s="2130"/>
      <c r="BO297" s="2130"/>
      <c r="BP297" s="2130"/>
      <c r="BQ297" s="2130"/>
      <c r="BR297" s="2130"/>
      <c r="BS297" s="2130"/>
      <c r="BT297" s="2130"/>
      <c r="BU297" s="2130"/>
      <c r="BV297" s="2130"/>
      <c r="BW297" s="2130"/>
      <c r="BX297" s="2130"/>
      <c r="BY297" s="2130"/>
      <c r="BZ297" s="2130"/>
      <c r="CA297" s="2130"/>
      <c r="CB297" s="2130"/>
      <c r="CC297" s="2130"/>
      <c r="CD297" s="2130"/>
      <c r="CE297" s="2130"/>
      <c r="CF297" s="2130"/>
      <c r="CG297" s="2130"/>
      <c r="CH297" s="2130"/>
      <c r="CI297" s="2130"/>
      <c r="CJ297" s="2130"/>
      <c r="CK297" s="2130"/>
      <c r="CL297" s="2130"/>
      <c r="CM297" s="2130"/>
      <c r="CN297" s="2130"/>
      <c r="CO297" s="2130"/>
      <c r="CP297" s="2130"/>
      <c r="CQ297" s="2130"/>
      <c r="CR297" s="2130"/>
      <c r="CS297" s="2130"/>
      <c r="CT297" s="2130"/>
      <c r="CU297" s="2130"/>
      <c r="CV297" s="2130"/>
      <c r="CW297" s="2130"/>
      <c r="CX297" s="2130"/>
      <c r="CY297" s="2130"/>
      <c r="CZ297" s="2130"/>
      <c r="DA297" s="2130"/>
      <c r="DB297" s="2130"/>
      <c r="DC297" s="2130"/>
      <c r="DD297" s="2130"/>
      <c r="DE297" s="2130"/>
      <c r="DF297" s="2130"/>
      <c r="DG297" s="2130"/>
      <c r="DH297" s="2130"/>
      <c r="DI297" s="2130"/>
      <c r="DJ297" s="2130"/>
      <c r="DK297" s="2130"/>
      <c r="DL297" s="2130"/>
      <c r="DM297" s="2130"/>
      <c r="DN297" s="2130"/>
      <c r="DO297" s="2130"/>
      <c r="DP297" s="2130"/>
      <c r="DQ297" s="2130"/>
      <c r="DR297" s="2130"/>
      <c r="DS297" s="2130"/>
      <c r="DT297" s="2130"/>
      <c r="DU297" s="2130"/>
      <c r="DV297" s="2130"/>
      <c r="DW297" s="2130"/>
      <c r="DX297" s="2130"/>
      <c r="DY297" s="2130"/>
      <c r="DZ297" s="2130"/>
      <c r="EA297" s="2130"/>
      <c r="EB297" s="2130"/>
      <c r="EC297" s="2130"/>
      <c r="ED297" s="2130"/>
      <c r="EE297" s="2130"/>
      <c r="EF297" s="2130"/>
      <c r="EG297" s="2130"/>
      <c r="EH297" s="2130"/>
      <c r="EI297" s="2130"/>
      <c r="EJ297" s="2130"/>
      <c r="EK297" s="2130"/>
      <c r="EL297" s="2130"/>
      <c r="EM297" s="2130"/>
      <c r="EN297" s="2130"/>
      <c r="EO297" s="2130"/>
      <c r="EP297" s="2130"/>
      <c r="EQ297" s="2130"/>
      <c r="ER297" s="2130"/>
      <c r="ES297" s="2130"/>
      <c r="ET297" s="2130"/>
      <c r="EU297" s="2130"/>
      <c r="EV297" s="2130"/>
      <c r="EW297" s="2130"/>
      <c r="EX297" s="2130"/>
      <c r="EY297" s="2130"/>
      <c r="EZ297" s="2130"/>
      <c r="FA297" s="2130"/>
      <c r="FB297" s="2130"/>
      <c r="FC297" s="2130"/>
      <c r="FD297" s="2130"/>
      <c r="FE297" s="2130"/>
      <c r="FF297" s="2130"/>
      <c r="FG297" s="2130"/>
      <c r="FH297" s="2130"/>
      <c r="FI297" s="2130"/>
      <c r="FJ297" s="2130"/>
      <c r="FK297" s="2130"/>
      <c r="FL297" s="2130"/>
      <c r="FM297" s="2130"/>
      <c r="FN297" s="2130"/>
      <c r="FO297" s="2130"/>
      <c r="FP297" s="2130"/>
    </row>
    <row r="298" spans="1:172" s="2298" customFormat="1" ht="54" customHeight="1" x14ac:dyDescent="0.2">
      <c r="A298" s="2141"/>
      <c r="B298" s="2142"/>
      <c r="C298" s="2143"/>
      <c r="D298" s="2142"/>
      <c r="E298" s="2142"/>
      <c r="F298" s="2143"/>
      <c r="G298" s="2142"/>
      <c r="H298" s="2142"/>
      <c r="I298" s="2143"/>
      <c r="J298" s="4163">
        <v>167</v>
      </c>
      <c r="K298" s="4163" t="s">
        <v>2299</v>
      </c>
      <c r="L298" s="4138" t="s">
        <v>1905</v>
      </c>
      <c r="M298" s="4205">
        <v>15</v>
      </c>
      <c r="N298" s="4139"/>
      <c r="O298" s="4209"/>
      <c r="P298" s="4142"/>
      <c r="Q298" s="4166">
        <v>1</v>
      </c>
      <c r="R298" s="4159"/>
      <c r="S298" s="4142"/>
      <c r="T298" s="4138" t="s">
        <v>2300</v>
      </c>
      <c r="U298" s="4210" t="s">
        <v>2301</v>
      </c>
      <c r="V298" s="2296">
        <f>1097554095+290726109+155203905</f>
        <v>1543484109</v>
      </c>
      <c r="W298" s="2297">
        <v>110</v>
      </c>
      <c r="X298" s="2193" t="s">
        <v>2302</v>
      </c>
      <c r="Y298" s="4139"/>
      <c r="Z298" s="4139">
        <v>282326</v>
      </c>
      <c r="AA298" s="4139">
        <v>135912</v>
      </c>
      <c r="AB298" s="4139">
        <v>45122</v>
      </c>
      <c r="AC298" s="4139">
        <v>307101</v>
      </c>
      <c r="AD298" s="4139">
        <v>86875</v>
      </c>
      <c r="AE298" s="4139">
        <v>2145</v>
      </c>
      <c r="AF298" s="4139">
        <v>12718</v>
      </c>
      <c r="AG298" s="4139">
        <v>26</v>
      </c>
      <c r="AH298" s="4139">
        <v>37</v>
      </c>
      <c r="AI298" s="4139" t="s">
        <v>1913</v>
      </c>
      <c r="AJ298" s="4139" t="s">
        <v>1913</v>
      </c>
      <c r="AK298" s="4139">
        <v>53164</v>
      </c>
      <c r="AL298" s="4139">
        <v>16982</v>
      </c>
      <c r="AM298" s="4139">
        <v>60013</v>
      </c>
      <c r="AN298" s="4139">
        <v>575010</v>
      </c>
      <c r="AO298" s="4150"/>
      <c r="AP298" s="4150"/>
      <c r="AQ298" s="4137"/>
      <c r="AR298" s="2130"/>
      <c r="AS298" s="2130"/>
      <c r="AT298" s="2130"/>
      <c r="AU298" s="2130"/>
      <c r="AV298" s="2130"/>
      <c r="AW298" s="2130"/>
      <c r="AX298" s="2130"/>
      <c r="AY298" s="2130"/>
      <c r="AZ298" s="2130"/>
      <c r="BA298" s="2130"/>
      <c r="BB298" s="2130"/>
      <c r="BC298" s="2130"/>
      <c r="BD298" s="2130"/>
      <c r="BE298" s="2130"/>
      <c r="BF298" s="2130"/>
      <c r="BG298" s="2130"/>
      <c r="BH298" s="2130"/>
      <c r="BI298" s="2130"/>
      <c r="BJ298" s="2130"/>
      <c r="BK298" s="2130"/>
      <c r="BL298" s="2130"/>
      <c r="BM298" s="2130"/>
      <c r="BN298" s="2130"/>
      <c r="BO298" s="2130"/>
      <c r="BP298" s="2130"/>
      <c r="BQ298" s="2130"/>
      <c r="BR298" s="2130"/>
      <c r="BS298" s="2130"/>
      <c r="BT298" s="2130"/>
      <c r="BU298" s="2130"/>
      <c r="BV298" s="2130"/>
      <c r="BW298" s="2130"/>
      <c r="BX298" s="2130"/>
      <c r="BY298" s="2130"/>
      <c r="BZ298" s="2130"/>
      <c r="CA298" s="2130"/>
      <c r="CB298" s="2130"/>
      <c r="CC298" s="2130"/>
      <c r="CD298" s="2130"/>
      <c r="CE298" s="2130"/>
      <c r="CF298" s="2130"/>
      <c r="CG298" s="2130"/>
      <c r="CH298" s="2130"/>
      <c r="CI298" s="2130"/>
      <c r="CJ298" s="2130"/>
      <c r="CK298" s="2130"/>
      <c r="CL298" s="2130"/>
      <c r="CM298" s="2130"/>
      <c r="CN298" s="2130"/>
      <c r="CO298" s="2130"/>
      <c r="CP298" s="2130"/>
      <c r="CQ298" s="2130"/>
      <c r="CR298" s="2130"/>
      <c r="CS298" s="2130"/>
      <c r="CT298" s="2130"/>
      <c r="CU298" s="2130"/>
      <c r="CV298" s="2130"/>
      <c r="CW298" s="2130"/>
      <c r="CX298" s="2130"/>
      <c r="CY298" s="2130"/>
      <c r="CZ298" s="2130"/>
      <c r="DA298" s="2130"/>
      <c r="DB298" s="2130"/>
      <c r="DC298" s="2130"/>
      <c r="DD298" s="2130"/>
      <c r="DE298" s="2130"/>
      <c r="DF298" s="2130"/>
      <c r="DG298" s="2130"/>
      <c r="DH298" s="2130"/>
      <c r="DI298" s="2130"/>
      <c r="DJ298" s="2130"/>
      <c r="DK298" s="2130"/>
      <c r="DL298" s="2130"/>
      <c r="DM298" s="2130"/>
      <c r="DN298" s="2130"/>
      <c r="DO298" s="2130"/>
      <c r="DP298" s="2130"/>
      <c r="DQ298" s="2130"/>
      <c r="DR298" s="2130"/>
      <c r="DS298" s="2130"/>
      <c r="DT298" s="2130"/>
      <c r="DU298" s="2130"/>
      <c r="DV298" s="2130"/>
      <c r="DW298" s="2130"/>
      <c r="DX298" s="2130"/>
      <c r="DY298" s="2130"/>
      <c r="DZ298" s="2130"/>
      <c r="EA298" s="2130"/>
      <c r="EB298" s="2130"/>
      <c r="EC298" s="2130"/>
      <c r="ED298" s="2130"/>
      <c r="EE298" s="2130"/>
      <c r="EF298" s="2130"/>
      <c r="EG298" s="2130"/>
      <c r="EH298" s="2130"/>
      <c r="EI298" s="2130"/>
      <c r="EJ298" s="2130"/>
      <c r="EK298" s="2130"/>
      <c r="EL298" s="2130"/>
      <c r="EM298" s="2130"/>
      <c r="EN298" s="2130"/>
      <c r="EO298" s="2130"/>
      <c r="EP298" s="2130"/>
      <c r="EQ298" s="2130"/>
      <c r="ER298" s="2130"/>
      <c r="ES298" s="2130"/>
      <c r="ET298" s="2130"/>
      <c r="EU298" s="2130"/>
      <c r="EV298" s="2130"/>
      <c r="EW298" s="2130"/>
      <c r="EX298" s="2130"/>
      <c r="EY298" s="2130"/>
      <c r="EZ298" s="2130"/>
      <c r="FA298" s="2130"/>
      <c r="FB298" s="2130"/>
      <c r="FC298" s="2130"/>
      <c r="FD298" s="2130"/>
      <c r="FE298" s="2130"/>
      <c r="FF298" s="2130"/>
      <c r="FG298" s="2130"/>
      <c r="FH298" s="2130"/>
      <c r="FI298" s="2130"/>
      <c r="FJ298" s="2130"/>
      <c r="FK298" s="2130"/>
      <c r="FL298" s="2130"/>
      <c r="FM298" s="2130"/>
      <c r="FN298" s="2130"/>
      <c r="FO298" s="2130"/>
      <c r="FP298" s="2130"/>
    </row>
    <row r="299" spans="1:172" s="2298" customFormat="1" ht="45" customHeight="1" x14ac:dyDescent="0.2">
      <c r="A299" s="2141"/>
      <c r="B299" s="2142"/>
      <c r="C299" s="2143"/>
      <c r="D299" s="2142"/>
      <c r="E299" s="2142"/>
      <c r="F299" s="2143"/>
      <c r="G299" s="2142"/>
      <c r="H299" s="2142"/>
      <c r="I299" s="2143"/>
      <c r="J299" s="4164"/>
      <c r="K299" s="4164"/>
      <c r="L299" s="4139"/>
      <c r="M299" s="4206"/>
      <c r="N299" s="4139"/>
      <c r="O299" s="4209"/>
      <c r="P299" s="4142"/>
      <c r="Q299" s="4146"/>
      <c r="R299" s="4159"/>
      <c r="S299" s="4142"/>
      <c r="T299" s="4139"/>
      <c r="U299" s="4211"/>
      <c r="V299" s="2296">
        <f>3195802120-81073317</f>
        <v>3114728803</v>
      </c>
      <c r="W299" s="2297">
        <v>58</v>
      </c>
      <c r="X299" s="2193" t="s">
        <v>2303</v>
      </c>
      <c r="Y299" s="4139"/>
      <c r="Z299" s="4139">
        <v>282326</v>
      </c>
      <c r="AA299" s="4139">
        <v>135912</v>
      </c>
      <c r="AB299" s="4139">
        <v>45122</v>
      </c>
      <c r="AC299" s="4139">
        <v>307101</v>
      </c>
      <c r="AD299" s="4139">
        <v>86875</v>
      </c>
      <c r="AE299" s="4139">
        <v>2145</v>
      </c>
      <c r="AF299" s="4139">
        <v>12718</v>
      </c>
      <c r="AG299" s="4139">
        <v>26</v>
      </c>
      <c r="AH299" s="4139">
        <v>37</v>
      </c>
      <c r="AI299" s="4139" t="s">
        <v>1913</v>
      </c>
      <c r="AJ299" s="4139" t="s">
        <v>1913</v>
      </c>
      <c r="AK299" s="4139">
        <v>53164</v>
      </c>
      <c r="AL299" s="4139">
        <v>16982</v>
      </c>
      <c r="AM299" s="4139">
        <v>60013</v>
      </c>
      <c r="AN299" s="4139">
        <v>575010</v>
      </c>
      <c r="AO299" s="4150"/>
      <c r="AP299" s="4150"/>
      <c r="AQ299" s="4137"/>
      <c r="AR299" s="2130"/>
      <c r="AS299" s="2130"/>
      <c r="AT299" s="2130"/>
      <c r="AU299" s="2130"/>
      <c r="AV299" s="2130"/>
      <c r="AW299" s="2130"/>
      <c r="AX299" s="2130"/>
      <c r="AY299" s="2130"/>
      <c r="AZ299" s="2130"/>
      <c r="BA299" s="2130"/>
      <c r="BB299" s="2130"/>
      <c r="BC299" s="2130"/>
      <c r="BD299" s="2130"/>
      <c r="BE299" s="2130"/>
      <c r="BF299" s="2130"/>
      <c r="BG299" s="2130"/>
      <c r="BH299" s="2130"/>
      <c r="BI299" s="2130"/>
      <c r="BJ299" s="2130"/>
      <c r="BK299" s="2130"/>
      <c r="BL299" s="2130"/>
      <c r="BM299" s="2130"/>
      <c r="BN299" s="2130"/>
      <c r="BO299" s="2130"/>
      <c r="BP299" s="2130"/>
      <c r="BQ299" s="2130"/>
      <c r="BR299" s="2130"/>
      <c r="BS299" s="2130"/>
      <c r="BT299" s="2130"/>
      <c r="BU299" s="2130"/>
      <c r="BV299" s="2130"/>
      <c r="BW299" s="2130"/>
      <c r="BX299" s="2130"/>
      <c r="BY299" s="2130"/>
      <c r="BZ299" s="2130"/>
      <c r="CA299" s="2130"/>
      <c r="CB299" s="2130"/>
      <c r="CC299" s="2130"/>
      <c r="CD299" s="2130"/>
      <c r="CE299" s="2130"/>
      <c r="CF299" s="2130"/>
      <c r="CG299" s="2130"/>
      <c r="CH299" s="2130"/>
      <c r="CI299" s="2130"/>
      <c r="CJ299" s="2130"/>
      <c r="CK299" s="2130"/>
      <c r="CL299" s="2130"/>
      <c r="CM299" s="2130"/>
      <c r="CN299" s="2130"/>
      <c r="CO299" s="2130"/>
      <c r="CP299" s="2130"/>
      <c r="CQ299" s="2130"/>
      <c r="CR299" s="2130"/>
      <c r="CS299" s="2130"/>
      <c r="CT299" s="2130"/>
      <c r="CU299" s="2130"/>
      <c r="CV299" s="2130"/>
      <c r="CW299" s="2130"/>
      <c r="CX299" s="2130"/>
      <c r="CY299" s="2130"/>
      <c r="CZ299" s="2130"/>
      <c r="DA299" s="2130"/>
      <c r="DB299" s="2130"/>
      <c r="DC299" s="2130"/>
      <c r="DD299" s="2130"/>
      <c r="DE299" s="2130"/>
      <c r="DF299" s="2130"/>
      <c r="DG299" s="2130"/>
      <c r="DH299" s="2130"/>
      <c r="DI299" s="2130"/>
      <c r="DJ299" s="2130"/>
      <c r="DK299" s="2130"/>
      <c r="DL299" s="2130"/>
      <c r="DM299" s="2130"/>
      <c r="DN299" s="2130"/>
      <c r="DO299" s="2130"/>
      <c r="DP299" s="2130"/>
      <c r="DQ299" s="2130"/>
      <c r="DR299" s="2130"/>
      <c r="DS299" s="2130"/>
      <c r="DT299" s="2130"/>
      <c r="DU299" s="2130"/>
      <c r="DV299" s="2130"/>
      <c r="DW299" s="2130"/>
      <c r="DX299" s="2130"/>
      <c r="DY299" s="2130"/>
      <c r="DZ299" s="2130"/>
      <c r="EA299" s="2130"/>
      <c r="EB299" s="2130"/>
      <c r="EC299" s="2130"/>
      <c r="ED299" s="2130"/>
      <c r="EE299" s="2130"/>
      <c r="EF299" s="2130"/>
      <c r="EG299" s="2130"/>
      <c r="EH299" s="2130"/>
      <c r="EI299" s="2130"/>
      <c r="EJ299" s="2130"/>
      <c r="EK299" s="2130"/>
      <c r="EL299" s="2130"/>
      <c r="EM299" s="2130"/>
      <c r="EN299" s="2130"/>
      <c r="EO299" s="2130"/>
      <c r="EP299" s="2130"/>
      <c r="EQ299" s="2130"/>
      <c r="ER299" s="2130"/>
      <c r="ES299" s="2130"/>
      <c r="ET299" s="2130"/>
      <c r="EU299" s="2130"/>
      <c r="EV299" s="2130"/>
      <c r="EW299" s="2130"/>
      <c r="EX299" s="2130"/>
      <c r="EY299" s="2130"/>
      <c r="EZ299" s="2130"/>
      <c r="FA299" s="2130"/>
      <c r="FB299" s="2130"/>
      <c r="FC299" s="2130"/>
      <c r="FD299" s="2130"/>
      <c r="FE299" s="2130"/>
      <c r="FF299" s="2130"/>
      <c r="FG299" s="2130"/>
      <c r="FH299" s="2130"/>
      <c r="FI299" s="2130"/>
      <c r="FJ299" s="2130"/>
      <c r="FK299" s="2130"/>
      <c r="FL299" s="2130"/>
      <c r="FM299" s="2130"/>
      <c r="FN299" s="2130"/>
      <c r="FO299" s="2130"/>
      <c r="FP299" s="2130"/>
    </row>
    <row r="300" spans="1:172" s="2298" customFormat="1" ht="45" customHeight="1" x14ac:dyDescent="0.2">
      <c r="A300" s="2141"/>
      <c r="B300" s="2142"/>
      <c r="C300" s="2143"/>
      <c r="D300" s="2142"/>
      <c r="E300" s="2142"/>
      <c r="F300" s="2143"/>
      <c r="G300" s="2142"/>
      <c r="H300" s="2142"/>
      <c r="I300" s="2143"/>
      <c r="J300" s="4164"/>
      <c r="K300" s="4164"/>
      <c r="L300" s="4139"/>
      <c r="M300" s="4206"/>
      <c r="N300" s="4139"/>
      <c r="O300" s="4209"/>
      <c r="P300" s="4142"/>
      <c r="Q300" s="4146"/>
      <c r="R300" s="4159"/>
      <c r="S300" s="4142"/>
      <c r="T300" s="4139"/>
      <c r="U300" s="4211"/>
      <c r="V300" s="2296">
        <v>81073317</v>
      </c>
      <c r="W300" s="2297">
        <v>58</v>
      </c>
      <c r="X300" s="2193" t="s">
        <v>2304</v>
      </c>
      <c r="Y300" s="4139"/>
      <c r="Z300" s="4139">
        <v>282326</v>
      </c>
      <c r="AA300" s="4139">
        <v>135912</v>
      </c>
      <c r="AB300" s="4139">
        <v>45122</v>
      </c>
      <c r="AC300" s="4139">
        <v>307101</v>
      </c>
      <c r="AD300" s="4139">
        <v>86875</v>
      </c>
      <c r="AE300" s="4139">
        <v>2145</v>
      </c>
      <c r="AF300" s="4139">
        <v>12718</v>
      </c>
      <c r="AG300" s="4139">
        <v>26</v>
      </c>
      <c r="AH300" s="4139">
        <v>37</v>
      </c>
      <c r="AI300" s="4139" t="s">
        <v>1913</v>
      </c>
      <c r="AJ300" s="4139" t="s">
        <v>1913</v>
      </c>
      <c r="AK300" s="4139">
        <v>53164</v>
      </c>
      <c r="AL300" s="4139">
        <v>16982</v>
      </c>
      <c r="AM300" s="4139">
        <v>60013</v>
      </c>
      <c r="AN300" s="4139">
        <v>575010</v>
      </c>
      <c r="AO300" s="4150"/>
      <c r="AP300" s="4150"/>
      <c r="AQ300" s="4137"/>
      <c r="AR300" s="2130"/>
      <c r="AS300" s="2130"/>
      <c r="AT300" s="2130"/>
      <c r="AU300" s="2130"/>
      <c r="AV300" s="2130"/>
      <c r="AW300" s="2130"/>
      <c r="AX300" s="2130"/>
      <c r="AY300" s="2130"/>
      <c r="AZ300" s="2130"/>
      <c r="BA300" s="2130"/>
      <c r="BB300" s="2130"/>
      <c r="BC300" s="2130"/>
      <c r="BD300" s="2130"/>
      <c r="BE300" s="2130"/>
      <c r="BF300" s="2130"/>
      <c r="BG300" s="2130"/>
      <c r="BH300" s="2130"/>
      <c r="BI300" s="2130"/>
      <c r="BJ300" s="2130"/>
      <c r="BK300" s="2130"/>
      <c r="BL300" s="2130"/>
      <c r="BM300" s="2130"/>
      <c r="BN300" s="2130"/>
      <c r="BO300" s="2130"/>
      <c r="BP300" s="2130"/>
      <c r="BQ300" s="2130"/>
      <c r="BR300" s="2130"/>
      <c r="BS300" s="2130"/>
      <c r="BT300" s="2130"/>
      <c r="BU300" s="2130"/>
      <c r="BV300" s="2130"/>
      <c r="BW300" s="2130"/>
      <c r="BX300" s="2130"/>
      <c r="BY300" s="2130"/>
      <c r="BZ300" s="2130"/>
      <c r="CA300" s="2130"/>
      <c r="CB300" s="2130"/>
      <c r="CC300" s="2130"/>
      <c r="CD300" s="2130"/>
      <c r="CE300" s="2130"/>
      <c r="CF300" s="2130"/>
      <c r="CG300" s="2130"/>
      <c r="CH300" s="2130"/>
      <c r="CI300" s="2130"/>
      <c r="CJ300" s="2130"/>
      <c r="CK300" s="2130"/>
      <c r="CL300" s="2130"/>
      <c r="CM300" s="2130"/>
      <c r="CN300" s="2130"/>
      <c r="CO300" s="2130"/>
      <c r="CP300" s="2130"/>
      <c r="CQ300" s="2130"/>
      <c r="CR300" s="2130"/>
      <c r="CS300" s="2130"/>
      <c r="CT300" s="2130"/>
      <c r="CU300" s="2130"/>
      <c r="CV300" s="2130"/>
      <c r="CW300" s="2130"/>
      <c r="CX300" s="2130"/>
      <c r="CY300" s="2130"/>
      <c r="CZ300" s="2130"/>
      <c r="DA300" s="2130"/>
      <c r="DB300" s="2130"/>
      <c r="DC300" s="2130"/>
      <c r="DD300" s="2130"/>
      <c r="DE300" s="2130"/>
      <c r="DF300" s="2130"/>
      <c r="DG300" s="2130"/>
      <c r="DH300" s="2130"/>
      <c r="DI300" s="2130"/>
      <c r="DJ300" s="2130"/>
      <c r="DK300" s="2130"/>
      <c r="DL300" s="2130"/>
      <c r="DM300" s="2130"/>
      <c r="DN300" s="2130"/>
      <c r="DO300" s="2130"/>
      <c r="DP300" s="2130"/>
      <c r="DQ300" s="2130"/>
      <c r="DR300" s="2130"/>
      <c r="DS300" s="2130"/>
      <c r="DT300" s="2130"/>
      <c r="DU300" s="2130"/>
      <c r="DV300" s="2130"/>
      <c r="DW300" s="2130"/>
      <c r="DX300" s="2130"/>
      <c r="DY300" s="2130"/>
      <c r="DZ300" s="2130"/>
      <c r="EA300" s="2130"/>
      <c r="EB300" s="2130"/>
      <c r="EC300" s="2130"/>
      <c r="ED300" s="2130"/>
      <c r="EE300" s="2130"/>
      <c r="EF300" s="2130"/>
      <c r="EG300" s="2130"/>
      <c r="EH300" s="2130"/>
      <c r="EI300" s="2130"/>
      <c r="EJ300" s="2130"/>
      <c r="EK300" s="2130"/>
      <c r="EL300" s="2130"/>
      <c r="EM300" s="2130"/>
      <c r="EN300" s="2130"/>
      <c r="EO300" s="2130"/>
      <c r="EP300" s="2130"/>
      <c r="EQ300" s="2130"/>
      <c r="ER300" s="2130"/>
      <c r="ES300" s="2130"/>
      <c r="ET300" s="2130"/>
      <c r="EU300" s="2130"/>
      <c r="EV300" s="2130"/>
      <c r="EW300" s="2130"/>
      <c r="EX300" s="2130"/>
      <c r="EY300" s="2130"/>
      <c r="EZ300" s="2130"/>
      <c r="FA300" s="2130"/>
      <c r="FB300" s="2130"/>
      <c r="FC300" s="2130"/>
      <c r="FD300" s="2130"/>
      <c r="FE300" s="2130"/>
      <c r="FF300" s="2130"/>
      <c r="FG300" s="2130"/>
      <c r="FH300" s="2130"/>
      <c r="FI300" s="2130"/>
      <c r="FJ300" s="2130"/>
      <c r="FK300" s="2130"/>
      <c r="FL300" s="2130"/>
      <c r="FM300" s="2130"/>
      <c r="FN300" s="2130"/>
      <c r="FO300" s="2130"/>
      <c r="FP300" s="2130"/>
    </row>
    <row r="301" spans="1:172" s="2298" customFormat="1" ht="45" customHeight="1" x14ac:dyDescent="0.2">
      <c r="A301" s="2141"/>
      <c r="B301" s="2142"/>
      <c r="C301" s="2143"/>
      <c r="D301" s="2142"/>
      <c r="E301" s="2142"/>
      <c r="F301" s="2143"/>
      <c r="G301" s="2142"/>
      <c r="H301" s="2142"/>
      <c r="I301" s="2143"/>
      <c r="J301" s="4164"/>
      <c r="K301" s="4164"/>
      <c r="L301" s="4139"/>
      <c r="M301" s="4206"/>
      <c r="N301" s="4139"/>
      <c r="O301" s="4209"/>
      <c r="P301" s="4142"/>
      <c r="Q301" s="4146"/>
      <c r="R301" s="4159"/>
      <c r="S301" s="4142"/>
      <c r="T301" s="4139"/>
      <c r="U301" s="4211"/>
      <c r="V301" s="2296">
        <f>4163056704+1353644949</f>
        <v>5516701653</v>
      </c>
      <c r="W301" s="2297">
        <v>59</v>
      </c>
      <c r="X301" s="2193" t="s">
        <v>2305</v>
      </c>
      <c r="Y301" s="4139"/>
      <c r="Z301" s="4139">
        <v>282326</v>
      </c>
      <c r="AA301" s="4139">
        <v>135912</v>
      </c>
      <c r="AB301" s="4139">
        <v>45122</v>
      </c>
      <c r="AC301" s="4139">
        <v>307101</v>
      </c>
      <c r="AD301" s="4139">
        <v>86875</v>
      </c>
      <c r="AE301" s="4139">
        <v>2145</v>
      </c>
      <c r="AF301" s="4139">
        <v>12718</v>
      </c>
      <c r="AG301" s="4139">
        <v>26</v>
      </c>
      <c r="AH301" s="4139">
        <v>37</v>
      </c>
      <c r="AI301" s="4139" t="s">
        <v>1913</v>
      </c>
      <c r="AJ301" s="4139" t="s">
        <v>1913</v>
      </c>
      <c r="AK301" s="4139">
        <v>53164</v>
      </c>
      <c r="AL301" s="4139">
        <v>16982</v>
      </c>
      <c r="AM301" s="4139">
        <v>60013</v>
      </c>
      <c r="AN301" s="4139">
        <v>575010</v>
      </c>
      <c r="AO301" s="4150"/>
      <c r="AP301" s="4150"/>
      <c r="AQ301" s="4137"/>
      <c r="AR301" s="2130"/>
      <c r="AS301" s="2130"/>
      <c r="AT301" s="2130"/>
      <c r="AU301" s="2130"/>
      <c r="AV301" s="2130"/>
      <c r="AW301" s="2130"/>
      <c r="AX301" s="2130"/>
      <c r="AY301" s="2130"/>
      <c r="AZ301" s="2130"/>
      <c r="BA301" s="2130"/>
      <c r="BB301" s="2130"/>
      <c r="BC301" s="2130"/>
      <c r="BD301" s="2130"/>
      <c r="BE301" s="2130"/>
      <c r="BF301" s="2130"/>
      <c r="BG301" s="2130"/>
      <c r="BH301" s="2130"/>
      <c r="BI301" s="2130"/>
      <c r="BJ301" s="2130"/>
      <c r="BK301" s="2130"/>
      <c r="BL301" s="2130"/>
      <c r="BM301" s="2130"/>
      <c r="BN301" s="2130"/>
      <c r="BO301" s="2130"/>
      <c r="BP301" s="2130"/>
      <c r="BQ301" s="2130"/>
      <c r="BR301" s="2130"/>
      <c r="BS301" s="2130"/>
      <c r="BT301" s="2130"/>
      <c r="BU301" s="2130"/>
      <c r="BV301" s="2130"/>
      <c r="BW301" s="2130"/>
      <c r="BX301" s="2130"/>
      <c r="BY301" s="2130"/>
      <c r="BZ301" s="2130"/>
      <c r="CA301" s="2130"/>
      <c r="CB301" s="2130"/>
      <c r="CC301" s="2130"/>
      <c r="CD301" s="2130"/>
      <c r="CE301" s="2130"/>
      <c r="CF301" s="2130"/>
      <c r="CG301" s="2130"/>
      <c r="CH301" s="2130"/>
      <c r="CI301" s="2130"/>
      <c r="CJ301" s="2130"/>
      <c r="CK301" s="2130"/>
      <c r="CL301" s="2130"/>
      <c r="CM301" s="2130"/>
      <c r="CN301" s="2130"/>
      <c r="CO301" s="2130"/>
      <c r="CP301" s="2130"/>
      <c r="CQ301" s="2130"/>
      <c r="CR301" s="2130"/>
      <c r="CS301" s="2130"/>
      <c r="CT301" s="2130"/>
      <c r="CU301" s="2130"/>
      <c r="CV301" s="2130"/>
      <c r="CW301" s="2130"/>
      <c r="CX301" s="2130"/>
      <c r="CY301" s="2130"/>
      <c r="CZ301" s="2130"/>
      <c r="DA301" s="2130"/>
      <c r="DB301" s="2130"/>
      <c r="DC301" s="2130"/>
      <c r="DD301" s="2130"/>
      <c r="DE301" s="2130"/>
      <c r="DF301" s="2130"/>
      <c r="DG301" s="2130"/>
      <c r="DH301" s="2130"/>
      <c r="DI301" s="2130"/>
      <c r="DJ301" s="2130"/>
      <c r="DK301" s="2130"/>
      <c r="DL301" s="2130"/>
      <c r="DM301" s="2130"/>
      <c r="DN301" s="2130"/>
      <c r="DO301" s="2130"/>
      <c r="DP301" s="2130"/>
      <c r="DQ301" s="2130"/>
      <c r="DR301" s="2130"/>
      <c r="DS301" s="2130"/>
      <c r="DT301" s="2130"/>
      <c r="DU301" s="2130"/>
      <c r="DV301" s="2130"/>
      <c r="DW301" s="2130"/>
      <c r="DX301" s="2130"/>
      <c r="DY301" s="2130"/>
      <c r="DZ301" s="2130"/>
      <c r="EA301" s="2130"/>
      <c r="EB301" s="2130"/>
      <c r="EC301" s="2130"/>
      <c r="ED301" s="2130"/>
      <c r="EE301" s="2130"/>
      <c r="EF301" s="2130"/>
      <c r="EG301" s="2130"/>
      <c r="EH301" s="2130"/>
      <c r="EI301" s="2130"/>
      <c r="EJ301" s="2130"/>
      <c r="EK301" s="2130"/>
      <c r="EL301" s="2130"/>
      <c r="EM301" s="2130"/>
      <c r="EN301" s="2130"/>
      <c r="EO301" s="2130"/>
      <c r="EP301" s="2130"/>
      <c r="EQ301" s="2130"/>
      <c r="ER301" s="2130"/>
      <c r="ES301" s="2130"/>
      <c r="ET301" s="2130"/>
      <c r="EU301" s="2130"/>
      <c r="EV301" s="2130"/>
      <c r="EW301" s="2130"/>
      <c r="EX301" s="2130"/>
      <c r="EY301" s="2130"/>
      <c r="EZ301" s="2130"/>
      <c r="FA301" s="2130"/>
      <c r="FB301" s="2130"/>
      <c r="FC301" s="2130"/>
      <c r="FD301" s="2130"/>
      <c r="FE301" s="2130"/>
      <c r="FF301" s="2130"/>
      <c r="FG301" s="2130"/>
      <c r="FH301" s="2130"/>
      <c r="FI301" s="2130"/>
      <c r="FJ301" s="2130"/>
      <c r="FK301" s="2130"/>
      <c r="FL301" s="2130"/>
      <c r="FM301" s="2130"/>
      <c r="FN301" s="2130"/>
      <c r="FO301" s="2130"/>
      <c r="FP301" s="2130"/>
    </row>
    <row r="302" spans="1:172" s="2298" customFormat="1" ht="45" customHeight="1" x14ac:dyDescent="0.2">
      <c r="A302" s="2141"/>
      <c r="B302" s="2142"/>
      <c r="C302" s="2143"/>
      <c r="D302" s="2142"/>
      <c r="E302" s="2142"/>
      <c r="F302" s="2143"/>
      <c r="G302" s="2142"/>
      <c r="H302" s="2142"/>
      <c r="I302" s="2143"/>
      <c r="J302" s="4164"/>
      <c r="K302" s="4164"/>
      <c r="L302" s="4139"/>
      <c r="M302" s="4206"/>
      <c r="N302" s="4139"/>
      <c r="O302" s="4209"/>
      <c r="P302" s="4142"/>
      <c r="Q302" s="4146"/>
      <c r="R302" s="4159"/>
      <c r="S302" s="4142"/>
      <c r="T302" s="4139"/>
      <c r="U302" s="4211"/>
      <c r="V302" s="2296">
        <v>3888000000</v>
      </c>
      <c r="W302" s="2297">
        <v>60</v>
      </c>
      <c r="X302" s="2193" t="s">
        <v>2306</v>
      </c>
      <c r="Y302" s="4139"/>
      <c r="Z302" s="4139">
        <v>282326</v>
      </c>
      <c r="AA302" s="4139">
        <v>135912</v>
      </c>
      <c r="AB302" s="4139">
        <v>45122</v>
      </c>
      <c r="AC302" s="4139">
        <v>307101</v>
      </c>
      <c r="AD302" s="4139">
        <v>86875</v>
      </c>
      <c r="AE302" s="4139">
        <v>2145</v>
      </c>
      <c r="AF302" s="4139">
        <v>12718</v>
      </c>
      <c r="AG302" s="4139">
        <v>26</v>
      </c>
      <c r="AH302" s="4139">
        <v>37</v>
      </c>
      <c r="AI302" s="4139" t="s">
        <v>1913</v>
      </c>
      <c r="AJ302" s="4139" t="s">
        <v>1913</v>
      </c>
      <c r="AK302" s="4139">
        <v>53164</v>
      </c>
      <c r="AL302" s="4139">
        <v>16982</v>
      </c>
      <c r="AM302" s="4139">
        <v>60013</v>
      </c>
      <c r="AN302" s="4139">
        <v>575010</v>
      </c>
      <c r="AO302" s="4150"/>
      <c r="AP302" s="4150"/>
      <c r="AQ302" s="4137"/>
      <c r="AR302" s="2130"/>
      <c r="AS302" s="2130"/>
      <c r="AT302" s="2130"/>
      <c r="AU302" s="2130"/>
      <c r="AV302" s="2130"/>
      <c r="AW302" s="2130"/>
      <c r="AX302" s="2130"/>
      <c r="AY302" s="2130"/>
      <c r="AZ302" s="2130"/>
      <c r="BA302" s="2130"/>
      <c r="BB302" s="2130"/>
      <c r="BC302" s="2130"/>
      <c r="BD302" s="2130"/>
      <c r="BE302" s="2130"/>
      <c r="BF302" s="2130"/>
      <c r="BG302" s="2130"/>
      <c r="BH302" s="2130"/>
      <c r="BI302" s="2130"/>
      <c r="BJ302" s="2130"/>
      <c r="BK302" s="2130"/>
      <c r="BL302" s="2130"/>
      <c r="BM302" s="2130"/>
      <c r="BN302" s="2130"/>
      <c r="BO302" s="2130"/>
      <c r="BP302" s="2130"/>
      <c r="BQ302" s="2130"/>
      <c r="BR302" s="2130"/>
      <c r="BS302" s="2130"/>
      <c r="BT302" s="2130"/>
      <c r="BU302" s="2130"/>
      <c r="BV302" s="2130"/>
      <c r="BW302" s="2130"/>
      <c r="BX302" s="2130"/>
      <c r="BY302" s="2130"/>
      <c r="BZ302" s="2130"/>
      <c r="CA302" s="2130"/>
      <c r="CB302" s="2130"/>
      <c r="CC302" s="2130"/>
      <c r="CD302" s="2130"/>
      <c r="CE302" s="2130"/>
      <c r="CF302" s="2130"/>
      <c r="CG302" s="2130"/>
      <c r="CH302" s="2130"/>
      <c r="CI302" s="2130"/>
      <c r="CJ302" s="2130"/>
      <c r="CK302" s="2130"/>
      <c r="CL302" s="2130"/>
      <c r="CM302" s="2130"/>
      <c r="CN302" s="2130"/>
      <c r="CO302" s="2130"/>
      <c r="CP302" s="2130"/>
      <c r="CQ302" s="2130"/>
      <c r="CR302" s="2130"/>
      <c r="CS302" s="2130"/>
      <c r="CT302" s="2130"/>
      <c r="CU302" s="2130"/>
      <c r="CV302" s="2130"/>
      <c r="CW302" s="2130"/>
      <c r="CX302" s="2130"/>
      <c r="CY302" s="2130"/>
      <c r="CZ302" s="2130"/>
      <c r="DA302" s="2130"/>
      <c r="DB302" s="2130"/>
      <c r="DC302" s="2130"/>
      <c r="DD302" s="2130"/>
      <c r="DE302" s="2130"/>
      <c r="DF302" s="2130"/>
      <c r="DG302" s="2130"/>
      <c r="DH302" s="2130"/>
      <c r="DI302" s="2130"/>
      <c r="DJ302" s="2130"/>
      <c r="DK302" s="2130"/>
      <c r="DL302" s="2130"/>
      <c r="DM302" s="2130"/>
      <c r="DN302" s="2130"/>
      <c r="DO302" s="2130"/>
      <c r="DP302" s="2130"/>
      <c r="DQ302" s="2130"/>
      <c r="DR302" s="2130"/>
      <c r="DS302" s="2130"/>
      <c r="DT302" s="2130"/>
      <c r="DU302" s="2130"/>
      <c r="DV302" s="2130"/>
      <c r="DW302" s="2130"/>
      <c r="DX302" s="2130"/>
      <c r="DY302" s="2130"/>
      <c r="DZ302" s="2130"/>
      <c r="EA302" s="2130"/>
      <c r="EB302" s="2130"/>
      <c r="EC302" s="2130"/>
      <c r="ED302" s="2130"/>
      <c r="EE302" s="2130"/>
      <c r="EF302" s="2130"/>
      <c r="EG302" s="2130"/>
      <c r="EH302" s="2130"/>
      <c r="EI302" s="2130"/>
      <c r="EJ302" s="2130"/>
      <c r="EK302" s="2130"/>
      <c r="EL302" s="2130"/>
      <c r="EM302" s="2130"/>
      <c r="EN302" s="2130"/>
      <c r="EO302" s="2130"/>
      <c r="EP302" s="2130"/>
      <c r="EQ302" s="2130"/>
      <c r="ER302" s="2130"/>
      <c r="ES302" s="2130"/>
      <c r="ET302" s="2130"/>
      <c r="EU302" s="2130"/>
      <c r="EV302" s="2130"/>
      <c r="EW302" s="2130"/>
      <c r="EX302" s="2130"/>
      <c r="EY302" s="2130"/>
      <c r="EZ302" s="2130"/>
      <c r="FA302" s="2130"/>
      <c r="FB302" s="2130"/>
      <c r="FC302" s="2130"/>
      <c r="FD302" s="2130"/>
      <c r="FE302" s="2130"/>
      <c r="FF302" s="2130"/>
      <c r="FG302" s="2130"/>
      <c r="FH302" s="2130"/>
      <c r="FI302" s="2130"/>
      <c r="FJ302" s="2130"/>
      <c r="FK302" s="2130"/>
      <c r="FL302" s="2130"/>
      <c r="FM302" s="2130"/>
      <c r="FN302" s="2130"/>
      <c r="FO302" s="2130"/>
      <c r="FP302" s="2130"/>
    </row>
    <row r="303" spans="1:172" s="2298" customFormat="1" ht="45" customHeight="1" x14ac:dyDescent="0.2">
      <c r="A303" s="2141"/>
      <c r="B303" s="2142"/>
      <c r="C303" s="2143"/>
      <c r="D303" s="2142"/>
      <c r="E303" s="2142"/>
      <c r="F303" s="2143"/>
      <c r="G303" s="2142"/>
      <c r="H303" s="2142"/>
      <c r="I303" s="2143"/>
      <c r="J303" s="4164"/>
      <c r="K303" s="4164"/>
      <c r="L303" s="4139"/>
      <c r="M303" s="4206"/>
      <c r="N303" s="4139"/>
      <c r="O303" s="4209"/>
      <c r="P303" s="4142"/>
      <c r="Q303" s="4146"/>
      <c r="R303" s="4159"/>
      <c r="S303" s="4142"/>
      <c r="T303" s="4139"/>
      <c r="U303" s="4211"/>
      <c r="V303" s="2296">
        <v>905255315</v>
      </c>
      <c r="W303" s="2297">
        <v>96</v>
      </c>
      <c r="X303" s="2193" t="s">
        <v>2307</v>
      </c>
      <c r="Y303" s="4139"/>
      <c r="Z303" s="4139">
        <v>282326</v>
      </c>
      <c r="AA303" s="4139">
        <v>135912</v>
      </c>
      <c r="AB303" s="4139">
        <v>45122</v>
      </c>
      <c r="AC303" s="4139">
        <v>307101</v>
      </c>
      <c r="AD303" s="4139">
        <v>86875</v>
      </c>
      <c r="AE303" s="4139">
        <v>2145</v>
      </c>
      <c r="AF303" s="4139">
        <v>12718</v>
      </c>
      <c r="AG303" s="4139">
        <v>26</v>
      </c>
      <c r="AH303" s="4139">
        <v>37</v>
      </c>
      <c r="AI303" s="4139" t="s">
        <v>1913</v>
      </c>
      <c r="AJ303" s="4139" t="s">
        <v>1913</v>
      </c>
      <c r="AK303" s="4139">
        <v>53164</v>
      </c>
      <c r="AL303" s="4139">
        <v>16982</v>
      </c>
      <c r="AM303" s="4139">
        <v>60013</v>
      </c>
      <c r="AN303" s="4139">
        <v>575010</v>
      </c>
      <c r="AO303" s="4150"/>
      <c r="AP303" s="4150"/>
      <c r="AQ303" s="4137"/>
      <c r="AR303" s="2130"/>
      <c r="AS303" s="2130"/>
      <c r="AT303" s="2130"/>
      <c r="AU303" s="2130"/>
      <c r="AV303" s="2130"/>
      <c r="AW303" s="2130"/>
      <c r="AX303" s="2130"/>
      <c r="AY303" s="2130"/>
      <c r="AZ303" s="2130"/>
      <c r="BA303" s="2130"/>
      <c r="BB303" s="2130"/>
      <c r="BC303" s="2130"/>
      <c r="BD303" s="2130"/>
      <c r="BE303" s="2130"/>
      <c r="BF303" s="2130"/>
      <c r="BG303" s="2130"/>
      <c r="BH303" s="2130"/>
      <c r="BI303" s="2130"/>
      <c r="BJ303" s="2130"/>
      <c r="BK303" s="2130"/>
      <c r="BL303" s="2130"/>
      <c r="BM303" s="2130"/>
      <c r="BN303" s="2130"/>
      <c r="BO303" s="2130"/>
      <c r="BP303" s="2130"/>
      <c r="BQ303" s="2130"/>
      <c r="BR303" s="2130"/>
      <c r="BS303" s="2130"/>
      <c r="BT303" s="2130"/>
      <c r="BU303" s="2130"/>
      <c r="BV303" s="2130"/>
      <c r="BW303" s="2130"/>
      <c r="BX303" s="2130"/>
      <c r="BY303" s="2130"/>
      <c r="BZ303" s="2130"/>
      <c r="CA303" s="2130"/>
      <c r="CB303" s="2130"/>
      <c r="CC303" s="2130"/>
      <c r="CD303" s="2130"/>
      <c r="CE303" s="2130"/>
      <c r="CF303" s="2130"/>
      <c r="CG303" s="2130"/>
      <c r="CH303" s="2130"/>
      <c r="CI303" s="2130"/>
      <c r="CJ303" s="2130"/>
      <c r="CK303" s="2130"/>
      <c r="CL303" s="2130"/>
      <c r="CM303" s="2130"/>
      <c r="CN303" s="2130"/>
      <c r="CO303" s="2130"/>
      <c r="CP303" s="2130"/>
      <c r="CQ303" s="2130"/>
      <c r="CR303" s="2130"/>
      <c r="CS303" s="2130"/>
      <c r="CT303" s="2130"/>
      <c r="CU303" s="2130"/>
      <c r="CV303" s="2130"/>
      <c r="CW303" s="2130"/>
      <c r="CX303" s="2130"/>
      <c r="CY303" s="2130"/>
      <c r="CZ303" s="2130"/>
      <c r="DA303" s="2130"/>
      <c r="DB303" s="2130"/>
      <c r="DC303" s="2130"/>
      <c r="DD303" s="2130"/>
      <c r="DE303" s="2130"/>
      <c r="DF303" s="2130"/>
      <c r="DG303" s="2130"/>
      <c r="DH303" s="2130"/>
      <c r="DI303" s="2130"/>
      <c r="DJ303" s="2130"/>
      <c r="DK303" s="2130"/>
      <c r="DL303" s="2130"/>
      <c r="DM303" s="2130"/>
      <c r="DN303" s="2130"/>
      <c r="DO303" s="2130"/>
      <c r="DP303" s="2130"/>
      <c r="DQ303" s="2130"/>
      <c r="DR303" s="2130"/>
      <c r="DS303" s="2130"/>
      <c r="DT303" s="2130"/>
      <c r="DU303" s="2130"/>
      <c r="DV303" s="2130"/>
      <c r="DW303" s="2130"/>
      <c r="DX303" s="2130"/>
      <c r="DY303" s="2130"/>
      <c r="DZ303" s="2130"/>
      <c r="EA303" s="2130"/>
      <c r="EB303" s="2130"/>
      <c r="EC303" s="2130"/>
      <c r="ED303" s="2130"/>
      <c r="EE303" s="2130"/>
      <c r="EF303" s="2130"/>
      <c r="EG303" s="2130"/>
      <c r="EH303" s="2130"/>
      <c r="EI303" s="2130"/>
      <c r="EJ303" s="2130"/>
      <c r="EK303" s="2130"/>
      <c r="EL303" s="2130"/>
      <c r="EM303" s="2130"/>
      <c r="EN303" s="2130"/>
      <c r="EO303" s="2130"/>
      <c r="EP303" s="2130"/>
      <c r="EQ303" s="2130"/>
      <c r="ER303" s="2130"/>
      <c r="ES303" s="2130"/>
      <c r="ET303" s="2130"/>
      <c r="EU303" s="2130"/>
      <c r="EV303" s="2130"/>
      <c r="EW303" s="2130"/>
      <c r="EX303" s="2130"/>
      <c r="EY303" s="2130"/>
      <c r="EZ303" s="2130"/>
      <c r="FA303" s="2130"/>
      <c r="FB303" s="2130"/>
      <c r="FC303" s="2130"/>
      <c r="FD303" s="2130"/>
      <c r="FE303" s="2130"/>
      <c r="FF303" s="2130"/>
      <c r="FG303" s="2130"/>
      <c r="FH303" s="2130"/>
      <c r="FI303" s="2130"/>
      <c r="FJ303" s="2130"/>
      <c r="FK303" s="2130"/>
      <c r="FL303" s="2130"/>
      <c r="FM303" s="2130"/>
      <c r="FN303" s="2130"/>
      <c r="FO303" s="2130"/>
      <c r="FP303" s="2130"/>
    </row>
    <row r="304" spans="1:172" s="2298" customFormat="1" ht="45" customHeight="1" x14ac:dyDescent="0.2">
      <c r="A304" s="2141"/>
      <c r="B304" s="2142"/>
      <c r="C304" s="2143"/>
      <c r="D304" s="2142"/>
      <c r="E304" s="2142"/>
      <c r="F304" s="2143"/>
      <c r="G304" s="2142"/>
      <c r="H304" s="2142"/>
      <c r="I304" s="2143"/>
      <c r="J304" s="4164"/>
      <c r="K304" s="4164"/>
      <c r="L304" s="4139"/>
      <c r="M304" s="4206"/>
      <c r="N304" s="4139"/>
      <c r="O304" s="4209"/>
      <c r="P304" s="4142"/>
      <c r="Q304" s="4146"/>
      <c r="R304" s="4159"/>
      <c r="S304" s="4142"/>
      <c r="T304" s="4139"/>
      <c r="U304" s="4211"/>
      <c r="V304" s="2296">
        <v>573833621</v>
      </c>
      <c r="W304" s="2297">
        <v>97</v>
      </c>
      <c r="X304" s="2193" t="s">
        <v>2308</v>
      </c>
      <c r="Y304" s="4139"/>
      <c r="Z304" s="4139">
        <v>282326</v>
      </c>
      <c r="AA304" s="4139">
        <v>135912</v>
      </c>
      <c r="AB304" s="4139">
        <v>45122</v>
      </c>
      <c r="AC304" s="4139">
        <v>307101</v>
      </c>
      <c r="AD304" s="4139">
        <v>86875</v>
      </c>
      <c r="AE304" s="4139">
        <v>2145</v>
      </c>
      <c r="AF304" s="4139">
        <v>12718</v>
      </c>
      <c r="AG304" s="4139">
        <v>26</v>
      </c>
      <c r="AH304" s="4139">
        <v>37</v>
      </c>
      <c r="AI304" s="4139" t="s">
        <v>1913</v>
      </c>
      <c r="AJ304" s="4139" t="s">
        <v>1913</v>
      </c>
      <c r="AK304" s="4139">
        <v>53164</v>
      </c>
      <c r="AL304" s="4139">
        <v>16982</v>
      </c>
      <c r="AM304" s="4139">
        <v>60013</v>
      </c>
      <c r="AN304" s="4139">
        <v>575010</v>
      </c>
      <c r="AO304" s="4150"/>
      <c r="AP304" s="4150"/>
      <c r="AQ304" s="4137"/>
      <c r="AR304" s="2130"/>
      <c r="AS304" s="2130"/>
      <c r="AT304" s="2130"/>
      <c r="AU304" s="2130"/>
      <c r="AV304" s="2130"/>
      <c r="AW304" s="2130"/>
      <c r="AX304" s="2130"/>
      <c r="AY304" s="2130"/>
      <c r="AZ304" s="2130"/>
      <c r="BA304" s="2130"/>
      <c r="BB304" s="2130"/>
      <c r="BC304" s="2130"/>
      <c r="BD304" s="2130"/>
      <c r="BE304" s="2130"/>
      <c r="BF304" s="2130"/>
      <c r="BG304" s="2130"/>
      <c r="BH304" s="2130"/>
      <c r="BI304" s="2130"/>
      <c r="BJ304" s="2130"/>
      <c r="BK304" s="2130"/>
      <c r="BL304" s="2130"/>
      <c r="BM304" s="2130"/>
      <c r="BN304" s="2130"/>
      <c r="BO304" s="2130"/>
      <c r="BP304" s="2130"/>
      <c r="BQ304" s="2130"/>
      <c r="BR304" s="2130"/>
      <c r="BS304" s="2130"/>
      <c r="BT304" s="2130"/>
      <c r="BU304" s="2130"/>
      <c r="BV304" s="2130"/>
      <c r="BW304" s="2130"/>
      <c r="BX304" s="2130"/>
      <c r="BY304" s="2130"/>
      <c r="BZ304" s="2130"/>
      <c r="CA304" s="2130"/>
      <c r="CB304" s="2130"/>
      <c r="CC304" s="2130"/>
      <c r="CD304" s="2130"/>
      <c r="CE304" s="2130"/>
      <c r="CF304" s="2130"/>
      <c r="CG304" s="2130"/>
      <c r="CH304" s="2130"/>
      <c r="CI304" s="2130"/>
      <c r="CJ304" s="2130"/>
      <c r="CK304" s="2130"/>
      <c r="CL304" s="2130"/>
      <c r="CM304" s="2130"/>
      <c r="CN304" s="2130"/>
      <c r="CO304" s="2130"/>
      <c r="CP304" s="2130"/>
      <c r="CQ304" s="2130"/>
      <c r="CR304" s="2130"/>
      <c r="CS304" s="2130"/>
      <c r="CT304" s="2130"/>
      <c r="CU304" s="2130"/>
      <c r="CV304" s="2130"/>
      <c r="CW304" s="2130"/>
      <c r="CX304" s="2130"/>
      <c r="CY304" s="2130"/>
      <c r="CZ304" s="2130"/>
      <c r="DA304" s="2130"/>
      <c r="DB304" s="2130"/>
      <c r="DC304" s="2130"/>
      <c r="DD304" s="2130"/>
      <c r="DE304" s="2130"/>
      <c r="DF304" s="2130"/>
      <c r="DG304" s="2130"/>
      <c r="DH304" s="2130"/>
      <c r="DI304" s="2130"/>
      <c r="DJ304" s="2130"/>
      <c r="DK304" s="2130"/>
      <c r="DL304" s="2130"/>
      <c r="DM304" s="2130"/>
      <c r="DN304" s="2130"/>
      <c r="DO304" s="2130"/>
      <c r="DP304" s="2130"/>
      <c r="DQ304" s="2130"/>
      <c r="DR304" s="2130"/>
      <c r="DS304" s="2130"/>
      <c r="DT304" s="2130"/>
      <c r="DU304" s="2130"/>
      <c r="DV304" s="2130"/>
      <c r="DW304" s="2130"/>
      <c r="DX304" s="2130"/>
      <c r="DY304" s="2130"/>
      <c r="DZ304" s="2130"/>
      <c r="EA304" s="2130"/>
      <c r="EB304" s="2130"/>
      <c r="EC304" s="2130"/>
      <c r="ED304" s="2130"/>
      <c r="EE304" s="2130"/>
      <c r="EF304" s="2130"/>
      <c r="EG304" s="2130"/>
      <c r="EH304" s="2130"/>
      <c r="EI304" s="2130"/>
      <c r="EJ304" s="2130"/>
      <c r="EK304" s="2130"/>
      <c r="EL304" s="2130"/>
      <c r="EM304" s="2130"/>
      <c r="EN304" s="2130"/>
      <c r="EO304" s="2130"/>
      <c r="EP304" s="2130"/>
      <c r="EQ304" s="2130"/>
      <c r="ER304" s="2130"/>
      <c r="ES304" s="2130"/>
      <c r="ET304" s="2130"/>
      <c r="EU304" s="2130"/>
      <c r="EV304" s="2130"/>
      <c r="EW304" s="2130"/>
      <c r="EX304" s="2130"/>
      <c r="EY304" s="2130"/>
      <c r="EZ304" s="2130"/>
      <c r="FA304" s="2130"/>
      <c r="FB304" s="2130"/>
      <c r="FC304" s="2130"/>
      <c r="FD304" s="2130"/>
      <c r="FE304" s="2130"/>
      <c r="FF304" s="2130"/>
      <c r="FG304" s="2130"/>
      <c r="FH304" s="2130"/>
      <c r="FI304" s="2130"/>
      <c r="FJ304" s="2130"/>
      <c r="FK304" s="2130"/>
      <c r="FL304" s="2130"/>
      <c r="FM304" s="2130"/>
      <c r="FN304" s="2130"/>
      <c r="FO304" s="2130"/>
      <c r="FP304" s="2130"/>
    </row>
    <row r="305" spans="1:172" s="2298" customFormat="1" ht="45" customHeight="1" x14ac:dyDescent="0.2">
      <c r="A305" s="2141"/>
      <c r="B305" s="2142"/>
      <c r="C305" s="2143"/>
      <c r="D305" s="2142"/>
      <c r="E305" s="2142"/>
      <c r="F305" s="2143"/>
      <c r="G305" s="2142"/>
      <c r="H305" s="2142"/>
      <c r="I305" s="2143"/>
      <c r="J305" s="4164"/>
      <c r="K305" s="4164"/>
      <c r="L305" s="4139"/>
      <c r="M305" s="4206"/>
      <c r="N305" s="4139"/>
      <c r="O305" s="4209"/>
      <c r="P305" s="4142"/>
      <c r="Q305" s="4146"/>
      <c r="R305" s="4159"/>
      <c r="S305" s="4142"/>
      <c r="T305" s="4139"/>
      <c r="U305" s="4211"/>
      <c r="V305" s="2296">
        <v>6866202</v>
      </c>
      <c r="W305" s="2297">
        <v>65</v>
      </c>
      <c r="X305" s="2193" t="s">
        <v>2309</v>
      </c>
      <c r="Y305" s="4139"/>
      <c r="Z305" s="4139">
        <v>282326</v>
      </c>
      <c r="AA305" s="4139">
        <v>135912</v>
      </c>
      <c r="AB305" s="4139">
        <v>45122</v>
      </c>
      <c r="AC305" s="4139">
        <v>307101</v>
      </c>
      <c r="AD305" s="4139">
        <v>86875</v>
      </c>
      <c r="AE305" s="4139">
        <v>2145</v>
      </c>
      <c r="AF305" s="4139">
        <v>12718</v>
      </c>
      <c r="AG305" s="4139">
        <v>26</v>
      </c>
      <c r="AH305" s="4139">
        <v>37</v>
      </c>
      <c r="AI305" s="4139" t="s">
        <v>1913</v>
      </c>
      <c r="AJ305" s="4139" t="s">
        <v>1913</v>
      </c>
      <c r="AK305" s="4139">
        <v>53164</v>
      </c>
      <c r="AL305" s="4139">
        <v>16982</v>
      </c>
      <c r="AM305" s="4139">
        <v>60013</v>
      </c>
      <c r="AN305" s="4139">
        <v>575010</v>
      </c>
      <c r="AO305" s="4150"/>
      <c r="AP305" s="4150"/>
      <c r="AQ305" s="4137"/>
      <c r="AR305" s="2130"/>
      <c r="AS305" s="2130"/>
      <c r="AT305" s="2130"/>
      <c r="AU305" s="2130"/>
      <c r="AV305" s="2130"/>
      <c r="AW305" s="2130"/>
      <c r="AX305" s="2130"/>
      <c r="AY305" s="2130"/>
      <c r="AZ305" s="2130"/>
      <c r="BA305" s="2130"/>
      <c r="BB305" s="2130"/>
      <c r="BC305" s="2130"/>
      <c r="BD305" s="2130"/>
      <c r="BE305" s="2130"/>
      <c r="BF305" s="2130"/>
      <c r="BG305" s="2130"/>
      <c r="BH305" s="2130"/>
      <c r="BI305" s="2130"/>
      <c r="BJ305" s="2130"/>
      <c r="BK305" s="2130"/>
      <c r="BL305" s="2130"/>
      <c r="BM305" s="2130"/>
      <c r="BN305" s="2130"/>
      <c r="BO305" s="2130"/>
      <c r="BP305" s="2130"/>
      <c r="BQ305" s="2130"/>
      <c r="BR305" s="2130"/>
      <c r="BS305" s="2130"/>
      <c r="BT305" s="2130"/>
      <c r="BU305" s="2130"/>
      <c r="BV305" s="2130"/>
      <c r="BW305" s="2130"/>
      <c r="BX305" s="2130"/>
      <c r="BY305" s="2130"/>
      <c r="BZ305" s="2130"/>
      <c r="CA305" s="2130"/>
      <c r="CB305" s="2130"/>
      <c r="CC305" s="2130"/>
      <c r="CD305" s="2130"/>
      <c r="CE305" s="2130"/>
      <c r="CF305" s="2130"/>
      <c r="CG305" s="2130"/>
      <c r="CH305" s="2130"/>
      <c r="CI305" s="2130"/>
      <c r="CJ305" s="2130"/>
      <c r="CK305" s="2130"/>
      <c r="CL305" s="2130"/>
      <c r="CM305" s="2130"/>
      <c r="CN305" s="2130"/>
      <c r="CO305" s="2130"/>
      <c r="CP305" s="2130"/>
      <c r="CQ305" s="2130"/>
      <c r="CR305" s="2130"/>
      <c r="CS305" s="2130"/>
      <c r="CT305" s="2130"/>
      <c r="CU305" s="2130"/>
      <c r="CV305" s="2130"/>
      <c r="CW305" s="2130"/>
      <c r="CX305" s="2130"/>
      <c r="CY305" s="2130"/>
      <c r="CZ305" s="2130"/>
      <c r="DA305" s="2130"/>
      <c r="DB305" s="2130"/>
      <c r="DC305" s="2130"/>
      <c r="DD305" s="2130"/>
      <c r="DE305" s="2130"/>
      <c r="DF305" s="2130"/>
      <c r="DG305" s="2130"/>
      <c r="DH305" s="2130"/>
      <c r="DI305" s="2130"/>
      <c r="DJ305" s="2130"/>
      <c r="DK305" s="2130"/>
      <c r="DL305" s="2130"/>
      <c r="DM305" s="2130"/>
      <c r="DN305" s="2130"/>
      <c r="DO305" s="2130"/>
      <c r="DP305" s="2130"/>
      <c r="DQ305" s="2130"/>
      <c r="DR305" s="2130"/>
      <c r="DS305" s="2130"/>
      <c r="DT305" s="2130"/>
      <c r="DU305" s="2130"/>
      <c r="DV305" s="2130"/>
      <c r="DW305" s="2130"/>
      <c r="DX305" s="2130"/>
      <c r="DY305" s="2130"/>
      <c r="DZ305" s="2130"/>
      <c r="EA305" s="2130"/>
      <c r="EB305" s="2130"/>
      <c r="EC305" s="2130"/>
      <c r="ED305" s="2130"/>
      <c r="EE305" s="2130"/>
      <c r="EF305" s="2130"/>
      <c r="EG305" s="2130"/>
      <c r="EH305" s="2130"/>
      <c r="EI305" s="2130"/>
      <c r="EJ305" s="2130"/>
      <c r="EK305" s="2130"/>
      <c r="EL305" s="2130"/>
      <c r="EM305" s="2130"/>
      <c r="EN305" s="2130"/>
      <c r="EO305" s="2130"/>
      <c r="EP305" s="2130"/>
      <c r="EQ305" s="2130"/>
      <c r="ER305" s="2130"/>
      <c r="ES305" s="2130"/>
      <c r="ET305" s="2130"/>
      <c r="EU305" s="2130"/>
      <c r="EV305" s="2130"/>
      <c r="EW305" s="2130"/>
      <c r="EX305" s="2130"/>
      <c r="EY305" s="2130"/>
      <c r="EZ305" s="2130"/>
      <c r="FA305" s="2130"/>
      <c r="FB305" s="2130"/>
      <c r="FC305" s="2130"/>
      <c r="FD305" s="2130"/>
      <c r="FE305" s="2130"/>
      <c r="FF305" s="2130"/>
      <c r="FG305" s="2130"/>
      <c r="FH305" s="2130"/>
      <c r="FI305" s="2130"/>
      <c r="FJ305" s="2130"/>
      <c r="FK305" s="2130"/>
      <c r="FL305" s="2130"/>
      <c r="FM305" s="2130"/>
      <c r="FN305" s="2130"/>
      <c r="FO305" s="2130"/>
      <c r="FP305" s="2130"/>
    </row>
    <row r="306" spans="1:172" s="2298" customFormat="1" ht="45" customHeight="1" x14ac:dyDescent="0.2">
      <c r="A306" s="2141"/>
      <c r="B306" s="2142"/>
      <c r="C306" s="2143"/>
      <c r="D306" s="2142"/>
      <c r="E306" s="2142"/>
      <c r="F306" s="2143"/>
      <c r="G306" s="2142"/>
      <c r="H306" s="2142"/>
      <c r="I306" s="2143"/>
      <c r="J306" s="4164"/>
      <c r="K306" s="4164"/>
      <c r="L306" s="4139"/>
      <c r="M306" s="4206"/>
      <c r="N306" s="4139"/>
      <c r="O306" s="4209"/>
      <c r="P306" s="4142"/>
      <c r="Q306" s="4146"/>
      <c r="R306" s="4159"/>
      <c r="S306" s="4142"/>
      <c r="T306" s="4139"/>
      <c r="U306" s="4211"/>
      <c r="V306" s="2296">
        <v>134128260</v>
      </c>
      <c r="W306" s="2297">
        <v>156</v>
      </c>
      <c r="X306" s="2193" t="s">
        <v>2310</v>
      </c>
      <c r="Y306" s="4139"/>
      <c r="Z306" s="4139">
        <v>282326</v>
      </c>
      <c r="AA306" s="4139">
        <v>135912</v>
      </c>
      <c r="AB306" s="4139">
        <v>45122</v>
      </c>
      <c r="AC306" s="4139">
        <v>307101</v>
      </c>
      <c r="AD306" s="4139">
        <v>86875</v>
      </c>
      <c r="AE306" s="4139">
        <v>2145</v>
      </c>
      <c r="AF306" s="4139">
        <v>12718</v>
      </c>
      <c r="AG306" s="4139">
        <v>26</v>
      </c>
      <c r="AH306" s="4139">
        <v>37</v>
      </c>
      <c r="AI306" s="4139" t="s">
        <v>1913</v>
      </c>
      <c r="AJ306" s="4139" t="s">
        <v>1913</v>
      </c>
      <c r="AK306" s="4139">
        <v>53164</v>
      </c>
      <c r="AL306" s="4139">
        <v>16982</v>
      </c>
      <c r="AM306" s="4139">
        <v>60013</v>
      </c>
      <c r="AN306" s="4139">
        <v>575010</v>
      </c>
      <c r="AO306" s="4150"/>
      <c r="AP306" s="4150"/>
      <c r="AQ306" s="4137"/>
      <c r="AR306" s="2130"/>
      <c r="AS306" s="2130"/>
      <c r="AT306" s="2130"/>
      <c r="AU306" s="2130"/>
      <c r="AV306" s="2130"/>
      <c r="AW306" s="2130"/>
      <c r="AX306" s="2130"/>
      <c r="AY306" s="2130"/>
      <c r="AZ306" s="2130"/>
      <c r="BA306" s="2130"/>
      <c r="BB306" s="2130"/>
      <c r="BC306" s="2130"/>
      <c r="BD306" s="2130"/>
      <c r="BE306" s="2130"/>
      <c r="BF306" s="2130"/>
      <c r="BG306" s="2130"/>
      <c r="BH306" s="2130"/>
      <c r="BI306" s="2130"/>
      <c r="BJ306" s="2130"/>
      <c r="BK306" s="2130"/>
      <c r="BL306" s="2130"/>
      <c r="BM306" s="2130"/>
      <c r="BN306" s="2130"/>
      <c r="BO306" s="2130"/>
      <c r="BP306" s="2130"/>
      <c r="BQ306" s="2130"/>
      <c r="BR306" s="2130"/>
      <c r="BS306" s="2130"/>
      <c r="BT306" s="2130"/>
      <c r="BU306" s="2130"/>
      <c r="BV306" s="2130"/>
      <c r="BW306" s="2130"/>
      <c r="BX306" s="2130"/>
      <c r="BY306" s="2130"/>
      <c r="BZ306" s="2130"/>
      <c r="CA306" s="2130"/>
      <c r="CB306" s="2130"/>
      <c r="CC306" s="2130"/>
      <c r="CD306" s="2130"/>
      <c r="CE306" s="2130"/>
      <c r="CF306" s="2130"/>
      <c r="CG306" s="2130"/>
      <c r="CH306" s="2130"/>
      <c r="CI306" s="2130"/>
      <c r="CJ306" s="2130"/>
      <c r="CK306" s="2130"/>
      <c r="CL306" s="2130"/>
      <c r="CM306" s="2130"/>
      <c r="CN306" s="2130"/>
      <c r="CO306" s="2130"/>
      <c r="CP306" s="2130"/>
      <c r="CQ306" s="2130"/>
      <c r="CR306" s="2130"/>
      <c r="CS306" s="2130"/>
      <c r="CT306" s="2130"/>
      <c r="CU306" s="2130"/>
      <c r="CV306" s="2130"/>
      <c r="CW306" s="2130"/>
      <c r="CX306" s="2130"/>
      <c r="CY306" s="2130"/>
      <c r="CZ306" s="2130"/>
      <c r="DA306" s="2130"/>
      <c r="DB306" s="2130"/>
      <c r="DC306" s="2130"/>
      <c r="DD306" s="2130"/>
      <c r="DE306" s="2130"/>
      <c r="DF306" s="2130"/>
      <c r="DG306" s="2130"/>
      <c r="DH306" s="2130"/>
      <c r="DI306" s="2130"/>
      <c r="DJ306" s="2130"/>
      <c r="DK306" s="2130"/>
      <c r="DL306" s="2130"/>
      <c r="DM306" s="2130"/>
      <c r="DN306" s="2130"/>
      <c r="DO306" s="2130"/>
      <c r="DP306" s="2130"/>
      <c r="DQ306" s="2130"/>
      <c r="DR306" s="2130"/>
      <c r="DS306" s="2130"/>
      <c r="DT306" s="2130"/>
      <c r="DU306" s="2130"/>
      <c r="DV306" s="2130"/>
      <c r="DW306" s="2130"/>
      <c r="DX306" s="2130"/>
      <c r="DY306" s="2130"/>
      <c r="DZ306" s="2130"/>
      <c r="EA306" s="2130"/>
      <c r="EB306" s="2130"/>
      <c r="EC306" s="2130"/>
      <c r="ED306" s="2130"/>
      <c r="EE306" s="2130"/>
      <c r="EF306" s="2130"/>
      <c r="EG306" s="2130"/>
      <c r="EH306" s="2130"/>
      <c r="EI306" s="2130"/>
      <c r="EJ306" s="2130"/>
      <c r="EK306" s="2130"/>
      <c r="EL306" s="2130"/>
      <c r="EM306" s="2130"/>
      <c r="EN306" s="2130"/>
      <c r="EO306" s="2130"/>
      <c r="EP306" s="2130"/>
      <c r="EQ306" s="2130"/>
      <c r="ER306" s="2130"/>
      <c r="ES306" s="2130"/>
      <c r="ET306" s="2130"/>
      <c r="EU306" s="2130"/>
      <c r="EV306" s="2130"/>
      <c r="EW306" s="2130"/>
      <c r="EX306" s="2130"/>
      <c r="EY306" s="2130"/>
      <c r="EZ306" s="2130"/>
      <c r="FA306" s="2130"/>
      <c r="FB306" s="2130"/>
      <c r="FC306" s="2130"/>
      <c r="FD306" s="2130"/>
      <c r="FE306" s="2130"/>
      <c r="FF306" s="2130"/>
      <c r="FG306" s="2130"/>
      <c r="FH306" s="2130"/>
      <c r="FI306" s="2130"/>
      <c r="FJ306" s="2130"/>
      <c r="FK306" s="2130"/>
      <c r="FL306" s="2130"/>
      <c r="FM306" s="2130"/>
      <c r="FN306" s="2130"/>
      <c r="FO306" s="2130"/>
      <c r="FP306" s="2130"/>
    </row>
    <row r="307" spans="1:172" s="2298" customFormat="1" ht="51.75" customHeight="1" x14ac:dyDescent="0.2">
      <c r="A307" s="2141"/>
      <c r="B307" s="2142"/>
      <c r="C307" s="2143"/>
      <c r="D307" s="2142"/>
      <c r="E307" s="2142"/>
      <c r="F307" s="2143"/>
      <c r="G307" s="2142"/>
      <c r="H307" s="2142"/>
      <c r="I307" s="2143"/>
      <c r="J307" s="4164"/>
      <c r="K307" s="4164"/>
      <c r="L307" s="4139"/>
      <c r="M307" s="4206"/>
      <c r="N307" s="4139"/>
      <c r="O307" s="4209"/>
      <c r="P307" s="4142"/>
      <c r="Q307" s="4146"/>
      <c r="R307" s="4159"/>
      <c r="S307" s="4142"/>
      <c r="T307" s="4139"/>
      <c r="U307" s="4211"/>
      <c r="V307" s="2296">
        <v>68256639</v>
      </c>
      <c r="W307" s="2299">
        <v>102</v>
      </c>
      <c r="X307" s="2300" t="s">
        <v>2311</v>
      </c>
      <c r="Y307" s="4139"/>
      <c r="Z307" s="4139">
        <v>282326</v>
      </c>
      <c r="AA307" s="4139">
        <v>135912</v>
      </c>
      <c r="AB307" s="4139">
        <v>45122</v>
      </c>
      <c r="AC307" s="4139">
        <v>307101</v>
      </c>
      <c r="AD307" s="4139">
        <v>86875</v>
      </c>
      <c r="AE307" s="4139">
        <v>2145</v>
      </c>
      <c r="AF307" s="4139">
        <v>12718</v>
      </c>
      <c r="AG307" s="4139">
        <v>26</v>
      </c>
      <c r="AH307" s="4139">
        <v>37</v>
      </c>
      <c r="AI307" s="4139" t="s">
        <v>1913</v>
      </c>
      <c r="AJ307" s="4139" t="s">
        <v>1913</v>
      </c>
      <c r="AK307" s="4139">
        <v>53164</v>
      </c>
      <c r="AL307" s="4139">
        <v>16982</v>
      </c>
      <c r="AM307" s="4139">
        <v>60013</v>
      </c>
      <c r="AN307" s="4139">
        <v>575010</v>
      </c>
      <c r="AO307" s="4150"/>
      <c r="AP307" s="4150"/>
      <c r="AQ307" s="4137"/>
      <c r="AR307" s="2130"/>
      <c r="AS307" s="2130"/>
      <c r="AT307" s="2130"/>
      <c r="AU307" s="2130"/>
      <c r="AV307" s="2130"/>
      <c r="AW307" s="2130"/>
      <c r="AX307" s="2130"/>
      <c r="AY307" s="2130"/>
      <c r="AZ307" s="2130"/>
      <c r="BA307" s="2130"/>
      <c r="BB307" s="2130"/>
      <c r="BC307" s="2130"/>
      <c r="BD307" s="2130"/>
      <c r="BE307" s="2130"/>
      <c r="BF307" s="2130"/>
      <c r="BG307" s="2130"/>
      <c r="BH307" s="2130"/>
      <c r="BI307" s="2130"/>
      <c r="BJ307" s="2130"/>
      <c r="BK307" s="2130"/>
      <c r="BL307" s="2130"/>
      <c r="BM307" s="2130"/>
      <c r="BN307" s="2130"/>
      <c r="BO307" s="2130"/>
      <c r="BP307" s="2130"/>
      <c r="BQ307" s="2130"/>
      <c r="BR307" s="2130"/>
      <c r="BS307" s="2130"/>
      <c r="BT307" s="2130"/>
      <c r="BU307" s="2130"/>
      <c r="BV307" s="2130"/>
      <c r="BW307" s="2130"/>
      <c r="BX307" s="2130"/>
      <c r="BY307" s="2130"/>
      <c r="BZ307" s="2130"/>
      <c r="CA307" s="2130"/>
      <c r="CB307" s="2130"/>
      <c r="CC307" s="2130"/>
      <c r="CD307" s="2130"/>
      <c r="CE307" s="2130"/>
      <c r="CF307" s="2130"/>
      <c r="CG307" s="2130"/>
      <c r="CH307" s="2130"/>
      <c r="CI307" s="2130"/>
      <c r="CJ307" s="2130"/>
      <c r="CK307" s="2130"/>
      <c r="CL307" s="2130"/>
      <c r="CM307" s="2130"/>
      <c r="CN307" s="2130"/>
      <c r="CO307" s="2130"/>
      <c r="CP307" s="2130"/>
      <c r="CQ307" s="2130"/>
      <c r="CR307" s="2130"/>
      <c r="CS307" s="2130"/>
      <c r="CT307" s="2130"/>
      <c r="CU307" s="2130"/>
      <c r="CV307" s="2130"/>
      <c r="CW307" s="2130"/>
      <c r="CX307" s="2130"/>
      <c r="CY307" s="2130"/>
      <c r="CZ307" s="2130"/>
      <c r="DA307" s="2130"/>
      <c r="DB307" s="2130"/>
      <c r="DC307" s="2130"/>
      <c r="DD307" s="2130"/>
      <c r="DE307" s="2130"/>
      <c r="DF307" s="2130"/>
      <c r="DG307" s="2130"/>
      <c r="DH307" s="2130"/>
      <c r="DI307" s="2130"/>
      <c r="DJ307" s="2130"/>
      <c r="DK307" s="2130"/>
      <c r="DL307" s="2130"/>
      <c r="DM307" s="2130"/>
      <c r="DN307" s="2130"/>
      <c r="DO307" s="2130"/>
      <c r="DP307" s="2130"/>
      <c r="DQ307" s="2130"/>
      <c r="DR307" s="2130"/>
      <c r="DS307" s="2130"/>
      <c r="DT307" s="2130"/>
      <c r="DU307" s="2130"/>
      <c r="DV307" s="2130"/>
      <c r="DW307" s="2130"/>
      <c r="DX307" s="2130"/>
      <c r="DY307" s="2130"/>
      <c r="DZ307" s="2130"/>
      <c r="EA307" s="2130"/>
      <c r="EB307" s="2130"/>
      <c r="EC307" s="2130"/>
      <c r="ED307" s="2130"/>
      <c r="EE307" s="2130"/>
      <c r="EF307" s="2130"/>
      <c r="EG307" s="2130"/>
      <c r="EH307" s="2130"/>
      <c r="EI307" s="2130"/>
      <c r="EJ307" s="2130"/>
      <c r="EK307" s="2130"/>
      <c r="EL307" s="2130"/>
      <c r="EM307" s="2130"/>
      <c r="EN307" s="2130"/>
      <c r="EO307" s="2130"/>
      <c r="EP307" s="2130"/>
      <c r="EQ307" s="2130"/>
      <c r="ER307" s="2130"/>
      <c r="ES307" s="2130"/>
      <c r="ET307" s="2130"/>
      <c r="EU307" s="2130"/>
      <c r="EV307" s="2130"/>
      <c r="EW307" s="2130"/>
      <c r="EX307" s="2130"/>
      <c r="EY307" s="2130"/>
      <c r="EZ307" s="2130"/>
      <c r="FA307" s="2130"/>
      <c r="FB307" s="2130"/>
      <c r="FC307" s="2130"/>
      <c r="FD307" s="2130"/>
      <c r="FE307" s="2130"/>
      <c r="FF307" s="2130"/>
      <c r="FG307" s="2130"/>
      <c r="FH307" s="2130"/>
      <c r="FI307" s="2130"/>
      <c r="FJ307" s="2130"/>
      <c r="FK307" s="2130"/>
      <c r="FL307" s="2130"/>
      <c r="FM307" s="2130"/>
      <c r="FN307" s="2130"/>
      <c r="FO307" s="2130"/>
      <c r="FP307" s="2130"/>
    </row>
    <row r="308" spans="1:172" s="2298" customFormat="1" ht="42.75" customHeight="1" x14ac:dyDescent="0.2">
      <c r="A308" s="2141"/>
      <c r="B308" s="2142"/>
      <c r="C308" s="2143"/>
      <c r="D308" s="2142"/>
      <c r="E308" s="2142"/>
      <c r="F308" s="2143"/>
      <c r="G308" s="2142"/>
      <c r="H308" s="2142"/>
      <c r="I308" s="2143"/>
      <c r="J308" s="4164"/>
      <c r="K308" s="4164"/>
      <c r="L308" s="4139"/>
      <c r="M308" s="4206"/>
      <c r="N308" s="4139"/>
      <c r="O308" s="4209"/>
      <c r="P308" s="4142"/>
      <c r="Q308" s="4146"/>
      <c r="R308" s="4159"/>
      <c r="S308" s="4142"/>
      <c r="T308" s="4139"/>
      <c r="U308" s="4211"/>
      <c r="V308" s="2301">
        <v>151028573</v>
      </c>
      <c r="W308" s="2297">
        <v>148</v>
      </c>
      <c r="X308" s="2300" t="s">
        <v>2312</v>
      </c>
      <c r="Y308" s="4139"/>
      <c r="Z308" s="4139">
        <v>282326</v>
      </c>
      <c r="AA308" s="4139">
        <v>135912</v>
      </c>
      <c r="AB308" s="4139">
        <v>45122</v>
      </c>
      <c r="AC308" s="4139">
        <v>307101</v>
      </c>
      <c r="AD308" s="4139">
        <v>86875</v>
      </c>
      <c r="AE308" s="4139">
        <v>2145</v>
      </c>
      <c r="AF308" s="4139">
        <v>12718</v>
      </c>
      <c r="AG308" s="4139">
        <v>26</v>
      </c>
      <c r="AH308" s="4139">
        <v>37</v>
      </c>
      <c r="AI308" s="4139" t="s">
        <v>1913</v>
      </c>
      <c r="AJ308" s="4139" t="s">
        <v>1913</v>
      </c>
      <c r="AK308" s="4139">
        <v>53164</v>
      </c>
      <c r="AL308" s="4139">
        <v>16982</v>
      </c>
      <c r="AM308" s="4139">
        <v>60013</v>
      </c>
      <c r="AN308" s="4139">
        <v>575010</v>
      </c>
      <c r="AO308" s="4150"/>
      <c r="AP308" s="4150"/>
      <c r="AQ308" s="4137"/>
      <c r="AR308" s="2130"/>
      <c r="AS308" s="2130"/>
      <c r="AT308" s="2130"/>
      <c r="AU308" s="2130"/>
      <c r="AV308" s="2130"/>
      <c r="AW308" s="2130"/>
      <c r="AX308" s="2130"/>
      <c r="AY308" s="2130"/>
      <c r="AZ308" s="2130"/>
      <c r="BA308" s="2130"/>
      <c r="BB308" s="2130"/>
      <c r="BC308" s="2130"/>
      <c r="BD308" s="2130"/>
      <c r="BE308" s="2130"/>
      <c r="BF308" s="2130"/>
      <c r="BG308" s="2130"/>
      <c r="BH308" s="2130"/>
      <c r="BI308" s="2130"/>
      <c r="BJ308" s="2130"/>
      <c r="BK308" s="2130"/>
      <c r="BL308" s="2130"/>
      <c r="BM308" s="2130"/>
      <c r="BN308" s="2130"/>
      <c r="BO308" s="2130"/>
      <c r="BP308" s="2130"/>
      <c r="BQ308" s="2130"/>
      <c r="BR308" s="2130"/>
      <c r="BS308" s="2130"/>
      <c r="BT308" s="2130"/>
      <c r="BU308" s="2130"/>
      <c r="BV308" s="2130"/>
      <c r="BW308" s="2130"/>
      <c r="BX308" s="2130"/>
      <c r="BY308" s="2130"/>
      <c r="BZ308" s="2130"/>
      <c r="CA308" s="2130"/>
      <c r="CB308" s="2130"/>
      <c r="CC308" s="2130"/>
      <c r="CD308" s="2130"/>
      <c r="CE308" s="2130"/>
      <c r="CF308" s="2130"/>
      <c r="CG308" s="2130"/>
      <c r="CH308" s="2130"/>
      <c r="CI308" s="2130"/>
      <c r="CJ308" s="2130"/>
      <c r="CK308" s="2130"/>
      <c r="CL308" s="2130"/>
      <c r="CM308" s="2130"/>
      <c r="CN308" s="2130"/>
      <c r="CO308" s="2130"/>
      <c r="CP308" s="2130"/>
      <c r="CQ308" s="2130"/>
      <c r="CR308" s="2130"/>
      <c r="CS308" s="2130"/>
      <c r="CT308" s="2130"/>
      <c r="CU308" s="2130"/>
      <c r="CV308" s="2130"/>
      <c r="CW308" s="2130"/>
      <c r="CX308" s="2130"/>
      <c r="CY308" s="2130"/>
      <c r="CZ308" s="2130"/>
      <c r="DA308" s="2130"/>
      <c r="DB308" s="2130"/>
      <c r="DC308" s="2130"/>
      <c r="DD308" s="2130"/>
      <c r="DE308" s="2130"/>
      <c r="DF308" s="2130"/>
      <c r="DG308" s="2130"/>
      <c r="DH308" s="2130"/>
      <c r="DI308" s="2130"/>
      <c r="DJ308" s="2130"/>
      <c r="DK308" s="2130"/>
      <c r="DL308" s="2130"/>
      <c r="DM308" s="2130"/>
      <c r="DN308" s="2130"/>
      <c r="DO308" s="2130"/>
      <c r="DP308" s="2130"/>
      <c r="DQ308" s="2130"/>
      <c r="DR308" s="2130"/>
      <c r="DS308" s="2130"/>
      <c r="DT308" s="2130"/>
      <c r="DU308" s="2130"/>
      <c r="DV308" s="2130"/>
      <c r="DW308" s="2130"/>
      <c r="DX308" s="2130"/>
      <c r="DY308" s="2130"/>
      <c r="DZ308" s="2130"/>
      <c r="EA308" s="2130"/>
      <c r="EB308" s="2130"/>
      <c r="EC308" s="2130"/>
      <c r="ED308" s="2130"/>
      <c r="EE308" s="2130"/>
      <c r="EF308" s="2130"/>
      <c r="EG308" s="2130"/>
      <c r="EH308" s="2130"/>
      <c r="EI308" s="2130"/>
      <c r="EJ308" s="2130"/>
      <c r="EK308" s="2130"/>
      <c r="EL308" s="2130"/>
      <c r="EM308" s="2130"/>
      <c r="EN308" s="2130"/>
      <c r="EO308" s="2130"/>
      <c r="EP308" s="2130"/>
      <c r="EQ308" s="2130"/>
      <c r="ER308" s="2130"/>
      <c r="ES308" s="2130"/>
      <c r="ET308" s="2130"/>
      <c r="EU308" s="2130"/>
      <c r="EV308" s="2130"/>
      <c r="EW308" s="2130"/>
      <c r="EX308" s="2130"/>
      <c r="EY308" s="2130"/>
      <c r="EZ308" s="2130"/>
      <c r="FA308" s="2130"/>
      <c r="FB308" s="2130"/>
      <c r="FC308" s="2130"/>
      <c r="FD308" s="2130"/>
      <c r="FE308" s="2130"/>
      <c r="FF308" s="2130"/>
      <c r="FG308" s="2130"/>
      <c r="FH308" s="2130"/>
      <c r="FI308" s="2130"/>
      <c r="FJ308" s="2130"/>
      <c r="FK308" s="2130"/>
      <c r="FL308" s="2130"/>
      <c r="FM308" s="2130"/>
      <c r="FN308" s="2130"/>
      <c r="FO308" s="2130"/>
      <c r="FP308" s="2130"/>
    </row>
    <row r="309" spans="1:172" s="2298" customFormat="1" ht="38.25" customHeight="1" x14ac:dyDescent="0.2">
      <c r="A309" s="2141"/>
      <c r="B309" s="2142"/>
      <c r="C309" s="2143"/>
      <c r="D309" s="2142"/>
      <c r="E309" s="2142"/>
      <c r="F309" s="2143"/>
      <c r="G309" s="2142"/>
      <c r="H309" s="2142"/>
      <c r="I309" s="2143"/>
      <c r="J309" s="4164"/>
      <c r="K309" s="4164"/>
      <c r="L309" s="4139"/>
      <c r="M309" s="4206"/>
      <c r="N309" s="4139"/>
      <c r="O309" s="4209"/>
      <c r="P309" s="4142"/>
      <c r="Q309" s="4146"/>
      <c r="R309" s="4159"/>
      <c r="S309" s="4142"/>
      <c r="T309" s="4139"/>
      <c r="U309" s="4211"/>
      <c r="V309" s="2302">
        <v>903327</v>
      </c>
      <c r="W309" s="2297">
        <v>152</v>
      </c>
      <c r="X309" s="2300" t="s">
        <v>2313</v>
      </c>
      <c r="Y309" s="4139"/>
      <c r="Z309" s="4139">
        <v>282326</v>
      </c>
      <c r="AA309" s="4139">
        <v>135912</v>
      </c>
      <c r="AB309" s="4139">
        <v>45122</v>
      </c>
      <c r="AC309" s="4139">
        <v>307101</v>
      </c>
      <c r="AD309" s="4139">
        <v>86875</v>
      </c>
      <c r="AE309" s="4139">
        <v>2145</v>
      </c>
      <c r="AF309" s="4139">
        <v>12718</v>
      </c>
      <c r="AG309" s="4139">
        <v>26</v>
      </c>
      <c r="AH309" s="4139">
        <v>37</v>
      </c>
      <c r="AI309" s="4139" t="s">
        <v>1913</v>
      </c>
      <c r="AJ309" s="4139" t="s">
        <v>1913</v>
      </c>
      <c r="AK309" s="4139">
        <v>53164</v>
      </c>
      <c r="AL309" s="4139">
        <v>16982</v>
      </c>
      <c r="AM309" s="4139">
        <v>60013</v>
      </c>
      <c r="AN309" s="4139">
        <v>575010</v>
      </c>
      <c r="AO309" s="4150"/>
      <c r="AP309" s="4150"/>
      <c r="AQ309" s="4137"/>
      <c r="AR309" s="2130"/>
      <c r="AS309" s="2130"/>
      <c r="AT309" s="2130"/>
      <c r="AU309" s="2130"/>
      <c r="AV309" s="2130"/>
      <c r="AW309" s="2130"/>
      <c r="AX309" s="2130"/>
      <c r="AY309" s="2130"/>
      <c r="AZ309" s="2130"/>
      <c r="BA309" s="2130"/>
      <c r="BB309" s="2130"/>
      <c r="BC309" s="2130"/>
      <c r="BD309" s="2130"/>
      <c r="BE309" s="2130"/>
      <c r="BF309" s="2130"/>
      <c r="BG309" s="2130"/>
      <c r="BH309" s="2130"/>
      <c r="BI309" s="2130"/>
      <c r="BJ309" s="2130"/>
      <c r="BK309" s="2130"/>
      <c r="BL309" s="2130"/>
      <c r="BM309" s="2130"/>
      <c r="BN309" s="2130"/>
      <c r="BO309" s="2130"/>
      <c r="BP309" s="2130"/>
      <c r="BQ309" s="2130"/>
      <c r="BR309" s="2130"/>
      <c r="BS309" s="2130"/>
      <c r="BT309" s="2130"/>
      <c r="BU309" s="2130"/>
      <c r="BV309" s="2130"/>
      <c r="BW309" s="2130"/>
      <c r="BX309" s="2130"/>
      <c r="BY309" s="2130"/>
      <c r="BZ309" s="2130"/>
      <c r="CA309" s="2130"/>
      <c r="CB309" s="2130"/>
      <c r="CC309" s="2130"/>
      <c r="CD309" s="2130"/>
      <c r="CE309" s="2130"/>
      <c r="CF309" s="2130"/>
      <c r="CG309" s="2130"/>
      <c r="CH309" s="2130"/>
      <c r="CI309" s="2130"/>
      <c r="CJ309" s="2130"/>
      <c r="CK309" s="2130"/>
      <c r="CL309" s="2130"/>
      <c r="CM309" s="2130"/>
      <c r="CN309" s="2130"/>
      <c r="CO309" s="2130"/>
      <c r="CP309" s="2130"/>
      <c r="CQ309" s="2130"/>
      <c r="CR309" s="2130"/>
      <c r="CS309" s="2130"/>
      <c r="CT309" s="2130"/>
      <c r="CU309" s="2130"/>
      <c r="CV309" s="2130"/>
      <c r="CW309" s="2130"/>
      <c r="CX309" s="2130"/>
      <c r="CY309" s="2130"/>
      <c r="CZ309" s="2130"/>
      <c r="DA309" s="2130"/>
      <c r="DB309" s="2130"/>
      <c r="DC309" s="2130"/>
      <c r="DD309" s="2130"/>
      <c r="DE309" s="2130"/>
      <c r="DF309" s="2130"/>
      <c r="DG309" s="2130"/>
      <c r="DH309" s="2130"/>
      <c r="DI309" s="2130"/>
      <c r="DJ309" s="2130"/>
      <c r="DK309" s="2130"/>
      <c r="DL309" s="2130"/>
      <c r="DM309" s="2130"/>
      <c r="DN309" s="2130"/>
      <c r="DO309" s="2130"/>
      <c r="DP309" s="2130"/>
      <c r="DQ309" s="2130"/>
      <c r="DR309" s="2130"/>
      <c r="DS309" s="2130"/>
      <c r="DT309" s="2130"/>
      <c r="DU309" s="2130"/>
      <c r="DV309" s="2130"/>
      <c r="DW309" s="2130"/>
      <c r="DX309" s="2130"/>
      <c r="DY309" s="2130"/>
      <c r="DZ309" s="2130"/>
      <c r="EA309" s="2130"/>
      <c r="EB309" s="2130"/>
      <c r="EC309" s="2130"/>
      <c r="ED309" s="2130"/>
      <c r="EE309" s="2130"/>
      <c r="EF309" s="2130"/>
      <c r="EG309" s="2130"/>
      <c r="EH309" s="2130"/>
      <c r="EI309" s="2130"/>
      <c r="EJ309" s="2130"/>
      <c r="EK309" s="2130"/>
      <c r="EL309" s="2130"/>
      <c r="EM309" s="2130"/>
      <c r="EN309" s="2130"/>
      <c r="EO309" s="2130"/>
      <c r="EP309" s="2130"/>
      <c r="EQ309" s="2130"/>
      <c r="ER309" s="2130"/>
      <c r="ES309" s="2130"/>
      <c r="ET309" s="2130"/>
      <c r="EU309" s="2130"/>
      <c r="EV309" s="2130"/>
      <c r="EW309" s="2130"/>
      <c r="EX309" s="2130"/>
      <c r="EY309" s="2130"/>
      <c r="EZ309" s="2130"/>
      <c r="FA309" s="2130"/>
      <c r="FB309" s="2130"/>
      <c r="FC309" s="2130"/>
      <c r="FD309" s="2130"/>
      <c r="FE309" s="2130"/>
      <c r="FF309" s="2130"/>
      <c r="FG309" s="2130"/>
      <c r="FH309" s="2130"/>
      <c r="FI309" s="2130"/>
      <c r="FJ309" s="2130"/>
      <c r="FK309" s="2130"/>
      <c r="FL309" s="2130"/>
      <c r="FM309" s="2130"/>
      <c r="FN309" s="2130"/>
      <c r="FO309" s="2130"/>
      <c r="FP309" s="2130"/>
    </row>
    <row r="310" spans="1:172" s="2298" customFormat="1" ht="38.25" customHeight="1" x14ac:dyDescent="0.2">
      <c r="A310" s="2141"/>
      <c r="B310" s="2142"/>
      <c r="C310" s="2143"/>
      <c r="D310" s="2142"/>
      <c r="E310" s="2142"/>
      <c r="F310" s="2143"/>
      <c r="G310" s="2142"/>
      <c r="H310" s="2142"/>
      <c r="I310" s="2143"/>
      <c r="J310" s="4165"/>
      <c r="K310" s="4165"/>
      <c r="L310" s="4140"/>
      <c r="M310" s="4207"/>
      <c r="N310" s="4139"/>
      <c r="O310" s="4209"/>
      <c r="P310" s="4142"/>
      <c r="Q310" s="4147"/>
      <c r="R310" s="4159"/>
      <c r="S310" s="4142"/>
      <c r="T310" s="4140"/>
      <c r="U310" s="4212"/>
      <c r="V310" s="2302">
        <v>130836198</v>
      </c>
      <c r="W310" s="2297">
        <v>162</v>
      </c>
      <c r="X310" s="2300" t="s">
        <v>2314</v>
      </c>
      <c r="Y310" s="4139"/>
      <c r="Z310" s="4139">
        <v>282326</v>
      </c>
      <c r="AA310" s="4139">
        <v>135912</v>
      </c>
      <c r="AB310" s="4139">
        <v>45122</v>
      </c>
      <c r="AC310" s="4139">
        <v>307101</v>
      </c>
      <c r="AD310" s="4139">
        <v>86875</v>
      </c>
      <c r="AE310" s="4139">
        <v>2145</v>
      </c>
      <c r="AF310" s="4139">
        <v>12718</v>
      </c>
      <c r="AG310" s="4139">
        <v>26</v>
      </c>
      <c r="AH310" s="4139">
        <v>37</v>
      </c>
      <c r="AI310" s="4139" t="s">
        <v>1913</v>
      </c>
      <c r="AJ310" s="4139" t="s">
        <v>1913</v>
      </c>
      <c r="AK310" s="4139">
        <v>53164</v>
      </c>
      <c r="AL310" s="4139">
        <v>16982</v>
      </c>
      <c r="AM310" s="4139">
        <v>60013</v>
      </c>
      <c r="AN310" s="4139">
        <v>575010</v>
      </c>
      <c r="AO310" s="4150"/>
      <c r="AP310" s="4150"/>
      <c r="AQ310" s="4137"/>
      <c r="AR310" s="2130"/>
      <c r="AS310" s="2130"/>
      <c r="AT310" s="2130"/>
      <c r="AU310" s="2130"/>
      <c r="AV310" s="2130"/>
      <c r="AW310" s="2130"/>
      <c r="AX310" s="2130"/>
      <c r="AY310" s="2130"/>
      <c r="AZ310" s="2130"/>
      <c r="BA310" s="2130"/>
      <c r="BB310" s="2130"/>
      <c r="BC310" s="2130"/>
      <c r="BD310" s="2130"/>
      <c r="BE310" s="2130"/>
      <c r="BF310" s="2130"/>
      <c r="BG310" s="2130"/>
      <c r="BH310" s="2130"/>
      <c r="BI310" s="2130"/>
      <c r="BJ310" s="2130"/>
      <c r="BK310" s="2130"/>
      <c r="BL310" s="2130"/>
      <c r="BM310" s="2130"/>
      <c r="BN310" s="2130"/>
      <c r="BO310" s="2130"/>
      <c r="BP310" s="2130"/>
      <c r="BQ310" s="2130"/>
      <c r="BR310" s="2130"/>
      <c r="BS310" s="2130"/>
      <c r="BT310" s="2130"/>
      <c r="BU310" s="2130"/>
      <c r="BV310" s="2130"/>
      <c r="BW310" s="2130"/>
      <c r="BX310" s="2130"/>
      <c r="BY310" s="2130"/>
      <c r="BZ310" s="2130"/>
      <c r="CA310" s="2130"/>
      <c r="CB310" s="2130"/>
      <c r="CC310" s="2130"/>
      <c r="CD310" s="2130"/>
      <c r="CE310" s="2130"/>
      <c r="CF310" s="2130"/>
      <c r="CG310" s="2130"/>
      <c r="CH310" s="2130"/>
      <c r="CI310" s="2130"/>
      <c r="CJ310" s="2130"/>
      <c r="CK310" s="2130"/>
      <c r="CL310" s="2130"/>
      <c r="CM310" s="2130"/>
      <c r="CN310" s="2130"/>
      <c r="CO310" s="2130"/>
      <c r="CP310" s="2130"/>
      <c r="CQ310" s="2130"/>
      <c r="CR310" s="2130"/>
      <c r="CS310" s="2130"/>
      <c r="CT310" s="2130"/>
      <c r="CU310" s="2130"/>
      <c r="CV310" s="2130"/>
      <c r="CW310" s="2130"/>
      <c r="CX310" s="2130"/>
      <c r="CY310" s="2130"/>
      <c r="CZ310" s="2130"/>
      <c r="DA310" s="2130"/>
      <c r="DB310" s="2130"/>
      <c r="DC310" s="2130"/>
      <c r="DD310" s="2130"/>
      <c r="DE310" s="2130"/>
      <c r="DF310" s="2130"/>
      <c r="DG310" s="2130"/>
      <c r="DH310" s="2130"/>
      <c r="DI310" s="2130"/>
      <c r="DJ310" s="2130"/>
      <c r="DK310" s="2130"/>
      <c r="DL310" s="2130"/>
      <c r="DM310" s="2130"/>
      <c r="DN310" s="2130"/>
      <c r="DO310" s="2130"/>
      <c r="DP310" s="2130"/>
      <c r="DQ310" s="2130"/>
      <c r="DR310" s="2130"/>
      <c r="DS310" s="2130"/>
      <c r="DT310" s="2130"/>
      <c r="DU310" s="2130"/>
      <c r="DV310" s="2130"/>
      <c r="DW310" s="2130"/>
      <c r="DX310" s="2130"/>
      <c r="DY310" s="2130"/>
      <c r="DZ310" s="2130"/>
      <c r="EA310" s="2130"/>
      <c r="EB310" s="2130"/>
      <c r="EC310" s="2130"/>
      <c r="ED310" s="2130"/>
      <c r="EE310" s="2130"/>
      <c r="EF310" s="2130"/>
      <c r="EG310" s="2130"/>
      <c r="EH310" s="2130"/>
      <c r="EI310" s="2130"/>
      <c r="EJ310" s="2130"/>
      <c r="EK310" s="2130"/>
      <c r="EL310" s="2130"/>
      <c r="EM310" s="2130"/>
      <c r="EN310" s="2130"/>
      <c r="EO310" s="2130"/>
      <c r="EP310" s="2130"/>
      <c r="EQ310" s="2130"/>
      <c r="ER310" s="2130"/>
      <c r="ES310" s="2130"/>
      <c r="ET310" s="2130"/>
      <c r="EU310" s="2130"/>
      <c r="EV310" s="2130"/>
      <c r="EW310" s="2130"/>
      <c r="EX310" s="2130"/>
      <c r="EY310" s="2130"/>
      <c r="EZ310" s="2130"/>
      <c r="FA310" s="2130"/>
      <c r="FB310" s="2130"/>
      <c r="FC310" s="2130"/>
      <c r="FD310" s="2130"/>
      <c r="FE310" s="2130"/>
      <c r="FF310" s="2130"/>
      <c r="FG310" s="2130"/>
      <c r="FH310" s="2130"/>
      <c r="FI310" s="2130"/>
      <c r="FJ310" s="2130"/>
      <c r="FK310" s="2130"/>
      <c r="FL310" s="2130"/>
      <c r="FM310" s="2130"/>
      <c r="FN310" s="2130"/>
      <c r="FO310" s="2130"/>
      <c r="FP310" s="2130"/>
    </row>
    <row r="311" spans="1:172" ht="61.5" customHeight="1" x14ac:dyDescent="0.2">
      <c r="A311" s="2141"/>
      <c r="B311" s="2142"/>
      <c r="C311" s="2143"/>
      <c r="D311" s="2142"/>
      <c r="E311" s="2142"/>
      <c r="F311" s="2143"/>
      <c r="G311" s="2142"/>
      <c r="H311" s="2142"/>
      <c r="I311" s="2143"/>
      <c r="J311" s="4163">
        <v>168</v>
      </c>
      <c r="K311" s="4161" t="s">
        <v>2315</v>
      </c>
      <c r="L311" s="4138" t="s">
        <v>1905</v>
      </c>
      <c r="M311" s="4138">
        <v>14</v>
      </c>
      <c r="N311" s="4139"/>
      <c r="O311" s="4209"/>
      <c r="P311" s="4142"/>
      <c r="Q311" s="4166">
        <v>0</v>
      </c>
      <c r="R311" s="4159"/>
      <c r="S311" s="4142"/>
      <c r="T311" s="4179" t="s">
        <v>2316</v>
      </c>
      <c r="U311" s="2268" t="s">
        <v>2317</v>
      </c>
      <c r="V311" s="2303">
        <v>0</v>
      </c>
      <c r="W311" s="2297"/>
      <c r="X311" s="2304"/>
      <c r="Y311" s="4139"/>
      <c r="Z311" s="4139">
        <v>282326</v>
      </c>
      <c r="AA311" s="4139">
        <v>135912</v>
      </c>
      <c r="AB311" s="4139">
        <v>45122</v>
      </c>
      <c r="AC311" s="4139">
        <v>307101</v>
      </c>
      <c r="AD311" s="4139">
        <v>86875</v>
      </c>
      <c r="AE311" s="4139">
        <v>2145</v>
      </c>
      <c r="AF311" s="4139">
        <v>12718</v>
      </c>
      <c r="AG311" s="4139">
        <v>26</v>
      </c>
      <c r="AH311" s="4139">
        <v>37</v>
      </c>
      <c r="AI311" s="4139" t="s">
        <v>1913</v>
      </c>
      <c r="AJ311" s="4139" t="s">
        <v>1913</v>
      </c>
      <c r="AK311" s="4139">
        <v>53164</v>
      </c>
      <c r="AL311" s="4139">
        <v>16982</v>
      </c>
      <c r="AM311" s="4139">
        <v>60013</v>
      </c>
      <c r="AN311" s="4139">
        <v>575010</v>
      </c>
      <c r="AO311" s="4150"/>
      <c r="AP311" s="4150"/>
      <c r="AQ311" s="4137"/>
    </row>
    <row r="312" spans="1:172" ht="51.75" customHeight="1" x14ac:dyDescent="0.2">
      <c r="A312" s="2141"/>
      <c r="B312" s="2142"/>
      <c r="C312" s="2143"/>
      <c r="D312" s="2142"/>
      <c r="E312" s="2142"/>
      <c r="F312" s="2143"/>
      <c r="G312" s="2305"/>
      <c r="H312" s="2305"/>
      <c r="I312" s="2306"/>
      <c r="J312" s="4165"/>
      <c r="K312" s="4173"/>
      <c r="L312" s="4139"/>
      <c r="M312" s="4139"/>
      <c r="N312" s="4140"/>
      <c r="O312" s="4209"/>
      <c r="P312" s="4142"/>
      <c r="Q312" s="4147"/>
      <c r="R312" s="4159"/>
      <c r="S312" s="4142"/>
      <c r="T312" s="4197"/>
      <c r="U312" s="2307" t="s">
        <v>2318</v>
      </c>
      <c r="V312" s="2039"/>
      <c r="W312" s="2297"/>
      <c r="X312" s="2270"/>
      <c r="Y312" s="4140"/>
      <c r="Z312" s="4140">
        <v>282326</v>
      </c>
      <c r="AA312" s="4140">
        <v>135912</v>
      </c>
      <c r="AB312" s="4140">
        <v>45122</v>
      </c>
      <c r="AC312" s="4140">
        <v>307101</v>
      </c>
      <c r="AD312" s="4140">
        <v>86875</v>
      </c>
      <c r="AE312" s="4140">
        <v>2145</v>
      </c>
      <c r="AF312" s="4140">
        <v>12718</v>
      </c>
      <c r="AG312" s="4140">
        <v>26</v>
      </c>
      <c r="AH312" s="4140">
        <v>37</v>
      </c>
      <c r="AI312" s="4140" t="s">
        <v>1913</v>
      </c>
      <c r="AJ312" s="4140" t="s">
        <v>1913</v>
      </c>
      <c r="AK312" s="4140">
        <v>53164</v>
      </c>
      <c r="AL312" s="4140">
        <v>16982</v>
      </c>
      <c r="AM312" s="4140">
        <v>60013</v>
      </c>
      <c r="AN312" s="4140">
        <v>575010</v>
      </c>
      <c r="AO312" s="4150"/>
      <c r="AP312" s="4150"/>
      <c r="AQ312" s="4153"/>
    </row>
    <row r="313" spans="1:172" ht="36" customHeight="1" x14ac:dyDescent="0.2">
      <c r="A313" s="2141"/>
      <c r="B313" s="2142"/>
      <c r="C313" s="2143"/>
      <c r="D313" s="2142"/>
      <c r="E313" s="2142"/>
      <c r="F313" s="2143"/>
      <c r="G313" s="2308">
        <v>51</v>
      </c>
      <c r="H313" s="2309" t="s">
        <v>2319</v>
      </c>
      <c r="I313" s="2309"/>
      <c r="J313" s="2280"/>
      <c r="K313" s="2281"/>
      <c r="L313" s="2147"/>
      <c r="M313" s="2147"/>
      <c r="N313" s="2149"/>
      <c r="O313" s="2177"/>
      <c r="P313" s="2148"/>
      <c r="Q313" s="2147"/>
      <c r="R313" s="2178"/>
      <c r="S313" s="2147"/>
      <c r="T313" s="2148"/>
      <c r="U313" s="2148"/>
      <c r="V313" s="2310"/>
      <c r="W313" s="2180"/>
      <c r="X313" s="2149"/>
      <c r="Y313" s="2149"/>
      <c r="Z313" s="2149"/>
      <c r="AA313" s="4203"/>
      <c r="AB313" s="4203"/>
      <c r="AC313" s="4203"/>
      <c r="AD313" s="4203"/>
      <c r="AE313" s="4203"/>
      <c r="AF313" s="4203"/>
      <c r="AG313" s="4203"/>
      <c r="AH313" s="4203"/>
      <c r="AI313" s="4203"/>
      <c r="AJ313" s="4203"/>
      <c r="AK313" s="4203"/>
      <c r="AL313" s="4203"/>
      <c r="AM313" s="4203"/>
      <c r="AN313" s="2311"/>
      <c r="AO313" s="2147"/>
      <c r="AP313" s="2147"/>
      <c r="AQ313" s="2154"/>
    </row>
    <row r="314" spans="1:172" ht="67.5" customHeight="1" x14ac:dyDescent="0.2">
      <c r="A314" s="2312"/>
      <c r="B314" s="2313"/>
      <c r="C314" s="2243"/>
      <c r="D314" s="2313"/>
      <c r="E314" s="2313"/>
      <c r="F314" s="2243"/>
      <c r="G314" s="2314"/>
      <c r="H314" s="2314"/>
      <c r="I314" s="2315"/>
      <c r="J314" s="4138">
        <v>169</v>
      </c>
      <c r="K314" s="4141" t="s">
        <v>2320</v>
      </c>
      <c r="L314" s="4138" t="s">
        <v>1905</v>
      </c>
      <c r="M314" s="4138">
        <v>12</v>
      </c>
      <c r="N314" s="4138" t="s">
        <v>2321</v>
      </c>
      <c r="O314" s="4156" t="s">
        <v>2322</v>
      </c>
      <c r="P314" s="4141" t="s">
        <v>2323</v>
      </c>
      <c r="Q314" s="4166">
        <v>1</v>
      </c>
      <c r="R314" s="4158">
        <f>SUM(V314+V315+V316)</f>
        <v>58080000</v>
      </c>
      <c r="S314" s="4141" t="s">
        <v>2324</v>
      </c>
      <c r="T314" s="2193" t="s">
        <v>2325</v>
      </c>
      <c r="U314" s="2193" t="s">
        <v>2326</v>
      </c>
      <c r="V314" s="1160">
        <v>19360000</v>
      </c>
      <c r="W314" s="2161">
        <v>20</v>
      </c>
      <c r="X314" s="2251" t="s">
        <v>62</v>
      </c>
      <c r="Y314" s="2196">
        <v>292684</v>
      </c>
      <c r="Z314" s="2196">
        <v>282326</v>
      </c>
      <c r="AA314" s="2196">
        <v>135912</v>
      </c>
      <c r="AB314" s="2196">
        <v>45122</v>
      </c>
      <c r="AC314" s="2196">
        <v>307101</v>
      </c>
      <c r="AD314" s="2196">
        <v>86875</v>
      </c>
      <c r="AE314" s="2196">
        <v>2145</v>
      </c>
      <c r="AF314" s="2196">
        <v>12718</v>
      </c>
      <c r="AG314" s="2196">
        <v>26</v>
      </c>
      <c r="AH314" s="2196">
        <v>37</v>
      </c>
      <c r="AI314" s="2196" t="s">
        <v>1913</v>
      </c>
      <c r="AJ314" s="2196" t="s">
        <v>1913</v>
      </c>
      <c r="AK314" s="2196">
        <v>53164</v>
      </c>
      <c r="AL314" s="2196">
        <v>16982</v>
      </c>
      <c r="AM314" s="2196">
        <v>60013</v>
      </c>
      <c r="AN314" s="2196">
        <v>575010</v>
      </c>
      <c r="AO314" s="4201">
        <v>43467</v>
      </c>
      <c r="AP314" s="4201">
        <v>43830</v>
      </c>
      <c r="AQ314" s="4136" t="s">
        <v>1914</v>
      </c>
    </row>
    <row r="315" spans="1:172" ht="67.5" customHeight="1" x14ac:dyDescent="0.2">
      <c r="A315" s="2312"/>
      <c r="B315" s="2313"/>
      <c r="C315" s="2243"/>
      <c r="D315" s="2313"/>
      <c r="E315" s="2313"/>
      <c r="F315" s="2243"/>
      <c r="G315" s="2313"/>
      <c r="H315" s="2313"/>
      <c r="I315" s="2243"/>
      <c r="J315" s="4139"/>
      <c r="K315" s="4142"/>
      <c r="L315" s="4139"/>
      <c r="M315" s="4139"/>
      <c r="N315" s="4139"/>
      <c r="O315" s="4157"/>
      <c r="P315" s="4142"/>
      <c r="Q315" s="4146"/>
      <c r="R315" s="4159"/>
      <c r="S315" s="4142"/>
      <c r="T315" s="2193" t="s">
        <v>2327</v>
      </c>
      <c r="U315" s="2193" t="s">
        <v>2328</v>
      </c>
      <c r="V315" s="1160">
        <v>19360000</v>
      </c>
      <c r="W315" s="2161">
        <v>20</v>
      </c>
      <c r="X315" s="2251" t="s">
        <v>62</v>
      </c>
      <c r="Y315" s="2316"/>
      <c r="Z315" s="2316">
        <v>282326</v>
      </c>
      <c r="AA315" s="2316">
        <v>135912</v>
      </c>
      <c r="AB315" s="2316">
        <v>45122</v>
      </c>
      <c r="AC315" s="2316">
        <v>307101</v>
      </c>
      <c r="AD315" s="2316">
        <v>86875</v>
      </c>
      <c r="AE315" s="2316">
        <v>2145</v>
      </c>
      <c r="AF315" s="2316">
        <v>12718</v>
      </c>
      <c r="AG315" s="2316">
        <v>26</v>
      </c>
      <c r="AH315" s="2316">
        <v>37</v>
      </c>
      <c r="AI315" s="2316" t="s">
        <v>1913</v>
      </c>
      <c r="AJ315" s="2316" t="s">
        <v>1913</v>
      </c>
      <c r="AK315" s="2316">
        <v>53164</v>
      </c>
      <c r="AL315" s="2316">
        <v>16982</v>
      </c>
      <c r="AM315" s="2316">
        <v>60013</v>
      </c>
      <c r="AN315" s="2316">
        <v>575010</v>
      </c>
      <c r="AO315" s="4201"/>
      <c r="AP315" s="4201"/>
      <c r="AQ315" s="4137"/>
    </row>
    <row r="316" spans="1:172" ht="71.25" x14ac:dyDescent="0.2">
      <c r="A316" s="2155"/>
      <c r="B316" s="2156"/>
      <c r="C316" s="2157"/>
      <c r="D316" s="2156"/>
      <c r="E316" s="2156"/>
      <c r="F316" s="2157"/>
      <c r="G316" s="2165"/>
      <c r="H316" s="2165"/>
      <c r="I316" s="2166"/>
      <c r="J316" s="4140"/>
      <c r="K316" s="4143"/>
      <c r="L316" s="4140"/>
      <c r="M316" s="4140"/>
      <c r="N316" s="4140"/>
      <c r="O316" s="4190"/>
      <c r="P316" s="4143"/>
      <c r="Q316" s="4147"/>
      <c r="R316" s="4176"/>
      <c r="S316" s="4143"/>
      <c r="T316" s="2193" t="s">
        <v>2315</v>
      </c>
      <c r="U316" s="2193" t="s">
        <v>2329</v>
      </c>
      <c r="V316" s="1160">
        <v>19360000</v>
      </c>
      <c r="W316" s="2161">
        <v>20</v>
      </c>
      <c r="X316" s="2251" t="s">
        <v>62</v>
      </c>
      <c r="Y316" s="2304"/>
      <c r="Z316" s="2304">
        <v>282326</v>
      </c>
      <c r="AA316" s="2304">
        <v>135912</v>
      </c>
      <c r="AB316" s="2304">
        <v>45122</v>
      </c>
      <c r="AC316" s="2304">
        <v>307101</v>
      </c>
      <c r="AD316" s="2304">
        <v>86875</v>
      </c>
      <c r="AE316" s="2304">
        <v>2145</v>
      </c>
      <c r="AF316" s="2304">
        <v>12718</v>
      </c>
      <c r="AG316" s="2304">
        <v>26</v>
      </c>
      <c r="AH316" s="2304">
        <v>37</v>
      </c>
      <c r="AI316" s="2304" t="s">
        <v>1913</v>
      </c>
      <c r="AJ316" s="2304" t="s">
        <v>1913</v>
      </c>
      <c r="AK316" s="2304">
        <v>53164</v>
      </c>
      <c r="AL316" s="2304">
        <v>16982</v>
      </c>
      <c r="AM316" s="2304">
        <v>60013</v>
      </c>
      <c r="AN316" s="2304">
        <v>575010</v>
      </c>
      <c r="AO316" s="4201"/>
      <c r="AP316" s="4201"/>
      <c r="AQ316" s="4153"/>
    </row>
    <row r="317" spans="1:172" ht="36" customHeight="1" x14ac:dyDescent="0.2">
      <c r="A317" s="2141"/>
      <c r="B317" s="2142"/>
      <c r="C317" s="2143"/>
      <c r="D317" s="2142"/>
      <c r="E317" s="2142"/>
      <c r="F317" s="2143"/>
      <c r="G317" s="2176">
        <v>52</v>
      </c>
      <c r="H317" s="2147" t="s">
        <v>2330</v>
      </c>
      <c r="I317" s="2147"/>
      <c r="J317" s="2147"/>
      <c r="K317" s="2148"/>
      <c r="L317" s="2147"/>
      <c r="M317" s="2147"/>
      <c r="N317" s="2149"/>
      <c r="O317" s="2177"/>
      <c r="P317" s="2148"/>
      <c r="Q317" s="2147"/>
      <c r="R317" s="2178"/>
      <c r="S317" s="2147"/>
      <c r="T317" s="2148"/>
      <c r="U317" s="2148"/>
      <c r="V317" s="2179"/>
      <c r="W317" s="2180"/>
      <c r="X317" s="2149"/>
      <c r="Y317" s="2149"/>
      <c r="Z317" s="2149"/>
      <c r="AA317" s="4202"/>
      <c r="AB317" s="4203"/>
      <c r="AC317" s="4203"/>
      <c r="AD317" s="4203"/>
      <c r="AE317" s="4203"/>
      <c r="AF317" s="4203"/>
      <c r="AG317" s="4203"/>
      <c r="AH317" s="4203"/>
      <c r="AI317" s="4203"/>
      <c r="AJ317" s="4203"/>
      <c r="AK317" s="4203"/>
      <c r="AL317" s="4203"/>
      <c r="AM317" s="4203"/>
      <c r="AN317" s="2317"/>
      <c r="AO317" s="2147"/>
      <c r="AP317" s="2147"/>
      <c r="AQ317" s="2154"/>
    </row>
    <row r="318" spans="1:172" ht="39.75" customHeight="1" x14ac:dyDescent="0.2">
      <c r="A318" s="2181"/>
      <c r="B318" s="2182"/>
      <c r="C318" s="2183"/>
      <c r="D318" s="2182"/>
      <c r="E318" s="2182"/>
      <c r="F318" s="2183"/>
      <c r="G318" s="2185"/>
      <c r="H318" s="2185"/>
      <c r="I318" s="2186"/>
      <c r="J318" s="4163">
        <v>170</v>
      </c>
      <c r="K318" s="4179" t="s">
        <v>2331</v>
      </c>
      <c r="L318" s="4138" t="s">
        <v>1905</v>
      </c>
      <c r="M318" s="4138">
        <v>14</v>
      </c>
      <c r="N318" s="4138" t="s">
        <v>2332</v>
      </c>
      <c r="O318" s="4156" t="s">
        <v>2333</v>
      </c>
      <c r="P318" s="4138" t="s">
        <v>2334</v>
      </c>
      <c r="Q318" s="4166">
        <f>(V318+V320+V319)/R318</f>
        <v>0.5</v>
      </c>
      <c r="R318" s="4158">
        <f>SUM(V318:V322)</f>
        <v>20000000</v>
      </c>
      <c r="S318" s="4141" t="s">
        <v>2335</v>
      </c>
      <c r="T318" s="4141" t="s">
        <v>2336</v>
      </c>
      <c r="U318" s="2318" t="s">
        <v>2337</v>
      </c>
      <c r="V318" s="2319">
        <v>3000000</v>
      </c>
      <c r="W318" s="2161">
        <v>20</v>
      </c>
      <c r="X318" s="2196" t="s">
        <v>62</v>
      </c>
      <c r="Y318" s="4185">
        <v>292684</v>
      </c>
      <c r="Z318" s="4185">
        <v>282326</v>
      </c>
      <c r="AA318" s="4185">
        <v>135912</v>
      </c>
      <c r="AB318" s="4185">
        <v>45122</v>
      </c>
      <c r="AC318" s="4185">
        <v>307101</v>
      </c>
      <c r="AD318" s="4185">
        <v>86875</v>
      </c>
      <c r="AE318" s="4185">
        <v>2145</v>
      </c>
      <c r="AF318" s="4185">
        <v>12718</v>
      </c>
      <c r="AG318" s="4185">
        <v>26</v>
      </c>
      <c r="AH318" s="4185">
        <v>37</v>
      </c>
      <c r="AI318" s="4185" t="s">
        <v>1913</v>
      </c>
      <c r="AJ318" s="4185" t="s">
        <v>1913</v>
      </c>
      <c r="AK318" s="4185">
        <v>53164</v>
      </c>
      <c r="AL318" s="4185">
        <v>16982</v>
      </c>
      <c r="AM318" s="4185">
        <v>60013</v>
      </c>
      <c r="AN318" s="4185">
        <v>575010</v>
      </c>
      <c r="AO318" s="4198">
        <v>43467</v>
      </c>
      <c r="AP318" s="4198">
        <v>43830</v>
      </c>
      <c r="AQ318" s="4194" t="s">
        <v>1914</v>
      </c>
    </row>
    <row r="319" spans="1:172" ht="37.5" customHeight="1" x14ac:dyDescent="0.2">
      <c r="A319" s="2181"/>
      <c r="B319" s="2182"/>
      <c r="C319" s="2183"/>
      <c r="D319" s="2182"/>
      <c r="E319" s="2182"/>
      <c r="F319" s="2183"/>
      <c r="G319" s="2182"/>
      <c r="H319" s="2182"/>
      <c r="I319" s="2183"/>
      <c r="J319" s="4164"/>
      <c r="K319" s="4204"/>
      <c r="L319" s="4139"/>
      <c r="M319" s="4139"/>
      <c r="N319" s="4139"/>
      <c r="O319" s="4157"/>
      <c r="P319" s="4139"/>
      <c r="Q319" s="4146"/>
      <c r="R319" s="4159"/>
      <c r="S319" s="4142"/>
      <c r="T319" s="4142"/>
      <c r="U319" s="2318" t="s">
        <v>2338</v>
      </c>
      <c r="V319" s="2319">
        <v>4000000</v>
      </c>
      <c r="W319" s="2201">
        <v>20</v>
      </c>
      <c r="X319" s="2256" t="s">
        <v>62</v>
      </c>
      <c r="Y319" s="4186"/>
      <c r="Z319" s="4186">
        <v>282326</v>
      </c>
      <c r="AA319" s="4186">
        <v>135912</v>
      </c>
      <c r="AB319" s="4186">
        <v>45122</v>
      </c>
      <c r="AC319" s="4186">
        <v>307101</v>
      </c>
      <c r="AD319" s="4186">
        <v>86875</v>
      </c>
      <c r="AE319" s="4186">
        <v>2145</v>
      </c>
      <c r="AF319" s="4186">
        <v>12718</v>
      </c>
      <c r="AG319" s="4186">
        <v>26</v>
      </c>
      <c r="AH319" s="4186">
        <v>37</v>
      </c>
      <c r="AI319" s="4186" t="s">
        <v>1913</v>
      </c>
      <c r="AJ319" s="4186" t="s">
        <v>1913</v>
      </c>
      <c r="AK319" s="4186">
        <v>53164</v>
      </c>
      <c r="AL319" s="4186">
        <v>16982</v>
      </c>
      <c r="AM319" s="4186">
        <v>60013</v>
      </c>
      <c r="AN319" s="4186">
        <v>575010</v>
      </c>
      <c r="AO319" s="4199"/>
      <c r="AP319" s="4199"/>
      <c r="AQ319" s="4195"/>
    </row>
    <row r="320" spans="1:172" ht="49.5" customHeight="1" x14ac:dyDescent="0.2">
      <c r="A320" s="2181"/>
      <c r="B320" s="2182"/>
      <c r="C320" s="2183"/>
      <c r="D320" s="2182"/>
      <c r="E320" s="2182"/>
      <c r="F320" s="2183"/>
      <c r="G320" s="2182"/>
      <c r="H320" s="2182"/>
      <c r="I320" s="2183"/>
      <c r="J320" s="4164"/>
      <c r="K320" s="4204"/>
      <c r="L320" s="4139"/>
      <c r="M320" s="4139"/>
      <c r="N320" s="4139"/>
      <c r="O320" s="4157"/>
      <c r="P320" s="4139"/>
      <c r="Q320" s="4146"/>
      <c r="R320" s="4159"/>
      <c r="S320" s="4142"/>
      <c r="T320" s="4143"/>
      <c r="U320" s="2318" t="s">
        <v>2339</v>
      </c>
      <c r="V320" s="1160">
        <v>3000000</v>
      </c>
      <c r="W320" s="2201">
        <v>20</v>
      </c>
      <c r="X320" s="2256" t="s">
        <v>62</v>
      </c>
      <c r="Y320" s="4186"/>
      <c r="Z320" s="4186">
        <v>282326</v>
      </c>
      <c r="AA320" s="4186">
        <v>135912</v>
      </c>
      <c r="AB320" s="4186">
        <v>45122</v>
      </c>
      <c r="AC320" s="4186">
        <v>307101</v>
      </c>
      <c r="AD320" s="4186">
        <v>86875</v>
      </c>
      <c r="AE320" s="4186">
        <v>2145</v>
      </c>
      <c r="AF320" s="4186">
        <v>12718</v>
      </c>
      <c r="AG320" s="4186">
        <v>26</v>
      </c>
      <c r="AH320" s="4186">
        <v>37</v>
      </c>
      <c r="AI320" s="4186" t="s">
        <v>1913</v>
      </c>
      <c r="AJ320" s="4186" t="s">
        <v>1913</v>
      </c>
      <c r="AK320" s="4186">
        <v>53164</v>
      </c>
      <c r="AL320" s="4186">
        <v>16982</v>
      </c>
      <c r="AM320" s="4186">
        <v>60013</v>
      </c>
      <c r="AN320" s="4186">
        <v>575010</v>
      </c>
      <c r="AO320" s="4199"/>
      <c r="AP320" s="4199"/>
      <c r="AQ320" s="4195"/>
    </row>
    <row r="321" spans="1:43" ht="38.25" customHeight="1" x14ac:dyDescent="0.2">
      <c r="A321" s="2181"/>
      <c r="B321" s="2182"/>
      <c r="C321" s="2183"/>
      <c r="D321" s="2182"/>
      <c r="E321" s="2182"/>
      <c r="F321" s="2183"/>
      <c r="G321" s="2182"/>
      <c r="H321" s="2182"/>
      <c r="I321" s="2183"/>
      <c r="J321" s="4165"/>
      <c r="K321" s="4197"/>
      <c r="L321" s="4140"/>
      <c r="M321" s="4140"/>
      <c r="N321" s="4139"/>
      <c r="O321" s="4157"/>
      <c r="P321" s="4139"/>
      <c r="Q321" s="4166">
        <f>+SUM(V321:V322)/R318</f>
        <v>0.5</v>
      </c>
      <c r="R321" s="4159"/>
      <c r="S321" s="4142"/>
      <c r="T321" s="4179" t="s">
        <v>2340</v>
      </c>
      <c r="U321" s="2318" t="s">
        <v>2341</v>
      </c>
      <c r="V321" s="1160">
        <v>5000000</v>
      </c>
      <c r="W321" s="2201">
        <v>20</v>
      </c>
      <c r="X321" s="2256" t="s">
        <v>62</v>
      </c>
      <c r="Y321" s="4186"/>
      <c r="Z321" s="4186">
        <v>282326</v>
      </c>
      <c r="AA321" s="4186">
        <v>135912</v>
      </c>
      <c r="AB321" s="4186">
        <v>45122</v>
      </c>
      <c r="AC321" s="4186">
        <v>307101</v>
      </c>
      <c r="AD321" s="4186">
        <v>86875</v>
      </c>
      <c r="AE321" s="4186">
        <v>2145</v>
      </c>
      <c r="AF321" s="4186">
        <v>12718</v>
      </c>
      <c r="AG321" s="4186">
        <v>26</v>
      </c>
      <c r="AH321" s="4186">
        <v>37</v>
      </c>
      <c r="AI321" s="4186" t="s">
        <v>1913</v>
      </c>
      <c r="AJ321" s="4186" t="s">
        <v>1913</v>
      </c>
      <c r="AK321" s="4186">
        <v>53164</v>
      </c>
      <c r="AL321" s="4186">
        <v>16982</v>
      </c>
      <c r="AM321" s="4186">
        <v>60013</v>
      </c>
      <c r="AN321" s="4186">
        <v>575010</v>
      </c>
      <c r="AO321" s="4199"/>
      <c r="AP321" s="4199"/>
      <c r="AQ321" s="4195"/>
    </row>
    <row r="322" spans="1:43" ht="50.25" customHeight="1" x14ac:dyDescent="0.2">
      <c r="A322" s="2181"/>
      <c r="B322" s="2182"/>
      <c r="C322" s="2183"/>
      <c r="D322" s="2182"/>
      <c r="E322" s="2182"/>
      <c r="F322" s="2183"/>
      <c r="G322" s="2182"/>
      <c r="H322" s="2182"/>
      <c r="I322" s="2183"/>
      <c r="J322" s="2210">
        <v>171</v>
      </c>
      <c r="K322" s="2196" t="s">
        <v>2342</v>
      </c>
      <c r="L322" s="2234" t="s">
        <v>1905</v>
      </c>
      <c r="M322" s="2234">
        <v>1</v>
      </c>
      <c r="N322" s="4140"/>
      <c r="O322" s="4190"/>
      <c r="P322" s="4140"/>
      <c r="Q322" s="4147"/>
      <c r="R322" s="4176"/>
      <c r="S322" s="4143"/>
      <c r="T322" s="4197"/>
      <c r="U322" s="2318" t="s">
        <v>2343</v>
      </c>
      <c r="V322" s="1160">
        <v>5000000</v>
      </c>
      <c r="W322" s="2201">
        <v>20</v>
      </c>
      <c r="X322" s="2256" t="s">
        <v>62</v>
      </c>
      <c r="Y322" s="4191"/>
      <c r="Z322" s="4191">
        <v>282326</v>
      </c>
      <c r="AA322" s="4191">
        <v>135912</v>
      </c>
      <c r="AB322" s="4191">
        <v>45122</v>
      </c>
      <c r="AC322" s="4191">
        <v>307101</v>
      </c>
      <c r="AD322" s="4191">
        <v>86875</v>
      </c>
      <c r="AE322" s="4191">
        <v>2145</v>
      </c>
      <c r="AF322" s="4191">
        <v>12718</v>
      </c>
      <c r="AG322" s="4191">
        <v>26</v>
      </c>
      <c r="AH322" s="4191">
        <v>37</v>
      </c>
      <c r="AI322" s="4191" t="s">
        <v>1913</v>
      </c>
      <c r="AJ322" s="4191" t="s">
        <v>1913</v>
      </c>
      <c r="AK322" s="4191">
        <v>53164</v>
      </c>
      <c r="AL322" s="4191">
        <v>16982</v>
      </c>
      <c r="AM322" s="4191">
        <v>60013</v>
      </c>
      <c r="AN322" s="4191">
        <v>575010</v>
      </c>
      <c r="AO322" s="4200"/>
      <c r="AP322" s="4200"/>
      <c r="AQ322" s="4196"/>
    </row>
    <row r="323" spans="1:43" ht="53.25" customHeight="1" x14ac:dyDescent="0.2">
      <c r="A323" s="2181"/>
      <c r="B323" s="2182"/>
      <c r="C323" s="2183"/>
      <c r="D323" s="2182"/>
      <c r="E323" s="2182"/>
      <c r="F323" s="2183"/>
      <c r="G323" s="2182"/>
      <c r="H323" s="2182"/>
      <c r="I323" s="2183"/>
      <c r="J323" s="4163">
        <v>172</v>
      </c>
      <c r="K323" s="4141" t="s">
        <v>2344</v>
      </c>
      <c r="L323" s="4138" t="s">
        <v>1905</v>
      </c>
      <c r="M323" s="4138">
        <v>12</v>
      </c>
      <c r="N323" s="4138" t="s">
        <v>2345</v>
      </c>
      <c r="O323" s="4156" t="s">
        <v>2346</v>
      </c>
      <c r="P323" s="4141" t="s">
        <v>2347</v>
      </c>
      <c r="Q323" s="4166">
        <f>SUM(V323:V330)/R323</f>
        <v>1</v>
      </c>
      <c r="R323" s="4158">
        <f>SUM(V323:V330)</f>
        <v>674441641</v>
      </c>
      <c r="S323" s="4141" t="s">
        <v>2348</v>
      </c>
      <c r="T323" s="4141" t="s">
        <v>2349</v>
      </c>
      <c r="U323" s="4192" t="s">
        <v>2350</v>
      </c>
      <c r="V323" s="1160">
        <v>100000000</v>
      </c>
      <c r="W323" s="2161">
        <v>20</v>
      </c>
      <c r="X323" s="2246" t="s">
        <v>62</v>
      </c>
      <c r="Y323" s="4138">
        <v>292684</v>
      </c>
      <c r="Z323" s="4138">
        <v>282326</v>
      </c>
      <c r="AA323" s="4138">
        <v>135912</v>
      </c>
      <c r="AB323" s="4138">
        <v>45122</v>
      </c>
      <c r="AC323" s="4138">
        <v>307101</v>
      </c>
      <c r="AD323" s="4138">
        <v>86875</v>
      </c>
      <c r="AE323" s="4138">
        <v>2145</v>
      </c>
      <c r="AF323" s="4138">
        <v>12718</v>
      </c>
      <c r="AG323" s="4138">
        <v>26</v>
      </c>
      <c r="AH323" s="4138">
        <v>37</v>
      </c>
      <c r="AI323" s="4138" t="s">
        <v>1913</v>
      </c>
      <c r="AJ323" s="4138" t="s">
        <v>1913</v>
      </c>
      <c r="AK323" s="4138">
        <v>53164</v>
      </c>
      <c r="AL323" s="4138">
        <v>16982</v>
      </c>
      <c r="AM323" s="4138">
        <v>60013</v>
      </c>
      <c r="AN323" s="4138">
        <v>575010</v>
      </c>
      <c r="AO323" s="4149">
        <v>43467</v>
      </c>
      <c r="AP323" s="4149">
        <v>43830</v>
      </c>
      <c r="AQ323" s="4136" t="s">
        <v>1914</v>
      </c>
    </row>
    <row r="324" spans="1:43" ht="53.25" customHeight="1" x14ac:dyDescent="0.2">
      <c r="A324" s="2181"/>
      <c r="B324" s="2182"/>
      <c r="C324" s="2183"/>
      <c r="D324" s="2182"/>
      <c r="E324" s="2182"/>
      <c r="F324" s="2183"/>
      <c r="G324" s="2182"/>
      <c r="H324" s="2182"/>
      <c r="I324" s="2183"/>
      <c r="J324" s="4164"/>
      <c r="K324" s="4142"/>
      <c r="L324" s="4139"/>
      <c r="M324" s="4139"/>
      <c r="N324" s="4139"/>
      <c r="O324" s="4157"/>
      <c r="P324" s="4142"/>
      <c r="Q324" s="4146"/>
      <c r="R324" s="4159"/>
      <c r="S324" s="4142"/>
      <c r="T324" s="4142"/>
      <c r="U324" s="4193"/>
      <c r="V324" s="1160">
        <v>114000000</v>
      </c>
      <c r="W324" s="2161">
        <v>96</v>
      </c>
      <c r="X324" s="2251" t="s">
        <v>2351</v>
      </c>
      <c r="Y324" s="4139">
        <v>292684</v>
      </c>
      <c r="Z324" s="4139">
        <v>282326</v>
      </c>
      <c r="AA324" s="4139">
        <v>135912</v>
      </c>
      <c r="AB324" s="4139">
        <v>45122</v>
      </c>
      <c r="AC324" s="4139">
        <v>307101</v>
      </c>
      <c r="AD324" s="4139">
        <v>86875</v>
      </c>
      <c r="AE324" s="4139">
        <v>2145</v>
      </c>
      <c r="AF324" s="4139">
        <v>12718</v>
      </c>
      <c r="AG324" s="4139">
        <v>26</v>
      </c>
      <c r="AH324" s="4139">
        <v>37</v>
      </c>
      <c r="AI324" s="4139" t="s">
        <v>1913</v>
      </c>
      <c r="AJ324" s="4139" t="s">
        <v>1913</v>
      </c>
      <c r="AK324" s="4139">
        <v>53164</v>
      </c>
      <c r="AL324" s="4139">
        <v>16982</v>
      </c>
      <c r="AM324" s="4139">
        <v>60013</v>
      </c>
      <c r="AN324" s="4139"/>
      <c r="AO324" s="4150"/>
      <c r="AP324" s="4150"/>
      <c r="AQ324" s="4137"/>
    </row>
    <row r="325" spans="1:43" ht="42" customHeight="1" x14ac:dyDescent="0.2">
      <c r="A325" s="2181"/>
      <c r="B325" s="2182"/>
      <c r="C325" s="2183"/>
      <c r="D325" s="2182"/>
      <c r="E325" s="2182"/>
      <c r="F325" s="2183"/>
      <c r="G325" s="2182"/>
      <c r="H325" s="2182"/>
      <c r="I325" s="2183"/>
      <c r="J325" s="4164"/>
      <c r="K325" s="4142"/>
      <c r="L325" s="4139"/>
      <c r="M325" s="4139"/>
      <c r="N325" s="4139"/>
      <c r="O325" s="4157"/>
      <c r="P325" s="4142"/>
      <c r="Q325" s="4146"/>
      <c r="R325" s="4159"/>
      <c r="S325" s="4142"/>
      <c r="T325" s="4142"/>
      <c r="U325" s="2320" t="s">
        <v>2352</v>
      </c>
      <c r="V325" s="1160">
        <v>10000000</v>
      </c>
      <c r="W325" s="2161">
        <v>20</v>
      </c>
      <c r="X325" s="2251" t="s">
        <v>62</v>
      </c>
      <c r="Y325" s="4139">
        <v>292684</v>
      </c>
      <c r="Z325" s="4139">
        <v>282326</v>
      </c>
      <c r="AA325" s="4139">
        <v>135912</v>
      </c>
      <c r="AB325" s="4139">
        <v>45122</v>
      </c>
      <c r="AC325" s="4139">
        <v>307101</v>
      </c>
      <c r="AD325" s="4139">
        <v>86875</v>
      </c>
      <c r="AE325" s="4139">
        <v>2145</v>
      </c>
      <c r="AF325" s="4139">
        <v>12718</v>
      </c>
      <c r="AG325" s="4139">
        <v>26</v>
      </c>
      <c r="AH325" s="4139">
        <v>37</v>
      </c>
      <c r="AI325" s="4139" t="s">
        <v>1913</v>
      </c>
      <c r="AJ325" s="4139" t="s">
        <v>1913</v>
      </c>
      <c r="AK325" s="4139">
        <v>53164</v>
      </c>
      <c r="AL325" s="4139">
        <v>16982</v>
      </c>
      <c r="AM325" s="4139">
        <v>60013</v>
      </c>
      <c r="AN325" s="4139"/>
      <c r="AO325" s="4150"/>
      <c r="AP325" s="4150"/>
      <c r="AQ325" s="4137"/>
    </row>
    <row r="326" spans="1:43" ht="69" customHeight="1" x14ac:dyDescent="0.2">
      <c r="A326" s="2181"/>
      <c r="B326" s="2182"/>
      <c r="C326" s="2183"/>
      <c r="D326" s="2182"/>
      <c r="E326" s="2182"/>
      <c r="F326" s="2183"/>
      <c r="G326" s="2182"/>
      <c r="H326" s="2182"/>
      <c r="I326" s="2183"/>
      <c r="J326" s="4164"/>
      <c r="K326" s="4142"/>
      <c r="L326" s="4139"/>
      <c r="M326" s="4139"/>
      <c r="N326" s="4139"/>
      <c r="O326" s="4157"/>
      <c r="P326" s="4142"/>
      <c r="Q326" s="4146"/>
      <c r="R326" s="4159"/>
      <c r="S326" s="4142"/>
      <c r="T326" s="4142"/>
      <c r="U326" s="4192" t="s">
        <v>2353</v>
      </c>
      <c r="V326" s="1160">
        <v>15441641</v>
      </c>
      <c r="W326" s="2161">
        <v>20</v>
      </c>
      <c r="X326" s="2251" t="s">
        <v>62</v>
      </c>
      <c r="Y326" s="4139">
        <v>292684</v>
      </c>
      <c r="Z326" s="4139">
        <v>282326</v>
      </c>
      <c r="AA326" s="4139">
        <v>135912</v>
      </c>
      <c r="AB326" s="4139">
        <v>45122</v>
      </c>
      <c r="AC326" s="4139">
        <v>307101</v>
      </c>
      <c r="AD326" s="4139">
        <v>86875</v>
      </c>
      <c r="AE326" s="4139">
        <v>2145</v>
      </c>
      <c r="AF326" s="4139">
        <v>12718</v>
      </c>
      <c r="AG326" s="4139">
        <v>26</v>
      </c>
      <c r="AH326" s="4139">
        <v>37</v>
      </c>
      <c r="AI326" s="4139" t="s">
        <v>1913</v>
      </c>
      <c r="AJ326" s="4139" t="s">
        <v>1913</v>
      </c>
      <c r="AK326" s="4139">
        <v>53164</v>
      </c>
      <c r="AL326" s="4139">
        <v>16982</v>
      </c>
      <c r="AM326" s="4139">
        <v>60013</v>
      </c>
      <c r="AN326" s="4139"/>
      <c r="AO326" s="4150"/>
      <c r="AP326" s="4150"/>
      <c r="AQ326" s="4137"/>
    </row>
    <row r="327" spans="1:43" ht="69" customHeight="1" x14ac:dyDescent="0.2">
      <c r="A327" s="2181"/>
      <c r="B327" s="2182"/>
      <c r="C327" s="2183"/>
      <c r="D327" s="2182"/>
      <c r="E327" s="2182"/>
      <c r="F327" s="2183"/>
      <c r="G327" s="2182"/>
      <c r="H327" s="2182"/>
      <c r="I327" s="2183"/>
      <c r="J327" s="4164"/>
      <c r="K327" s="4142"/>
      <c r="L327" s="4139"/>
      <c r="M327" s="4139"/>
      <c r="N327" s="4139"/>
      <c r="O327" s="4157"/>
      <c r="P327" s="4142"/>
      <c r="Q327" s="4146"/>
      <c r="R327" s="4159"/>
      <c r="S327" s="4142"/>
      <c r="T327" s="4142"/>
      <c r="U327" s="4193"/>
      <c r="V327" s="2064">
        <v>400000000</v>
      </c>
      <c r="W327" s="2197">
        <v>88</v>
      </c>
      <c r="X327" s="2218" t="s">
        <v>2354</v>
      </c>
      <c r="Y327" s="4139">
        <v>292684</v>
      </c>
      <c r="Z327" s="4139">
        <v>282326</v>
      </c>
      <c r="AA327" s="4139">
        <v>135912</v>
      </c>
      <c r="AB327" s="4139">
        <v>45122</v>
      </c>
      <c r="AC327" s="4139">
        <v>307101</v>
      </c>
      <c r="AD327" s="4139">
        <v>86875</v>
      </c>
      <c r="AE327" s="4139">
        <v>2145</v>
      </c>
      <c r="AF327" s="4139">
        <v>12718</v>
      </c>
      <c r="AG327" s="4139">
        <v>26</v>
      </c>
      <c r="AH327" s="4139">
        <v>37</v>
      </c>
      <c r="AI327" s="4139" t="s">
        <v>1913</v>
      </c>
      <c r="AJ327" s="4139" t="s">
        <v>1913</v>
      </c>
      <c r="AK327" s="4139">
        <v>53164</v>
      </c>
      <c r="AL327" s="4139">
        <v>16982</v>
      </c>
      <c r="AM327" s="4139">
        <v>60013</v>
      </c>
      <c r="AN327" s="4139"/>
      <c r="AO327" s="4150"/>
      <c r="AP327" s="4150"/>
      <c r="AQ327" s="4137"/>
    </row>
    <row r="328" spans="1:43" ht="39" customHeight="1" x14ac:dyDescent="0.2">
      <c r="A328" s="2181"/>
      <c r="B328" s="2182"/>
      <c r="C328" s="2183"/>
      <c r="D328" s="2182"/>
      <c r="E328" s="2182"/>
      <c r="F328" s="2183"/>
      <c r="G328" s="2182"/>
      <c r="H328" s="2182"/>
      <c r="I328" s="2183"/>
      <c r="J328" s="4164"/>
      <c r="K328" s="4142"/>
      <c r="L328" s="4139"/>
      <c r="M328" s="4139"/>
      <c r="N328" s="4139"/>
      <c r="O328" s="4157"/>
      <c r="P328" s="4142"/>
      <c r="Q328" s="4146"/>
      <c r="R328" s="4159"/>
      <c r="S328" s="4142"/>
      <c r="T328" s="4142"/>
      <c r="U328" s="2320" t="s">
        <v>2355</v>
      </c>
      <c r="V328" s="1160">
        <v>10000000</v>
      </c>
      <c r="W328" s="2161">
        <v>20</v>
      </c>
      <c r="X328" s="2251" t="s">
        <v>62</v>
      </c>
      <c r="Y328" s="4139">
        <v>292684</v>
      </c>
      <c r="Z328" s="4139">
        <v>282326</v>
      </c>
      <c r="AA328" s="4139">
        <v>135912</v>
      </c>
      <c r="AB328" s="4139">
        <v>45122</v>
      </c>
      <c r="AC328" s="4139">
        <v>307101</v>
      </c>
      <c r="AD328" s="4139">
        <v>86875</v>
      </c>
      <c r="AE328" s="4139">
        <v>2145</v>
      </c>
      <c r="AF328" s="4139">
        <v>12718</v>
      </c>
      <c r="AG328" s="4139">
        <v>26</v>
      </c>
      <c r="AH328" s="4139">
        <v>37</v>
      </c>
      <c r="AI328" s="4139" t="s">
        <v>1913</v>
      </c>
      <c r="AJ328" s="4139" t="s">
        <v>1913</v>
      </c>
      <c r="AK328" s="4139">
        <v>53164</v>
      </c>
      <c r="AL328" s="4139">
        <v>16982</v>
      </c>
      <c r="AM328" s="4139">
        <v>60013</v>
      </c>
      <c r="AN328" s="4139"/>
      <c r="AO328" s="4150"/>
      <c r="AP328" s="4150"/>
      <c r="AQ328" s="4137"/>
    </row>
    <row r="329" spans="1:43" ht="42.75" x14ac:dyDescent="0.2">
      <c r="A329" s="2181"/>
      <c r="B329" s="2182"/>
      <c r="C329" s="2183"/>
      <c r="D329" s="2182"/>
      <c r="E329" s="2182"/>
      <c r="F329" s="2183"/>
      <c r="G329" s="2182"/>
      <c r="H329" s="2182"/>
      <c r="I329" s="2183"/>
      <c r="J329" s="4164"/>
      <c r="K329" s="4142"/>
      <c r="L329" s="4139"/>
      <c r="M329" s="4139"/>
      <c r="N329" s="4139"/>
      <c r="O329" s="4157"/>
      <c r="P329" s="4142"/>
      <c r="Q329" s="4146"/>
      <c r="R329" s="4159"/>
      <c r="S329" s="4142"/>
      <c r="T329" s="4143"/>
      <c r="U329" s="2320" t="s">
        <v>2356</v>
      </c>
      <c r="V329" s="1160">
        <v>10000000</v>
      </c>
      <c r="W329" s="2161">
        <v>20</v>
      </c>
      <c r="X329" s="2251" t="s">
        <v>62</v>
      </c>
      <c r="Y329" s="4139">
        <v>292684</v>
      </c>
      <c r="Z329" s="4139">
        <v>282326</v>
      </c>
      <c r="AA329" s="4139">
        <v>135912</v>
      </c>
      <c r="AB329" s="4139">
        <v>45122</v>
      </c>
      <c r="AC329" s="4139">
        <v>307101</v>
      </c>
      <c r="AD329" s="4139">
        <v>86875</v>
      </c>
      <c r="AE329" s="4139">
        <v>2145</v>
      </c>
      <c r="AF329" s="4139">
        <v>12718</v>
      </c>
      <c r="AG329" s="4139">
        <v>26</v>
      </c>
      <c r="AH329" s="4139">
        <v>37</v>
      </c>
      <c r="AI329" s="4139" t="s">
        <v>1913</v>
      </c>
      <c r="AJ329" s="4139" t="s">
        <v>1913</v>
      </c>
      <c r="AK329" s="4139">
        <v>53164</v>
      </c>
      <c r="AL329" s="4139">
        <v>16982</v>
      </c>
      <c r="AM329" s="4139">
        <v>60013</v>
      </c>
      <c r="AN329" s="4139"/>
      <c r="AO329" s="4150"/>
      <c r="AP329" s="4150"/>
      <c r="AQ329" s="4137"/>
    </row>
    <row r="330" spans="1:43" ht="42.75" x14ac:dyDescent="0.2">
      <c r="A330" s="2181"/>
      <c r="B330" s="2182"/>
      <c r="C330" s="2183"/>
      <c r="D330" s="2182"/>
      <c r="E330" s="2182"/>
      <c r="F330" s="2183"/>
      <c r="G330" s="2191"/>
      <c r="H330" s="2191"/>
      <c r="I330" s="2192"/>
      <c r="J330" s="4165"/>
      <c r="K330" s="4143"/>
      <c r="L330" s="4140"/>
      <c r="M330" s="4140"/>
      <c r="N330" s="4140"/>
      <c r="O330" s="4190"/>
      <c r="P330" s="4143"/>
      <c r="Q330" s="4147"/>
      <c r="R330" s="4176"/>
      <c r="S330" s="4143"/>
      <c r="T330" s="2193" t="s">
        <v>2357</v>
      </c>
      <c r="U330" s="2321" t="s">
        <v>2358</v>
      </c>
      <c r="V330" s="1160">
        <v>15000000</v>
      </c>
      <c r="W330" s="2161">
        <v>20</v>
      </c>
      <c r="X330" s="2251" t="s">
        <v>62</v>
      </c>
      <c r="Y330" s="4140">
        <v>292684</v>
      </c>
      <c r="Z330" s="4140">
        <v>282326</v>
      </c>
      <c r="AA330" s="4140">
        <v>135912</v>
      </c>
      <c r="AB330" s="4140">
        <v>45122</v>
      </c>
      <c r="AC330" s="4140">
        <v>307101</v>
      </c>
      <c r="AD330" s="4140">
        <v>86875</v>
      </c>
      <c r="AE330" s="4140">
        <v>2145</v>
      </c>
      <c r="AF330" s="4140">
        <v>12718</v>
      </c>
      <c r="AG330" s="4140">
        <v>26</v>
      </c>
      <c r="AH330" s="4140">
        <v>37</v>
      </c>
      <c r="AI330" s="4140" t="s">
        <v>1913</v>
      </c>
      <c r="AJ330" s="4140" t="s">
        <v>1913</v>
      </c>
      <c r="AK330" s="4140">
        <v>53164</v>
      </c>
      <c r="AL330" s="4140">
        <v>16982</v>
      </c>
      <c r="AM330" s="4140">
        <v>60013</v>
      </c>
      <c r="AN330" s="4140"/>
      <c r="AO330" s="4175"/>
      <c r="AP330" s="4175"/>
      <c r="AQ330" s="4153"/>
    </row>
    <row r="331" spans="1:43" ht="36" customHeight="1" x14ac:dyDescent="0.2">
      <c r="A331" s="2141"/>
      <c r="B331" s="2142"/>
      <c r="C331" s="2143"/>
      <c r="D331" s="2142"/>
      <c r="E331" s="2142"/>
      <c r="F331" s="2143"/>
      <c r="G331" s="2176">
        <v>53</v>
      </c>
      <c r="H331" s="2147" t="s">
        <v>2359</v>
      </c>
      <c r="I331" s="2147"/>
      <c r="J331" s="2273"/>
      <c r="K331" s="2274"/>
      <c r="L331" s="2147"/>
      <c r="M331" s="2147"/>
      <c r="N331" s="2149"/>
      <c r="O331" s="2177"/>
      <c r="P331" s="2148"/>
      <c r="Q331" s="2147"/>
      <c r="R331" s="2178"/>
      <c r="S331" s="2147"/>
      <c r="T331" s="2148"/>
      <c r="U331" s="2148"/>
      <c r="V331" s="2179"/>
      <c r="W331" s="2180"/>
      <c r="X331" s="2149"/>
      <c r="Y331" s="2149"/>
      <c r="Z331" s="2149"/>
      <c r="AA331" s="2322"/>
      <c r="AB331" s="2322"/>
      <c r="AC331" s="2323"/>
      <c r="AD331" s="2322"/>
      <c r="AE331" s="2322"/>
      <c r="AF331" s="2322"/>
      <c r="AG331" s="2322"/>
      <c r="AH331" s="2311"/>
      <c r="AI331" s="2322"/>
      <c r="AJ331" s="2323"/>
      <c r="AK331" s="2322"/>
      <c r="AL331" s="2322"/>
      <c r="AM331" s="2323"/>
      <c r="AN331" s="2322"/>
      <c r="AO331" s="2147"/>
      <c r="AP331" s="2147"/>
      <c r="AQ331" s="2154"/>
    </row>
    <row r="332" spans="1:43" ht="70.5" customHeight="1" x14ac:dyDescent="0.2">
      <c r="A332" s="2155"/>
      <c r="B332" s="2156"/>
      <c r="C332" s="2157"/>
      <c r="D332" s="2156"/>
      <c r="E332" s="2156"/>
      <c r="F332" s="2157"/>
      <c r="G332" s="2159"/>
      <c r="H332" s="2159"/>
      <c r="I332" s="2159"/>
      <c r="J332" s="4181">
        <v>173</v>
      </c>
      <c r="K332" s="4184" t="s">
        <v>2360</v>
      </c>
      <c r="L332" s="4185" t="s">
        <v>1905</v>
      </c>
      <c r="M332" s="4187">
        <v>7</v>
      </c>
      <c r="N332" s="4138" t="s">
        <v>2361</v>
      </c>
      <c r="O332" s="4156" t="s">
        <v>2362</v>
      </c>
      <c r="P332" s="4141" t="s">
        <v>2363</v>
      </c>
      <c r="Q332" s="4166">
        <f>+SUM(V332:V335)/R332</f>
        <v>0.17825311942959002</v>
      </c>
      <c r="R332" s="4158">
        <f>SUM(V332:V341)</f>
        <v>56100000</v>
      </c>
      <c r="S332" s="4141" t="s">
        <v>2364</v>
      </c>
      <c r="T332" s="4141" t="s">
        <v>2365</v>
      </c>
      <c r="U332" s="2245" t="s">
        <v>2366</v>
      </c>
      <c r="V332" s="1160">
        <v>2000000</v>
      </c>
      <c r="W332" s="2161">
        <v>20</v>
      </c>
      <c r="X332" s="2251" t="s">
        <v>62</v>
      </c>
      <c r="Y332" s="4138">
        <v>292684</v>
      </c>
      <c r="Z332" s="4138">
        <v>282326</v>
      </c>
      <c r="AA332" s="4138">
        <v>135912</v>
      </c>
      <c r="AB332" s="4138">
        <v>45122</v>
      </c>
      <c r="AC332" s="4138">
        <v>307101</v>
      </c>
      <c r="AD332" s="4138">
        <v>86875</v>
      </c>
      <c r="AE332" s="4138">
        <v>2145</v>
      </c>
      <c r="AF332" s="4138">
        <v>12718</v>
      </c>
      <c r="AG332" s="4138">
        <v>26</v>
      </c>
      <c r="AH332" s="4138">
        <v>37</v>
      </c>
      <c r="AI332" s="4138" t="s">
        <v>1913</v>
      </c>
      <c r="AJ332" s="4138" t="s">
        <v>1913</v>
      </c>
      <c r="AK332" s="4138">
        <v>53164</v>
      </c>
      <c r="AL332" s="4138">
        <v>16982</v>
      </c>
      <c r="AM332" s="4138">
        <v>60013</v>
      </c>
      <c r="AN332" s="4138">
        <v>575010</v>
      </c>
      <c r="AO332" s="4149">
        <v>43467</v>
      </c>
      <c r="AP332" s="4149">
        <v>43830</v>
      </c>
      <c r="AQ332" s="4136" t="s">
        <v>1914</v>
      </c>
    </row>
    <row r="333" spans="1:43" ht="60.75" customHeight="1" x14ac:dyDescent="0.2">
      <c r="A333" s="2155"/>
      <c r="B333" s="2156"/>
      <c r="C333" s="2157"/>
      <c r="D333" s="2156"/>
      <c r="E333" s="2156"/>
      <c r="F333" s="2157"/>
      <c r="G333" s="2156"/>
      <c r="H333" s="2156"/>
      <c r="I333" s="2156"/>
      <c r="J333" s="4182"/>
      <c r="K333" s="4184"/>
      <c r="L333" s="4186"/>
      <c r="M333" s="4188"/>
      <c r="N333" s="4139"/>
      <c r="O333" s="4157"/>
      <c r="P333" s="4142"/>
      <c r="Q333" s="4146"/>
      <c r="R333" s="4159"/>
      <c r="S333" s="4142"/>
      <c r="T333" s="4142"/>
      <c r="U333" s="2245" t="s">
        <v>2367</v>
      </c>
      <c r="V333" s="1160">
        <v>2000000</v>
      </c>
      <c r="W333" s="2161">
        <v>20</v>
      </c>
      <c r="X333" s="2251" t="s">
        <v>62</v>
      </c>
      <c r="Y333" s="4139"/>
      <c r="Z333" s="4139">
        <v>282326</v>
      </c>
      <c r="AA333" s="4139">
        <v>135912</v>
      </c>
      <c r="AB333" s="4139">
        <v>45122</v>
      </c>
      <c r="AC333" s="4139">
        <v>307101</v>
      </c>
      <c r="AD333" s="4139">
        <v>86875</v>
      </c>
      <c r="AE333" s="4139">
        <v>2145</v>
      </c>
      <c r="AF333" s="4139">
        <v>12718</v>
      </c>
      <c r="AG333" s="4139">
        <v>26</v>
      </c>
      <c r="AH333" s="4139">
        <v>37</v>
      </c>
      <c r="AI333" s="4139" t="s">
        <v>1913</v>
      </c>
      <c r="AJ333" s="4139" t="s">
        <v>1913</v>
      </c>
      <c r="AK333" s="4139">
        <v>53164</v>
      </c>
      <c r="AL333" s="4139">
        <v>16982</v>
      </c>
      <c r="AM333" s="4139">
        <v>60013</v>
      </c>
      <c r="AN333" s="4139">
        <v>575010</v>
      </c>
      <c r="AO333" s="4150"/>
      <c r="AP333" s="4150"/>
      <c r="AQ333" s="4137"/>
    </row>
    <row r="334" spans="1:43" ht="42.75" customHeight="1" x14ac:dyDescent="0.2">
      <c r="A334" s="2155"/>
      <c r="B334" s="2156"/>
      <c r="C334" s="2157"/>
      <c r="D334" s="2156"/>
      <c r="E334" s="2156"/>
      <c r="F334" s="2157"/>
      <c r="G334" s="2156"/>
      <c r="H334" s="2156"/>
      <c r="I334" s="2156"/>
      <c r="J334" s="4182"/>
      <c r="K334" s="4184"/>
      <c r="L334" s="4186"/>
      <c r="M334" s="4188"/>
      <c r="N334" s="4139"/>
      <c r="O334" s="4157"/>
      <c r="P334" s="4142"/>
      <c r="Q334" s="4146"/>
      <c r="R334" s="4159"/>
      <c r="S334" s="4142"/>
      <c r="T334" s="4142"/>
      <c r="U334" s="4154" t="s">
        <v>2368</v>
      </c>
      <c r="V334" s="1160">
        <v>2000000</v>
      </c>
      <c r="W334" s="2161">
        <v>20</v>
      </c>
      <c r="X334" s="2251" t="s">
        <v>62</v>
      </c>
      <c r="Y334" s="4139"/>
      <c r="Z334" s="4139">
        <v>282326</v>
      </c>
      <c r="AA334" s="4139">
        <v>135912</v>
      </c>
      <c r="AB334" s="4139">
        <v>45122</v>
      </c>
      <c r="AC334" s="4139">
        <v>307101</v>
      </c>
      <c r="AD334" s="4139">
        <v>86875</v>
      </c>
      <c r="AE334" s="4139">
        <v>2145</v>
      </c>
      <c r="AF334" s="4139">
        <v>12718</v>
      </c>
      <c r="AG334" s="4139">
        <v>26</v>
      </c>
      <c r="AH334" s="4139">
        <v>37</v>
      </c>
      <c r="AI334" s="4139" t="s">
        <v>1913</v>
      </c>
      <c r="AJ334" s="4139" t="s">
        <v>1913</v>
      </c>
      <c r="AK334" s="4139">
        <v>53164</v>
      </c>
      <c r="AL334" s="4139">
        <v>16982</v>
      </c>
      <c r="AM334" s="4139">
        <v>60013</v>
      </c>
      <c r="AN334" s="4139">
        <v>575010</v>
      </c>
      <c r="AO334" s="4150"/>
      <c r="AP334" s="4150"/>
      <c r="AQ334" s="4137"/>
    </row>
    <row r="335" spans="1:43" ht="33" customHeight="1" x14ac:dyDescent="0.2">
      <c r="A335" s="2155"/>
      <c r="B335" s="2156"/>
      <c r="C335" s="2157"/>
      <c r="D335" s="2156"/>
      <c r="E335" s="2156"/>
      <c r="F335" s="2157"/>
      <c r="G335" s="2156"/>
      <c r="H335" s="2156"/>
      <c r="I335" s="2156"/>
      <c r="J335" s="4182"/>
      <c r="K335" s="4184"/>
      <c r="L335" s="4186"/>
      <c r="M335" s="4188"/>
      <c r="N335" s="4139"/>
      <c r="O335" s="4157"/>
      <c r="P335" s="4142"/>
      <c r="Q335" s="4147"/>
      <c r="R335" s="4159"/>
      <c r="S335" s="4142"/>
      <c r="T335" s="4143"/>
      <c r="U335" s="4155"/>
      <c r="V335" s="2064">
        <v>4000000</v>
      </c>
      <c r="W335" s="2197">
        <v>96</v>
      </c>
      <c r="X335" s="2218" t="s">
        <v>2288</v>
      </c>
      <c r="Y335" s="4139"/>
      <c r="Z335" s="4139">
        <v>282326</v>
      </c>
      <c r="AA335" s="4139">
        <v>135912</v>
      </c>
      <c r="AB335" s="4139">
        <v>45122</v>
      </c>
      <c r="AC335" s="4139">
        <v>307101</v>
      </c>
      <c r="AD335" s="4139">
        <v>86875</v>
      </c>
      <c r="AE335" s="4139">
        <v>2145</v>
      </c>
      <c r="AF335" s="4139">
        <v>12718</v>
      </c>
      <c r="AG335" s="4139">
        <v>26</v>
      </c>
      <c r="AH335" s="4139">
        <v>37</v>
      </c>
      <c r="AI335" s="4139" t="s">
        <v>1913</v>
      </c>
      <c r="AJ335" s="4139" t="s">
        <v>1913</v>
      </c>
      <c r="AK335" s="4139">
        <v>53164</v>
      </c>
      <c r="AL335" s="4139">
        <v>16982</v>
      </c>
      <c r="AM335" s="4139">
        <v>60013</v>
      </c>
      <c r="AN335" s="4139">
        <v>575010</v>
      </c>
      <c r="AO335" s="4150"/>
      <c r="AP335" s="4150"/>
      <c r="AQ335" s="4137"/>
    </row>
    <row r="336" spans="1:43" ht="34.5" customHeight="1" x14ac:dyDescent="0.2">
      <c r="A336" s="2155"/>
      <c r="B336" s="2156"/>
      <c r="C336" s="2157"/>
      <c r="D336" s="2156"/>
      <c r="E336" s="2156"/>
      <c r="F336" s="2157"/>
      <c r="G336" s="2156"/>
      <c r="H336" s="2156"/>
      <c r="I336" s="2156"/>
      <c r="J336" s="4182"/>
      <c r="K336" s="4184"/>
      <c r="L336" s="4186"/>
      <c r="M336" s="4188"/>
      <c r="N336" s="4139"/>
      <c r="O336" s="4157"/>
      <c r="P336" s="4142"/>
      <c r="Q336" s="4166">
        <f>+SUM(V336:V337)/R332</f>
        <v>0.15151515151515152</v>
      </c>
      <c r="R336" s="4159"/>
      <c r="S336" s="4142"/>
      <c r="T336" s="4179" t="s">
        <v>2369</v>
      </c>
      <c r="U336" s="4154" t="s">
        <v>2370</v>
      </c>
      <c r="V336" s="2064">
        <v>5000000</v>
      </c>
      <c r="W336" s="2197">
        <v>20</v>
      </c>
      <c r="X336" s="2218" t="s">
        <v>62</v>
      </c>
      <c r="Y336" s="4139"/>
      <c r="Z336" s="4139">
        <v>282326</v>
      </c>
      <c r="AA336" s="4139">
        <v>135912</v>
      </c>
      <c r="AB336" s="4139">
        <v>45122</v>
      </c>
      <c r="AC336" s="4139">
        <v>307101</v>
      </c>
      <c r="AD336" s="4139">
        <v>86875</v>
      </c>
      <c r="AE336" s="4139">
        <v>2145</v>
      </c>
      <c r="AF336" s="4139">
        <v>12718</v>
      </c>
      <c r="AG336" s="4139">
        <v>26</v>
      </c>
      <c r="AH336" s="4139">
        <v>37</v>
      </c>
      <c r="AI336" s="4139" t="s">
        <v>1913</v>
      </c>
      <c r="AJ336" s="4139" t="s">
        <v>1913</v>
      </c>
      <c r="AK336" s="4139">
        <v>53164</v>
      </c>
      <c r="AL336" s="4139">
        <v>16982</v>
      </c>
      <c r="AM336" s="4139">
        <v>60013</v>
      </c>
      <c r="AN336" s="4139">
        <v>575010</v>
      </c>
      <c r="AO336" s="4150"/>
      <c r="AP336" s="4150"/>
      <c r="AQ336" s="4137"/>
    </row>
    <row r="337" spans="1:43" ht="51" customHeight="1" x14ac:dyDescent="0.2">
      <c r="A337" s="2155"/>
      <c r="B337" s="2156"/>
      <c r="C337" s="2157"/>
      <c r="D337" s="2156"/>
      <c r="E337" s="2156"/>
      <c r="F337" s="2157"/>
      <c r="G337" s="2156"/>
      <c r="H337" s="2156"/>
      <c r="I337" s="2156"/>
      <c r="J337" s="4182"/>
      <c r="K337" s="4184"/>
      <c r="L337" s="4186"/>
      <c r="M337" s="4188"/>
      <c r="N337" s="4139"/>
      <c r="O337" s="4157"/>
      <c r="P337" s="4142"/>
      <c r="Q337" s="4147"/>
      <c r="R337" s="4159"/>
      <c r="S337" s="4142"/>
      <c r="T337" s="4180"/>
      <c r="U337" s="4155"/>
      <c r="V337" s="2064">
        <v>3500000</v>
      </c>
      <c r="W337" s="2197">
        <v>96</v>
      </c>
      <c r="X337" s="2218" t="s">
        <v>2288</v>
      </c>
      <c r="Y337" s="4139"/>
      <c r="Z337" s="4139">
        <v>282326</v>
      </c>
      <c r="AA337" s="4139">
        <v>135912</v>
      </c>
      <c r="AB337" s="4139">
        <v>45122</v>
      </c>
      <c r="AC337" s="4139">
        <v>307101</v>
      </c>
      <c r="AD337" s="4139">
        <v>86875</v>
      </c>
      <c r="AE337" s="4139">
        <v>2145</v>
      </c>
      <c r="AF337" s="4139">
        <v>12718</v>
      </c>
      <c r="AG337" s="4139">
        <v>26</v>
      </c>
      <c r="AH337" s="4139">
        <v>37</v>
      </c>
      <c r="AI337" s="4139" t="s">
        <v>1913</v>
      </c>
      <c r="AJ337" s="4139" t="s">
        <v>1913</v>
      </c>
      <c r="AK337" s="4139">
        <v>53164</v>
      </c>
      <c r="AL337" s="4139">
        <v>16982</v>
      </c>
      <c r="AM337" s="4139">
        <v>60013</v>
      </c>
      <c r="AN337" s="4139">
        <v>575010</v>
      </c>
      <c r="AO337" s="4150"/>
      <c r="AP337" s="4150"/>
      <c r="AQ337" s="4137"/>
    </row>
    <row r="338" spans="1:43" ht="44.25" customHeight="1" x14ac:dyDescent="0.2">
      <c r="A338" s="2155"/>
      <c r="B338" s="2156"/>
      <c r="C338" s="2157"/>
      <c r="D338" s="2156"/>
      <c r="E338" s="2156"/>
      <c r="F338" s="2157"/>
      <c r="G338" s="2156"/>
      <c r="H338" s="2156"/>
      <c r="I338" s="2156"/>
      <c r="J338" s="4182"/>
      <c r="K338" s="4184"/>
      <c r="L338" s="4186" t="s">
        <v>1905</v>
      </c>
      <c r="M338" s="4188"/>
      <c r="N338" s="4139"/>
      <c r="O338" s="4157"/>
      <c r="P338" s="4142"/>
      <c r="Q338" s="4166">
        <f>SUM(V338:V341)/R332</f>
        <v>0.67023172905525852</v>
      </c>
      <c r="R338" s="4159"/>
      <c r="S338" s="4177"/>
      <c r="T338" s="4167" t="s">
        <v>2371</v>
      </c>
      <c r="U338" s="2324" t="s">
        <v>2372</v>
      </c>
      <c r="V338" s="1160">
        <v>3000000</v>
      </c>
      <c r="W338" s="2161">
        <v>20</v>
      </c>
      <c r="X338" s="2251" t="s">
        <v>62</v>
      </c>
      <c r="Y338" s="4139"/>
      <c r="Z338" s="4139">
        <v>282326</v>
      </c>
      <c r="AA338" s="4139">
        <v>135912</v>
      </c>
      <c r="AB338" s="4139">
        <v>45122</v>
      </c>
      <c r="AC338" s="4139">
        <v>307101</v>
      </c>
      <c r="AD338" s="4139">
        <v>86875</v>
      </c>
      <c r="AE338" s="4139">
        <v>2145</v>
      </c>
      <c r="AF338" s="4139">
        <v>12718</v>
      </c>
      <c r="AG338" s="4139">
        <v>26</v>
      </c>
      <c r="AH338" s="4139">
        <v>37</v>
      </c>
      <c r="AI338" s="4139" t="s">
        <v>1913</v>
      </c>
      <c r="AJ338" s="4139" t="s">
        <v>1913</v>
      </c>
      <c r="AK338" s="4139">
        <v>53164</v>
      </c>
      <c r="AL338" s="4139">
        <v>16982</v>
      </c>
      <c r="AM338" s="4139">
        <v>60013</v>
      </c>
      <c r="AN338" s="4139">
        <v>575010</v>
      </c>
      <c r="AO338" s="4150"/>
      <c r="AP338" s="4150"/>
      <c r="AQ338" s="4137"/>
    </row>
    <row r="339" spans="1:43" ht="71.25" x14ac:dyDescent="0.2">
      <c r="A339" s="2155"/>
      <c r="B339" s="2156"/>
      <c r="C339" s="2157"/>
      <c r="D339" s="2156"/>
      <c r="E339" s="2156"/>
      <c r="F339" s="2157"/>
      <c r="G339" s="2156"/>
      <c r="H339" s="2156"/>
      <c r="I339" s="2156"/>
      <c r="J339" s="4182"/>
      <c r="K339" s="4184"/>
      <c r="L339" s="4186"/>
      <c r="M339" s="4188"/>
      <c r="N339" s="4139"/>
      <c r="O339" s="4157"/>
      <c r="P339" s="4142"/>
      <c r="Q339" s="4146"/>
      <c r="R339" s="4159"/>
      <c r="S339" s="4177"/>
      <c r="T339" s="4167"/>
      <c r="U339" s="2324" t="s">
        <v>2373</v>
      </c>
      <c r="V339" s="1160">
        <v>3000000</v>
      </c>
      <c r="W339" s="2161">
        <v>20</v>
      </c>
      <c r="X339" s="2251" t="s">
        <v>62</v>
      </c>
      <c r="Y339" s="4139"/>
      <c r="Z339" s="4139">
        <v>282326</v>
      </c>
      <c r="AA339" s="4139">
        <v>135912</v>
      </c>
      <c r="AB339" s="4139">
        <v>45122</v>
      </c>
      <c r="AC339" s="4139">
        <v>307101</v>
      </c>
      <c r="AD339" s="4139">
        <v>86875</v>
      </c>
      <c r="AE339" s="4139">
        <v>2145</v>
      </c>
      <c r="AF339" s="4139">
        <v>12718</v>
      </c>
      <c r="AG339" s="4139">
        <v>26</v>
      </c>
      <c r="AH339" s="4139">
        <v>37</v>
      </c>
      <c r="AI339" s="4139" t="s">
        <v>1913</v>
      </c>
      <c r="AJ339" s="4139" t="s">
        <v>1913</v>
      </c>
      <c r="AK339" s="4139">
        <v>53164</v>
      </c>
      <c r="AL339" s="4139">
        <v>16982</v>
      </c>
      <c r="AM339" s="4139">
        <v>60013</v>
      </c>
      <c r="AN339" s="4139">
        <v>575010</v>
      </c>
      <c r="AO339" s="4150"/>
      <c r="AP339" s="4150"/>
      <c r="AQ339" s="4137"/>
    </row>
    <row r="340" spans="1:43" ht="58.5" customHeight="1" x14ac:dyDescent="0.2">
      <c r="A340" s="2155"/>
      <c r="B340" s="2156"/>
      <c r="C340" s="2157"/>
      <c r="D340" s="2156"/>
      <c r="E340" s="2156"/>
      <c r="F340" s="2157"/>
      <c r="G340" s="2156"/>
      <c r="H340" s="2156"/>
      <c r="I340" s="2156"/>
      <c r="J340" s="4183"/>
      <c r="K340" s="4184"/>
      <c r="L340" s="4186"/>
      <c r="M340" s="4189"/>
      <c r="N340" s="4139"/>
      <c r="O340" s="4157"/>
      <c r="P340" s="4142"/>
      <c r="Q340" s="4146"/>
      <c r="R340" s="4159"/>
      <c r="S340" s="4177"/>
      <c r="T340" s="4167"/>
      <c r="U340" s="2324" t="s">
        <v>2374</v>
      </c>
      <c r="V340" s="1160">
        <v>1600000</v>
      </c>
      <c r="W340" s="2161">
        <v>20</v>
      </c>
      <c r="X340" s="2251" t="s">
        <v>62</v>
      </c>
      <c r="Y340" s="4139"/>
      <c r="Z340" s="4139">
        <v>282326</v>
      </c>
      <c r="AA340" s="4139">
        <v>135912</v>
      </c>
      <c r="AB340" s="4139">
        <v>45122</v>
      </c>
      <c r="AC340" s="4139">
        <v>307101</v>
      </c>
      <c r="AD340" s="4139">
        <v>86875</v>
      </c>
      <c r="AE340" s="4139">
        <v>2145</v>
      </c>
      <c r="AF340" s="4139">
        <v>12718</v>
      </c>
      <c r="AG340" s="4139">
        <v>26</v>
      </c>
      <c r="AH340" s="4139">
        <v>37</v>
      </c>
      <c r="AI340" s="4139" t="s">
        <v>1913</v>
      </c>
      <c r="AJ340" s="4139" t="s">
        <v>1913</v>
      </c>
      <c r="AK340" s="4139">
        <v>53164</v>
      </c>
      <c r="AL340" s="4139">
        <v>16982</v>
      </c>
      <c r="AM340" s="4139">
        <v>60013</v>
      </c>
      <c r="AN340" s="4139">
        <v>575010</v>
      </c>
      <c r="AO340" s="4150"/>
      <c r="AP340" s="4150"/>
      <c r="AQ340" s="4137"/>
    </row>
    <row r="341" spans="1:43" ht="60" customHeight="1" x14ac:dyDescent="0.2">
      <c r="A341" s="2312"/>
      <c r="B341" s="2313"/>
      <c r="C341" s="2243"/>
      <c r="D341" s="2313"/>
      <c r="E341" s="2313"/>
      <c r="F341" s="2243"/>
      <c r="G341" s="2325"/>
      <c r="H341" s="2325"/>
      <c r="I341" s="2325"/>
      <c r="J341" s="2216">
        <v>174</v>
      </c>
      <c r="K341" s="2326" t="s">
        <v>2375</v>
      </c>
      <c r="L341" s="4191"/>
      <c r="M341" s="2270">
        <v>150</v>
      </c>
      <c r="N341" s="4140"/>
      <c r="O341" s="4190"/>
      <c r="P341" s="4143"/>
      <c r="Q341" s="4147"/>
      <c r="R341" s="4176"/>
      <c r="S341" s="4178"/>
      <c r="T341" s="2256" t="s">
        <v>2376</v>
      </c>
      <c r="U341" s="2327" t="s">
        <v>2377</v>
      </c>
      <c r="V341" s="1160">
        <v>30000000</v>
      </c>
      <c r="W341" s="2161">
        <v>20</v>
      </c>
      <c r="X341" s="2251" t="s">
        <v>62</v>
      </c>
      <c r="Y341" s="4140"/>
      <c r="Z341" s="4140">
        <v>282326</v>
      </c>
      <c r="AA341" s="4140">
        <v>135912</v>
      </c>
      <c r="AB341" s="4140">
        <v>45122</v>
      </c>
      <c r="AC341" s="4140">
        <v>307101</v>
      </c>
      <c r="AD341" s="4140">
        <v>86875</v>
      </c>
      <c r="AE341" s="4140">
        <v>2145</v>
      </c>
      <c r="AF341" s="4140">
        <v>12718</v>
      </c>
      <c r="AG341" s="4140">
        <v>26</v>
      </c>
      <c r="AH341" s="4140">
        <v>37</v>
      </c>
      <c r="AI341" s="4140" t="s">
        <v>1913</v>
      </c>
      <c r="AJ341" s="4140" t="s">
        <v>1913</v>
      </c>
      <c r="AK341" s="4140">
        <v>53164</v>
      </c>
      <c r="AL341" s="4140">
        <v>16982</v>
      </c>
      <c r="AM341" s="4140">
        <v>60013</v>
      </c>
      <c r="AN341" s="4140">
        <v>575010</v>
      </c>
      <c r="AO341" s="4175"/>
      <c r="AP341" s="4175"/>
      <c r="AQ341" s="4153"/>
    </row>
    <row r="342" spans="1:43" ht="36" customHeight="1" x14ac:dyDescent="0.2">
      <c r="A342" s="2141"/>
      <c r="B342" s="2142"/>
      <c r="C342" s="2143"/>
      <c r="D342" s="2142"/>
      <c r="E342" s="2142"/>
      <c r="F342" s="2143"/>
      <c r="G342" s="2286">
        <v>54</v>
      </c>
      <c r="H342" s="2273" t="s">
        <v>2378</v>
      </c>
      <c r="I342" s="2273"/>
      <c r="J342" s="2280"/>
      <c r="K342" s="2281"/>
      <c r="L342" s="2147"/>
      <c r="M342" s="2147"/>
      <c r="N342" s="2149"/>
      <c r="O342" s="2177"/>
      <c r="P342" s="2148"/>
      <c r="Q342" s="2147"/>
      <c r="R342" s="2178"/>
      <c r="S342" s="2147"/>
      <c r="T342" s="2281"/>
      <c r="U342" s="2148"/>
      <c r="V342" s="2179"/>
      <c r="W342" s="2180"/>
      <c r="X342" s="2149"/>
      <c r="Y342" s="2149"/>
      <c r="Z342" s="2149"/>
      <c r="AA342" s="2322"/>
      <c r="AB342" s="2322"/>
      <c r="AC342" s="2323"/>
      <c r="AD342" s="2322"/>
      <c r="AE342" s="2322"/>
      <c r="AF342" s="2322"/>
      <c r="AG342" s="2322"/>
      <c r="AH342" s="2311"/>
      <c r="AI342" s="2322"/>
      <c r="AJ342" s="2323"/>
      <c r="AK342" s="2322"/>
      <c r="AL342" s="2322"/>
      <c r="AM342" s="2323"/>
      <c r="AN342" s="2322"/>
      <c r="AO342" s="2147"/>
      <c r="AP342" s="2147"/>
      <c r="AQ342" s="2154"/>
    </row>
    <row r="343" spans="1:43" ht="39" customHeight="1" x14ac:dyDescent="0.2">
      <c r="A343" s="2155"/>
      <c r="B343" s="2156"/>
      <c r="C343" s="2157"/>
      <c r="D343" s="2156"/>
      <c r="E343" s="2156"/>
      <c r="F343" s="2156"/>
      <c r="G343" s="2158"/>
      <c r="H343" s="2159"/>
      <c r="I343" s="2160"/>
      <c r="J343" s="4163">
        <v>175</v>
      </c>
      <c r="K343" s="4168" t="s">
        <v>2379</v>
      </c>
      <c r="L343" s="4163" t="s">
        <v>1905</v>
      </c>
      <c r="M343" s="4163">
        <v>14</v>
      </c>
      <c r="N343" s="4163" t="s">
        <v>2380</v>
      </c>
      <c r="O343" s="4170" t="s">
        <v>2381</v>
      </c>
      <c r="P343" s="4161" t="s">
        <v>2382</v>
      </c>
      <c r="Q343" s="4174">
        <f>+SUM(V343:V347)/R343</f>
        <v>1</v>
      </c>
      <c r="R343" s="4160">
        <f>SUM(V343:V347)</f>
        <v>340080000</v>
      </c>
      <c r="S343" s="4161" t="s">
        <v>2383</v>
      </c>
      <c r="T343" s="4163" t="s">
        <v>2384</v>
      </c>
      <c r="U343" s="2245" t="s">
        <v>2385</v>
      </c>
      <c r="V343" s="2328">
        <v>10000000</v>
      </c>
      <c r="W343" s="2161">
        <v>20</v>
      </c>
      <c r="X343" s="2251" t="s">
        <v>62</v>
      </c>
      <c r="Y343" s="4138">
        <v>292684</v>
      </c>
      <c r="Z343" s="4138">
        <v>282326</v>
      </c>
      <c r="AA343" s="4138">
        <v>135912</v>
      </c>
      <c r="AB343" s="4138">
        <v>45122</v>
      </c>
      <c r="AC343" s="4138">
        <v>307101</v>
      </c>
      <c r="AD343" s="4138">
        <v>86875</v>
      </c>
      <c r="AE343" s="4138">
        <v>2145</v>
      </c>
      <c r="AF343" s="4138">
        <v>12718</v>
      </c>
      <c r="AG343" s="4138">
        <v>26</v>
      </c>
      <c r="AH343" s="4138">
        <v>37</v>
      </c>
      <c r="AI343" s="4138" t="s">
        <v>1913</v>
      </c>
      <c r="AJ343" s="4138" t="s">
        <v>1913</v>
      </c>
      <c r="AK343" s="4138">
        <v>53164</v>
      </c>
      <c r="AL343" s="4138">
        <v>16982</v>
      </c>
      <c r="AM343" s="4138">
        <v>60013</v>
      </c>
      <c r="AN343" s="4138">
        <v>575010</v>
      </c>
      <c r="AO343" s="4151">
        <v>43467</v>
      </c>
      <c r="AP343" s="4151">
        <v>43830</v>
      </c>
      <c r="AQ343" s="4136" t="s">
        <v>1914</v>
      </c>
    </row>
    <row r="344" spans="1:43" ht="37.5" customHeight="1" x14ac:dyDescent="0.2">
      <c r="A344" s="2155"/>
      <c r="B344" s="2156"/>
      <c r="C344" s="2157"/>
      <c r="D344" s="2156"/>
      <c r="E344" s="2156"/>
      <c r="F344" s="2156"/>
      <c r="G344" s="2163"/>
      <c r="H344" s="2156"/>
      <c r="I344" s="2157"/>
      <c r="J344" s="4164"/>
      <c r="K344" s="4169"/>
      <c r="L344" s="4164"/>
      <c r="M344" s="4164"/>
      <c r="N344" s="4164"/>
      <c r="O344" s="4171"/>
      <c r="P344" s="4162"/>
      <c r="Q344" s="4174"/>
      <c r="R344" s="4160"/>
      <c r="S344" s="4162"/>
      <c r="T344" s="4164"/>
      <c r="U344" s="2245" t="s">
        <v>2386</v>
      </c>
      <c r="V344" s="2328">
        <v>8080000</v>
      </c>
      <c r="W344" s="2161">
        <v>20</v>
      </c>
      <c r="X344" s="2251" t="s">
        <v>62</v>
      </c>
      <c r="Y344" s="4139"/>
      <c r="Z344" s="4139">
        <v>282326</v>
      </c>
      <c r="AA344" s="4139">
        <v>135912</v>
      </c>
      <c r="AB344" s="4139">
        <v>45122</v>
      </c>
      <c r="AC344" s="4139">
        <v>307101</v>
      </c>
      <c r="AD344" s="4139">
        <v>86875</v>
      </c>
      <c r="AE344" s="4139">
        <v>2145</v>
      </c>
      <c r="AF344" s="4139">
        <v>12718</v>
      </c>
      <c r="AG344" s="4139">
        <v>26</v>
      </c>
      <c r="AH344" s="4139">
        <v>37</v>
      </c>
      <c r="AI344" s="4139" t="s">
        <v>1913</v>
      </c>
      <c r="AJ344" s="4139" t="s">
        <v>1913</v>
      </c>
      <c r="AK344" s="4139">
        <v>53164</v>
      </c>
      <c r="AL344" s="4139">
        <v>16982</v>
      </c>
      <c r="AM344" s="4139">
        <v>60013</v>
      </c>
      <c r="AN344" s="4139">
        <v>575010</v>
      </c>
      <c r="AO344" s="4151"/>
      <c r="AP344" s="4151"/>
      <c r="AQ344" s="4137"/>
    </row>
    <row r="345" spans="1:43" ht="48" customHeight="1" x14ac:dyDescent="0.2">
      <c r="A345" s="2155"/>
      <c r="B345" s="2156"/>
      <c r="C345" s="2157"/>
      <c r="D345" s="2156"/>
      <c r="E345" s="2156"/>
      <c r="F345" s="2156"/>
      <c r="G345" s="2163"/>
      <c r="H345" s="2156"/>
      <c r="I345" s="2157"/>
      <c r="J345" s="4164"/>
      <c r="K345" s="4169"/>
      <c r="L345" s="4164"/>
      <c r="M345" s="4164"/>
      <c r="N345" s="4164"/>
      <c r="O345" s="4171"/>
      <c r="P345" s="4162"/>
      <c r="Q345" s="4174"/>
      <c r="R345" s="4160"/>
      <c r="S345" s="4162"/>
      <c r="T345" s="4164"/>
      <c r="U345" s="4154" t="s">
        <v>2387</v>
      </c>
      <c r="V345" s="1160">
        <v>10000000</v>
      </c>
      <c r="W345" s="2161">
        <v>20</v>
      </c>
      <c r="X345" s="2251" t="s">
        <v>62</v>
      </c>
      <c r="Y345" s="4139"/>
      <c r="Z345" s="4139">
        <v>282326</v>
      </c>
      <c r="AA345" s="4139">
        <v>135912</v>
      </c>
      <c r="AB345" s="4139">
        <v>45122</v>
      </c>
      <c r="AC345" s="4139">
        <v>307101</v>
      </c>
      <c r="AD345" s="4139">
        <v>86875</v>
      </c>
      <c r="AE345" s="4139">
        <v>2145</v>
      </c>
      <c r="AF345" s="4139">
        <v>12718</v>
      </c>
      <c r="AG345" s="4139">
        <v>26</v>
      </c>
      <c r="AH345" s="4139">
        <v>37</v>
      </c>
      <c r="AI345" s="4139" t="s">
        <v>1913</v>
      </c>
      <c r="AJ345" s="4139" t="s">
        <v>1913</v>
      </c>
      <c r="AK345" s="4139">
        <v>53164</v>
      </c>
      <c r="AL345" s="4139">
        <v>16982</v>
      </c>
      <c r="AM345" s="4139">
        <v>60013</v>
      </c>
      <c r="AN345" s="4139">
        <v>575010</v>
      </c>
      <c r="AO345" s="4152"/>
      <c r="AP345" s="4152"/>
      <c r="AQ345" s="4137"/>
    </row>
    <row r="346" spans="1:43" ht="48" customHeight="1" x14ac:dyDescent="0.2">
      <c r="A346" s="2155"/>
      <c r="B346" s="2156"/>
      <c r="C346" s="2157"/>
      <c r="D346" s="2156"/>
      <c r="E346" s="2156"/>
      <c r="F346" s="2156"/>
      <c r="G346" s="2163"/>
      <c r="H346" s="2156"/>
      <c r="I346" s="2157"/>
      <c r="J346" s="2221"/>
      <c r="K346" s="2329"/>
      <c r="L346" s="2221"/>
      <c r="M346" s="2221"/>
      <c r="N346" s="4164"/>
      <c r="O346" s="4171"/>
      <c r="P346" s="4162"/>
      <c r="Q346" s="4174"/>
      <c r="R346" s="4160"/>
      <c r="S346" s="4162"/>
      <c r="T346" s="4165"/>
      <c r="U346" s="4155"/>
      <c r="V346" s="2064">
        <v>300000000</v>
      </c>
      <c r="W346" s="2197">
        <v>88</v>
      </c>
      <c r="X346" s="2218" t="s">
        <v>2354</v>
      </c>
      <c r="Y346" s="4139"/>
      <c r="Z346" s="4139">
        <v>282326</v>
      </c>
      <c r="AA346" s="4139">
        <v>135912</v>
      </c>
      <c r="AB346" s="4139">
        <v>45122</v>
      </c>
      <c r="AC346" s="4139">
        <v>307101</v>
      </c>
      <c r="AD346" s="4139">
        <v>86875</v>
      </c>
      <c r="AE346" s="4139">
        <v>2145</v>
      </c>
      <c r="AF346" s="4139">
        <v>12718</v>
      </c>
      <c r="AG346" s="4139">
        <v>26</v>
      </c>
      <c r="AH346" s="4139">
        <v>37</v>
      </c>
      <c r="AI346" s="4139" t="s">
        <v>1913</v>
      </c>
      <c r="AJ346" s="4139" t="s">
        <v>1913</v>
      </c>
      <c r="AK346" s="4139">
        <v>53164</v>
      </c>
      <c r="AL346" s="4139">
        <v>16982</v>
      </c>
      <c r="AM346" s="4139">
        <v>60013</v>
      </c>
      <c r="AN346" s="4139">
        <v>575010</v>
      </c>
      <c r="AO346" s="4152"/>
      <c r="AP346" s="4152"/>
      <c r="AQ346" s="4137"/>
    </row>
    <row r="347" spans="1:43" ht="66.75" customHeight="1" x14ac:dyDescent="0.2">
      <c r="A347" s="2155"/>
      <c r="B347" s="2156"/>
      <c r="C347" s="2157"/>
      <c r="D347" s="2165"/>
      <c r="E347" s="2165"/>
      <c r="F347" s="2165"/>
      <c r="G347" s="2163"/>
      <c r="H347" s="2156"/>
      <c r="I347" s="2157"/>
      <c r="J347" s="2218">
        <v>176</v>
      </c>
      <c r="K347" s="2330" t="s">
        <v>2388</v>
      </c>
      <c r="L347" s="2218" t="s">
        <v>324</v>
      </c>
      <c r="M347" s="2218">
        <v>2</v>
      </c>
      <c r="N347" s="4165"/>
      <c r="O347" s="4172"/>
      <c r="P347" s="4173"/>
      <c r="Q347" s="4174"/>
      <c r="R347" s="4160"/>
      <c r="S347" s="4162"/>
      <c r="T347" s="2198" t="s">
        <v>2389</v>
      </c>
      <c r="U347" s="2245" t="s">
        <v>2390</v>
      </c>
      <c r="V347" s="1160">
        <v>12000000</v>
      </c>
      <c r="W347" s="2161">
        <v>20</v>
      </c>
      <c r="X347" s="2251" t="s">
        <v>62</v>
      </c>
      <c r="Y347" s="4140"/>
      <c r="Z347" s="4140">
        <v>282326</v>
      </c>
      <c r="AA347" s="4140">
        <v>135912</v>
      </c>
      <c r="AB347" s="4140">
        <v>45122</v>
      </c>
      <c r="AC347" s="4140">
        <v>307101</v>
      </c>
      <c r="AD347" s="4140">
        <v>86875</v>
      </c>
      <c r="AE347" s="4140">
        <v>2145</v>
      </c>
      <c r="AF347" s="4140">
        <v>12718</v>
      </c>
      <c r="AG347" s="4140">
        <v>26</v>
      </c>
      <c r="AH347" s="4140">
        <v>37</v>
      </c>
      <c r="AI347" s="4140" t="s">
        <v>1913</v>
      </c>
      <c r="AJ347" s="4140" t="s">
        <v>1913</v>
      </c>
      <c r="AK347" s="4140">
        <v>53164</v>
      </c>
      <c r="AL347" s="4140">
        <v>16982</v>
      </c>
      <c r="AM347" s="4140">
        <v>60013</v>
      </c>
      <c r="AN347" s="4140">
        <v>575010</v>
      </c>
      <c r="AO347" s="4152"/>
      <c r="AP347" s="4152"/>
      <c r="AQ347" s="4153"/>
    </row>
    <row r="348" spans="1:43" ht="36" customHeight="1" x14ac:dyDescent="0.2">
      <c r="A348" s="2141"/>
      <c r="C348" s="2168"/>
      <c r="D348" s="2284">
        <v>15</v>
      </c>
      <c r="E348" s="2132" t="s">
        <v>2391</v>
      </c>
      <c r="F348" s="2132"/>
      <c r="G348" s="2259"/>
      <c r="H348" s="2259"/>
      <c r="I348" s="2259"/>
      <c r="J348" s="2133"/>
      <c r="K348" s="2134"/>
      <c r="L348" s="2133"/>
      <c r="M348" s="2133"/>
      <c r="N348" s="2135"/>
      <c r="O348" s="2172"/>
      <c r="P348" s="2134"/>
      <c r="Q348" s="2133"/>
      <c r="R348" s="2173"/>
      <c r="S348" s="2133"/>
      <c r="T348" s="2134"/>
      <c r="U348" s="2134"/>
      <c r="V348" s="2174"/>
      <c r="W348" s="2175"/>
      <c r="X348" s="2135"/>
      <c r="Y348" s="2135"/>
      <c r="Z348" s="2135"/>
      <c r="AA348" s="2331"/>
      <c r="AB348" s="2331"/>
      <c r="AC348" s="2332"/>
      <c r="AD348" s="2331"/>
      <c r="AE348" s="2331"/>
      <c r="AF348" s="2331"/>
      <c r="AG348" s="2331"/>
      <c r="AH348" s="2333"/>
      <c r="AI348" s="2331"/>
      <c r="AJ348" s="2332"/>
      <c r="AK348" s="2331"/>
      <c r="AL348" s="2331"/>
      <c r="AM348" s="2332"/>
      <c r="AN348" s="2331"/>
      <c r="AO348" s="2133"/>
      <c r="AP348" s="2133"/>
      <c r="AQ348" s="2140"/>
    </row>
    <row r="349" spans="1:43" ht="36" customHeight="1" x14ac:dyDescent="0.2">
      <c r="A349" s="2141"/>
      <c r="B349" s="2142"/>
      <c r="C349" s="2143"/>
      <c r="D349" s="2144"/>
      <c r="E349" s="2144"/>
      <c r="F349" s="2145"/>
      <c r="G349" s="2176">
        <v>55</v>
      </c>
      <c r="H349" s="2147" t="s">
        <v>2392</v>
      </c>
      <c r="I349" s="2147"/>
      <c r="J349" s="2147"/>
      <c r="K349" s="2148"/>
      <c r="L349" s="2147"/>
      <c r="M349" s="2147"/>
      <c r="N349" s="2149"/>
      <c r="O349" s="2177"/>
      <c r="P349" s="2148"/>
      <c r="Q349" s="2147"/>
      <c r="R349" s="2178"/>
      <c r="S349" s="2147"/>
      <c r="T349" s="2148"/>
      <c r="U349" s="2148"/>
      <c r="V349" s="2179"/>
      <c r="W349" s="2180"/>
      <c r="X349" s="2334"/>
      <c r="Y349" s="2334"/>
      <c r="Z349" s="2334"/>
      <c r="AA349" s="2335"/>
      <c r="AB349" s="2335"/>
      <c r="AC349" s="2336"/>
      <c r="AD349" s="2335"/>
      <c r="AE349" s="2335"/>
      <c r="AF349" s="2335"/>
      <c r="AG349" s="2335"/>
      <c r="AH349" s="2337"/>
      <c r="AI349" s="2335"/>
      <c r="AJ349" s="2336"/>
      <c r="AK349" s="2335"/>
      <c r="AL349" s="2335"/>
      <c r="AM349" s="2336"/>
      <c r="AN349" s="2335"/>
      <c r="AO349" s="2147"/>
      <c r="AP349" s="2147"/>
      <c r="AQ349" s="2154"/>
    </row>
    <row r="350" spans="1:43" s="2162" customFormat="1" ht="59.25" customHeight="1" x14ac:dyDescent="0.2">
      <c r="A350" s="2181"/>
      <c r="B350" s="2182"/>
      <c r="C350" s="2183"/>
      <c r="D350" s="2182"/>
      <c r="E350" s="2182"/>
      <c r="F350" s="2183"/>
      <c r="G350" s="2185"/>
      <c r="H350" s="2185"/>
      <c r="I350" s="2186"/>
      <c r="J350" s="2246">
        <v>177</v>
      </c>
      <c r="K350" s="2200" t="s">
        <v>2393</v>
      </c>
      <c r="L350" s="2246" t="s">
        <v>1905</v>
      </c>
      <c r="M350" s="2246">
        <v>2</v>
      </c>
      <c r="N350" s="4138" t="s">
        <v>2394</v>
      </c>
      <c r="O350" s="4156" t="s">
        <v>2395</v>
      </c>
      <c r="P350" s="4141" t="s">
        <v>2396</v>
      </c>
      <c r="Q350" s="2338">
        <v>0</v>
      </c>
      <c r="R350" s="4158">
        <f>SUM(V350:V356)</f>
        <v>150000000</v>
      </c>
      <c r="S350" s="4141" t="s">
        <v>2397</v>
      </c>
      <c r="T350" s="2196" t="s">
        <v>2398</v>
      </c>
      <c r="U350" s="2193" t="s">
        <v>2399</v>
      </c>
      <c r="V350" s="2339">
        <v>0</v>
      </c>
      <c r="W350" s="2340"/>
      <c r="X350" s="2251"/>
      <c r="Y350" s="4138">
        <v>292684</v>
      </c>
      <c r="Z350" s="4138">
        <v>282326</v>
      </c>
      <c r="AA350" s="4138">
        <v>135912</v>
      </c>
      <c r="AB350" s="4138">
        <v>45122</v>
      </c>
      <c r="AC350" s="4138">
        <v>307101</v>
      </c>
      <c r="AD350" s="4138">
        <v>86875</v>
      </c>
      <c r="AE350" s="4138">
        <v>2145</v>
      </c>
      <c r="AF350" s="4138">
        <v>12718</v>
      </c>
      <c r="AG350" s="4138">
        <v>26</v>
      </c>
      <c r="AH350" s="4138">
        <v>37</v>
      </c>
      <c r="AI350" s="4138" t="s">
        <v>1913</v>
      </c>
      <c r="AJ350" s="4138" t="s">
        <v>1913</v>
      </c>
      <c r="AK350" s="4138">
        <v>53164</v>
      </c>
      <c r="AL350" s="4138">
        <v>16982</v>
      </c>
      <c r="AM350" s="4138">
        <v>60013</v>
      </c>
      <c r="AN350" s="4138">
        <v>575010</v>
      </c>
      <c r="AO350" s="4149">
        <v>43467</v>
      </c>
      <c r="AP350" s="4149">
        <v>43830</v>
      </c>
      <c r="AQ350" s="4136" t="s">
        <v>1914</v>
      </c>
    </row>
    <row r="351" spans="1:43" ht="54.75" customHeight="1" x14ac:dyDescent="0.2">
      <c r="A351" s="2181"/>
      <c r="B351" s="2182"/>
      <c r="C351" s="2183"/>
      <c r="D351" s="2182"/>
      <c r="E351" s="2182"/>
      <c r="F351" s="2183"/>
      <c r="G351" s="2182"/>
      <c r="H351" s="2182"/>
      <c r="I351" s="2183"/>
      <c r="J351" s="4138">
        <v>178</v>
      </c>
      <c r="K351" s="4141" t="s">
        <v>2400</v>
      </c>
      <c r="L351" s="4138" t="s">
        <v>1905</v>
      </c>
      <c r="M351" s="4138">
        <v>3</v>
      </c>
      <c r="N351" s="4139"/>
      <c r="O351" s="4157"/>
      <c r="P351" s="4142"/>
      <c r="Q351" s="4144">
        <f>+SUM(V351:V353)/R350</f>
        <v>0.8</v>
      </c>
      <c r="R351" s="4159"/>
      <c r="S351" s="4142"/>
      <c r="T351" s="4145" t="s">
        <v>2401</v>
      </c>
      <c r="U351" s="2164" t="s">
        <v>2402</v>
      </c>
      <c r="V351" s="2189">
        <v>60000000</v>
      </c>
      <c r="W351" s="2340">
        <v>72</v>
      </c>
      <c r="X351" s="2251" t="s">
        <v>2403</v>
      </c>
      <c r="Y351" s="4139"/>
      <c r="Z351" s="4139">
        <v>282326</v>
      </c>
      <c r="AA351" s="4139">
        <v>135912</v>
      </c>
      <c r="AB351" s="4139">
        <v>45122</v>
      </c>
      <c r="AC351" s="4139">
        <v>307101</v>
      </c>
      <c r="AD351" s="4139">
        <v>86875</v>
      </c>
      <c r="AE351" s="4139">
        <v>2145</v>
      </c>
      <c r="AF351" s="4139">
        <v>12718</v>
      </c>
      <c r="AG351" s="4139">
        <v>26</v>
      </c>
      <c r="AH351" s="4139">
        <v>37</v>
      </c>
      <c r="AI351" s="4139" t="s">
        <v>1913</v>
      </c>
      <c r="AJ351" s="4139" t="s">
        <v>1913</v>
      </c>
      <c r="AK351" s="4139">
        <v>53164</v>
      </c>
      <c r="AL351" s="4139">
        <v>16982</v>
      </c>
      <c r="AM351" s="4139">
        <v>60013</v>
      </c>
      <c r="AN351" s="4139">
        <v>575010</v>
      </c>
      <c r="AO351" s="4150"/>
      <c r="AP351" s="4150"/>
      <c r="AQ351" s="4137"/>
    </row>
    <row r="352" spans="1:43" ht="37.5" customHeight="1" x14ac:dyDescent="0.2">
      <c r="A352" s="2181"/>
      <c r="B352" s="2182"/>
      <c r="C352" s="2183"/>
      <c r="D352" s="2182"/>
      <c r="E352" s="2182"/>
      <c r="F352" s="2183"/>
      <c r="G352" s="2182"/>
      <c r="H352" s="2182"/>
      <c r="I352" s="2183"/>
      <c r="J352" s="4139"/>
      <c r="K352" s="4142"/>
      <c r="L352" s="4139"/>
      <c r="M352" s="4139"/>
      <c r="N352" s="4139"/>
      <c r="O352" s="4157"/>
      <c r="P352" s="4142"/>
      <c r="Q352" s="4144"/>
      <c r="R352" s="4159"/>
      <c r="S352" s="4142"/>
      <c r="T352" s="4145"/>
      <c r="U352" s="2164" t="s">
        <v>2404</v>
      </c>
      <c r="V352" s="2189">
        <v>40000000</v>
      </c>
      <c r="W352" s="2340">
        <v>72</v>
      </c>
      <c r="X352" s="2251" t="s">
        <v>2403</v>
      </c>
      <c r="Y352" s="4139"/>
      <c r="Z352" s="4139">
        <v>282326</v>
      </c>
      <c r="AA352" s="4139">
        <v>135912</v>
      </c>
      <c r="AB352" s="4139">
        <v>45122</v>
      </c>
      <c r="AC352" s="4139">
        <v>307101</v>
      </c>
      <c r="AD352" s="4139">
        <v>86875</v>
      </c>
      <c r="AE352" s="4139">
        <v>2145</v>
      </c>
      <c r="AF352" s="4139">
        <v>12718</v>
      </c>
      <c r="AG352" s="4139">
        <v>26</v>
      </c>
      <c r="AH352" s="4139">
        <v>37</v>
      </c>
      <c r="AI352" s="4139" t="s">
        <v>1913</v>
      </c>
      <c r="AJ352" s="4139" t="s">
        <v>1913</v>
      </c>
      <c r="AK352" s="4139">
        <v>53164</v>
      </c>
      <c r="AL352" s="4139">
        <v>16982</v>
      </c>
      <c r="AM352" s="4139">
        <v>60013</v>
      </c>
      <c r="AN352" s="4139">
        <v>575010</v>
      </c>
      <c r="AO352" s="4150"/>
      <c r="AP352" s="4150"/>
      <c r="AQ352" s="4137"/>
    </row>
    <row r="353" spans="1:305" ht="38.25" customHeight="1" x14ac:dyDescent="0.2">
      <c r="A353" s="2181"/>
      <c r="B353" s="2182"/>
      <c r="C353" s="2183"/>
      <c r="D353" s="2182"/>
      <c r="E353" s="2182"/>
      <c r="F353" s="2183"/>
      <c r="G353" s="2182"/>
      <c r="H353" s="2182"/>
      <c r="I353" s="2183"/>
      <c r="J353" s="4139"/>
      <c r="K353" s="4142"/>
      <c r="L353" s="4139"/>
      <c r="M353" s="4139"/>
      <c r="N353" s="4139"/>
      <c r="O353" s="4157"/>
      <c r="P353" s="4142"/>
      <c r="Q353" s="4144"/>
      <c r="R353" s="4159"/>
      <c r="S353" s="4142"/>
      <c r="T353" s="4145"/>
      <c r="U353" s="2164" t="s">
        <v>2405</v>
      </c>
      <c r="V353" s="2189">
        <v>20000000</v>
      </c>
      <c r="W353" s="2340">
        <v>72</v>
      </c>
      <c r="X353" s="2251" t="s">
        <v>2403</v>
      </c>
      <c r="Y353" s="4139"/>
      <c r="Z353" s="4139">
        <v>282326</v>
      </c>
      <c r="AA353" s="4139">
        <v>135912</v>
      </c>
      <c r="AB353" s="4139">
        <v>45122</v>
      </c>
      <c r="AC353" s="4139">
        <v>307101</v>
      </c>
      <c r="AD353" s="4139">
        <v>86875</v>
      </c>
      <c r="AE353" s="4139">
        <v>2145</v>
      </c>
      <c r="AF353" s="4139">
        <v>12718</v>
      </c>
      <c r="AG353" s="4139">
        <v>26</v>
      </c>
      <c r="AH353" s="4139">
        <v>37</v>
      </c>
      <c r="AI353" s="4139" t="s">
        <v>1913</v>
      </c>
      <c r="AJ353" s="4139" t="s">
        <v>1913</v>
      </c>
      <c r="AK353" s="4139">
        <v>53164</v>
      </c>
      <c r="AL353" s="4139">
        <v>16982</v>
      </c>
      <c r="AM353" s="4139">
        <v>60013</v>
      </c>
      <c r="AN353" s="4139">
        <v>575010</v>
      </c>
      <c r="AO353" s="4150"/>
      <c r="AP353" s="4150"/>
      <c r="AQ353" s="4137"/>
    </row>
    <row r="354" spans="1:305" ht="37.5" customHeight="1" x14ac:dyDescent="0.2">
      <c r="A354" s="2181"/>
      <c r="B354" s="2182"/>
      <c r="C354" s="2183"/>
      <c r="D354" s="2182"/>
      <c r="E354" s="2182"/>
      <c r="F354" s="2183"/>
      <c r="G354" s="2182"/>
      <c r="H354" s="2182"/>
      <c r="I354" s="2183"/>
      <c r="J354" s="4139"/>
      <c r="K354" s="4142"/>
      <c r="L354" s="4139"/>
      <c r="M354" s="4139"/>
      <c r="N354" s="4139"/>
      <c r="O354" s="4157"/>
      <c r="P354" s="4142"/>
      <c r="Q354" s="4146">
        <f>+SUM(V354:V355)/R350</f>
        <v>0.2</v>
      </c>
      <c r="R354" s="4159"/>
      <c r="S354" s="4142"/>
      <c r="T354" s="4145" t="s">
        <v>2406</v>
      </c>
      <c r="U354" s="2341" t="s">
        <v>2407</v>
      </c>
      <c r="V354" s="2189">
        <v>15000000</v>
      </c>
      <c r="W354" s="2340">
        <v>72</v>
      </c>
      <c r="X354" s="2251" t="s">
        <v>2403</v>
      </c>
      <c r="Y354" s="4139"/>
      <c r="Z354" s="4139">
        <v>282326</v>
      </c>
      <c r="AA354" s="4139">
        <v>135912</v>
      </c>
      <c r="AB354" s="4139">
        <v>45122</v>
      </c>
      <c r="AC354" s="4139">
        <v>307101</v>
      </c>
      <c r="AD354" s="4139">
        <v>86875</v>
      </c>
      <c r="AE354" s="4139">
        <v>2145</v>
      </c>
      <c r="AF354" s="4139">
        <v>12718</v>
      </c>
      <c r="AG354" s="4139">
        <v>26</v>
      </c>
      <c r="AH354" s="4139">
        <v>37</v>
      </c>
      <c r="AI354" s="4139" t="s">
        <v>1913</v>
      </c>
      <c r="AJ354" s="4139" t="s">
        <v>1913</v>
      </c>
      <c r="AK354" s="4139">
        <v>53164</v>
      </c>
      <c r="AL354" s="4139">
        <v>16982</v>
      </c>
      <c r="AM354" s="4139">
        <v>60013</v>
      </c>
      <c r="AN354" s="4139">
        <v>575010</v>
      </c>
      <c r="AO354" s="4150"/>
      <c r="AP354" s="4150"/>
      <c r="AQ354" s="4137"/>
    </row>
    <row r="355" spans="1:305" ht="40.5" customHeight="1" x14ac:dyDescent="0.2">
      <c r="A355" s="2181"/>
      <c r="B355" s="2182"/>
      <c r="C355" s="2183"/>
      <c r="D355" s="2182"/>
      <c r="E355" s="2182"/>
      <c r="F355" s="2183"/>
      <c r="G355" s="2182"/>
      <c r="H355" s="2182"/>
      <c r="I355" s="2183"/>
      <c r="J355" s="4140"/>
      <c r="K355" s="4143"/>
      <c r="L355" s="4140"/>
      <c r="M355" s="4140"/>
      <c r="N355" s="4139"/>
      <c r="O355" s="4157"/>
      <c r="P355" s="4142"/>
      <c r="Q355" s="4147"/>
      <c r="R355" s="4159"/>
      <c r="S355" s="4142"/>
      <c r="T355" s="4145"/>
      <c r="U355" s="2341" t="s">
        <v>2408</v>
      </c>
      <c r="V355" s="2189">
        <v>15000000</v>
      </c>
      <c r="W355" s="2340">
        <v>72</v>
      </c>
      <c r="X355" s="2251" t="s">
        <v>2403</v>
      </c>
      <c r="Y355" s="4139"/>
      <c r="Z355" s="4139">
        <v>282326</v>
      </c>
      <c r="AA355" s="4139">
        <v>135912</v>
      </c>
      <c r="AB355" s="4139">
        <v>45122</v>
      </c>
      <c r="AC355" s="4139">
        <v>307101</v>
      </c>
      <c r="AD355" s="4139">
        <v>86875</v>
      </c>
      <c r="AE355" s="4139">
        <v>2145</v>
      </c>
      <c r="AF355" s="4139">
        <v>12718</v>
      </c>
      <c r="AG355" s="4139">
        <v>26</v>
      </c>
      <c r="AH355" s="4139">
        <v>37</v>
      </c>
      <c r="AI355" s="4139" t="s">
        <v>1913</v>
      </c>
      <c r="AJ355" s="4139" t="s">
        <v>1913</v>
      </c>
      <c r="AK355" s="4139">
        <v>53164</v>
      </c>
      <c r="AL355" s="4139">
        <v>16982</v>
      </c>
      <c r="AM355" s="4139">
        <v>60013</v>
      </c>
      <c r="AN355" s="4139">
        <v>575010</v>
      </c>
      <c r="AO355" s="4150"/>
      <c r="AP355" s="4150"/>
      <c r="AQ355" s="4137"/>
    </row>
    <row r="356" spans="1:305" s="2345" customFormat="1" ht="81" customHeight="1" thickBot="1" x14ac:dyDescent="0.25">
      <c r="A356" s="2181"/>
      <c r="B356" s="2182"/>
      <c r="C356" s="2183"/>
      <c r="D356" s="2182"/>
      <c r="E356" s="2182"/>
      <c r="F356" s="2183"/>
      <c r="G356" s="2182"/>
      <c r="H356" s="2182"/>
      <c r="I356" s="2183"/>
      <c r="J356" s="2234">
        <v>179</v>
      </c>
      <c r="K356" s="2196" t="s">
        <v>2409</v>
      </c>
      <c r="L356" s="2234" t="s">
        <v>1905</v>
      </c>
      <c r="M356" s="2234">
        <v>4</v>
      </c>
      <c r="N356" s="4139"/>
      <c r="O356" s="4157"/>
      <c r="P356" s="4142"/>
      <c r="Q356" s="2293">
        <v>0</v>
      </c>
      <c r="R356" s="4159"/>
      <c r="S356" s="4142"/>
      <c r="T356" s="2196" t="s">
        <v>2410</v>
      </c>
      <c r="U356" s="2342" t="s">
        <v>2411</v>
      </c>
      <c r="V356" s="2343">
        <v>0</v>
      </c>
      <c r="W356" s="2344"/>
      <c r="X356" s="2234"/>
      <c r="Y356" s="4148"/>
      <c r="Z356" s="4148">
        <v>282326</v>
      </c>
      <c r="AA356" s="4148">
        <v>135912</v>
      </c>
      <c r="AB356" s="4148">
        <v>45122</v>
      </c>
      <c r="AC356" s="4148">
        <v>307101</v>
      </c>
      <c r="AD356" s="4148">
        <v>86875</v>
      </c>
      <c r="AE356" s="4148">
        <v>2145</v>
      </c>
      <c r="AF356" s="4148">
        <v>12718</v>
      </c>
      <c r="AG356" s="4148">
        <v>26</v>
      </c>
      <c r="AH356" s="4148">
        <v>37</v>
      </c>
      <c r="AI356" s="4148" t="s">
        <v>1913</v>
      </c>
      <c r="AJ356" s="4148" t="s">
        <v>1913</v>
      </c>
      <c r="AK356" s="4148">
        <v>53164</v>
      </c>
      <c r="AL356" s="4148">
        <v>16982</v>
      </c>
      <c r="AM356" s="4148">
        <v>60013</v>
      </c>
      <c r="AN356" s="4148">
        <v>575010</v>
      </c>
      <c r="AO356" s="4150"/>
      <c r="AP356" s="4150"/>
      <c r="AQ356" s="4137"/>
      <c r="AR356" s="2130"/>
      <c r="AS356" s="2130"/>
      <c r="AT356" s="2130"/>
      <c r="AU356" s="2130"/>
      <c r="AV356" s="2130"/>
      <c r="AW356" s="2130"/>
      <c r="AX356" s="2130"/>
      <c r="AY356" s="2130"/>
      <c r="AZ356" s="2130"/>
      <c r="BA356" s="2130"/>
      <c r="BB356" s="2130"/>
      <c r="BC356" s="2130"/>
      <c r="BD356" s="2130"/>
      <c r="BE356" s="2130"/>
      <c r="BF356" s="2130"/>
      <c r="BG356" s="2130"/>
      <c r="BH356" s="2130"/>
      <c r="BI356" s="2130"/>
      <c r="BJ356" s="2130"/>
      <c r="BK356" s="2130"/>
      <c r="BL356" s="2130"/>
      <c r="BM356" s="2130"/>
      <c r="BN356" s="2130"/>
      <c r="BO356" s="2130"/>
      <c r="BP356" s="2130"/>
      <c r="BQ356" s="2130"/>
      <c r="BR356" s="2130"/>
      <c r="BS356" s="2130"/>
      <c r="BT356" s="2130"/>
      <c r="BU356" s="2130"/>
      <c r="BV356" s="2130"/>
      <c r="BW356" s="2130"/>
      <c r="BX356" s="2130"/>
      <c r="BY356" s="2130"/>
      <c r="BZ356" s="2130"/>
      <c r="CA356" s="2130"/>
      <c r="CB356" s="2130"/>
      <c r="CC356" s="2130"/>
      <c r="CD356" s="2130"/>
      <c r="CE356" s="2130"/>
      <c r="CF356" s="2130"/>
      <c r="CG356" s="2130"/>
      <c r="CH356" s="2130"/>
      <c r="CI356" s="2130"/>
      <c r="CJ356" s="2130"/>
      <c r="CK356" s="2130"/>
      <c r="CL356" s="2130"/>
      <c r="CM356" s="2130"/>
      <c r="CN356" s="2130"/>
      <c r="CO356" s="2130"/>
      <c r="CP356" s="2130"/>
      <c r="CQ356" s="2130"/>
      <c r="CR356" s="2130"/>
      <c r="CS356" s="2130"/>
      <c r="CT356" s="2130"/>
      <c r="CU356" s="2130"/>
      <c r="CV356" s="2130"/>
      <c r="CW356" s="2130"/>
      <c r="CX356" s="2130"/>
      <c r="CY356" s="2130"/>
      <c r="CZ356" s="2130"/>
      <c r="DA356" s="2130"/>
      <c r="DB356" s="2130"/>
      <c r="DC356" s="2130"/>
      <c r="DD356" s="2130"/>
      <c r="DE356" s="2130"/>
      <c r="DF356" s="2130"/>
      <c r="DG356" s="2130"/>
      <c r="DH356" s="2130"/>
      <c r="DI356" s="2130"/>
      <c r="DJ356" s="2130"/>
      <c r="DK356" s="2130"/>
      <c r="DL356" s="2130"/>
      <c r="DM356" s="2130"/>
      <c r="DN356" s="2130"/>
      <c r="DO356" s="2130"/>
      <c r="DP356" s="2130"/>
      <c r="DQ356" s="2130"/>
      <c r="DR356" s="2130"/>
      <c r="DS356" s="2130"/>
      <c r="DT356" s="2130"/>
      <c r="DU356" s="2130"/>
      <c r="DV356" s="2130"/>
      <c r="DW356" s="2130"/>
      <c r="DX356" s="2130"/>
      <c r="DY356" s="2130"/>
      <c r="DZ356" s="2130"/>
      <c r="EA356" s="2130"/>
      <c r="EB356" s="2130"/>
      <c r="EC356" s="2130"/>
      <c r="ED356" s="2130"/>
      <c r="EE356" s="2130"/>
      <c r="EF356" s="2130"/>
      <c r="EG356" s="2130"/>
      <c r="EH356" s="2130"/>
      <c r="EI356" s="2130"/>
      <c r="EJ356" s="2130"/>
      <c r="EK356" s="2130"/>
      <c r="EL356" s="2130"/>
      <c r="EM356" s="2130"/>
      <c r="EN356" s="2130"/>
      <c r="EO356" s="2130"/>
      <c r="EP356" s="2130"/>
      <c r="EQ356" s="2130"/>
      <c r="ER356" s="2130"/>
      <c r="ES356" s="2130"/>
      <c r="ET356" s="2130"/>
      <c r="EU356" s="2130"/>
      <c r="EV356" s="2130"/>
      <c r="EW356" s="2130"/>
      <c r="EX356" s="2130"/>
      <c r="EY356" s="2130"/>
      <c r="EZ356" s="2130"/>
      <c r="FA356" s="2130"/>
      <c r="FB356" s="2130"/>
      <c r="FC356" s="2130"/>
      <c r="FD356" s="2130"/>
      <c r="FE356" s="2130"/>
      <c r="FF356" s="2130"/>
      <c r="FG356" s="2130"/>
      <c r="FH356" s="2130"/>
      <c r="FI356" s="2130"/>
      <c r="FJ356" s="2130"/>
      <c r="FK356" s="2130"/>
      <c r="FL356" s="2130"/>
      <c r="FM356" s="2130"/>
      <c r="FN356" s="2130"/>
      <c r="FO356" s="2130"/>
      <c r="FP356" s="2130"/>
      <c r="FQ356" s="2130"/>
      <c r="FR356" s="2130"/>
      <c r="FS356" s="2130"/>
      <c r="FT356" s="2130"/>
      <c r="FU356" s="2130"/>
      <c r="FV356" s="2130"/>
      <c r="FW356" s="2130"/>
      <c r="FX356" s="2130"/>
      <c r="FY356" s="2130"/>
      <c r="FZ356" s="2130"/>
      <c r="GA356" s="2130"/>
      <c r="GB356" s="2130"/>
      <c r="GC356" s="2130"/>
      <c r="GD356" s="2130"/>
      <c r="GE356" s="2130"/>
      <c r="GF356" s="2130"/>
      <c r="GG356" s="2130"/>
      <c r="GH356" s="2130"/>
      <c r="GI356" s="2130"/>
      <c r="GJ356" s="2130"/>
      <c r="GK356" s="2130"/>
      <c r="GL356" s="2130"/>
      <c r="GM356" s="2130"/>
      <c r="GN356" s="2130"/>
      <c r="GO356" s="2130"/>
      <c r="GP356" s="2130"/>
      <c r="GQ356" s="2130"/>
      <c r="GR356" s="2130"/>
      <c r="GS356" s="2130"/>
      <c r="GT356" s="2130"/>
      <c r="GU356" s="2130"/>
      <c r="GV356" s="2130"/>
      <c r="GW356" s="2130"/>
      <c r="GX356" s="2130"/>
      <c r="GY356" s="2130"/>
      <c r="GZ356" s="2130"/>
      <c r="HA356" s="2130"/>
      <c r="HB356" s="2130"/>
      <c r="HC356" s="2130"/>
      <c r="HD356" s="2130"/>
      <c r="HE356" s="2130"/>
      <c r="HF356" s="2130"/>
      <c r="HG356" s="2130"/>
      <c r="HH356" s="2130"/>
      <c r="HI356" s="2130"/>
      <c r="HJ356" s="2130"/>
      <c r="HK356" s="2130"/>
      <c r="HL356" s="2130"/>
      <c r="HM356" s="2130"/>
      <c r="HN356" s="2130"/>
      <c r="HO356" s="2130"/>
      <c r="HP356" s="2130"/>
      <c r="HQ356" s="2130"/>
      <c r="HR356" s="2130"/>
      <c r="HS356" s="2130"/>
      <c r="HT356" s="2130"/>
      <c r="HU356" s="2130"/>
      <c r="HV356" s="2130"/>
      <c r="HW356" s="2130"/>
      <c r="HX356" s="2130"/>
      <c r="HY356" s="2130"/>
      <c r="HZ356" s="2130"/>
      <c r="IA356" s="2130"/>
      <c r="IB356" s="2130"/>
      <c r="IC356" s="2130"/>
      <c r="ID356" s="2130"/>
      <c r="IE356" s="2130"/>
      <c r="IF356" s="2130"/>
      <c r="IG356" s="2130"/>
      <c r="IH356" s="2130"/>
      <c r="II356" s="2130"/>
      <c r="IJ356" s="2130"/>
      <c r="IK356" s="2130"/>
      <c r="IL356" s="2130"/>
      <c r="IM356" s="2130"/>
      <c r="IN356" s="2130"/>
      <c r="IO356" s="2130"/>
      <c r="IP356" s="2130"/>
      <c r="IQ356" s="2130"/>
      <c r="IR356" s="2130"/>
      <c r="IS356" s="2130"/>
      <c r="IT356" s="2130"/>
      <c r="IU356" s="2130"/>
      <c r="IV356" s="2130"/>
      <c r="IW356" s="2130"/>
      <c r="IX356" s="2130"/>
      <c r="IY356" s="2130"/>
      <c r="IZ356" s="2130"/>
      <c r="JA356" s="2130"/>
      <c r="JB356" s="2130"/>
      <c r="JC356" s="2130"/>
      <c r="JD356" s="2130"/>
      <c r="JE356" s="2130"/>
      <c r="JF356" s="2130"/>
      <c r="JG356" s="2130"/>
      <c r="JH356" s="2130"/>
      <c r="JI356" s="2130"/>
      <c r="JJ356" s="2130"/>
      <c r="JK356" s="2130"/>
      <c r="JL356" s="2130"/>
      <c r="JM356" s="2130"/>
      <c r="JN356" s="2130"/>
      <c r="JO356" s="2130"/>
      <c r="JP356" s="2130"/>
      <c r="JQ356" s="2130"/>
      <c r="JR356" s="2130"/>
      <c r="JS356" s="2130"/>
      <c r="JT356" s="2130"/>
      <c r="JU356" s="2130"/>
      <c r="JV356" s="2130"/>
      <c r="JW356" s="2130"/>
      <c r="JX356" s="2130"/>
      <c r="JY356" s="2130"/>
      <c r="JZ356" s="2130"/>
      <c r="KA356" s="2130"/>
      <c r="KB356" s="2130"/>
      <c r="KC356" s="2130"/>
      <c r="KD356" s="2130"/>
      <c r="KE356" s="2130"/>
      <c r="KF356" s="2130"/>
      <c r="KG356" s="2130"/>
      <c r="KH356" s="2130"/>
      <c r="KI356" s="2130"/>
      <c r="KJ356" s="2130"/>
      <c r="KK356" s="2130"/>
      <c r="KL356" s="2130"/>
      <c r="KM356" s="2130"/>
      <c r="KN356" s="2130"/>
      <c r="KO356" s="2130"/>
      <c r="KP356" s="2130"/>
      <c r="KQ356" s="2130"/>
      <c r="KR356" s="2130"/>
      <c r="KS356" s="2130"/>
    </row>
    <row r="357" spans="1:305" ht="30" customHeight="1" thickBot="1" x14ac:dyDescent="0.25">
      <c r="A357" s="4131"/>
      <c r="B357" s="4132"/>
      <c r="C357" s="4132"/>
      <c r="D357" s="4132"/>
      <c r="E357" s="4132"/>
      <c r="F357" s="4132"/>
      <c r="G357" s="4132"/>
      <c r="H357" s="4132"/>
      <c r="I357" s="4132"/>
      <c r="J357" s="4132"/>
      <c r="K357" s="4132"/>
      <c r="L357" s="4132"/>
      <c r="M357" s="4132"/>
      <c r="N357" s="4132"/>
      <c r="O357" s="4132"/>
      <c r="P357" s="4132"/>
      <c r="Q357" s="4133"/>
      <c r="R357" s="2346">
        <f>SUM(R12:R356)</f>
        <v>46219609782</v>
      </c>
      <c r="S357" s="2347"/>
      <c r="T357" s="2348"/>
      <c r="U357" s="2349"/>
      <c r="V357" s="2350">
        <f>SUM(V12:V356)</f>
        <v>46219609782</v>
      </c>
      <c r="W357" s="2351"/>
      <c r="X357" s="2351"/>
      <c r="Y357" s="2352"/>
      <c r="Z357" s="2352"/>
      <c r="AA357" s="2353"/>
      <c r="AB357" s="2352"/>
      <c r="AC357" s="2352"/>
      <c r="AD357" s="2352"/>
      <c r="AE357" s="2352"/>
      <c r="AF357" s="2354"/>
      <c r="AG357" s="2352"/>
      <c r="AH357" s="2353"/>
      <c r="AI357" s="2352"/>
      <c r="AJ357" s="2352"/>
      <c r="AK357" s="2353"/>
      <c r="AL357" s="2353"/>
      <c r="AM357" s="2353"/>
      <c r="AN357" s="2353"/>
      <c r="AO357" s="2355"/>
      <c r="AP357" s="2355"/>
      <c r="AQ357" s="2355"/>
    </row>
    <row r="358" spans="1:305" x14ac:dyDescent="0.2">
      <c r="V358" s="2359"/>
    </row>
    <row r="359" spans="1:305" ht="43.5" customHeight="1" x14ac:dyDescent="0.2"/>
    <row r="360" spans="1:305" ht="43.5" customHeight="1" x14ac:dyDescent="0.2">
      <c r="R360" s="2363"/>
      <c r="V360" s="2364"/>
    </row>
    <row r="361" spans="1:305" ht="43.5" customHeight="1" x14ac:dyDescent="0.25">
      <c r="K361" s="4134" t="s">
        <v>2412</v>
      </c>
      <c r="L361" s="4134"/>
      <c r="M361" s="4134"/>
      <c r="V361" s="2365"/>
    </row>
    <row r="362" spans="1:305" s="2357" customFormat="1" ht="43.5" customHeight="1" x14ac:dyDescent="0.2">
      <c r="A362" s="2130"/>
      <c r="B362" s="2130"/>
      <c r="C362" s="2130"/>
      <c r="D362" s="2130"/>
      <c r="E362" s="2130"/>
      <c r="F362" s="2130"/>
      <c r="G362" s="2130"/>
      <c r="H362" s="2130"/>
      <c r="I362" s="2130"/>
      <c r="J362" s="2130"/>
      <c r="K362" s="4135" t="s">
        <v>2413</v>
      </c>
      <c r="L362" s="4135"/>
      <c r="M362" s="4135"/>
      <c r="N362" s="2248"/>
      <c r="O362" s="2162"/>
      <c r="P362" s="2356"/>
      <c r="R362" s="2248"/>
      <c r="S362" s="2162"/>
      <c r="T362" s="2356"/>
      <c r="U362" s="2358"/>
      <c r="V362" s="2358"/>
      <c r="Y362" s="2360"/>
      <c r="Z362" s="2360"/>
      <c r="AA362" s="2361"/>
      <c r="AB362" s="2360"/>
      <c r="AC362" s="2360"/>
      <c r="AD362" s="2360"/>
      <c r="AE362" s="2360"/>
      <c r="AF362" s="2362"/>
      <c r="AG362" s="2360"/>
      <c r="AH362" s="2361"/>
      <c r="AI362" s="2360"/>
      <c r="AJ362" s="2360"/>
      <c r="AK362" s="2361"/>
      <c r="AL362" s="2361"/>
      <c r="AM362" s="2361"/>
      <c r="AN362" s="2361"/>
      <c r="AO362" s="2130"/>
      <c r="AP362" s="2130"/>
      <c r="AQ362" s="2130"/>
      <c r="AR362" s="2130"/>
      <c r="AS362" s="2130"/>
      <c r="AT362" s="2130"/>
      <c r="AU362" s="2130"/>
      <c r="AV362" s="2130"/>
      <c r="AW362" s="2130"/>
      <c r="AX362" s="2130"/>
      <c r="AY362" s="2130"/>
      <c r="AZ362" s="2130"/>
      <c r="BA362" s="2130"/>
      <c r="BB362" s="2130"/>
      <c r="BC362" s="2130"/>
      <c r="BD362" s="2130"/>
      <c r="BE362" s="2130"/>
      <c r="BF362" s="2130"/>
      <c r="BG362" s="2130"/>
      <c r="BH362" s="2130"/>
      <c r="BI362" s="2130"/>
      <c r="BJ362" s="2130"/>
      <c r="BK362" s="2130"/>
      <c r="BL362" s="2130"/>
      <c r="BM362" s="2130"/>
      <c r="BN362" s="2130"/>
      <c r="BO362" s="2130"/>
      <c r="BP362" s="2130"/>
      <c r="BQ362" s="2130"/>
      <c r="BR362" s="2130"/>
      <c r="BS362" s="2130"/>
      <c r="BT362" s="2130"/>
      <c r="BU362" s="2130"/>
      <c r="BV362" s="2130"/>
      <c r="BW362" s="2130"/>
      <c r="BX362" s="2130"/>
      <c r="BY362" s="2130"/>
      <c r="BZ362" s="2130"/>
      <c r="CA362" s="2130"/>
      <c r="CB362" s="2130"/>
      <c r="CC362" s="2130"/>
      <c r="CD362" s="2130"/>
      <c r="CE362" s="2130"/>
      <c r="CF362" s="2130"/>
      <c r="CG362" s="2130"/>
      <c r="CH362" s="2130"/>
      <c r="CI362" s="2130"/>
      <c r="CJ362" s="2130"/>
      <c r="CK362" s="2130"/>
      <c r="CL362" s="2130"/>
      <c r="CM362" s="2130"/>
      <c r="CN362" s="2130"/>
      <c r="CO362" s="2130"/>
      <c r="CP362" s="2130"/>
      <c r="CQ362" s="2130"/>
      <c r="CR362" s="2130"/>
      <c r="CS362" s="2130"/>
      <c r="CT362" s="2130"/>
      <c r="CU362" s="2130"/>
      <c r="CV362" s="2130"/>
      <c r="CW362" s="2130"/>
      <c r="CX362" s="2130"/>
      <c r="CY362" s="2130"/>
      <c r="CZ362" s="2130"/>
      <c r="DA362" s="2130"/>
      <c r="DB362" s="2130"/>
      <c r="DC362" s="2130"/>
      <c r="DD362" s="2130"/>
      <c r="DE362" s="2130"/>
      <c r="DF362" s="2130"/>
      <c r="DG362" s="2130"/>
      <c r="DH362" s="2130"/>
      <c r="DI362" s="2130"/>
      <c r="DJ362" s="2130"/>
      <c r="DK362" s="2130"/>
      <c r="DL362" s="2130"/>
      <c r="DM362" s="2130"/>
      <c r="DN362" s="2130"/>
      <c r="DO362" s="2130"/>
      <c r="DP362" s="2130"/>
      <c r="DQ362" s="2130"/>
      <c r="DR362" s="2130"/>
      <c r="DS362" s="2130"/>
      <c r="DT362" s="2130"/>
      <c r="DU362" s="2130"/>
      <c r="DV362" s="2130"/>
      <c r="DW362" s="2130"/>
      <c r="DX362" s="2130"/>
      <c r="DY362" s="2130"/>
      <c r="DZ362" s="2130"/>
      <c r="EA362" s="2130"/>
      <c r="EB362" s="2130"/>
      <c r="EC362" s="2130"/>
      <c r="ED362" s="2130"/>
      <c r="EE362" s="2130"/>
      <c r="EF362" s="2130"/>
      <c r="EG362" s="2130"/>
      <c r="EH362" s="2130"/>
      <c r="EI362" s="2130"/>
      <c r="EJ362" s="2130"/>
      <c r="EK362" s="2130"/>
      <c r="EL362" s="2130"/>
      <c r="EM362" s="2130"/>
      <c r="EN362" s="2130"/>
      <c r="EO362" s="2130"/>
      <c r="EP362" s="2130"/>
      <c r="EQ362" s="2130"/>
      <c r="ER362" s="2130"/>
      <c r="ES362" s="2130"/>
      <c r="ET362" s="2130"/>
      <c r="EU362" s="2130"/>
      <c r="EV362" s="2130"/>
      <c r="EW362" s="2130"/>
      <c r="EX362" s="2130"/>
      <c r="EY362" s="2130"/>
      <c r="EZ362" s="2130"/>
      <c r="FA362" s="2130"/>
      <c r="FB362" s="2130"/>
      <c r="FC362" s="2130"/>
      <c r="FD362" s="2130"/>
      <c r="FE362" s="2130"/>
      <c r="FF362" s="2130"/>
      <c r="FG362" s="2130"/>
      <c r="FH362" s="2130"/>
      <c r="FI362" s="2130"/>
      <c r="FJ362" s="2130"/>
      <c r="FK362" s="2130"/>
      <c r="FL362" s="2130"/>
      <c r="FM362" s="2130"/>
      <c r="FN362" s="2130"/>
      <c r="FO362" s="2130"/>
      <c r="FP362" s="2130"/>
      <c r="FQ362" s="2130"/>
      <c r="FR362" s="2130"/>
      <c r="FS362" s="2130"/>
      <c r="FT362" s="2130"/>
      <c r="FU362" s="2130"/>
      <c r="FV362" s="2130"/>
      <c r="FW362" s="2130"/>
      <c r="FX362" s="2130"/>
      <c r="FY362" s="2130"/>
      <c r="FZ362" s="2130"/>
      <c r="GA362" s="2130"/>
      <c r="GB362" s="2130"/>
      <c r="GC362" s="2130"/>
      <c r="GD362" s="2130"/>
      <c r="GE362" s="2130"/>
      <c r="GF362" s="2130"/>
      <c r="GG362" s="2130"/>
      <c r="GH362" s="2130"/>
      <c r="GI362" s="2130"/>
      <c r="GJ362" s="2130"/>
      <c r="GK362" s="2130"/>
      <c r="GL362" s="2130"/>
      <c r="GM362" s="2130"/>
      <c r="GN362" s="2130"/>
      <c r="GO362" s="2130"/>
      <c r="GP362" s="2130"/>
      <c r="GQ362" s="2130"/>
      <c r="GR362" s="2130"/>
      <c r="GS362" s="2130"/>
      <c r="GT362" s="2130"/>
      <c r="GU362" s="2130"/>
      <c r="GV362" s="2130"/>
      <c r="GW362" s="2130"/>
      <c r="GX362" s="2130"/>
      <c r="GY362" s="2130"/>
      <c r="GZ362" s="2130"/>
      <c r="HA362" s="2130"/>
      <c r="HB362" s="2130"/>
      <c r="HC362" s="2130"/>
      <c r="HD362" s="2130"/>
      <c r="HE362" s="2130"/>
      <c r="HF362" s="2130"/>
      <c r="HG362" s="2130"/>
      <c r="HH362" s="2130"/>
      <c r="HI362" s="2130"/>
      <c r="HJ362" s="2130"/>
      <c r="HK362" s="2130"/>
      <c r="HL362" s="2130"/>
      <c r="HM362" s="2130"/>
      <c r="HN362" s="2130"/>
      <c r="HO362" s="2130"/>
      <c r="HP362" s="2130"/>
      <c r="HQ362" s="2130"/>
      <c r="HR362" s="2130"/>
      <c r="HS362" s="2130"/>
      <c r="HT362" s="2130"/>
      <c r="HU362" s="2130"/>
      <c r="HV362" s="2130"/>
      <c r="HW362" s="2130"/>
      <c r="HX362" s="2130"/>
      <c r="HY362" s="2130"/>
      <c r="HZ362" s="2130"/>
      <c r="IA362" s="2130"/>
      <c r="IB362" s="2130"/>
      <c r="IC362" s="2130"/>
      <c r="ID362" s="2130"/>
      <c r="IE362" s="2130"/>
      <c r="IF362" s="2130"/>
      <c r="IG362" s="2130"/>
      <c r="IH362" s="2130"/>
      <c r="II362" s="2130"/>
      <c r="IJ362" s="2130"/>
      <c r="IK362" s="2130"/>
      <c r="IL362" s="2130"/>
      <c r="IM362" s="2130"/>
      <c r="IN362" s="2130"/>
      <c r="IO362" s="2130"/>
      <c r="IP362" s="2130"/>
      <c r="IQ362" s="2130"/>
      <c r="IR362" s="2130"/>
      <c r="IS362" s="2130"/>
      <c r="IT362" s="2130"/>
      <c r="IU362" s="2130"/>
      <c r="IV362" s="2130"/>
      <c r="IW362" s="2130"/>
      <c r="IX362" s="2130"/>
      <c r="IY362" s="2130"/>
      <c r="IZ362" s="2130"/>
      <c r="JA362" s="2130"/>
      <c r="JB362" s="2130"/>
      <c r="JC362" s="2130"/>
      <c r="JD362" s="2130"/>
      <c r="JE362" s="2130"/>
      <c r="JF362" s="2130"/>
      <c r="JG362" s="2130"/>
      <c r="JH362" s="2130"/>
      <c r="JI362" s="2130"/>
      <c r="JJ362" s="2130"/>
      <c r="JK362" s="2130"/>
      <c r="JL362" s="2130"/>
      <c r="JM362" s="2130"/>
      <c r="JN362" s="2130"/>
      <c r="JO362" s="2130"/>
      <c r="JP362" s="2130"/>
      <c r="JQ362" s="2130"/>
      <c r="JR362" s="2130"/>
      <c r="JS362" s="2130"/>
      <c r="JT362" s="2130"/>
      <c r="JU362" s="2130"/>
      <c r="JV362" s="2130"/>
      <c r="JW362" s="2130"/>
      <c r="JX362" s="2130"/>
      <c r="JY362" s="2130"/>
      <c r="JZ362" s="2130"/>
      <c r="KA362" s="2130"/>
      <c r="KB362" s="2130"/>
      <c r="KC362" s="2130"/>
      <c r="KD362" s="2130"/>
      <c r="KE362" s="2130"/>
      <c r="KF362" s="2130"/>
      <c r="KG362" s="2130"/>
      <c r="KH362" s="2130"/>
      <c r="KI362" s="2130"/>
      <c r="KJ362" s="2130"/>
      <c r="KK362" s="2130"/>
      <c r="KL362" s="2130"/>
      <c r="KM362" s="2130"/>
      <c r="KN362" s="2130"/>
      <c r="KO362" s="2130"/>
      <c r="KP362" s="2130"/>
      <c r="KQ362" s="2130"/>
      <c r="KR362" s="2130"/>
      <c r="KS362" s="2130"/>
    </row>
    <row r="363" spans="1:305" s="2357" customFormat="1" ht="43.5" customHeight="1" x14ac:dyDescent="0.2">
      <c r="A363" s="2130"/>
      <c r="B363" s="2130"/>
      <c r="C363" s="2130"/>
      <c r="D363" s="2130"/>
      <c r="E363" s="2130"/>
      <c r="F363" s="2130"/>
      <c r="G363" s="2130"/>
      <c r="H363" s="2130"/>
      <c r="I363" s="2130"/>
      <c r="J363" s="2130"/>
      <c r="K363" s="2356"/>
      <c r="L363" s="2162"/>
      <c r="M363" s="2162"/>
      <c r="N363" s="2248"/>
      <c r="O363" s="2162"/>
      <c r="P363" s="2356"/>
      <c r="R363" s="2248"/>
      <c r="S363" s="2162"/>
      <c r="T363" s="2356"/>
      <c r="U363" s="2358"/>
      <c r="V363" s="2365"/>
      <c r="Y363" s="2360"/>
      <c r="Z363" s="2360"/>
      <c r="AA363" s="2361"/>
      <c r="AB363" s="2360"/>
      <c r="AC363" s="2360"/>
      <c r="AD363" s="2360"/>
      <c r="AE363" s="2360"/>
      <c r="AF363" s="2362"/>
      <c r="AG363" s="2360"/>
      <c r="AH363" s="2361"/>
      <c r="AI363" s="2360"/>
      <c r="AJ363" s="2360"/>
      <c r="AK363" s="2361"/>
      <c r="AL363" s="2361"/>
      <c r="AM363" s="2361"/>
      <c r="AN363" s="2361"/>
      <c r="AO363" s="2130"/>
      <c r="AP363" s="2130"/>
      <c r="AQ363" s="2130"/>
      <c r="AR363" s="2130"/>
      <c r="AS363" s="2130"/>
      <c r="AT363" s="2130"/>
      <c r="AU363" s="2130"/>
      <c r="AV363" s="2130"/>
      <c r="AW363" s="2130"/>
      <c r="AX363" s="2130"/>
      <c r="AY363" s="2130"/>
      <c r="AZ363" s="2130"/>
      <c r="BA363" s="2130"/>
      <c r="BB363" s="2130"/>
      <c r="BC363" s="2130"/>
      <c r="BD363" s="2130"/>
      <c r="BE363" s="2130"/>
      <c r="BF363" s="2130"/>
      <c r="BG363" s="2130"/>
      <c r="BH363" s="2130"/>
      <c r="BI363" s="2130"/>
      <c r="BJ363" s="2130"/>
      <c r="BK363" s="2130"/>
      <c r="BL363" s="2130"/>
      <c r="BM363" s="2130"/>
      <c r="BN363" s="2130"/>
      <c r="BO363" s="2130"/>
      <c r="BP363" s="2130"/>
      <c r="BQ363" s="2130"/>
      <c r="BR363" s="2130"/>
      <c r="BS363" s="2130"/>
      <c r="BT363" s="2130"/>
      <c r="BU363" s="2130"/>
      <c r="BV363" s="2130"/>
      <c r="BW363" s="2130"/>
      <c r="BX363" s="2130"/>
      <c r="BY363" s="2130"/>
      <c r="BZ363" s="2130"/>
      <c r="CA363" s="2130"/>
      <c r="CB363" s="2130"/>
      <c r="CC363" s="2130"/>
      <c r="CD363" s="2130"/>
      <c r="CE363" s="2130"/>
      <c r="CF363" s="2130"/>
      <c r="CG363" s="2130"/>
      <c r="CH363" s="2130"/>
      <c r="CI363" s="2130"/>
      <c r="CJ363" s="2130"/>
      <c r="CK363" s="2130"/>
      <c r="CL363" s="2130"/>
      <c r="CM363" s="2130"/>
      <c r="CN363" s="2130"/>
      <c r="CO363" s="2130"/>
      <c r="CP363" s="2130"/>
      <c r="CQ363" s="2130"/>
      <c r="CR363" s="2130"/>
      <c r="CS363" s="2130"/>
      <c r="CT363" s="2130"/>
      <c r="CU363" s="2130"/>
      <c r="CV363" s="2130"/>
      <c r="CW363" s="2130"/>
      <c r="CX363" s="2130"/>
      <c r="CY363" s="2130"/>
      <c r="CZ363" s="2130"/>
      <c r="DA363" s="2130"/>
      <c r="DB363" s="2130"/>
      <c r="DC363" s="2130"/>
      <c r="DD363" s="2130"/>
      <c r="DE363" s="2130"/>
      <c r="DF363" s="2130"/>
      <c r="DG363" s="2130"/>
      <c r="DH363" s="2130"/>
      <c r="DI363" s="2130"/>
      <c r="DJ363" s="2130"/>
      <c r="DK363" s="2130"/>
      <c r="DL363" s="2130"/>
      <c r="DM363" s="2130"/>
      <c r="DN363" s="2130"/>
      <c r="DO363" s="2130"/>
      <c r="DP363" s="2130"/>
      <c r="DQ363" s="2130"/>
      <c r="DR363" s="2130"/>
      <c r="DS363" s="2130"/>
      <c r="DT363" s="2130"/>
      <c r="DU363" s="2130"/>
      <c r="DV363" s="2130"/>
      <c r="DW363" s="2130"/>
      <c r="DX363" s="2130"/>
      <c r="DY363" s="2130"/>
      <c r="DZ363" s="2130"/>
      <c r="EA363" s="2130"/>
      <c r="EB363" s="2130"/>
      <c r="EC363" s="2130"/>
      <c r="ED363" s="2130"/>
      <c r="EE363" s="2130"/>
      <c r="EF363" s="2130"/>
      <c r="EG363" s="2130"/>
      <c r="EH363" s="2130"/>
      <c r="EI363" s="2130"/>
      <c r="EJ363" s="2130"/>
      <c r="EK363" s="2130"/>
      <c r="EL363" s="2130"/>
      <c r="EM363" s="2130"/>
      <c r="EN363" s="2130"/>
      <c r="EO363" s="2130"/>
      <c r="EP363" s="2130"/>
      <c r="EQ363" s="2130"/>
      <c r="ER363" s="2130"/>
      <c r="ES363" s="2130"/>
      <c r="ET363" s="2130"/>
      <c r="EU363" s="2130"/>
      <c r="EV363" s="2130"/>
      <c r="EW363" s="2130"/>
      <c r="EX363" s="2130"/>
      <c r="EY363" s="2130"/>
      <c r="EZ363" s="2130"/>
      <c r="FA363" s="2130"/>
      <c r="FB363" s="2130"/>
      <c r="FC363" s="2130"/>
      <c r="FD363" s="2130"/>
      <c r="FE363" s="2130"/>
      <c r="FF363" s="2130"/>
      <c r="FG363" s="2130"/>
      <c r="FH363" s="2130"/>
      <c r="FI363" s="2130"/>
      <c r="FJ363" s="2130"/>
      <c r="FK363" s="2130"/>
      <c r="FL363" s="2130"/>
      <c r="FM363" s="2130"/>
      <c r="FN363" s="2130"/>
      <c r="FO363" s="2130"/>
      <c r="FP363" s="2130"/>
      <c r="FQ363" s="2130"/>
      <c r="FR363" s="2130"/>
      <c r="FS363" s="2130"/>
      <c r="FT363" s="2130"/>
      <c r="FU363" s="2130"/>
      <c r="FV363" s="2130"/>
      <c r="FW363" s="2130"/>
      <c r="FX363" s="2130"/>
      <c r="FY363" s="2130"/>
      <c r="FZ363" s="2130"/>
      <c r="GA363" s="2130"/>
      <c r="GB363" s="2130"/>
      <c r="GC363" s="2130"/>
      <c r="GD363" s="2130"/>
      <c r="GE363" s="2130"/>
      <c r="GF363" s="2130"/>
      <c r="GG363" s="2130"/>
      <c r="GH363" s="2130"/>
      <c r="GI363" s="2130"/>
      <c r="GJ363" s="2130"/>
      <c r="GK363" s="2130"/>
      <c r="GL363" s="2130"/>
      <c r="GM363" s="2130"/>
      <c r="GN363" s="2130"/>
      <c r="GO363" s="2130"/>
      <c r="GP363" s="2130"/>
      <c r="GQ363" s="2130"/>
      <c r="GR363" s="2130"/>
      <c r="GS363" s="2130"/>
      <c r="GT363" s="2130"/>
      <c r="GU363" s="2130"/>
      <c r="GV363" s="2130"/>
      <c r="GW363" s="2130"/>
      <c r="GX363" s="2130"/>
      <c r="GY363" s="2130"/>
      <c r="GZ363" s="2130"/>
      <c r="HA363" s="2130"/>
      <c r="HB363" s="2130"/>
      <c r="HC363" s="2130"/>
      <c r="HD363" s="2130"/>
      <c r="HE363" s="2130"/>
      <c r="HF363" s="2130"/>
      <c r="HG363" s="2130"/>
      <c r="HH363" s="2130"/>
      <c r="HI363" s="2130"/>
      <c r="HJ363" s="2130"/>
      <c r="HK363" s="2130"/>
      <c r="HL363" s="2130"/>
      <c r="HM363" s="2130"/>
      <c r="HN363" s="2130"/>
      <c r="HO363" s="2130"/>
      <c r="HP363" s="2130"/>
      <c r="HQ363" s="2130"/>
      <c r="HR363" s="2130"/>
      <c r="HS363" s="2130"/>
      <c r="HT363" s="2130"/>
      <c r="HU363" s="2130"/>
      <c r="HV363" s="2130"/>
      <c r="HW363" s="2130"/>
      <c r="HX363" s="2130"/>
      <c r="HY363" s="2130"/>
      <c r="HZ363" s="2130"/>
      <c r="IA363" s="2130"/>
      <c r="IB363" s="2130"/>
      <c r="IC363" s="2130"/>
      <c r="ID363" s="2130"/>
      <c r="IE363" s="2130"/>
      <c r="IF363" s="2130"/>
      <c r="IG363" s="2130"/>
      <c r="IH363" s="2130"/>
      <c r="II363" s="2130"/>
      <c r="IJ363" s="2130"/>
      <c r="IK363" s="2130"/>
      <c r="IL363" s="2130"/>
      <c r="IM363" s="2130"/>
      <c r="IN363" s="2130"/>
      <c r="IO363" s="2130"/>
      <c r="IP363" s="2130"/>
      <c r="IQ363" s="2130"/>
      <c r="IR363" s="2130"/>
      <c r="IS363" s="2130"/>
      <c r="IT363" s="2130"/>
      <c r="IU363" s="2130"/>
      <c r="IV363" s="2130"/>
      <c r="IW363" s="2130"/>
      <c r="IX363" s="2130"/>
      <c r="IY363" s="2130"/>
      <c r="IZ363" s="2130"/>
      <c r="JA363" s="2130"/>
      <c r="JB363" s="2130"/>
      <c r="JC363" s="2130"/>
      <c r="JD363" s="2130"/>
      <c r="JE363" s="2130"/>
      <c r="JF363" s="2130"/>
      <c r="JG363" s="2130"/>
      <c r="JH363" s="2130"/>
      <c r="JI363" s="2130"/>
      <c r="JJ363" s="2130"/>
      <c r="JK363" s="2130"/>
      <c r="JL363" s="2130"/>
      <c r="JM363" s="2130"/>
      <c r="JN363" s="2130"/>
      <c r="JO363" s="2130"/>
      <c r="JP363" s="2130"/>
      <c r="JQ363" s="2130"/>
      <c r="JR363" s="2130"/>
      <c r="JS363" s="2130"/>
      <c r="JT363" s="2130"/>
      <c r="JU363" s="2130"/>
      <c r="JV363" s="2130"/>
      <c r="JW363" s="2130"/>
      <c r="JX363" s="2130"/>
      <c r="JY363" s="2130"/>
      <c r="JZ363" s="2130"/>
      <c r="KA363" s="2130"/>
      <c r="KB363" s="2130"/>
      <c r="KC363" s="2130"/>
      <c r="KD363" s="2130"/>
      <c r="KE363" s="2130"/>
      <c r="KF363" s="2130"/>
      <c r="KG363" s="2130"/>
      <c r="KH363" s="2130"/>
      <c r="KI363" s="2130"/>
      <c r="KJ363" s="2130"/>
      <c r="KK363" s="2130"/>
      <c r="KL363" s="2130"/>
      <c r="KM363" s="2130"/>
      <c r="KN363" s="2130"/>
      <c r="KO363" s="2130"/>
      <c r="KP363" s="2130"/>
      <c r="KQ363" s="2130"/>
      <c r="KR363" s="2130"/>
      <c r="KS363" s="2130"/>
    </row>
    <row r="364" spans="1:305" s="2357" customFormat="1" ht="43.5" customHeight="1" x14ac:dyDescent="0.2">
      <c r="A364" s="2130"/>
      <c r="B364" s="2130"/>
      <c r="C364" s="2130"/>
      <c r="D364" s="2130"/>
      <c r="E364" s="2130"/>
      <c r="F364" s="2130"/>
      <c r="G364" s="2130"/>
      <c r="H364" s="2130"/>
      <c r="I364" s="2130"/>
      <c r="J364" s="2130"/>
      <c r="K364" s="2356"/>
      <c r="L364" s="2162"/>
      <c r="M364" s="2162"/>
      <c r="N364" s="2248"/>
      <c r="O364" s="2162"/>
      <c r="P364" s="2356"/>
      <c r="R364" s="2248"/>
      <c r="S364" s="2162"/>
      <c r="T364" s="2356"/>
      <c r="U364" s="2358"/>
      <c r="V364" s="2358"/>
      <c r="Y364" s="2360"/>
      <c r="Z364" s="2360"/>
      <c r="AA364" s="2361"/>
      <c r="AB364" s="2360"/>
      <c r="AC364" s="2360"/>
      <c r="AD364" s="2360"/>
      <c r="AE364" s="2360"/>
      <c r="AF364" s="2362"/>
      <c r="AG364" s="2360"/>
      <c r="AH364" s="2361"/>
      <c r="AI364" s="2360"/>
      <c r="AJ364" s="2360"/>
      <c r="AK364" s="2361"/>
      <c r="AL364" s="2361"/>
      <c r="AM364" s="2361"/>
      <c r="AN364" s="2361"/>
      <c r="AO364" s="2130"/>
      <c r="AP364" s="2130"/>
      <c r="AQ364" s="2130"/>
      <c r="AR364" s="2130"/>
      <c r="AS364" s="2130"/>
      <c r="AT364" s="2130"/>
      <c r="AU364" s="2130"/>
      <c r="AV364" s="2130"/>
      <c r="AW364" s="2130"/>
      <c r="AX364" s="2130"/>
      <c r="AY364" s="2130"/>
      <c r="AZ364" s="2130"/>
      <c r="BA364" s="2130"/>
      <c r="BB364" s="2130"/>
      <c r="BC364" s="2130"/>
      <c r="BD364" s="2130"/>
      <c r="BE364" s="2130"/>
      <c r="BF364" s="2130"/>
      <c r="BG364" s="2130"/>
      <c r="BH364" s="2130"/>
      <c r="BI364" s="2130"/>
      <c r="BJ364" s="2130"/>
      <c r="BK364" s="2130"/>
      <c r="BL364" s="2130"/>
      <c r="BM364" s="2130"/>
      <c r="BN364" s="2130"/>
      <c r="BO364" s="2130"/>
      <c r="BP364" s="2130"/>
      <c r="BQ364" s="2130"/>
      <c r="BR364" s="2130"/>
      <c r="BS364" s="2130"/>
      <c r="BT364" s="2130"/>
      <c r="BU364" s="2130"/>
      <c r="BV364" s="2130"/>
      <c r="BW364" s="2130"/>
      <c r="BX364" s="2130"/>
      <c r="BY364" s="2130"/>
      <c r="BZ364" s="2130"/>
      <c r="CA364" s="2130"/>
      <c r="CB364" s="2130"/>
      <c r="CC364" s="2130"/>
      <c r="CD364" s="2130"/>
      <c r="CE364" s="2130"/>
      <c r="CF364" s="2130"/>
      <c r="CG364" s="2130"/>
      <c r="CH364" s="2130"/>
      <c r="CI364" s="2130"/>
      <c r="CJ364" s="2130"/>
      <c r="CK364" s="2130"/>
      <c r="CL364" s="2130"/>
      <c r="CM364" s="2130"/>
      <c r="CN364" s="2130"/>
      <c r="CO364" s="2130"/>
      <c r="CP364" s="2130"/>
      <c r="CQ364" s="2130"/>
      <c r="CR364" s="2130"/>
      <c r="CS364" s="2130"/>
      <c r="CT364" s="2130"/>
      <c r="CU364" s="2130"/>
      <c r="CV364" s="2130"/>
      <c r="CW364" s="2130"/>
      <c r="CX364" s="2130"/>
      <c r="CY364" s="2130"/>
      <c r="CZ364" s="2130"/>
      <c r="DA364" s="2130"/>
      <c r="DB364" s="2130"/>
      <c r="DC364" s="2130"/>
      <c r="DD364" s="2130"/>
      <c r="DE364" s="2130"/>
      <c r="DF364" s="2130"/>
      <c r="DG364" s="2130"/>
      <c r="DH364" s="2130"/>
      <c r="DI364" s="2130"/>
      <c r="DJ364" s="2130"/>
      <c r="DK364" s="2130"/>
      <c r="DL364" s="2130"/>
      <c r="DM364" s="2130"/>
      <c r="DN364" s="2130"/>
      <c r="DO364" s="2130"/>
      <c r="DP364" s="2130"/>
      <c r="DQ364" s="2130"/>
      <c r="DR364" s="2130"/>
      <c r="DS364" s="2130"/>
      <c r="DT364" s="2130"/>
      <c r="DU364" s="2130"/>
      <c r="DV364" s="2130"/>
      <c r="DW364" s="2130"/>
      <c r="DX364" s="2130"/>
      <c r="DY364" s="2130"/>
      <c r="DZ364" s="2130"/>
      <c r="EA364" s="2130"/>
      <c r="EB364" s="2130"/>
      <c r="EC364" s="2130"/>
      <c r="ED364" s="2130"/>
      <c r="EE364" s="2130"/>
      <c r="EF364" s="2130"/>
      <c r="EG364" s="2130"/>
      <c r="EH364" s="2130"/>
      <c r="EI364" s="2130"/>
      <c r="EJ364" s="2130"/>
      <c r="EK364" s="2130"/>
      <c r="EL364" s="2130"/>
      <c r="EM364" s="2130"/>
      <c r="EN364" s="2130"/>
      <c r="EO364" s="2130"/>
      <c r="EP364" s="2130"/>
      <c r="EQ364" s="2130"/>
      <c r="ER364" s="2130"/>
      <c r="ES364" s="2130"/>
      <c r="ET364" s="2130"/>
      <c r="EU364" s="2130"/>
      <c r="EV364" s="2130"/>
      <c r="EW364" s="2130"/>
      <c r="EX364" s="2130"/>
      <c r="EY364" s="2130"/>
      <c r="EZ364" s="2130"/>
      <c r="FA364" s="2130"/>
      <c r="FB364" s="2130"/>
      <c r="FC364" s="2130"/>
      <c r="FD364" s="2130"/>
      <c r="FE364" s="2130"/>
      <c r="FF364" s="2130"/>
      <c r="FG364" s="2130"/>
      <c r="FH364" s="2130"/>
      <c r="FI364" s="2130"/>
      <c r="FJ364" s="2130"/>
      <c r="FK364" s="2130"/>
      <c r="FL364" s="2130"/>
      <c r="FM364" s="2130"/>
      <c r="FN364" s="2130"/>
      <c r="FO364" s="2130"/>
      <c r="FP364" s="2130"/>
      <c r="FQ364" s="2130"/>
      <c r="FR364" s="2130"/>
      <c r="FS364" s="2130"/>
      <c r="FT364" s="2130"/>
      <c r="FU364" s="2130"/>
      <c r="FV364" s="2130"/>
      <c r="FW364" s="2130"/>
      <c r="FX364" s="2130"/>
      <c r="FY364" s="2130"/>
      <c r="FZ364" s="2130"/>
      <c r="GA364" s="2130"/>
      <c r="GB364" s="2130"/>
      <c r="GC364" s="2130"/>
      <c r="GD364" s="2130"/>
      <c r="GE364" s="2130"/>
      <c r="GF364" s="2130"/>
      <c r="GG364" s="2130"/>
      <c r="GH364" s="2130"/>
      <c r="GI364" s="2130"/>
      <c r="GJ364" s="2130"/>
      <c r="GK364" s="2130"/>
      <c r="GL364" s="2130"/>
      <c r="GM364" s="2130"/>
      <c r="GN364" s="2130"/>
      <c r="GO364" s="2130"/>
      <c r="GP364" s="2130"/>
      <c r="GQ364" s="2130"/>
      <c r="GR364" s="2130"/>
      <c r="GS364" s="2130"/>
      <c r="GT364" s="2130"/>
      <c r="GU364" s="2130"/>
      <c r="GV364" s="2130"/>
      <c r="GW364" s="2130"/>
      <c r="GX364" s="2130"/>
      <c r="GY364" s="2130"/>
      <c r="GZ364" s="2130"/>
      <c r="HA364" s="2130"/>
      <c r="HB364" s="2130"/>
      <c r="HC364" s="2130"/>
      <c r="HD364" s="2130"/>
      <c r="HE364" s="2130"/>
      <c r="HF364" s="2130"/>
      <c r="HG364" s="2130"/>
      <c r="HH364" s="2130"/>
      <c r="HI364" s="2130"/>
      <c r="HJ364" s="2130"/>
      <c r="HK364" s="2130"/>
      <c r="HL364" s="2130"/>
      <c r="HM364" s="2130"/>
      <c r="HN364" s="2130"/>
      <c r="HO364" s="2130"/>
      <c r="HP364" s="2130"/>
      <c r="HQ364" s="2130"/>
      <c r="HR364" s="2130"/>
      <c r="HS364" s="2130"/>
      <c r="HT364" s="2130"/>
      <c r="HU364" s="2130"/>
      <c r="HV364" s="2130"/>
      <c r="HW364" s="2130"/>
      <c r="HX364" s="2130"/>
      <c r="HY364" s="2130"/>
      <c r="HZ364" s="2130"/>
      <c r="IA364" s="2130"/>
      <c r="IB364" s="2130"/>
      <c r="IC364" s="2130"/>
      <c r="ID364" s="2130"/>
      <c r="IE364" s="2130"/>
      <c r="IF364" s="2130"/>
      <c r="IG364" s="2130"/>
      <c r="IH364" s="2130"/>
      <c r="II364" s="2130"/>
      <c r="IJ364" s="2130"/>
      <c r="IK364" s="2130"/>
      <c r="IL364" s="2130"/>
      <c r="IM364" s="2130"/>
      <c r="IN364" s="2130"/>
      <c r="IO364" s="2130"/>
      <c r="IP364" s="2130"/>
      <c r="IQ364" s="2130"/>
      <c r="IR364" s="2130"/>
      <c r="IS364" s="2130"/>
      <c r="IT364" s="2130"/>
      <c r="IU364" s="2130"/>
      <c r="IV364" s="2130"/>
      <c r="IW364" s="2130"/>
      <c r="IX364" s="2130"/>
      <c r="IY364" s="2130"/>
      <c r="IZ364" s="2130"/>
      <c r="JA364" s="2130"/>
      <c r="JB364" s="2130"/>
      <c r="JC364" s="2130"/>
      <c r="JD364" s="2130"/>
      <c r="JE364" s="2130"/>
      <c r="JF364" s="2130"/>
      <c r="JG364" s="2130"/>
      <c r="JH364" s="2130"/>
      <c r="JI364" s="2130"/>
      <c r="JJ364" s="2130"/>
      <c r="JK364" s="2130"/>
      <c r="JL364" s="2130"/>
      <c r="JM364" s="2130"/>
      <c r="JN364" s="2130"/>
      <c r="JO364" s="2130"/>
      <c r="JP364" s="2130"/>
      <c r="JQ364" s="2130"/>
      <c r="JR364" s="2130"/>
      <c r="JS364" s="2130"/>
      <c r="JT364" s="2130"/>
      <c r="JU364" s="2130"/>
      <c r="JV364" s="2130"/>
      <c r="JW364" s="2130"/>
      <c r="JX364" s="2130"/>
      <c r="JY364" s="2130"/>
      <c r="JZ364" s="2130"/>
      <c r="KA364" s="2130"/>
      <c r="KB364" s="2130"/>
      <c r="KC364" s="2130"/>
      <c r="KD364" s="2130"/>
      <c r="KE364" s="2130"/>
      <c r="KF364" s="2130"/>
      <c r="KG364" s="2130"/>
      <c r="KH364" s="2130"/>
      <c r="KI364" s="2130"/>
      <c r="KJ364" s="2130"/>
      <c r="KK364" s="2130"/>
      <c r="KL364" s="2130"/>
      <c r="KM364" s="2130"/>
      <c r="KN364" s="2130"/>
      <c r="KO364" s="2130"/>
      <c r="KP364" s="2130"/>
      <c r="KQ364" s="2130"/>
      <c r="KR364" s="2130"/>
      <c r="KS364" s="2130"/>
    </row>
  </sheetData>
  <sheetProtection password="A60F" sheet="1" objects="1" scenarios="1"/>
  <mergeCells count="939">
    <mergeCell ref="M7:M8"/>
    <mergeCell ref="N7:N8"/>
    <mergeCell ref="O7:O8"/>
    <mergeCell ref="P7:P8"/>
    <mergeCell ref="A1:AO4"/>
    <mergeCell ref="A5:O6"/>
    <mergeCell ref="P5:AQ6"/>
    <mergeCell ref="A7:A8"/>
    <mergeCell ref="B7:C8"/>
    <mergeCell ref="D7:D8"/>
    <mergeCell ref="E7:F8"/>
    <mergeCell ref="G7:G8"/>
    <mergeCell ref="H7:I8"/>
    <mergeCell ref="J7:J8"/>
    <mergeCell ref="AN7:AN8"/>
    <mergeCell ref="AO7:AO8"/>
    <mergeCell ref="AP7:AP8"/>
    <mergeCell ref="AQ7:AQ8"/>
    <mergeCell ref="A10:C10"/>
    <mergeCell ref="J12:J21"/>
    <mergeCell ref="K12:K21"/>
    <mergeCell ref="L12:L21"/>
    <mergeCell ref="M12:M21"/>
    <mergeCell ref="N12:N45"/>
    <mergeCell ref="W7:W8"/>
    <mergeCell ref="X7:X8"/>
    <mergeCell ref="Y7:Z7"/>
    <mergeCell ref="AA7:AD7"/>
    <mergeCell ref="AE7:AJ7"/>
    <mergeCell ref="AK7:AM7"/>
    <mergeCell ref="Q7:Q8"/>
    <mergeCell ref="R7:R8"/>
    <mergeCell ref="S7:S8"/>
    <mergeCell ref="T7:T8"/>
    <mergeCell ref="U7:U8"/>
    <mergeCell ref="V7:V8"/>
    <mergeCell ref="K7:K8"/>
    <mergeCell ref="L7:L8"/>
    <mergeCell ref="Y12:Y45"/>
    <mergeCell ref="Z12:Z45"/>
    <mergeCell ref="AA12:AA45"/>
    <mergeCell ref="AB12:AB45"/>
    <mergeCell ref="U22:U23"/>
    <mergeCell ref="U24:U25"/>
    <mergeCell ref="U26:U27"/>
    <mergeCell ref="U28:U29"/>
    <mergeCell ref="O12:O45"/>
    <mergeCell ref="P12:P45"/>
    <mergeCell ref="Q12:Q21"/>
    <mergeCell ref="R12:R45"/>
    <mergeCell ref="S12:S45"/>
    <mergeCell ref="T12:T21"/>
    <mergeCell ref="T22:T31"/>
    <mergeCell ref="AO12:AO45"/>
    <mergeCell ref="AP12:AP45"/>
    <mergeCell ref="AQ12:AQ45"/>
    <mergeCell ref="U15:U16"/>
    <mergeCell ref="U17:U18"/>
    <mergeCell ref="J22:J31"/>
    <mergeCell ref="K22:K31"/>
    <mergeCell ref="L22:L31"/>
    <mergeCell ref="M22:M31"/>
    <mergeCell ref="Q22:Q31"/>
    <mergeCell ref="AI12:AI45"/>
    <mergeCell ref="AJ12:AJ45"/>
    <mergeCell ref="AK12:AK45"/>
    <mergeCell ref="AL12:AL45"/>
    <mergeCell ref="AM12:AM45"/>
    <mergeCell ref="AN12:AN45"/>
    <mergeCell ref="AC12:AC45"/>
    <mergeCell ref="AD12:AD45"/>
    <mergeCell ref="AE12:AE45"/>
    <mergeCell ref="AF12:AF45"/>
    <mergeCell ref="AG12:AG45"/>
    <mergeCell ref="AH12:AH45"/>
    <mergeCell ref="U12:U13"/>
    <mergeCell ref="X12:X45"/>
    <mergeCell ref="U30:U31"/>
    <mergeCell ref="J32:J45"/>
    <mergeCell ref="K32:K45"/>
    <mergeCell ref="L32:L45"/>
    <mergeCell ref="M32:M45"/>
    <mergeCell ref="Q32:Q45"/>
    <mergeCell ref="T32:T45"/>
    <mergeCell ref="U32:U33"/>
    <mergeCell ref="U34:U35"/>
    <mergeCell ref="U36:U37"/>
    <mergeCell ref="U38:U39"/>
    <mergeCell ref="U40:U41"/>
    <mergeCell ref="U42:U43"/>
    <mergeCell ref="U44:U45"/>
    <mergeCell ref="J48:J49"/>
    <mergeCell ref="K48:K49"/>
    <mergeCell ref="L48:L49"/>
    <mergeCell ref="M48:M49"/>
    <mergeCell ref="N48:N53"/>
    <mergeCell ref="O48:O53"/>
    <mergeCell ref="AA48:AA53"/>
    <mergeCell ref="AB48:AB53"/>
    <mergeCell ref="AC48:AC53"/>
    <mergeCell ref="P48:P53"/>
    <mergeCell ref="Q48:Q49"/>
    <mergeCell ref="R48:R53"/>
    <mergeCell ref="S48:S53"/>
    <mergeCell ref="T48:T49"/>
    <mergeCell ref="U48:U49"/>
    <mergeCell ref="AP48:AP53"/>
    <mergeCell ref="AQ48:AQ53"/>
    <mergeCell ref="J50:J53"/>
    <mergeCell ref="K50:K53"/>
    <mergeCell ref="L50:L53"/>
    <mergeCell ref="M50:M53"/>
    <mergeCell ref="Q50:Q53"/>
    <mergeCell ref="T50:T53"/>
    <mergeCell ref="U51:U52"/>
    <mergeCell ref="AJ48:AJ53"/>
    <mergeCell ref="AK48:AK53"/>
    <mergeCell ref="AL48:AL53"/>
    <mergeCell ref="AM48:AM53"/>
    <mergeCell ref="AN48:AN53"/>
    <mergeCell ref="AO48:AO53"/>
    <mergeCell ref="AD48:AD53"/>
    <mergeCell ref="AE48:AE53"/>
    <mergeCell ref="AF48:AF53"/>
    <mergeCell ref="AG48:AG53"/>
    <mergeCell ref="AH48:AH53"/>
    <mergeCell ref="AI48:AI53"/>
    <mergeCell ref="X48:X53"/>
    <mergeCell ref="Y48:Y53"/>
    <mergeCell ref="Z48:Z53"/>
    <mergeCell ref="J55:J60"/>
    <mergeCell ref="K55:K60"/>
    <mergeCell ref="L55:L60"/>
    <mergeCell ref="M55:M60"/>
    <mergeCell ref="N55:N82"/>
    <mergeCell ref="O55:O82"/>
    <mergeCell ref="L66:L77"/>
    <mergeCell ref="M66:M77"/>
    <mergeCell ref="J78:J82"/>
    <mergeCell ref="K78:K82"/>
    <mergeCell ref="Z55:Z82"/>
    <mergeCell ref="AA55:AA82"/>
    <mergeCell ref="AB55:AB82"/>
    <mergeCell ref="AC55:AC82"/>
    <mergeCell ref="P55:P82"/>
    <mergeCell ref="Q55:Q60"/>
    <mergeCell ref="R55:R82"/>
    <mergeCell ref="S55:S82"/>
    <mergeCell ref="T55:T65"/>
    <mergeCell ref="U55:U56"/>
    <mergeCell ref="Q66:Q77"/>
    <mergeCell ref="T66:T82"/>
    <mergeCell ref="AP55:AP82"/>
    <mergeCell ref="AQ55:AQ82"/>
    <mergeCell ref="U57:U58"/>
    <mergeCell ref="J61:J65"/>
    <mergeCell ref="K61:K65"/>
    <mergeCell ref="L61:L65"/>
    <mergeCell ref="M61:M65"/>
    <mergeCell ref="Q61:Q65"/>
    <mergeCell ref="J66:J77"/>
    <mergeCell ref="K66:K77"/>
    <mergeCell ref="AJ55:AJ82"/>
    <mergeCell ref="AK55:AK82"/>
    <mergeCell ref="AL55:AL82"/>
    <mergeCell ref="AM55:AM82"/>
    <mergeCell ref="AN55:AN82"/>
    <mergeCell ref="AO55:AO82"/>
    <mergeCell ref="AD55:AD82"/>
    <mergeCell ref="AE55:AE82"/>
    <mergeCell ref="AF55:AF82"/>
    <mergeCell ref="AG55:AG82"/>
    <mergeCell ref="AH55:AH82"/>
    <mergeCell ref="AI55:AI82"/>
    <mergeCell ref="X55:X82"/>
    <mergeCell ref="Y55:Y82"/>
    <mergeCell ref="L78:L82"/>
    <mergeCell ref="M78:M82"/>
    <mergeCell ref="Q78:Q82"/>
    <mergeCell ref="J84:J94"/>
    <mergeCell ref="K84:K94"/>
    <mergeCell ref="L84:L94"/>
    <mergeCell ref="M84:M94"/>
    <mergeCell ref="N84:N104"/>
    <mergeCell ref="O84:O104"/>
    <mergeCell ref="P84:P104"/>
    <mergeCell ref="AA84:AA104"/>
    <mergeCell ref="AB84:AB104"/>
    <mergeCell ref="AC84:AC104"/>
    <mergeCell ref="AD84:AD104"/>
    <mergeCell ref="Q84:Q94"/>
    <mergeCell ref="R84:R104"/>
    <mergeCell ref="S84:S104"/>
    <mergeCell ref="T84:T94"/>
    <mergeCell ref="U84:U85"/>
    <mergeCell ref="X84:X104"/>
    <mergeCell ref="AQ84:AQ104"/>
    <mergeCell ref="U86:U87"/>
    <mergeCell ref="J95:J99"/>
    <mergeCell ref="K95:K99"/>
    <mergeCell ref="L95:L99"/>
    <mergeCell ref="M95:M99"/>
    <mergeCell ref="Q95:Q99"/>
    <mergeCell ref="T95:T99"/>
    <mergeCell ref="J100:J104"/>
    <mergeCell ref="K100:K104"/>
    <mergeCell ref="AK84:AK104"/>
    <mergeCell ref="AL84:AL104"/>
    <mergeCell ref="AM84:AM104"/>
    <mergeCell ref="AN84:AN104"/>
    <mergeCell ref="AO84:AO104"/>
    <mergeCell ref="AP84:AP104"/>
    <mergeCell ref="AE84:AE104"/>
    <mergeCell ref="AF84:AF104"/>
    <mergeCell ref="AG84:AG104"/>
    <mergeCell ref="AH84:AH104"/>
    <mergeCell ref="AI84:AI104"/>
    <mergeCell ref="AJ84:AJ104"/>
    <mergeCell ref="Y84:Y104"/>
    <mergeCell ref="Z84:Z104"/>
    <mergeCell ref="L100:L104"/>
    <mergeCell ref="M100:M104"/>
    <mergeCell ref="Q100:Q104"/>
    <mergeCell ref="T100:T104"/>
    <mergeCell ref="J106:J110"/>
    <mergeCell ref="K106:K110"/>
    <mergeCell ref="L106:L110"/>
    <mergeCell ref="M106:M110"/>
    <mergeCell ref="N106:N118"/>
    <mergeCell ref="O106:O118"/>
    <mergeCell ref="AM106:AM118"/>
    <mergeCell ref="AN106:AN118"/>
    <mergeCell ref="AO106:AO118"/>
    <mergeCell ref="AP106:AP118"/>
    <mergeCell ref="AQ106:AQ118"/>
    <mergeCell ref="AF106:AF118"/>
    <mergeCell ref="AG106:AG118"/>
    <mergeCell ref="AH106:AH118"/>
    <mergeCell ref="AI106:AI118"/>
    <mergeCell ref="AJ106:AJ118"/>
    <mergeCell ref="AK106:AK118"/>
    <mergeCell ref="Q115:Q118"/>
    <mergeCell ref="T115:T118"/>
    <mergeCell ref="J111:J114"/>
    <mergeCell ref="K111:K114"/>
    <mergeCell ref="L111:L114"/>
    <mergeCell ref="M111:M114"/>
    <mergeCell ref="Q111:Q114"/>
    <mergeCell ref="T111:T114"/>
    <mergeCell ref="AL106:AL118"/>
    <mergeCell ref="Z106:Z118"/>
    <mergeCell ref="AA106:AA118"/>
    <mergeCell ref="AB106:AB118"/>
    <mergeCell ref="AC106:AC118"/>
    <mergeCell ref="AD106:AD118"/>
    <mergeCell ref="AE106:AE118"/>
    <mergeCell ref="P106:P118"/>
    <mergeCell ref="Q106:Q110"/>
    <mergeCell ref="R106:R118"/>
    <mergeCell ref="S106:S118"/>
    <mergeCell ref="T106:T110"/>
    <mergeCell ref="Y106:Y118"/>
    <mergeCell ref="U107:U108"/>
    <mergeCell ref="U117:U118"/>
    <mergeCell ref="J120:J124"/>
    <mergeCell ref="K120:K124"/>
    <mergeCell ref="L120:L124"/>
    <mergeCell ref="M120:M124"/>
    <mergeCell ref="N120:N129"/>
    <mergeCell ref="O120:O129"/>
    <mergeCell ref="J115:J118"/>
    <mergeCell ref="K115:K118"/>
    <mergeCell ref="L115:L118"/>
    <mergeCell ref="M115:M118"/>
    <mergeCell ref="AJ120:AJ129"/>
    <mergeCell ref="Y120:Y129"/>
    <mergeCell ref="Z120:Z129"/>
    <mergeCell ref="AA120:AA129"/>
    <mergeCell ref="AB120:AB129"/>
    <mergeCell ref="AC120:AC129"/>
    <mergeCell ref="AD120:AD129"/>
    <mergeCell ref="P120:P129"/>
    <mergeCell ref="Q120:Q124"/>
    <mergeCell ref="R120:R129"/>
    <mergeCell ref="S120:S129"/>
    <mergeCell ref="T120:T124"/>
    <mergeCell ref="X120:X124"/>
    <mergeCell ref="K146:K153"/>
    <mergeCell ref="L146:L153"/>
    <mergeCell ref="M146:M153"/>
    <mergeCell ref="AQ120:AQ129"/>
    <mergeCell ref="U123:U124"/>
    <mergeCell ref="J125:J129"/>
    <mergeCell ref="K125:K129"/>
    <mergeCell ref="L125:L129"/>
    <mergeCell ref="M125:M129"/>
    <mergeCell ref="Q125:Q129"/>
    <mergeCell ref="T125:T129"/>
    <mergeCell ref="U125:U126"/>
    <mergeCell ref="X125:X129"/>
    <mergeCell ref="AK120:AK129"/>
    <mergeCell ref="AL120:AL129"/>
    <mergeCell ref="AM120:AM129"/>
    <mergeCell ref="AN120:AN129"/>
    <mergeCell ref="AO120:AO129"/>
    <mergeCell ref="AP120:AP129"/>
    <mergeCell ref="AE120:AE129"/>
    <mergeCell ref="AF120:AF129"/>
    <mergeCell ref="AG120:AG129"/>
    <mergeCell ref="AH120:AH129"/>
    <mergeCell ref="AI120:AI129"/>
    <mergeCell ref="AC130:AC153"/>
    <mergeCell ref="AD130:AD153"/>
    <mergeCell ref="P130:P153"/>
    <mergeCell ref="Q130:Q145"/>
    <mergeCell ref="R130:R153"/>
    <mergeCell ref="S130:S153"/>
    <mergeCell ref="T130:T145"/>
    <mergeCell ref="U130:U133"/>
    <mergeCell ref="Q146:Q153"/>
    <mergeCell ref="T146:T153"/>
    <mergeCell ref="U148:U149"/>
    <mergeCell ref="U150:U151"/>
    <mergeCell ref="AQ130:AQ153"/>
    <mergeCell ref="U134:U136"/>
    <mergeCell ref="V135:V136"/>
    <mergeCell ref="W135:W136"/>
    <mergeCell ref="X135:X136"/>
    <mergeCell ref="U137:U139"/>
    <mergeCell ref="U140:U141"/>
    <mergeCell ref="U142:U143"/>
    <mergeCell ref="U144:U145"/>
    <mergeCell ref="U146:U147"/>
    <mergeCell ref="AK130:AK153"/>
    <mergeCell ref="AL130:AL153"/>
    <mergeCell ref="AM130:AM153"/>
    <mergeCell ref="AN130:AN153"/>
    <mergeCell ref="AO130:AO153"/>
    <mergeCell ref="AP130:AP153"/>
    <mergeCell ref="AE130:AE153"/>
    <mergeCell ref="AF130:AF153"/>
    <mergeCell ref="AG130:AG153"/>
    <mergeCell ref="AH130:AH153"/>
    <mergeCell ref="AI130:AI153"/>
    <mergeCell ref="AJ130:AJ153"/>
    <mergeCell ref="Y130:Y153"/>
    <mergeCell ref="Z130:Z153"/>
    <mergeCell ref="Y154:Y177"/>
    <mergeCell ref="Z154:Z177"/>
    <mergeCell ref="AA154:AA177"/>
    <mergeCell ref="AB154:AB177"/>
    <mergeCell ref="U175:U177"/>
    <mergeCell ref="U152:U153"/>
    <mergeCell ref="J154:J177"/>
    <mergeCell ref="K154:K177"/>
    <mergeCell ref="L154:L177"/>
    <mergeCell ref="M154:M177"/>
    <mergeCell ref="O154:O177"/>
    <mergeCell ref="P154:P177"/>
    <mergeCell ref="Q154:Q177"/>
    <mergeCell ref="R154:R177"/>
    <mergeCell ref="S154:S177"/>
    <mergeCell ref="AA130:AA153"/>
    <mergeCell ref="AB130:AB153"/>
    <mergeCell ref="J130:J145"/>
    <mergeCell ref="K130:K145"/>
    <mergeCell ref="L130:L145"/>
    <mergeCell ref="M130:M145"/>
    <mergeCell ref="N130:N153"/>
    <mergeCell ref="O130:O153"/>
    <mergeCell ref="J146:J153"/>
    <mergeCell ref="AO154:AO177"/>
    <mergeCell ref="AP154:AP177"/>
    <mergeCell ref="AQ154:AQ177"/>
    <mergeCell ref="U157:U160"/>
    <mergeCell ref="U162:U164"/>
    <mergeCell ref="T165:T170"/>
    <mergeCell ref="U165:U167"/>
    <mergeCell ref="U168:U170"/>
    <mergeCell ref="T171:T177"/>
    <mergeCell ref="U172:U174"/>
    <mergeCell ref="AI154:AI177"/>
    <mergeCell ref="AJ154:AJ177"/>
    <mergeCell ref="AK154:AK177"/>
    <mergeCell ref="AL154:AL177"/>
    <mergeCell ref="AM154:AM177"/>
    <mergeCell ref="AN154:AN177"/>
    <mergeCell ref="AC154:AC177"/>
    <mergeCell ref="AD154:AD177"/>
    <mergeCell ref="AE154:AE177"/>
    <mergeCell ref="AF154:AF177"/>
    <mergeCell ref="AG154:AG177"/>
    <mergeCell ref="AH154:AH177"/>
    <mergeCell ref="T154:T164"/>
    <mergeCell ref="U154:U156"/>
    <mergeCell ref="AC179:AC187"/>
    <mergeCell ref="AD179:AD187"/>
    <mergeCell ref="P179:P187"/>
    <mergeCell ref="Q179:Q182"/>
    <mergeCell ref="R179:R187"/>
    <mergeCell ref="S179:S187"/>
    <mergeCell ref="T179:T182"/>
    <mergeCell ref="U179:U180"/>
    <mergeCell ref="J179:J182"/>
    <mergeCell ref="K179:K182"/>
    <mergeCell ref="L179:L182"/>
    <mergeCell ref="M179:M182"/>
    <mergeCell ref="N179:N187"/>
    <mergeCell ref="O179:O187"/>
    <mergeCell ref="AQ179:AQ187"/>
    <mergeCell ref="J183:J187"/>
    <mergeCell ref="K183:K187"/>
    <mergeCell ref="L183:L187"/>
    <mergeCell ref="M183:M187"/>
    <mergeCell ref="Q183:Q187"/>
    <mergeCell ref="T183:T187"/>
    <mergeCell ref="U183:U184"/>
    <mergeCell ref="AK179:AK187"/>
    <mergeCell ref="AL179:AL187"/>
    <mergeCell ref="AM179:AM187"/>
    <mergeCell ref="AN179:AN187"/>
    <mergeCell ref="AO179:AO187"/>
    <mergeCell ref="AP179:AP187"/>
    <mergeCell ref="AE179:AE187"/>
    <mergeCell ref="AF179:AF187"/>
    <mergeCell ref="AG179:AG187"/>
    <mergeCell ref="AH179:AH187"/>
    <mergeCell ref="AI179:AI187"/>
    <mergeCell ref="AJ179:AJ187"/>
    <mergeCell ref="Y179:Y187"/>
    <mergeCell ref="Z179:Z187"/>
    <mergeCell ref="AA179:AA187"/>
    <mergeCell ref="AB179:AB187"/>
    <mergeCell ref="Y189:Y199"/>
    <mergeCell ref="Q195:Q199"/>
    <mergeCell ref="T195:T199"/>
    <mergeCell ref="J189:J194"/>
    <mergeCell ref="K189:K194"/>
    <mergeCell ref="L189:L194"/>
    <mergeCell ref="M189:M194"/>
    <mergeCell ref="N189:N199"/>
    <mergeCell ref="O189:O199"/>
    <mergeCell ref="J195:J199"/>
    <mergeCell ref="K195:K199"/>
    <mergeCell ref="L195:L199"/>
    <mergeCell ref="M195:M199"/>
    <mergeCell ref="M206:M207"/>
    <mergeCell ref="AL189:AL199"/>
    <mergeCell ref="AM189:AM199"/>
    <mergeCell ref="AN189:AN199"/>
    <mergeCell ref="AO189:AO199"/>
    <mergeCell ref="AP189:AP199"/>
    <mergeCell ref="AQ189:AQ199"/>
    <mergeCell ref="AF189:AF199"/>
    <mergeCell ref="AG189:AG199"/>
    <mergeCell ref="AH189:AH199"/>
    <mergeCell ref="AI189:AI199"/>
    <mergeCell ref="AJ189:AJ199"/>
    <mergeCell ref="AK189:AK199"/>
    <mergeCell ref="Z189:Z199"/>
    <mergeCell ref="AA189:AA199"/>
    <mergeCell ref="AB189:AB199"/>
    <mergeCell ref="AC189:AC199"/>
    <mergeCell ref="AD189:AD199"/>
    <mergeCell ref="AE189:AE199"/>
    <mergeCell ref="P189:P199"/>
    <mergeCell ref="Q189:Q194"/>
    <mergeCell ref="R189:R199"/>
    <mergeCell ref="S189:S199"/>
    <mergeCell ref="T189:T194"/>
    <mergeCell ref="AP201:AP216"/>
    <mergeCell ref="AQ201:AQ216"/>
    <mergeCell ref="U202:U204"/>
    <mergeCell ref="U206:U207"/>
    <mergeCell ref="AG201:AG216"/>
    <mergeCell ref="AH201:AH216"/>
    <mergeCell ref="AI201:AI216"/>
    <mergeCell ref="AJ201:AJ216"/>
    <mergeCell ref="AK201:AK216"/>
    <mergeCell ref="AL201:AL216"/>
    <mergeCell ref="AA201:AA216"/>
    <mergeCell ref="AB201:AB216"/>
    <mergeCell ref="AC201:AC216"/>
    <mergeCell ref="AD201:AD216"/>
    <mergeCell ref="AE201:AE216"/>
    <mergeCell ref="AF201:AF216"/>
    <mergeCell ref="Y201:Y216"/>
    <mergeCell ref="Z201:Z216"/>
    <mergeCell ref="J208:J216"/>
    <mergeCell ref="K208:K216"/>
    <mergeCell ref="L208:L216"/>
    <mergeCell ref="M208:M216"/>
    <mergeCell ref="Q208:Q216"/>
    <mergeCell ref="U209:U210"/>
    <mergeCell ref="AM201:AM216"/>
    <mergeCell ref="AN201:AN216"/>
    <mergeCell ref="AO201:AO216"/>
    <mergeCell ref="Q201:Q205"/>
    <mergeCell ref="R201:R216"/>
    <mergeCell ref="S201:S216"/>
    <mergeCell ref="T201:T205"/>
    <mergeCell ref="Q206:Q207"/>
    <mergeCell ref="T206:T216"/>
    <mergeCell ref="J201:J205"/>
    <mergeCell ref="K201:K205"/>
    <mergeCell ref="L201:L205"/>
    <mergeCell ref="M201:M205"/>
    <mergeCell ref="O201:O216"/>
    <mergeCell ref="P201:P216"/>
    <mergeCell ref="J206:J207"/>
    <mergeCell ref="K206:K207"/>
    <mergeCell ref="L206:L207"/>
    <mergeCell ref="J218:J224"/>
    <mergeCell ref="K218:K224"/>
    <mergeCell ref="L218:L224"/>
    <mergeCell ref="M218:M224"/>
    <mergeCell ref="N218:N248"/>
    <mergeCell ref="O218:O248"/>
    <mergeCell ref="J225:J233"/>
    <mergeCell ref="K225:K233"/>
    <mergeCell ref="L225:L233"/>
    <mergeCell ref="M225:M233"/>
    <mergeCell ref="Z218:Z248"/>
    <mergeCell ref="AA218:AA248"/>
    <mergeCell ref="AB218:AB248"/>
    <mergeCell ref="AC218:AC248"/>
    <mergeCell ref="AD218:AD248"/>
    <mergeCell ref="AE218:AE248"/>
    <mergeCell ref="P218:P248"/>
    <mergeCell ref="Q218:Q224"/>
    <mergeCell ref="R218:R248"/>
    <mergeCell ref="S218:S248"/>
    <mergeCell ref="T218:T224"/>
    <mergeCell ref="Y218:Y248"/>
    <mergeCell ref="U223:U224"/>
    <mergeCell ref="Q225:Q233"/>
    <mergeCell ref="T225:T233"/>
    <mergeCell ref="U227:U228"/>
    <mergeCell ref="AL218:AL248"/>
    <mergeCell ref="AM218:AM248"/>
    <mergeCell ref="AN218:AN248"/>
    <mergeCell ref="AO218:AO248"/>
    <mergeCell ref="AP218:AP248"/>
    <mergeCell ref="AQ218:AQ248"/>
    <mergeCell ref="AF218:AF248"/>
    <mergeCell ref="AG218:AG248"/>
    <mergeCell ref="AH218:AH248"/>
    <mergeCell ref="AI218:AI248"/>
    <mergeCell ref="AJ218:AJ248"/>
    <mergeCell ref="AK218:AK248"/>
    <mergeCell ref="U237:U238"/>
    <mergeCell ref="J241:J248"/>
    <mergeCell ref="K241:K248"/>
    <mergeCell ref="L241:L248"/>
    <mergeCell ref="M241:M248"/>
    <mergeCell ref="Q241:Q248"/>
    <mergeCell ref="T241:T248"/>
    <mergeCell ref="J234:J240"/>
    <mergeCell ref="K234:K240"/>
    <mergeCell ref="L234:L240"/>
    <mergeCell ref="M234:M240"/>
    <mergeCell ref="Q234:Q240"/>
    <mergeCell ref="T234:T240"/>
    <mergeCell ref="S250:S257"/>
    <mergeCell ref="T250:T256"/>
    <mergeCell ref="U250:U251"/>
    <mergeCell ref="J250:J256"/>
    <mergeCell ref="K250:K256"/>
    <mergeCell ref="L250:L254"/>
    <mergeCell ref="M250:M256"/>
    <mergeCell ref="N250:N257"/>
    <mergeCell ref="O250:O257"/>
    <mergeCell ref="J259:J269"/>
    <mergeCell ref="K259:K269"/>
    <mergeCell ref="L259:L269"/>
    <mergeCell ref="M259:M269"/>
    <mergeCell ref="N259:N269"/>
    <mergeCell ref="O259:O269"/>
    <mergeCell ref="P259:P269"/>
    <mergeCell ref="AK250:AK257"/>
    <mergeCell ref="AL250:AL257"/>
    <mergeCell ref="AE250:AE257"/>
    <mergeCell ref="AF250:AF257"/>
    <mergeCell ref="AG250:AG257"/>
    <mergeCell ref="AH250:AH257"/>
    <mergeCell ref="AI250:AI257"/>
    <mergeCell ref="AJ250:AJ257"/>
    <mergeCell ref="Y250:Y257"/>
    <mergeCell ref="Z250:Z257"/>
    <mergeCell ref="AA250:AA257"/>
    <mergeCell ref="AB250:AB257"/>
    <mergeCell ref="AC250:AC257"/>
    <mergeCell ref="AD250:AD257"/>
    <mergeCell ref="P250:P257"/>
    <mergeCell ref="Q250:Q256"/>
    <mergeCell ref="R250:R257"/>
    <mergeCell ref="T259:T265"/>
    <mergeCell ref="U259:U262"/>
    <mergeCell ref="Y259:Y269"/>
    <mergeCell ref="T266:T267"/>
    <mergeCell ref="T268:T269"/>
    <mergeCell ref="U268:U269"/>
    <mergeCell ref="AQ250:AQ257"/>
    <mergeCell ref="U252:U253"/>
    <mergeCell ref="U255:U256"/>
    <mergeCell ref="AM250:AM257"/>
    <mergeCell ref="AN250:AN257"/>
    <mergeCell ref="AO250:AO257"/>
    <mergeCell ref="AP250:AP257"/>
    <mergeCell ref="K276:K281"/>
    <mergeCell ref="L276:L281"/>
    <mergeCell ref="M276:M281"/>
    <mergeCell ref="AL259:AL269"/>
    <mergeCell ref="AM259:AM269"/>
    <mergeCell ref="AN259:AN269"/>
    <mergeCell ref="AO259:AO269"/>
    <mergeCell ref="AP259:AP269"/>
    <mergeCell ref="AQ259:AQ269"/>
    <mergeCell ref="AF259:AF269"/>
    <mergeCell ref="AG259:AG269"/>
    <mergeCell ref="AH259:AH269"/>
    <mergeCell ref="AI259:AI269"/>
    <mergeCell ref="AJ259:AJ269"/>
    <mergeCell ref="AK259:AK269"/>
    <mergeCell ref="Z259:Z269"/>
    <mergeCell ref="AA259:AA269"/>
    <mergeCell ref="AB259:AB269"/>
    <mergeCell ref="AC259:AC269"/>
    <mergeCell ref="AD259:AD269"/>
    <mergeCell ref="AE259:AE269"/>
    <mergeCell ref="Q259:Q269"/>
    <mergeCell ref="R259:R269"/>
    <mergeCell ref="S259:S269"/>
    <mergeCell ref="AA270:AA281"/>
    <mergeCell ref="AB270:AB281"/>
    <mergeCell ref="AC270:AC281"/>
    <mergeCell ref="AD270:AD281"/>
    <mergeCell ref="AE270:AE281"/>
    <mergeCell ref="P270:P281"/>
    <mergeCell ref="Q270:Q275"/>
    <mergeCell ref="R270:R281"/>
    <mergeCell ref="S270:S281"/>
    <mergeCell ref="T270:T275"/>
    <mergeCell ref="Y270:Y281"/>
    <mergeCell ref="U271:U272"/>
    <mergeCell ref="U273:U274"/>
    <mergeCell ref="Q276:Q281"/>
    <mergeCell ref="T276:T281"/>
    <mergeCell ref="AL270:AL281"/>
    <mergeCell ref="AM270:AM281"/>
    <mergeCell ref="AN270:AN281"/>
    <mergeCell ref="AO270:AO281"/>
    <mergeCell ref="AP270:AP281"/>
    <mergeCell ref="AQ270:AQ281"/>
    <mergeCell ref="AF270:AF281"/>
    <mergeCell ref="AG270:AG281"/>
    <mergeCell ref="AH270:AH281"/>
    <mergeCell ref="AI270:AI281"/>
    <mergeCell ref="AJ270:AJ281"/>
    <mergeCell ref="AK270:AK281"/>
    <mergeCell ref="Y284:Y294"/>
    <mergeCell ref="Z284:Z294"/>
    <mergeCell ref="Q291:Q294"/>
    <mergeCell ref="T291:T294"/>
    <mergeCell ref="U291:U292"/>
    <mergeCell ref="U293:U294"/>
    <mergeCell ref="U278:U279"/>
    <mergeCell ref="D283:F294"/>
    <mergeCell ref="G284:I285"/>
    <mergeCell ref="J284:J285"/>
    <mergeCell ref="K284:K285"/>
    <mergeCell ref="L284:L285"/>
    <mergeCell ref="M284:M285"/>
    <mergeCell ref="N284:N285"/>
    <mergeCell ref="O284:O294"/>
    <mergeCell ref="P284:P294"/>
    <mergeCell ref="Z270:Z281"/>
    <mergeCell ref="J270:J275"/>
    <mergeCell ref="K270:K275"/>
    <mergeCell ref="L270:L275"/>
    <mergeCell ref="M270:M275"/>
    <mergeCell ref="N270:N281"/>
    <mergeCell ref="O270:O281"/>
    <mergeCell ref="J276:J281"/>
    <mergeCell ref="AM284:AM294"/>
    <mergeCell ref="AN284:AN294"/>
    <mergeCell ref="AO284:AO294"/>
    <mergeCell ref="AP284:AP294"/>
    <mergeCell ref="AQ284:AQ294"/>
    <mergeCell ref="G287:I289"/>
    <mergeCell ref="J287:J289"/>
    <mergeCell ref="K287:K289"/>
    <mergeCell ref="L287:L289"/>
    <mergeCell ref="M287:M289"/>
    <mergeCell ref="AG284:AG294"/>
    <mergeCell ref="AH284:AH294"/>
    <mergeCell ref="AI284:AI294"/>
    <mergeCell ref="AJ284:AJ294"/>
    <mergeCell ref="AK284:AK294"/>
    <mergeCell ref="AL284:AL294"/>
    <mergeCell ref="AA284:AA294"/>
    <mergeCell ref="AB284:AB294"/>
    <mergeCell ref="AC284:AC294"/>
    <mergeCell ref="AD284:AD294"/>
    <mergeCell ref="AE284:AE294"/>
    <mergeCell ref="AF284:AF294"/>
    <mergeCell ref="Q284:Q285"/>
    <mergeCell ref="R284:R294"/>
    <mergeCell ref="N287:N289"/>
    <mergeCell ref="Q287:Q289"/>
    <mergeCell ref="T287:T289"/>
    <mergeCell ref="U287:U289"/>
    <mergeCell ref="G291:I294"/>
    <mergeCell ref="J291:J294"/>
    <mergeCell ref="K291:K294"/>
    <mergeCell ref="L291:L294"/>
    <mergeCell ref="M291:M294"/>
    <mergeCell ref="N291:N294"/>
    <mergeCell ref="S284:S294"/>
    <mergeCell ref="T284:T285"/>
    <mergeCell ref="Z297:Z312"/>
    <mergeCell ref="AA297:AA312"/>
    <mergeCell ref="AB297:AB312"/>
    <mergeCell ref="AC297:AC312"/>
    <mergeCell ref="AD297:AD312"/>
    <mergeCell ref="AE297:AE312"/>
    <mergeCell ref="N297:N312"/>
    <mergeCell ref="O297:O312"/>
    <mergeCell ref="P297:P312"/>
    <mergeCell ref="R297:R312"/>
    <mergeCell ref="S297:S312"/>
    <mergeCell ref="Y297:Y312"/>
    <mergeCell ref="U298:U310"/>
    <mergeCell ref="AL297:AL312"/>
    <mergeCell ref="AM297:AM312"/>
    <mergeCell ref="AN297:AN312"/>
    <mergeCell ref="AO297:AO312"/>
    <mergeCell ref="AP297:AP312"/>
    <mergeCell ref="AQ297:AQ312"/>
    <mergeCell ref="AF297:AF312"/>
    <mergeCell ref="AG297:AG312"/>
    <mergeCell ref="AH297:AH312"/>
    <mergeCell ref="AI297:AI312"/>
    <mergeCell ref="AJ297:AJ312"/>
    <mergeCell ref="AK297:AK312"/>
    <mergeCell ref="J311:J312"/>
    <mergeCell ref="K311:K312"/>
    <mergeCell ref="L311:L312"/>
    <mergeCell ref="M311:M312"/>
    <mergeCell ref="Q311:Q312"/>
    <mergeCell ref="T311:T312"/>
    <mergeCell ref="J298:J310"/>
    <mergeCell ref="K298:K310"/>
    <mergeCell ref="L298:L310"/>
    <mergeCell ref="M298:M310"/>
    <mergeCell ref="Q298:Q310"/>
    <mergeCell ref="T298:T310"/>
    <mergeCell ref="AA313:AM313"/>
    <mergeCell ref="J314:J316"/>
    <mergeCell ref="K314:K316"/>
    <mergeCell ref="L314:L316"/>
    <mergeCell ref="M314:M316"/>
    <mergeCell ref="N314:N316"/>
    <mergeCell ref="O314:O316"/>
    <mergeCell ref="P314:P316"/>
    <mergeCell ref="Q314:Q316"/>
    <mergeCell ref="R314:R316"/>
    <mergeCell ref="S314:S316"/>
    <mergeCell ref="AO314:AO316"/>
    <mergeCell ref="AP314:AP316"/>
    <mergeCell ref="AQ314:AQ316"/>
    <mergeCell ref="AA317:AM317"/>
    <mergeCell ref="J318:J321"/>
    <mergeCell ref="K318:K321"/>
    <mergeCell ref="L318:L321"/>
    <mergeCell ref="M318:M321"/>
    <mergeCell ref="N318:N322"/>
    <mergeCell ref="AA318:AA322"/>
    <mergeCell ref="AB318:AB322"/>
    <mergeCell ref="AC318:AC322"/>
    <mergeCell ref="AD318:AD322"/>
    <mergeCell ref="O318:O322"/>
    <mergeCell ref="P318:P322"/>
    <mergeCell ref="Q318:Q320"/>
    <mergeCell ref="R318:R322"/>
    <mergeCell ref="S318:S322"/>
    <mergeCell ref="T318:T320"/>
    <mergeCell ref="AQ318:AQ322"/>
    <mergeCell ref="Q321:Q322"/>
    <mergeCell ref="T321:T322"/>
    <mergeCell ref="J323:J330"/>
    <mergeCell ref="K323:K330"/>
    <mergeCell ref="L323:L330"/>
    <mergeCell ref="M323:M330"/>
    <mergeCell ref="N323:N330"/>
    <mergeCell ref="O323:O330"/>
    <mergeCell ref="P323:P330"/>
    <mergeCell ref="AK318:AK322"/>
    <mergeCell ref="AL318:AL322"/>
    <mergeCell ref="AM318:AM322"/>
    <mergeCell ref="AN318:AN322"/>
    <mergeCell ref="AO318:AO322"/>
    <mergeCell ref="AP318:AP322"/>
    <mergeCell ref="AE318:AE322"/>
    <mergeCell ref="AF318:AF322"/>
    <mergeCell ref="AG318:AG322"/>
    <mergeCell ref="AH318:AH322"/>
    <mergeCell ref="AI318:AI322"/>
    <mergeCell ref="AJ318:AJ322"/>
    <mergeCell ref="Y318:Y322"/>
    <mergeCell ref="Z318:Z322"/>
    <mergeCell ref="Z323:Z330"/>
    <mergeCell ref="AA323:AA330"/>
    <mergeCell ref="AB323:AB330"/>
    <mergeCell ref="AC323:AC330"/>
    <mergeCell ref="AD323:AD330"/>
    <mergeCell ref="AE323:AE330"/>
    <mergeCell ref="Q323:Q330"/>
    <mergeCell ref="R323:R330"/>
    <mergeCell ref="S323:S330"/>
    <mergeCell ref="T323:T329"/>
    <mergeCell ref="U323:U324"/>
    <mergeCell ref="Y323:Y330"/>
    <mergeCell ref="U326:U327"/>
    <mergeCell ref="AL323:AL330"/>
    <mergeCell ref="AM323:AM330"/>
    <mergeCell ref="AN323:AN330"/>
    <mergeCell ref="AO323:AO330"/>
    <mergeCell ref="AP323:AP330"/>
    <mergeCell ref="AQ323:AQ330"/>
    <mergeCell ref="AF323:AF330"/>
    <mergeCell ref="AG323:AG330"/>
    <mergeCell ref="AH323:AH330"/>
    <mergeCell ref="AI323:AI330"/>
    <mergeCell ref="AJ323:AJ330"/>
    <mergeCell ref="AK323:AK330"/>
    <mergeCell ref="Z332:Z341"/>
    <mergeCell ref="AA332:AA341"/>
    <mergeCell ref="AB332:AB341"/>
    <mergeCell ref="AC332:AC341"/>
    <mergeCell ref="AD332:AD341"/>
    <mergeCell ref="AE332:AE341"/>
    <mergeCell ref="P332:P341"/>
    <mergeCell ref="Q332:Q335"/>
    <mergeCell ref="R332:R341"/>
    <mergeCell ref="S332:S341"/>
    <mergeCell ref="T332:T335"/>
    <mergeCell ref="Y332:Y341"/>
    <mergeCell ref="U334:U335"/>
    <mergeCell ref="Q336:Q337"/>
    <mergeCell ref="T336:T337"/>
    <mergeCell ref="U336:U337"/>
    <mergeCell ref="AL332:AL341"/>
    <mergeCell ref="AM332:AM341"/>
    <mergeCell ref="AN332:AN341"/>
    <mergeCell ref="AO332:AO341"/>
    <mergeCell ref="AP332:AP341"/>
    <mergeCell ref="AQ332:AQ341"/>
    <mergeCell ref="AF332:AF341"/>
    <mergeCell ref="AG332:AG341"/>
    <mergeCell ref="AH332:AH341"/>
    <mergeCell ref="AI332:AI341"/>
    <mergeCell ref="AJ332:AJ341"/>
    <mergeCell ref="AK332:AK341"/>
    <mergeCell ref="Q338:Q341"/>
    <mergeCell ref="T338:T340"/>
    <mergeCell ref="J343:J345"/>
    <mergeCell ref="K343:K345"/>
    <mergeCell ref="L343:L345"/>
    <mergeCell ref="M343:M345"/>
    <mergeCell ref="N343:N347"/>
    <mergeCell ref="O343:O347"/>
    <mergeCell ref="P343:P347"/>
    <mergeCell ref="Q343:Q347"/>
    <mergeCell ref="J332:J340"/>
    <mergeCell ref="K332:K340"/>
    <mergeCell ref="L332:L337"/>
    <mergeCell ref="M332:M340"/>
    <mergeCell ref="N332:N341"/>
    <mergeCell ref="O332:O341"/>
    <mergeCell ref="L338:L341"/>
    <mergeCell ref="AQ343:AQ347"/>
    <mergeCell ref="U345:U346"/>
    <mergeCell ref="N350:N356"/>
    <mergeCell ref="O350:O356"/>
    <mergeCell ref="P350:P356"/>
    <mergeCell ref="R350:R356"/>
    <mergeCell ref="S350:S356"/>
    <mergeCell ref="AH343:AH347"/>
    <mergeCell ref="AI343:AI347"/>
    <mergeCell ref="AJ343:AJ347"/>
    <mergeCell ref="AK343:AK347"/>
    <mergeCell ref="AL343:AL347"/>
    <mergeCell ref="AM343:AM347"/>
    <mergeCell ref="AB343:AB347"/>
    <mergeCell ref="AC343:AC347"/>
    <mergeCell ref="AD343:AD347"/>
    <mergeCell ref="AE343:AE347"/>
    <mergeCell ref="AF343:AF347"/>
    <mergeCell ref="AG343:AG347"/>
    <mergeCell ref="R343:R347"/>
    <mergeCell ref="S343:S347"/>
    <mergeCell ref="T343:T346"/>
    <mergeCell ref="Y343:Y347"/>
    <mergeCell ref="Z343:Z347"/>
    <mergeCell ref="Y350:Y356"/>
    <mergeCell ref="Z350:Z356"/>
    <mergeCell ref="AA350:AA356"/>
    <mergeCell ref="AB350:AB356"/>
    <mergeCell ref="AC350:AC356"/>
    <mergeCell ref="AD350:AD356"/>
    <mergeCell ref="AN343:AN347"/>
    <mergeCell ref="AO343:AO347"/>
    <mergeCell ref="AP343:AP347"/>
    <mergeCell ref="AA343:AA347"/>
    <mergeCell ref="A357:Q357"/>
    <mergeCell ref="K361:M361"/>
    <mergeCell ref="K362:M362"/>
    <mergeCell ref="AQ350:AQ356"/>
    <mergeCell ref="J351:J355"/>
    <mergeCell ref="K351:K355"/>
    <mergeCell ref="L351:L355"/>
    <mergeCell ref="M351:M355"/>
    <mergeCell ref="Q351:Q353"/>
    <mergeCell ref="T351:T353"/>
    <mergeCell ref="Q354:Q355"/>
    <mergeCell ref="T354:T355"/>
    <mergeCell ref="AK350:AK356"/>
    <mergeCell ref="AL350:AL356"/>
    <mergeCell ref="AM350:AM356"/>
    <mergeCell ref="AN350:AN356"/>
    <mergeCell ref="AO350:AO356"/>
    <mergeCell ref="AP350:AP356"/>
    <mergeCell ref="AE350:AE356"/>
    <mergeCell ref="AF350:AF356"/>
    <mergeCell ref="AG350:AG356"/>
    <mergeCell ref="AH350:AH356"/>
    <mergeCell ref="AI350:AI356"/>
    <mergeCell ref="AJ350:AJ356"/>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
  <sheetViews>
    <sheetView showGridLines="0" topLeftCell="A2" zoomScale="70" zoomScaleNormal="70" workbookViewId="0">
      <selection activeCell="M18" sqref="M18:M21"/>
    </sheetView>
  </sheetViews>
  <sheetFormatPr baseColWidth="10" defaultColWidth="11.42578125" defaultRowHeight="15" x14ac:dyDescent="0.2"/>
  <cols>
    <col min="1" max="1" width="10.7109375" style="3" customWidth="1"/>
    <col min="2" max="2" width="6" style="3" customWidth="1"/>
    <col min="3" max="3" width="9.42578125" style="3" customWidth="1"/>
    <col min="4" max="4" width="12.42578125" style="3" customWidth="1"/>
    <col min="5" max="5" width="5.85546875" style="3" customWidth="1"/>
    <col min="6" max="6" width="12.7109375" style="3" customWidth="1"/>
    <col min="7" max="7" width="14" style="3" customWidth="1"/>
    <col min="8" max="8" width="6.5703125" style="3" customWidth="1"/>
    <col min="9" max="9" width="14.7109375" style="3" customWidth="1"/>
    <col min="10" max="10" width="11" style="164" customWidth="1"/>
    <col min="11" max="11" width="35.7109375" style="164" customWidth="1"/>
    <col min="12" max="12" width="19.42578125" style="164" customWidth="1"/>
    <col min="13" max="13" width="18.42578125" style="164" customWidth="1"/>
    <col min="14" max="14" width="33" style="164" customWidth="1"/>
    <col min="15" max="15" width="20.42578125" style="164" customWidth="1"/>
    <col min="16" max="16" width="31.140625" style="164" customWidth="1"/>
    <col min="17" max="17" width="13.28515625" style="165" customWidth="1"/>
    <col min="18" max="18" width="22.7109375" style="164" customWidth="1"/>
    <col min="19" max="19" width="43.5703125" style="164" customWidth="1"/>
    <col min="20" max="20" width="45.140625" style="164" customWidth="1"/>
    <col min="21" max="21" width="30.5703125" style="164" customWidth="1"/>
    <col min="22" max="22" width="22" style="3" customWidth="1"/>
    <col min="23" max="23" width="11.7109375" style="3" customWidth="1"/>
    <col min="24" max="24" width="34.7109375" style="3" bestFit="1" customWidth="1"/>
    <col min="25" max="26" width="11" style="3" bestFit="1" customWidth="1"/>
    <col min="27" max="27" width="9.5703125" style="3" bestFit="1" customWidth="1"/>
    <col min="28" max="28" width="8.7109375" style="3" bestFit="1" customWidth="1"/>
    <col min="29" max="29" width="9.5703125" style="3" customWidth="1"/>
    <col min="30" max="30" width="9" style="3" bestFit="1" customWidth="1"/>
    <col min="31" max="31" width="7.28515625" style="3" bestFit="1" customWidth="1"/>
    <col min="32" max="32" width="8.28515625" style="3" bestFit="1" customWidth="1"/>
    <col min="33" max="36" width="6.42578125" style="3" customWidth="1"/>
    <col min="37" max="37" width="8.7109375" style="3" bestFit="1" customWidth="1"/>
    <col min="38" max="39" width="9" style="3" bestFit="1" customWidth="1"/>
    <col min="40" max="40" width="13.5703125" style="3" customWidth="1"/>
    <col min="41" max="41" width="18.42578125" style="3" customWidth="1"/>
    <col min="42" max="42" width="18.85546875" style="3" customWidth="1"/>
    <col min="43" max="43" width="28" style="3" customWidth="1"/>
    <col min="44" max="44" width="22.5703125" style="3" customWidth="1"/>
    <col min="45" max="16384" width="11.42578125" style="3"/>
  </cols>
  <sheetData>
    <row r="1" spans="1:44" hidden="1" x14ac:dyDescent="0.2">
      <c r="A1" s="2548" t="s">
        <v>2414</v>
      </c>
      <c r="B1" s="2549"/>
      <c r="C1" s="2549"/>
      <c r="D1" s="2549"/>
      <c r="E1" s="2549"/>
      <c r="F1" s="2549"/>
      <c r="G1" s="2549"/>
      <c r="H1" s="2549"/>
      <c r="I1" s="2549"/>
      <c r="J1" s="2549"/>
      <c r="K1" s="2549"/>
      <c r="L1" s="2549"/>
      <c r="M1" s="2549"/>
      <c r="N1" s="2549"/>
      <c r="O1" s="2549"/>
      <c r="P1" s="2549"/>
      <c r="Q1" s="2549"/>
      <c r="R1" s="2549"/>
      <c r="S1" s="2549"/>
      <c r="T1" s="2549"/>
      <c r="U1" s="2549"/>
      <c r="V1" s="2549"/>
      <c r="W1" s="2549"/>
      <c r="X1" s="2549"/>
      <c r="Y1" s="2549"/>
      <c r="Z1" s="2549"/>
      <c r="AA1" s="2549"/>
      <c r="AB1" s="2549"/>
      <c r="AC1" s="2549"/>
      <c r="AD1" s="2549"/>
      <c r="AE1" s="2549"/>
      <c r="AF1" s="2549"/>
      <c r="AG1" s="2549"/>
      <c r="AH1" s="2549"/>
      <c r="AI1" s="2549"/>
      <c r="AJ1" s="2549"/>
      <c r="AK1" s="2549"/>
      <c r="AL1" s="2549"/>
      <c r="AM1" s="2549"/>
      <c r="AN1" s="2549"/>
      <c r="AO1" s="2549"/>
      <c r="AP1" s="1" t="s">
        <v>1</v>
      </c>
      <c r="AQ1" s="2" t="s">
        <v>2</v>
      </c>
    </row>
    <row r="2" spans="1:44" x14ac:dyDescent="0.2">
      <c r="A2" s="2550"/>
      <c r="B2" s="2551"/>
      <c r="C2" s="2551"/>
      <c r="D2" s="2551"/>
      <c r="E2" s="2551"/>
      <c r="F2" s="2551"/>
      <c r="G2" s="2551"/>
      <c r="H2" s="2551"/>
      <c r="I2" s="2551"/>
      <c r="J2" s="2551"/>
      <c r="K2" s="2551"/>
      <c r="L2" s="2551"/>
      <c r="M2" s="2551"/>
      <c r="N2" s="2551"/>
      <c r="O2" s="2551"/>
      <c r="P2" s="2551"/>
      <c r="Q2" s="2551"/>
      <c r="R2" s="2551"/>
      <c r="S2" s="2551"/>
      <c r="T2" s="2551"/>
      <c r="U2" s="2551"/>
      <c r="V2" s="2551"/>
      <c r="W2" s="2551"/>
      <c r="X2" s="2551"/>
      <c r="Y2" s="2551"/>
      <c r="Z2" s="2551"/>
      <c r="AA2" s="2551"/>
      <c r="AB2" s="2551"/>
      <c r="AC2" s="2551"/>
      <c r="AD2" s="2551"/>
      <c r="AE2" s="2551"/>
      <c r="AF2" s="2551"/>
      <c r="AG2" s="2551"/>
      <c r="AH2" s="2551"/>
      <c r="AI2" s="2551"/>
      <c r="AJ2" s="2551"/>
      <c r="AK2" s="2551"/>
      <c r="AL2" s="2551"/>
      <c r="AM2" s="2551"/>
      <c r="AN2" s="2551"/>
      <c r="AO2" s="2551"/>
      <c r="AP2" s="4" t="s">
        <v>3</v>
      </c>
      <c r="AQ2" s="5" t="s">
        <v>4</v>
      </c>
    </row>
    <row r="3" spans="1:44" ht="24.75" customHeight="1" x14ac:dyDescent="0.2">
      <c r="A3" s="2550"/>
      <c r="B3" s="2551"/>
      <c r="C3" s="2551"/>
      <c r="D3" s="2551"/>
      <c r="E3" s="2551"/>
      <c r="F3" s="2551"/>
      <c r="G3" s="2551"/>
      <c r="H3" s="2551"/>
      <c r="I3" s="2551"/>
      <c r="J3" s="2551"/>
      <c r="K3" s="2551"/>
      <c r="L3" s="2551"/>
      <c r="M3" s="2551"/>
      <c r="N3" s="2551"/>
      <c r="O3" s="2551"/>
      <c r="P3" s="2551"/>
      <c r="Q3" s="2551"/>
      <c r="R3" s="2551"/>
      <c r="S3" s="2551"/>
      <c r="T3" s="2551"/>
      <c r="U3" s="2551"/>
      <c r="V3" s="2551"/>
      <c r="W3" s="2551"/>
      <c r="X3" s="2551"/>
      <c r="Y3" s="2551"/>
      <c r="Z3" s="2551"/>
      <c r="AA3" s="2551"/>
      <c r="AB3" s="2551"/>
      <c r="AC3" s="2551"/>
      <c r="AD3" s="2551"/>
      <c r="AE3" s="2551"/>
      <c r="AF3" s="2551"/>
      <c r="AG3" s="2551"/>
      <c r="AH3" s="2551"/>
      <c r="AI3" s="2551"/>
      <c r="AJ3" s="2551"/>
      <c r="AK3" s="2551"/>
      <c r="AL3" s="2551"/>
      <c r="AM3" s="2551"/>
      <c r="AN3" s="2551"/>
      <c r="AO3" s="2551"/>
      <c r="AP3" s="6" t="s">
        <v>5</v>
      </c>
      <c r="AQ3" s="2366" t="s">
        <v>6</v>
      </c>
    </row>
    <row r="4" spans="1:44" ht="27" customHeight="1" x14ac:dyDescent="0.2">
      <c r="A4" s="2552"/>
      <c r="B4" s="2553"/>
      <c r="C4" s="2553"/>
      <c r="D4" s="2553"/>
      <c r="E4" s="2553"/>
      <c r="F4" s="2553"/>
      <c r="G4" s="2553"/>
      <c r="H4" s="2553"/>
      <c r="I4" s="2553"/>
      <c r="J4" s="2553"/>
      <c r="K4" s="2553"/>
      <c r="L4" s="2553"/>
      <c r="M4" s="2553"/>
      <c r="N4" s="2553"/>
      <c r="O4" s="2553"/>
      <c r="P4" s="2553"/>
      <c r="Q4" s="2553"/>
      <c r="R4" s="2553"/>
      <c r="S4" s="2553"/>
      <c r="T4" s="2553"/>
      <c r="U4" s="2553"/>
      <c r="V4" s="2553"/>
      <c r="W4" s="2553"/>
      <c r="X4" s="2553"/>
      <c r="Y4" s="2553"/>
      <c r="Z4" s="2553"/>
      <c r="AA4" s="2553"/>
      <c r="AB4" s="2553"/>
      <c r="AC4" s="2553"/>
      <c r="AD4" s="2553"/>
      <c r="AE4" s="2553"/>
      <c r="AF4" s="2553"/>
      <c r="AG4" s="2553"/>
      <c r="AH4" s="2553"/>
      <c r="AI4" s="2553"/>
      <c r="AJ4" s="2553"/>
      <c r="AK4" s="2553"/>
      <c r="AL4" s="2553"/>
      <c r="AM4" s="2553"/>
      <c r="AN4" s="2553"/>
      <c r="AO4" s="2553"/>
      <c r="AP4" s="6" t="s">
        <v>7</v>
      </c>
      <c r="AQ4" s="8" t="s">
        <v>8</v>
      </c>
    </row>
    <row r="5" spans="1:44" ht="15.75" customHeight="1" x14ac:dyDescent="0.2">
      <c r="A5" s="2554" t="s">
        <v>9</v>
      </c>
      <c r="B5" s="2555"/>
      <c r="C5" s="2555"/>
      <c r="D5" s="2555"/>
      <c r="E5" s="2555"/>
      <c r="F5" s="2555"/>
      <c r="G5" s="2555"/>
      <c r="H5" s="2555"/>
      <c r="I5" s="2555"/>
      <c r="J5" s="2555"/>
      <c r="K5" s="2555"/>
      <c r="L5" s="2555"/>
      <c r="M5" s="2555"/>
      <c r="N5" s="2558" t="s">
        <v>10</v>
      </c>
      <c r="O5" s="2558"/>
      <c r="P5" s="2558"/>
      <c r="Q5" s="2558"/>
      <c r="R5" s="2558"/>
      <c r="S5" s="2558"/>
      <c r="T5" s="2558"/>
      <c r="U5" s="2558"/>
      <c r="V5" s="2558"/>
      <c r="W5" s="2558"/>
      <c r="X5" s="2558"/>
      <c r="Y5" s="2558"/>
      <c r="Z5" s="2558"/>
      <c r="AA5" s="2558"/>
      <c r="AB5" s="2558"/>
      <c r="AC5" s="2558"/>
      <c r="AD5" s="2558"/>
      <c r="AE5" s="2558"/>
      <c r="AF5" s="2558"/>
      <c r="AG5" s="2558"/>
      <c r="AH5" s="2558"/>
      <c r="AI5" s="2558"/>
      <c r="AJ5" s="2558"/>
      <c r="AK5" s="2558"/>
      <c r="AL5" s="2558"/>
      <c r="AM5" s="2558"/>
      <c r="AN5" s="2558"/>
      <c r="AO5" s="2558"/>
      <c r="AP5" s="2558"/>
      <c r="AQ5" s="2559"/>
    </row>
    <row r="6" spans="1:44" ht="15.75" x14ac:dyDescent="0.2">
      <c r="A6" s="2556"/>
      <c r="B6" s="2557"/>
      <c r="C6" s="2557"/>
      <c r="D6" s="2557"/>
      <c r="E6" s="2557"/>
      <c r="F6" s="2557"/>
      <c r="G6" s="2557"/>
      <c r="H6" s="2557"/>
      <c r="I6" s="2557"/>
      <c r="J6" s="2557"/>
      <c r="K6" s="2557"/>
      <c r="L6" s="2557"/>
      <c r="M6" s="2557"/>
      <c r="N6" s="9"/>
      <c r="O6" s="10"/>
      <c r="P6" s="10"/>
      <c r="Q6" s="11"/>
      <c r="R6" s="10"/>
      <c r="S6" s="10"/>
      <c r="T6" s="10"/>
      <c r="U6" s="10"/>
      <c r="V6" s="12"/>
      <c r="W6" s="12"/>
      <c r="X6" s="12"/>
      <c r="Y6" s="2560" t="s">
        <v>11</v>
      </c>
      <c r="Z6" s="2557"/>
      <c r="AA6" s="2557"/>
      <c r="AB6" s="2557"/>
      <c r="AC6" s="2557"/>
      <c r="AD6" s="2557"/>
      <c r="AE6" s="2557"/>
      <c r="AF6" s="2557"/>
      <c r="AG6" s="2557"/>
      <c r="AH6" s="2557"/>
      <c r="AI6" s="2557"/>
      <c r="AJ6" s="2557"/>
      <c r="AK6" s="2557"/>
      <c r="AL6" s="2557"/>
      <c r="AM6" s="2561"/>
      <c r="AN6" s="13"/>
      <c r="AO6" s="12"/>
      <c r="AP6" s="12"/>
      <c r="AQ6" s="14"/>
    </row>
    <row r="7" spans="1:44" ht="15.75" customHeight="1" x14ac:dyDescent="0.2">
      <c r="A7" s="2562" t="s">
        <v>12</v>
      </c>
      <c r="B7" s="2546" t="s">
        <v>13</v>
      </c>
      <c r="C7" s="2544"/>
      <c r="D7" s="2544" t="s">
        <v>12</v>
      </c>
      <c r="E7" s="2546" t="s">
        <v>14</v>
      </c>
      <c r="F7" s="2544"/>
      <c r="G7" s="2544" t="s">
        <v>12</v>
      </c>
      <c r="H7" s="2546" t="s">
        <v>15</v>
      </c>
      <c r="I7" s="2544"/>
      <c r="J7" s="2544" t="s">
        <v>12</v>
      </c>
      <c r="K7" s="2546" t="s">
        <v>16</v>
      </c>
      <c r="L7" s="2532" t="s">
        <v>17</v>
      </c>
      <c r="M7" s="2532" t="s">
        <v>18</v>
      </c>
      <c r="N7" s="2532" t="s">
        <v>19</v>
      </c>
      <c r="O7" s="2532" t="s">
        <v>20</v>
      </c>
      <c r="P7" s="2532" t="s">
        <v>10</v>
      </c>
      <c r="Q7" s="2540" t="s">
        <v>21</v>
      </c>
      <c r="R7" s="2542" t="s">
        <v>22</v>
      </c>
      <c r="S7" s="2532" t="s">
        <v>23</v>
      </c>
      <c r="T7" s="2532" t="s">
        <v>24</v>
      </c>
      <c r="U7" s="2532" t="s">
        <v>25</v>
      </c>
      <c r="V7" s="2532" t="s">
        <v>22</v>
      </c>
      <c r="W7" s="15"/>
      <c r="X7" s="2532" t="s">
        <v>26</v>
      </c>
      <c r="Y7" s="2534" t="s">
        <v>27</v>
      </c>
      <c r="Z7" s="2535"/>
      <c r="AA7" s="2536" t="s">
        <v>28</v>
      </c>
      <c r="AB7" s="2537"/>
      <c r="AC7" s="2537"/>
      <c r="AD7" s="2537"/>
      <c r="AE7" s="2538" t="s">
        <v>29</v>
      </c>
      <c r="AF7" s="2539"/>
      <c r="AG7" s="2539"/>
      <c r="AH7" s="2539"/>
      <c r="AI7" s="2539"/>
      <c r="AJ7" s="2539"/>
      <c r="AK7" s="2536" t="s">
        <v>30</v>
      </c>
      <c r="AL7" s="2537"/>
      <c r="AM7" s="2537"/>
      <c r="AN7" s="2520" t="s">
        <v>31</v>
      </c>
      <c r="AO7" s="2523" t="s">
        <v>32</v>
      </c>
      <c r="AP7" s="2523" t="s">
        <v>33</v>
      </c>
      <c r="AQ7" s="2526" t="s">
        <v>34</v>
      </c>
    </row>
    <row r="8" spans="1:44" x14ac:dyDescent="0.2">
      <c r="A8" s="2563"/>
      <c r="B8" s="2547"/>
      <c r="C8" s="2545"/>
      <c r="D8" s="2545"/>
      <c r="E8" s="2547"/>
      <c r="F8" s="2545"/>
      <c r="G8" s="2545"/>
      <c r="H8" s="2547"/>
      <c r="I8" s="2545"/>
      <c r="J8" s="2545"/>
      <c r="K8" s="2547"/>
      <c r="L8" s="2533"/>
      <c r="M8" s="2533"/>
      <c r="N8" s="2533"/>
      <c r="O8" s="2533"/>
      <c r="P8" s="2533"/>
      <c r="Q8" s="2541"/>
      <c r="R8" s="2543"/>
      <c r="S8" s="2533"/>
      <c r="T8" s="2533"/>
      <c r="U8" s="2533"/>
      <c r="V8" s="2533"/>
      <c r="W8" s="2528" t="s">
        <v>12</v>
      </c>
      <c r="X8" s="2533"/>
      <c r="Y8" s="2517" t="s">
        <v>35</v>
      </c>
      <c r="Z8" s="2529" t="s">
        <v>36</v>
      </c>
      <c r="AA8" s="2517" t="s">
        <v>37</v>
      </c>
      <c r="AB8" s="2517" t="s">
        <v>38</v>
      </c>
      <c r="AC8" s="2517" t="s">
        <v>39</v>
      </c>
      <c r="AD8" s="2517" t="s">
        <v>40</v>
      </c>
      <c r="AE8" s="2517" t="s">
        <v>41</v>
      </c>
      <c r="AF8" s="2517" t="s">
        <v>42</v>
      </c>
      <c r="AG8" s="2517" t="s">
        <v>43</v>
      </c>
      <c r="AH8" s="2517" t="s">
        <v>44</v>
      </c>
      <c r="AI8" s="2517" t="s">
        <v>45</v>
      </c>
      <c r="AJ8" s="2517" t="s">
        <v>46</v>
      </c>
      <c r="AK8" s="2517" t="s">
        <v>47</v>
      </c>
      <c r="AL8" s="2517" t="s">
        <v>48</v>
      </c>
      <c r="AM8" s="2517" t="s">
        <v>49</v>
      </c>
      <c r="AN8" s="2521"/>
      <c r="AO8" s="2524"/>
      <c r="AP8" s="2524"/>
      <c r="AQ8" s="2527"/>
    </row>
    <row r="9" spans="1:44" ht="15" customHeight="1" x14ac:dyDescent="0.2">
      <c r="A9" s="2563"/>
      <c r="B9" s="2547"/>
      <c r="C9" s="2545"/>
      <c r="D9" s="2545"/>
      <c r="E9" s="2547"/>
      <c r="F9" s="2545"/>
      <c r="G9" s="2545"/>
      <c r="H9" s="2547"/>
      <c r="I9" s="2545"/>
      <c r="J9" s="2545"/>
      <c r="K9" s="2547"/>
      <c r="L9" s="2533"/>
      <c r="M9" s="2533"/>
      <c r="N9" s="2533"/>
      <c r="O9" s="2533"/>
      <c r="P9" s="2533"/>
      <c r="Q9" s="2541"/>
      <c r="R9" s="2543"/>
      <c r="S9" s="2533"/>
      <c r="T9" s="2533"/>
      <c r="U9" s="2533"/>
      <c r="V9" s="2533"/>
      <c r="W9" s="2528"/>
      <c r="X9" s="2533"/>
      <c r="Y9" s="2518"/>
      <c r="Z9" s="2530"/>
      <c r="AA9" s="2518"/>
      <c r="AB9" s="2518"/>
      <c r="AC9" s="2518"/>
      <c r="AD9" s="2518"/>
      <c r="AE9" s="2518"/>
      <c r="AF9" s="2518"/>
      <c r="AG9" s="2518"/>
      <c r="AH9" s="2518"/>
      <c r="AI9" s="2518"/>
      <c r="AJ9" s="2518"/>
      <c r="AK9" s="2518"/>
      <c r="AL9" s="2518"/>
      <c r="AM9" s="2518"/>
      <c r="AN9" s="2521"/>
      <c r="AO9" s="2524"/>
      <c r="AP9" s="2524"/>
      <c r="AQ9" s="2527"/>
    </row>
    <row r="10" spans="1:44" ht="22.5" customHeight="1" x14ac:dyDescent="0.2">
      <c r="A10" s="2563"/>
      <c r="B10" s="2547"/>
      <c r="C10" s="2545"/>
      <c r="D10" s="2545"/>
      <c r="E10" s="2547"/>
      <c r="F10" s="2545"/>
      <c r="G10" s="2545"/>
      <c r="H10" s="2547"/>
      <c r="I10" s="2545"/>
      <c r="J10" s="2545"/>
      <c r="K10" s="2547"/>
      <c r="L10" s="2533"/>
      <c r="M10" s="2533"/>
      <c r="N10" s="2533"/>
      <c r="O10" s="2533"/>
      <c r="P10" s="2533"/>
      <c r="Q10" s="2541"/>
      <c r="R10" s="2543"/>
      <c r="S10" s="2533"/>
      <c r="T10" s="2533"/>
      <c r="U10" s="2533"/>
      <c r="V10" s="2533"/>
      <c r="W10" s="2528"/>
      <c r="X10" s="2533"/>
      <c r="Y10" s="2518"/>
      <c r="Z10" s="2530"/>
      <c r="AA10" s="2518"/>
      <c r="AB10" s="2518"/>
      <c r="AC10" s="2518"/>
      <c r="AD10" s="2518"/>
      <c r="AE10" s="2518"/>
      <c r="AF10" s="2518"/>
      <c r="AG10" s="2518"/>
      <c r="AH10" s="2518"/>
      <c r="AI10" s="2518"/>
      <c r="AJ10" s="2518"/>
      <c r="AK10" s="2518"/>
      <c r="AL10" s="2518"/>
      <c r="AM10" s="2518"/>
      <c r="AN10" s="2521"/>
      <c r="AO10" s="2524"/>
      <c r="AP10" s="2524"/>
      <c r="AQ10" s="2527"/>
    </row>
    <row r="11" spans="1:44" ht="33" customHeight="1" x14ac:dyDescent="0.2">
      <c r="A11" s="2563"/>
      <c r="B11" s="2547"/>
      <c r="C11" s="2545"/>
      <c r="D11" s="2545"/>
      <c r="E11" s="2547"/>
      <c r="F11" s="2545"/>
      <c r="G11" s="2545"/>
      <c r="H11" s="2547"/>
      <c r="I11" s="2545"/>
      <c r="J11" s="2545"/>
      <c r="K11" s="2547"/>
      <c r="L11" s="2533"/>
      <c r="M11" s="2533"/>
      <c r="N11" s="2533"/>
      <c r="O11" s="2533"/>
      <c r="P11" s="2533"/>
      <c r="Q11" s="2541"/>
      <c r="R11" s="2543"/>
      <c r="S11" s="2533"/>
      <c r="T11" s="2533"/>
      <c r="U11" s="2533"/>
      <c r="V11" s="2533"/>
      <c r="W11" s="2528"/>
      <c r="X11" s="2533"/>
      <c r="Y11" s="2518"/>
      <c r="Z11" s="2530"/>
      <c r="AA11" s="2518"/>
      <c r="AB11" s="2518"/>
      <c r="AC11" s="2518"/>
      <c r="AD11" s="2518"/>
      <c r="AE11" s="2518"/>
      <c r="AF11" s="2518"/>
      <c r="AG11" s="2518"/>
      <c r="AH11" s="2518"/>
      <c r="AI11" s="2518"/>
      <c r="AJ11" s="2518"/>
      <c r="AK11" s="2518"/>
      <c r="AL11" s="2518"/>
      <c r="AM11" s="2518"/>
      <c r="AN11" s="2521"/>
      <c r="AO11" s="2524"/>
      <c r="AP11" s="2524"/>
      <c r="AQ11" s="2527"/>
    </row>
    <row r="12" spans="1:44" ht="29.25" customHeight="1" x14ac:dyDescent="0.2">
      <c r="A12" s="2563"/>
      <c r="B12" s="2547"/>
      <c r="C12" s="2545"/>
      <c r="D12" s="2545"/>
      <c r="E12" s="2547"/>
      <c r="F12" s="2545"/>
      <c r="G12" s="2545"/>
      <c r="H12" s="2547"/>
      <c r="I12" s="2545"/>
      <c r="J12" s="2545"/>
      <c r="K12" s="2547"/>
      <c r="L12" s="2533"/>
      <c r="M12" s="2533"/>
      <c r="N12" s="2533"/>
      <c r="O12" s="2533"/>
      <c r="P12" s="2533"/>
      <c r="Q12" s="2541"/>
      <c r="R12" s="2543"/>
      <c r="S12" s="2533"/>
      <c r="T12" s="2533"/>
      <c r="U12" s="2533"/>
      <c r="V12" s="2533"/>
      <c r="W12" s="2528"/>
      <c r="X12" s="2533"/>
      <c r="Y12" s="2519"/>
      <c r="Z12" s="2531"/>
      <c r="AA12" s="2519"/>
      <c r="AB12" s="2519"/>
      <c r="AC12" s="2519"/>
      <c r="AD12" s="2519"/>
      <c r="AE12" s="2519"/>
      <c r="AF12" s="2519"/>
      <c r="AG12" s="2519"/>
      <c r="AH12" s="2519"/>
      <c r="AI12" s="2519"/>
      <c r="AJ12" s="2519"/>
      <c r="AK12" s="2519"/>
      <c r="AL12" s="2519"/>
      <c r="AM12" s="2519"/>
      <c r="AN12" s="2522"/>
      <c r="AO12" s="2525"/>
      <c r="AP12" s="2525"/>
      <c r="AQ12" s="2527"/>
    </row>
    <row r="13" spans="1:44" ht="15.75" x14ac:dyDescent="0.2">
      <c r="A13" s="16">
        <v>5</v>
      </c>
      <c r="B13" s="17" t="s">
        <v>50</v>
      </c>
      <c r="C13" s="17"/>
      <c r="D13" s="17"/>
      <c r="E13" s="17"/>
      <c r="F13" s="17"/>
      <c r="G13" s="17"/>
      <c r="H13" s="17"/>
      <c r="I13" s="17"/>
      <c r="J13" s="18"/>
      <c r="K13" s="18"/>
      <c r="L13" s="19"/>
      <c r="M13" s="18"/>
      <c r="N13" s="18"/>
      <c r="O13" s="18"/>
      <c r="P13" s="18"/>
      <c r="Q13" s="20"/>
      <c r="R13" s="21"/>
      <c r="S13" s="18"/>
      <c r="T13" s="18"/>
      <c r="U13" s="18"/>
      <c r="V13" s="22"/>
      <c r="W13" s="23"/>
      <c r="X13" s="19"/>
      <c r="Y13" s="17"/>
      <c r="Z13" s="17"/>
      <c r="AA13" s="17"/>
      <c r="AB13" s="17"/>
      <c r="AC13" s="17"/>
      <c r="AD13" s="17"/>
      <c r="AE13" s="17"/>
      <c r="AF13" s="17"/>
      <c r="AG13" s="17"/>
      <c r="AH13" s="17"/>
      <c r="AI13" s="17"/>
      <c r="AJ13" s="17"/>
      <c r="AK13" s="17"/>
      <c r="AL13" s="17"/>
      <c r="AM13" s="17"/>
      <c r="AN13" s="17"/>
      <c r="AO13" s="24"/>
      <c r="AP13" s="24"/>
      <c r="AQ13" s="25"/>
    </row>
    <row r="14" spans="1:44" ht="15.75" x14ac:dyDescent="0.2">
      <c r="A14" s="26"/>
      <c r="B14" s="27"/>
      <c r="C14" s="28"/>
      <c r="D14" s="29">
        <v>28</v>
      </c>
      <c r="E14" s="30" t="s">
        <v>51</v>
      </c>
      <c r="F14" s="30"/>
      <c r="G14" s="30"/>
      <c r="H14" s="30"/>
      <c r="I14" s="30"/>
      <c r="J14" s="31"/>
      <c r="K14" s="31"/>
      <c r="L14" s="31"/>
      <c r="M14" s="31"/>
      <c r="N14" s="31"/>
      <c r="O14" s="31"/>
      <c r="P14" s="31"/>
      <c r="Q14" s="32"/>
      <c r="R14" s="33"/>
      <c r="S14" s="31"/>
      <c r="T14" s="31"/>
      <c r="U14" s="31"/>
      <c r="V14" s="34"/>
      <c r="W14" s="35"/>
      <c r="X14" s="36"/>
      <c r="Y14" s="30"/>
      <c r="Z14" s="30"/>
      <c r="AA14" s="30"/>
      <c r="AB14" s="30"/>
      <c r="AC14" s="30"/>
      <c r="AD14" s="30"/>
      <c r="AE14" s="30"/>
      <c r="AF14" s="30"/>
      <c r="AG14" s="30"/>
      <c r="AH14" s="30"/>
      <c r="AI14" s="30"/>
      <c r="AJ14" s="30"/>
      <c r="AK14" s="30"/>
      <c r="AL14" s="30"/>
      <c r="AM14" s="30"/>
      <c r="AN14" s="30"/>
      <c r="AO14" s="37"/>
      <c r="AP14" s="37"/>
      <c r="AQ14" s="38"/>
    </row>
    <row r="15" spans="1:44" ht="15.75" x14ac:dyDescent="0.2">
      <c r="A15" s="39"/>
      <c r="B15" s="40"/>
      <c r="C15" s="41"/>
      <c r="D15" s="42"/>
      <c r="E15" s="43"/>
      <c r="F15" s="44"/>
      <c r="G15" s="45">
        <v>89</v>
      </c>
      <c r="H15" s="46" t="s">
        <v>52</v>
      </c>
      <c r="I15" s="46"/>
      <c r="J15" s="47"/>
      <c r="K15" s="47"/>
      <c r="L15" s="47"/>
      <c r="M15" s="47"/>
      <c r="N15" s="47"/>
      <c r="O15" s="47"/>
      <c r="P15" s="47"/>
      <c r="Q15" s="48"/>
      <c r="R15" s="49"/>
      <c r="S15" s="47"/>
      <c r="T15" s="47"/>
      <c r="U15" s="47"/>
      <c r="V15" s="50"/>
      <c r="W15" s="51"/>
      <c r="X15" s="52"/>
      <c r="Y15" s="46"/>
      <c r="Z15" s="46"/>
      <c r="AA15" s="46"/>
      <c r="AB15" s="46"/>
      <c r="AC15" s="46"/>
      <c r="AD15" s="46"/>
      <c r="AE15" s="46"/>
      <c r="AF15" s="46"/>
      <c r="AG15" s="46"/>
      <c r="AH15" s="46"/>
      <c r="AI15" s="46"/>
      <c r="AJ15" s="46"/>
      <c r="AK15" s="46"/>
      <c r="AL15" s="46"/>
      <c r="AM15" s="46"/>
      <c r="AN15" s="46"/>
      <c r="AO15" s="53"/>
      <c r="AP15" s="53"/>
      <c r="AQ15" s="54"/>
      <c r="AR15" s="2367"/>
    </row>
    <row r="16" spans="1:44" ht="45" x14ac:dyDescent="0.2">
      <c r="A16" s="55"/>
      <c r="B16" s="56"/>
      <c r="C16" s="57"/>
      <c r="D16" s="58"/>
      <c r="E16" s="59"/>
      <c r="F16" s="60"/>
      <c r="G16" s="61"/>
      <c r="H16" s="62"/>
      <c r="I16" s="63"/>
      <c r="J16" s="4379">
        <v>282</v>
      </c>
      <c r="K16" s="4371" t="s">
        <v>53</v>
      </c>
      <c r="L16" s="4371" t="s">
        <v>54</v>
      </c>
      <c r="M16" s="4379">
        <v>2</v>
      </c>
      <c r="N16" s="4379" t="s">
        <v>2415</v>
      </c>
      <c r="O16" s="4392" t="s">
        <v>56</v>
      </c>
      <c r="P16" s="2499" t="s">
        <v>57</v>
      </c>
      <c r="Q16" s="4384">
        <f>+(V16+V17)/R16</f>
        <v>1</v>
      </c>
      <c r="R16" s="4386">
        <f>V16+V17</f>
        <v>396200</v>
      </c>
      <c r="S16" s="4388" t="s">
        <v>58</v>
      </c>
      <c r="T16" s="4388" t="s">
        <v>59</v>
      </c>
      <c r="U16" s="71" t="s">
        <v>60</v>
      </c>
      <c r="V16" s="95">
        <v>396200</v>
      </c>
      <c r="W16" s="73" t="s">
        <v>61</v>
      </c>
      <c r="X16" s="74" t="s">
        <v>62</v>
      </c>
      <c r="Y16" s="2492">
        <v>292684</v>
      </c>
      <c r="Z16" s="2492">
        <v>282326</v>
      </c>
      <c r="AA16" s="2492">
        <v>135912</v>
      </c>
      <c r="AB16" s="2492">
        <v>45122</v>
      </c>
      <c r="AC16" s="2492">
        <v>307101</v>
      </c>
      <c r="AD16" s="2492">
        <v>86875</v>
      </c>
      <c r="AE16" s="2492">
        <v>2145</v>
      </c>
      <c r="AF16" s="2492">
        <v>12718</v>
      </c>
      <c r="AG16" s="2492">
        <v>26</v>
      </c>
      <c r="AH16" s="2492">
        <v>37</v>
      </c>
      <c r="AI16" s="2492">
        <v>0</v>
      </c>
      <c r="AJ16" s="2492">
        <v>0</v>
      </c>
      <c r="AK16" s="2492">
        <v>53164</v>
      </c>
      <c r="AL16" s="2492">
        <v>16982</v>
      </c>
      <c r="AM16" s="2492">
        <v>60013</v>
      </c>
      <c r="AN16" s="2492">
        <v>575010</v>
      </c>
      <c r="AO16" s="4367">
        <v>43467</v>
      </c>
      <c r="AP16" s="4367">
        <v>43830</v>
      </c>
      <c r="AQ16" s="4382" t="s">
        <v>2416</v>
      </c>
      <c r="AR16" s="2368"/>
    </row>
    <row r="17" spans="1:44" ht="34.5" customHeight="1" x14ac:dyDescent="0.2">
      <c r="A17" s="55"/>
      <c r="B17" s="56"/>
      <c r="C17" s="57"/>
      <c r="D17" s="58"/>
      <c r="E17" s="59"/>
      <c r="F17" s="60"/>
      <c r="G17" s="79"/>
      <c r="H17" s="80"/>
      <c r="I17" s="81"/>
      <c r="J17" s="4390"/>
      <c r="K17" s="4391"/>
      <c r="L17" s="4391"/>
      <c r="M17" s="4390"/>
      <c r="N17" s="4390"/>
      <c r="O17" s="4393"/>
      <c r="P17" s="2500"/>
      <c r="Q17" s="4385"/>
      <c r="R17" s="4387"/>
      <c r="S17" s="4389"/>
      <c r="T17" s="4389"/>
      <c r="U17" s="71" t="s">
        <v>2417</v>
      </c>
      <c r="V17" s="95">
        <v>0</v>
      </c>
      <c r="W17" s="2369"/>
      <c r="X17" s="74"/>
      <c r="Y17" s="4380"/>
      <c r="Z17" s="4380"/>
      <c r="AA17" s="4380"/>
      <c r="AB17" s="4380"/>
      <c r="AC17" s="4380"/>
      <c r="AD17" s="4380"/>
      <c r="AE17" s="4380"/>
      <c r="AF17" s="4380"/>
      <c r="AG17" s="4380"/>
      <c r="AH17" s="4380"/>
      <c r="AI17" s="4380"/>
      <c r="AJ17" s="4380"/>
      <c r="AK17" s="4380"/>
      <c r="AL17" s="4380"/>
      <c r="AM17" s="4380"/>
      <c r="AN17" s="4380"/>
      <c r="AO17" s="4381"/>
      <c r="AP17" s="4381"/>
      <c r="AQ17" s="4383"/>
      <c r="AR17" s="2367"/>
    </row>
    <row r="18" spans="1:44" ht="22.5" customHeight="1" x14ac:dyDescent="0.2">
      <c r="A18" s="39"/>
      <c r="B18" s="40"/>
      <c r="C18" s="41"/>
      <c r="D18" s="86"/>
      <c r="E18" s="87"/>
      <c r="F18" s="88"/>
      <c r="G18" s="89"/>
      <c r="H18" s="90"/>
      <c r="I18" s="91"/>
      <c r="J18" s="2498">
        <v>284</v>
      </c>
      <c r="K18" s="2600" t="s">
        <v>2418</v>
      </c>
      <c r="L18" s="2488" t="s">
        <v>2419</v>
      </c>
      <c r="M18" s="2515">
        <v>1</v>
      </c>
      <c r="N18" s="2488" t="s">
        <v>2420</v>
      </c>
      <c r="O18" s="2515" t="s">
        <v>2421</v>
      </c>
      <c r="P18" s="2488" t="s">
        <v>2422</v>
      </c>
      <c r="Q18" s="4372">
        <f>SUM(V18:V21)/R18</f>
        <v>1</v>
      </c>
      <c r="R18" s="4374">
        <f>SUM(V18:V21)</f>
        <v>422500000</v>
      </c>
      <c r="S18" s="2488" t="s">
        <v>2423</v>
      </c>
      <c r="T18" s="4376" t="s">
        <v>58</v>
      </c>
      <c r="U18" s="2873" t="s">
        <v>2424</v>
      </c>
      <c r="V18" s="2370">
        <v>92500000</v>
      </c>
      <c r="W18" s="2371">
        <v>20</v>
      </c>
      <c r="X18" s="2372" t="s">
        <v>62</v>
      </c>
      <c r="Y18" s="4369">
        <v>292684</v>
      </c>
      <c r="Z18" s="2503">
        <v>282326</v>
      </c>
      <c r="AA18" s="2503">
        <v>135912</v>
      </c>
      <c r="AB18" s="2503">
        <v>45122</v>
      </c>
      <c r="AC18" s="2503">
        <v>307101</v>
      </c>
      <c r="AD18" s="2503">
        <v>86875</v>
      </c>
      <c r="AE18" s="2503">
        <v>2145</v>
      </c>
      <c r="AF18" s="2503">
        <v>12718</v>
      </c>
      <c r="AG18" s="2503">
        <v>26</v>
      </c>
      <c r="AH18" s="2503">
        <v>37</v>
      </c>
      <c r="AI18" s="2503">
        <v>0</v>
      </c>
      <c r="AJ18" s="2503">
        <v>0</v>
      </c>
      <c r="AK18" s="2503">
        <v>53164</v>
      </c>
      <c r="AL18" s="2503">
        <v>16982</v>
      </c>
      <c r="AM18" s="2503">
        <v>60013</v>
      </c>
      <c r="AN18" s="2503">
        <v>575010</v>
      </c>
      <c r="AO18" s="4367">
        <v>43467</v>
      </c>
      <c r="AP18" s="4367">
        <v>43830</v>
      </c>
      <c r="AQ18" s="2489" t="s">
        <v>2425</v>
      </c>
      <c r="AR18" s="2368"/>
    </row>
    <row r="19" spans="1:44" ht="22.5" customHeight="1" x14ac:dyDescent="0.2">
      <c r="A19" s="39"/>
      <c r="B19" s="40"/>
      <c r="C19" s="41"/>
      <c r="D19" s="86"/>
      <c r="E19" s="87"/>
      <c r="F19" s="88"/>
      <c r="G19" s="89"/>
      <c r="H19" s="90"/>
      <c r="I19" s="91"/>
      <c r="J19" s="2737"/>
      <c r="K19" s="2499"/>
      <c r="L19" s="4371"/>
      <c r="M19" s="4379"/>
      <c r="N19" s="4371"/>
      <c r="O19" s="4379"/>
      <c r="P19" s="4371"/>
      <c r="Q19" s="4373"/>
      <c r="R19" s="4375"/>
      <c r="S19" s="4371"/>
      <c r="T19" s="4377"/>
      <c r="U19" s="2874"/>
      <c r="V19" s="2373">
        <v>20000000</v>
      </c>
      <c r="W19" s="2374">
        <v>88</v>
      </c>
      <c r="X19" s="66" t="s">
        <v>500</v>
      </c>
      <c r="Y19" s="4370"/>
      <c r="Z19" s="2492"/>
      <c r="AA19" s="2492"/>
      <c r="AB19" s="2492"/>
      <c r="AC19" s="2492"/>
      <c r="AD19" s="2492"/>
      <c r="AE19" s="2492"/>
      <c r="AF19" s="2492"/>
      <c r="AG19" s="2492"/>
      <c r="AH19" s="2492"/>
      <c r="AI19" s="2492"/>
      <c r="AJ19" s="2492"/>
      <c r="AK19" s="2492"/>
      <c r="AL19" s="2492"/>
      <c r="AM19" s="2492"/>
      <c r="AN19" s="2492"/>
      <c r="AO19" s="4368"/>
      <c r="AP19" s="4368"/>
      <c r="AQ19" s="4359"/>
      <c r="AR19" s="4360"/>
    </row>
    <row r="20" spans="1:44" ht="40.5" customHeight="1" x14ac:dyDescent="0.2">
      <c r="A20" s="39"/>
      <c r="B20" s="40"/>
      <c r="C20" s="41"/>
      <c r="D20" s="86"/>
      <c r="E20" s="87"/>
      <c r="F20" s="88"/>
      <c r="G20" s="89"/>
      <c r="H20" s="90"/>
      <c r="I20" s="91"/>
      <c r="J20" s="2737"/>
      <c r="K20" s="2499"/>
      <c r="L20" s="4371"/>
      <c r="M20" s="4379"/>
      <c r="N20" s="4371"/>
      <c r="O20" s="4379"/>
      <c r="P20" s="4371"/>
      <c r="Q20" s="4373"/>
      <c r="R20" s="4375"/>
      <c r="S20" s="4371"/>
      <c r="T20" s="4378"/>
      <c r="U20" s="332" t="s">
        <v>2417</v>
      </c>
      <c r="V20" s="2373">
        <v>300000000</v>
      </c>
      <c r="W20" s="2374">
        <v>88</v>
      </c>
      <c r="X20" s="66" t="s">
        <v>500</v>
      </c>
      <c r="Y20" s="4370"/>
      <c r="Z20" s="2492"/>
      <c r="AA20" s="2492"/>
      <c r="AB20" s="2492"/>
      <c r="AC20" s="2492"/>
      <c r="AD20" s="2492"/>
      <c r="AE20" s="2492"/>
      <c r="AF20" s="2492"/>
      <c r="AG20" s="2492"/>
      <c r="AH20" s="2492"/>
      <c r="AI20" s="2492"/>
      <c r="AJ20" s="2492"/>
      <c r="AK20" s="2492"/>
      <c r="AL20" s="2492"/>
      <c r="AM20" s="2492"/>
      <c r="AN20" s="2492"/>
      <c r="AO20" s="4368"/>
      <c r="AP20" s="4368"/>
      <c r="AQ20" s="4359"/>
      <c r="AR20" s="4360"/>
    </row>
    <row r="21" spans="1:44" ht="81.75" customHeight="1" x14ac:dyDescent="0.2">
      <c r="A21" s="39"/>
      <c r="B21" s="40"/>
      <c r="C21" s="41"/>
      <c r="D21" s="86"/>
      <c r="E21" s="87"/>
      <c r="F21" s="88"/>
      <c r="G21" s="89"/>
      <c r="H21" s="90"/>
      <c r="I21" s="91"/>
      <c r="J21" s="2737"/>
      <c r="K21" s="2499"/>
      <c r="L21" s="4371"/>
      <c r="M21" s="4379"/>
      <c r="N21" s="4371"/>
      <c r="O21" s="4379"/>
      <c r="P21" s="4371"/>
      <c r="Q21" s="4373"/>
      <c r="R21" s="4375"/>
      <c r="S21" s="4371"/>
      <c r="T21" s="65" t="s">
        <v>2426</v>
      </c>
      <c r="U21" s="332" t="s">
        <v>2427</v>
      </c>
      <c r="V21" s="2373">
        <v>10000000</v>
      </c>
      <c r="W21" s="2374">
        <v>20</v>
      </c>
      <c r="X21" s="66" t="s">
        <v>62</v>
      </c>
      <c r="Y21" s="4370"/>
      <c r="Z21" s="2492"/>
      <c r="AA21" s="2492"/>
      <c r="AB21" s="2492"/>
      <c r="AC21" s="2492"/>
      <c r="AD21" s="2492"/>
      <c r="AE21" s="2492"/>
      <c r="AF21" s="2492"/>
      <c r="AG21" s="2492"/>
      <c r="AH21" s="2492"/>
      <c r="AI21" s="2492"/>
      <c r="AJ21" s="2492"/>
      <c r="AK21" s="2492"/>
      <c r="AL21" s="2492"/>
      <c r="AM21" s="2492"/>
      <c r="AN21" s="2492"/>
      <c r="AO21" s="4368"/>
      <c r="AP21" s="4368"/>
      <c r="AQ21" s="4359"/>
      <c r="AR21" s="2367"/>
    </row>
    <row r="22" spans="1:44" ht="46.5" customHeight="1" x14ac:dyDescent="0.2">
      <c r="A22" s="39"/>
      <c r="B22" s="40"/>
      <c r="C22" s="41"/>
      <c r="D22" s="86"/>
      <c r="E22" s="87"/>
      <c r="F22" s="87"/>
      <c r="G22" s="2375"/>
      <c r="H22" s="90"/>
      <c r="I22" s="90"/>
      <c r="J22" s="2672">
        <v>285</v>
      </c>
      <c r="K22" s="2666" t="s">
        <v>77</v>
      </c>
      <c r="L22" s="4361" t="s">
        <v>78</v>
      </c>
      <c r="M22" s="4363">
        <v>1</v>
      </c>
      <c r="N22" s="4363" t="s">
        <v>2428</v>
      </c>
      <c r="O22" s="4363" t="s">
        <v>80</v>
      </c>
      <c r="P22" s="4361" t="s">
        <v>81</v>
      </c>
      <c r="Q22" s="4365">
        <f>SUM(V22:V23)/R22</f>
        <v>1</v>
      </c>
      <c r="R22" s="4355">
        <f>SUM(V22:V23)</f>
        <v>90995333</v>
      </c>
      <c r="S22" s="2666" t="s">
        <v>82</v>
      </c>
      <c r="T22" s="2666" t="s">
        <v>83</v>
      </c>
      <c r="U22" s="4357" t="s">
        <v>84</v>
      </c>
      <c r="V22" s="2376">
        <f>10995333</f>
        <v>10995333</v>
      </c>
      <c r="W22" s="2377">
        <v>20</v>
      </c>
      <c r="X22" s="2378" t="s">
        <v>62</v>
      </c>
      <c r="Y22" s="4349">
        <v>292684</v>
      </c>
      <c r="Z22" s="4349">
        <v>282326</v>
      </c>
      <c r="AA22" s="4349">
        <v>135912</v>
      </c>
      <c r="AB22" s="4349">
        <v>45122</v>
      </c>
      <c r="AC22" s="4349">
        <v>307101</v>
      </c>
      <c r="AD22" s="4349">
        <v>86875</v>
      </c>
      <c r="AE22" s="4349">
        <v>2145</v>
      </c>
      <c r="AF22" s="4349">
        <v>12718</v>
      </c>
      <c r="AG22" s="4349">
        <v>26</v>
      </c>
      <c r="AH22" s="4349">
        <v>37</v>
      </c>
      <c r="AI22" s="4349">
        <v>0</v>
      </c>
      <c r="AJ22" s="4349">
        <v>0</v>
      </c>
      <c r="AK22" s="4349">
        <v>53164</v>
      </c>
      <c r="AL22" s="4349">
        <v>16982</v>
      </c>
      <c r="AM22" s="4349">
        <v>60013</v>
      </c>
      <c r="AN22" s="4349">
        <v>575010</v>
      </c>
      <c r="AO22" s="4351">
        <v>43467</v>
      </c>
      <c r="AP22" s="4351">
        <v>43830</v>
      </c>
      <c r="AQ22" s="4353" t="s">
        <v>2425</v>
      </c>
      <c r="AR22" s="2368"/>
    </row>
    <row r="23" spans="1:44" ht="39" customHeight="1" thickBot="1" x14ac:dyDescent="0.25">
      <c r="A23" s="39"/>
      <c r="B23" s="40"/>
      <c r="C23" s="40"/>
      <c r="D23" s="87"/>
      <c r="E23" s="87"/>
      <c r="F23" s="87"/>
      <c r="G23" s="2375"/>
      <c r="H23" s="90"/>
      <c r="I23" s="90"/>
      <c r="J23" s="2706"/>
      <c r="K23" s="2707"/>
      <c r="L23" s="4362"/>
      <c r="M23" s="4364"/>
      <c r="N23" s="4364"/>
      <c r="O23" s="4364"/>
      <c r="P23" s="4362"/>
      <c r="Q23" s="4366"/>
      <c r="R23" s="4356"/>
      <c r="S23" s="2707"/>
      <c r="T23" s="2707"/>
      <c r="U23" s="4358"/>
      <c r="V23" s="2379">
        <v>80000000</v>
      </c>
      <c r="W23" s="2380">
        <v>88</v>
      </c>
      <c r="X23" s="2381" t="s">
        <v>500</v>
      </c>
      <c r="Y23" s="4350"/>
      <c r="Z23" s="4350"/>
      <c r="AA23" s="4350"/>
      <c r="AB23" s="4350"/>
      <c r="AC23" s="4350"/>
      <c r="AD23" s="4350"/>
      <c r="AE23" s="4350"/>
      <c r="AF23" s="4350"/>
      <c r="AG23" s="4350"/>
      <c r="AH23" s="4350"/>
      <c r="AI23" s="4350"/>
      <c r="AJ23" s="4350"/>
      <c r="AK23" s="4350"/>
      <c r="AL23" s="4350"/>
      <c r="AM23" s="4350"/>
      <c r="AN23" s="4350"/>
      <c r="AO23" s="4352"/>
      <c r="AP23" s="4352"/>
      <c r="AQ23" s="4354"/>
      <c r="AR23" s="2382"/>
    </row>
    <row r="24" spans="1:44" ht="16.5" thickBot="1" x14ac:dyDescent="0.3">
      <c r="A24" s="124" t="s">
        <v>112</v>
      </c>
      <c r="B24" s="125"/>
      <c r="C24" s="125"/>
      <c r="D24" s="125"/>
      <c r="E24" s="125"/>
      <c r="F24" s="125"/>
      <c r="G24" s="125"/>
      <c r="H24" s="125"/>
      <c r="I24" s="125"/>
      <c r="J24" s="126"/>
      <c r="K24" s="127"/>
      <c r="L24" s="128"/>
      <c r="M24" s="129"/>
      <c r="N24" s="127"/>
      <c r="O24" s="128"/>
      <c r="P24" s="128"/>
      <c r="Q24" s="130"/>
      <c r="R24" s="131">
        <f>SUM(R16:R23)</f>
        <v>513891533</v>
      </c>
      <c r="S24" s="132"/>
      <c r="T24" s="127"/>
      <c r="U24" s="133"/>
      <c r="V24" s="134">
        <f>SUM(V16:V23)</f>
        <v>513891533</v>
      </c>
      <c r="W24" s="135"/>
      <c r="X24" s="136"/>
      <c r="Y24" s="137"/>
      <c r="Z24" s="137"/>
      <c r="AA24" s="137"/>
      <c r="AB24" s="137"/>
      <c r="AC24" s="137"/>
      <c r="AD24" s="137"/>
      <c r="AE24" s="136"/>
      <c r="AF24" s="136"/>
      <c r="AG24" s="136"/>
      <c r="AH24" s="136"/>
      <c r="AI24" s="136"/>
      <c r="AJ24" s="136"/>
      <c r="AK24" s="136"/>
      <c r="AL24" s="136"/>
      <c r="AM24" s="136"/>
      <c r="AN24" s="136"/>
      <c r="AO24" s="138"/>
      <c r="AP24" s="138"/>
      <c r="AQ24" s="139"/>
      <c r="AR24" s="2367"/>
    </row>
    <row r="30" spans="1:44" ht="15.75" x14ac:dyDescent="0.25">
      <c r="K30" s="163" t="s">
        <v>2429</v>
      </c>
    </row>
    <row r="31" spans="1:44" x14ac:dyDescent="0.2">
      <c r="K31" s="3" t="s">
        <v>2430</v>
      </c>
    </row>
  </sheetData>
  <sheetProtection password="A60F" sheet="1" objects="1" scenarios="1"/>
  <mergeCells count="141">
    <mergeCell ref="J7:J12"/>
    <mergeCell ref="K7:K12"/>
    <mergeCell ref="L7:L12"/>
    <mergeCell ref="M7:M12"/>
    <mergeCell ref="N7:N12"/>
    <mergeCell ref="O7:O12"/>
    <mergeCell ref="A1:AO4"/>
    <mergeCell ref="A5:M6"/>
    <mergeCell ref="N5:AQ5"/>
    <mergeCell ref="Y6:AM6"/>
    <mergeCell ref="A7:A12"/>
    <mergeCell ref="B7:C12"/>
    <mergeCell ref="D7:D12"/>
    <mergeCell ref="E7:F12"/>
    <mergeCell ref="G7:G12"/>
    <mergeCell ref="H7:I12"/>
    <mergeCell ref="AN7:AN12"/>
    <mergeCell ref="AO7:AO12"/>
    <mergeCell ref="AP7:AP12"/>
    <mergeCell ref="AQ7:AQ12"/>
    <mergeCell ref="W8:W12"/>
    <mergeCell ref="Y8:Y12"/>
    <mergeCell ref="Z8:Z12"/>
    <mergeCell ref="AA8:AA12"/>
    <mergeCell ref="AB8:AB12"/>
    <mergeCell ref="AC8:AC12"/>
    <mergeCell ref="X7:X12"/>
    <mergeCell ref="Y7:Z7"/>
    <mergeCell ref="AA7:AD7"/>
    <mergeCell ref="AE7:AJ7"/>
    <mergeCell ref="AK7:AM7"/>
    <mergeCell ref="AD8:AD12"/>
    <mergeCell ref="AE8:AE12"/>
    <mergeCell ref="AF8:AF12"/>
    <mergeCell ref="AG8:AG12"/>
    <mergeCell ref="M16:M17"/>
    <mergeCell ref="N16:N17"/>
    <mergeCell ref="O16:O17"/>
    <mergeCell ref="AH8:AH12"/>
    <mergeCell ref="AI8:AI12"/>
    <mergeCell ref="AJ8:AJ12"/>
    <mergeCell ref="AK8:AK12"/>
    <mergeCell ref="AL8:AL12"/>
    <mergeCell ref="AM8:AM12"/>
    <mergeCell ref="V7:V12"/>
    <mergeCell ref="P7:P12"/>
    <mergeCell ref="Q7:Q12"/>
    <mergeCell ref="R7:R12"/>
    <mergeCell ref="S7:S12"/>
    <mergeCell ref="T7:T12"/>
    <mergeCell ref="U7:U12"/>
    <mergeCell ref="AO16:AO17"/>
    <mergeCell ref="AP16:AP17"/>
    <mergeCell ref="AQ16:AQ17"/>
    <mergeCell ref="AF16:AF17"/>
    <mergeCell ref="AG16:AG17"/>
    <mergeCell ref="AH16:AH17"/>
    <mergeCell ref="AI16:AI17"/>
    <mergeCell ref="AJ16:AJ17"/>
    <mergeCell ref="AK16:AK17"/>
    <mergeCell ref="J18:J21"/>
    <mergeCell ref="K18:K21"/>
    <mergeCell ref="L18:L21"/>
    <mergeCell ref="M18:M21"/>
    <mergeCell ref="N18:N21"/>
    <mergeCell ref="O18:O21"/>
    <mergeCell ref="AL16:AL17"/>
    <mergeCell ref="AM16:AM17"/>
    <mergeCell ref="AN16:AN17"/>
    <mergeCell ref="Z16:Z17"/>
    <mergeCell ref="AA16:AA17"/>
    <mergeCell ref="AB16:AB17"/>
    <mergeCell ref="AC16:AC17"/>
    <mergeCell ref="AD16:AD17"/>
    <mergeCell ref="AE16:AE17"/>
    <mergeCell ref="P16:P17"/>
    <mergeCell ref="Q16:Q17"/>
    <mergeCell ref="R16:R17"/>
    <mergeCell ref="S16:S17"/>
    <mergeCell ref="T16:T17"/>
    <mergeCell ref="Y16:Y17"/>
    <mergeCell ref="J16:J17"/>
    <mergeCell ref="K16:K17"/>
    <mergeCell ref="L16:L17"/>
    <mergeCell ref="AA18:AA21"/>
    <mergeCell ref="AB18:AB21"/>
    <mergeCell ref="AC18:AC21"/>
    <mergeCell ref="AD18:AD21"/>
    <mergeCell ref="P18:P21"/>
    <mergeCell ref="Q18:Q21"/>
    <mergeCell ref="R18:R21"/>
    <mergeCell ref="S18:S21"/>
    <mergeCell ref="T18:T20"/>
    <mergeCell ref="U18:U19"/>
    <mergeCell ref="AQ18:AQ21"/>
    <mergeCell ref="AR19:AR20"/>
    <mergeCell ref="J22:J23"/>
    <mergeCell ref="K22:K23"/>
    <mergeCell ref="L22:L23"/>
    <mergeCell ref="M22:M23"/>
    <mergeCell ref="N22:N23"/>
    <mergeCell ref="O22:O23"/>
    <mergeCell ref="P22:P23"/>
    <mergeCell ref="Q22:Q23"/>
    <mergeCell ref="AK18:AK21"/>
    <mergeCell ref="AL18:AL21"/>
    <mergeCell ref="AM18:AM21"/>
    <mergeCell ref="AN18:AN21"/>
    <mergeCell ref="AO18:AO21"/>
    <mergeCell ref="AP18:AP21"/>
    <mergeCell ref="AE18:AE21"/>
    <mergeCell ref="AF18:AF21"/>
    <mergeCell ref="AG18:AG21"/>
    <mergeCell ref="AH18:AH21"/>
    <mergeCell ref="AI18:AI21"/>
    <mergeCell ref="AJ18:AJ21"/>
    <mergeCell ref="Y18:Y21"/>
    <mergeCell ref="Z18:Z21"/>
    <mergeCell ref="AA22:AA23"/>
    <mergeCell ref="AB22:AB23"/>
    <mergeCell ref="AC22:AC23"/>
    <mergeCell ref="AD22:AD23"/>
    <mergeCell ref="AE22:AE23"/>
    <mergeCell ref="AF22:AF23"/>
    <mergeCell ref="R22:R23"/>
    <mergeCell ref="S22:S23"/>
    <mergeCell ref="T22:T23"/>
    <mergeCell ref="U22:U23"/>
    <mergeCell ref="Y22:Y23"/>
    <mergeCell ref="Z22:Z23"/>
    <mergeCell ref="AM22:AM23"/>
    <mergeCell ref="AN22:AN23"/>
    <mergeCell ref="AO22:AO23"/>
    <mergeCell ref="AP22:AP23"/>
    <mergeCell ref="AQ22:AQ23"/>
    <mergeCell ref="AG22:AG23"/>
    <mergeCell ref="AH22:AH23"/>
    <mergeCell ref="AI22:AI23"/>
    <mergeCell ref="AJ22:AJ23"/>
    <mergeCell ref="AK22:AK23"/>
    <mergeCell ref="AL22:AL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3"/>
  <sheetViews>
    <sheetView showGridLines="0" topLeftCell="U1" zoomScale="70" zoomScaleNormal="70" workbookViewId="0">
      <selection activeCell="AS5" sqref="AS5"/>
    </sheetView>
  </sheetViews>
  <sheetFormatPr baseColWidth="10" defaultColWidth="11.42578125" defaultRowHeight="14.25" x14ac:dyDescent="0.2"/>
  <cols>
    <col min="1" max="1" width="12.85546875" style="732" customWidth="1"/>
    <col min="2" max="2" width="4" style="668" customWidth="1"/>
    <col min="3" max="3" width="18.140625" style="668" customWidth="1"/>
    <col min="4" max="4" width="12.42578125" style="668" customWidth="1"/>
    <col min="5" max="5" width="6.42578125" style="668" customWidth="1"/>
    <col min="6" max="6" width="12.85546875" style="668" customWidth="1"/>
    <col min="7" max="7" width="11.85546875" style="668" customWidth="1"/>
    <col min="8" max="8" width="4.5703125" style="668" customWidth="1"/>
    <col min="9" max="9" width="15.140625" style="668" customWidth="1"/>
    <col min="10" max="10" width="13.28515625" style="668" bestFit="1" customWidth="1"/>
    <col min="11" max="11" width="25.7109375" style="385" customWidth="1"/>
    <col min="12" max="12" width="18.7109375" style="651" customWidth="1"/>
    <col min="13" max="13" width="11" style="651" customWidth="1"/>
    <col min="14" max="14" width="27.7109375" style="651" customWidth="1"/>
    <col min="15" max="15" width="22" style="733" customWidth="1"/>
    <col min="16" max="16" width="17" style="385" customWidth="1"/>
    <col min="17" max="17" width="12.7109375" style="734" customWidth="1"/>
    <col min="18" max="18" width="24.28515625" style="388" customWidth="1"/>
    <col min="19" max="19" width="29" style="385" customWidth="1"/>
    <col min="20" max="20" width="21.28515625" style="385" customWidth="1"/>
    <col min="21" max="21" width="36.42578125" style="385" customWidth="1"/>
    <col min="22" max="22" width="34.42578125" style="393" bestFit="1" customWidth="1"/>
    <col min="23" max="23" width="17.42578125" style="389" customWidth="1"/>
    <col min="24" max="24" width="26.28515625" style="184" customWidth="1"/>
    <col min="25" max="25" width="9.28515625" style="668" bestFit="1" customWidth="1"/>
    <col min="26" max="26" width="9.42578125" style="668" bestFit="1" customWidth="1"/>
    <col min="27" max="28" width="7.7109375" style="668" bestFit="1" customWidth="1"/>
    <col min="29" max="29" width="8.42578125" style="668" bestFit="1" customWidth="1"/>
    <col min="30" max="30" width="7.7109375" style="668" bestFit="1" customWidth="1"/>
    <col min="31" max="31" width="5.5703125" style="668" bestFit="1" customWidth="1"/>
    <col min="32" max="32" width="7.7109375" style="668" bestFit="1" customWidth="1"/>
    <col min="33" max="34" width="4.5703125" style="668" bestFit="1" customWidth="1"/>
    <col min="35" max="35" width="4.5703125" style="668" customWidth="1"/>
    <col min="36" max="36" width="4.5703125" style="668" bestFit="1" customWidth="1"/>
    <col min="37" max="37" width="6.28515625" style="668" bestFit="1" customWidth="1"/>
    <col min="38" max="38" width="4.5703125" style="668" bestFit="1" customWidth="1"/>
    <col min="39" max="39" width="8.7109375" style="668" bestFit="1" customWidth="1"/>
    <col min="40" max="40" width="10.28515625" style="668" customWidth="1"/>
    <col min="41" max="41" width="19.85546875" style="390" customWidth="1"/>
    <col min="42" max="42" width="20.140625" style="735" customWidth="1"/>
    <col min="43" max="43" width="23.7109375" style="668" bestFit="1" customWidth="1"/>
    <col min="44" max="255" width="11.42578125" style="668"/>
    <col min="256" max="256" width="13.140625" style="668" customWidth="1"/>
    <col min="257" max="257" width="4" style="668" customWidth="1"/>
    <col min="258" max="258" width="12.85546875" style="668" customWidth="1"/>
    <col min="259" max="259" width="14.7109375" style="668" customWidth="1"/>
    <col min="260" max="260" width="10" style="668" customWidth="1"/>
    <col min="261" max="261" width="6.28515625" style="668" customWidth="1"/>
    <col min="262" max="262" width="12.28515625" style="668" customWidth="1"/>
    <col min="263" max="263" width="8.5703125" style="668" customWidth="1"/>
    <col min="264" max="264" width="13.7109375" style="668" customWidth="1"/>
    <col min="265" max="265" width="11.5703125" style="668" customWidth="1"/>
    <col min="266" max="266" width="34.28515625" style="668" customWidth="1"/>
    <col min="267" max="267" width="24.28515625" style="668" customWidth="1"/>
    <col min="268" max="268" width="21.140625" style="668" customWidth="1"/>
    <col min="269" max="269" width="22.140625" style="668" customWidth="1"/>
    <col min="270" max="270" width="8" style="668" customWidth="1"/>
    <col min="271" max="271" width="17" style="668" customWidth="1"/>
    <col min="272" max="272" width="12.7109375" style="668" customWidth="1"/>
    <col min="273" max="273" width="24.5703125" style="668" customWidth="1"/>
    <col min="274" max="274" width="29" style="668" customWidth="1"/>
    <col min="275" max="275" width="17.7109375" style="668" customWidth="1"/>
    <col min="276" max="276" width="36.42578125" style="668" customWidth="1"/>
    <col min="277" max="277" width="21.85546875" style="668" customWidth="1"/>
    <col min="278" max="278" width="11.7109375" style="668" customWidth="1"/>
    <col min="279" max="279" width="26.28515625" style="668" customWidth="1"/>
    <col min="280" max="280" width="9" style="668" customWidth="1"/>
    <col min="281" max="281" width="6.28515625" style="668" customWidth="1"/>
    <col min="282" max="283" width="7.28515625" style="668" customWidth="1"/>
    <col min="284" max="284" width="8.42578125" style="668" customWidth="1"/>
    <col min="285" max="285" width="9.5703125" style="668" customWidth="1"/>
    <col min="286" max="286" width="6.28515625" style="668" customWidth="1"/>
    <col min="287" max="287" width="5.85546875" style="668" customWidth="1"/>
    <col min="288" max="289" width="4.42578125" style="668" customWidth="1"/>
    <col min="290" max="290" width="5" style="668" customWidth="1"/>
    <col min="291" max="291" width="5.85546875" style="668" customWidth="1"/>
    <col min="292" max="292" width="6.140625" style="668" customWidth="1"/>
    <col min="293" max="293" width="6.28515625" style="668" customWidth="1"/>
    <col min="294" max="294" width="11.140625" style="668" customWidth="1"/>
    <col min="295" max="295" width="14.140625" style="668" customWidth="1"/>
    <col min="296" max="296" width="19.85546875" style="668" customWidth="1"/>
    <col min="297" max="297" width="17" style="668" customWidth="1"/>
    <col min="298" max="298" width="20.85546875" style="668" customWidth="1"/>
    <col min="299" max="511" width="11.42578125" style="668"/>
    <col min="512" max="512" width="13.140625" style="668" customWidth="1"/>
    <col min="513" max="513" width="4" style="668" customWidth="1"/>
    <col min="514" max="514" width="12.85546875" style="668" customWidth="1"/>
    <col min="515" max="515" width="14.7109375" style="668" customWidth="1"/>
    <col min="516" max="516" width="10" style="668" customWidth="1"/>
    <col min="517" max="517" width="6.28515625" style="668" customWidth="1"/>
    <col min="518" max="518" width="12.28515625" style="668" customWidth="1"/>
    <col min="519" max="519" width="8.5703125" style="668" customWidth="1"/>
    <col min="520" max="520" width="13.7109375" style="668" customWidth="1"/>
    <col min="521" max="521" width="11.5703125" style="668" customWidth="1"/>
    <col min="522" max="522" width="34.28515625" style="668" customWidth="1"/>
    <col min="523" max="523" width="24.28515625" style="668" customWidth="1"/>
    <col min="524" max="524" width="21.140625" style="668" customWidth="1"/>
    <col min="525" max="525" width="22.140625" style="668" customWidth="1"/>
    <col min="526" max="526" width="8" style="668" customWidth="1"/>
    <col min="527" max="527" width="17" style="668" customWidth="1"/>
    <col min="528" max="528" width="12.7109375" style="668" customWidth="1"/>
    <col min="529" max="529" width="24.5703125" style="668" customWidth="1"/>
    <col min="530" max="530" width="29" style="668" customWidth="1"/>
    <col min="531" max="531" width="17.7109375" style="668" customWidth="1"/>
    <col min="532" max="532" width="36.42578125" style="668" customWidth="1"/>
    <col min="533" max="533" width="21.85546875" style="668" customWidth="1"/>
    <col min="534" max="534" width="11.7109375" style="668" customWidth="1"/>
    <col min="535" max="535" width="26.28515625" style="668" customWidth="1"/>
    <col min="536" max="536" width="9" style="668" customWidth="1"/>
    <col min="537" max="537" width="6.28515625" style="668" customWidth="1"/>
    <col min="538" max="539" width="7.28515625" style="668" customWidth="1"/>
    <col min="540" max="540" width="8.42578125" style="668" customWidth="1"/>
    <col min="541" max="541" width="9.5703125" style="668" customWidth="1"/>
    <col min="542" max="542" width="6.28515625" style="668" customWidth="1"/>
    <col min="543" max="543" width="5.85546875" style="668" customWidth="1"/>
    <col min="544" max="545" width="4.42578125" style="668" customWidth="1"/>
    <col min="546" max="546" width="5" style="668" customWidth="1"/>
    <col min="547" max="547" width="5.85546875" style="668" customWidth="1"/>
    <col min="548" max="548" width="6.140625" style="668" customWidth="1"/>
    <col min="549" max="549" width="6.28515625" style="668" customWidth="1"/>
    <col min="550" max="550" width="11.140625" style="668" customWidth="1"/>
    <col min="551" max="551" width="14.140625" style="668" customWidth="1"/>
    <col min="552" max="552" width="19.85546875" style="668" customWidth="1"/>
    <col min="553" max="553" width="17" style="668" customWidth="1"/>
    <col min="554" max="554" width="20.85546875" style="668" customWidth="1"/>
    <col min="555" max="767" width="11.42578125" style="668"/>
    <col min="768" max="768" width="13.140625" style="668" customWidth="1"/>
    <col min="769" max="769" width="4" style="668" customWidth="1"/>
    <col min="770" max="770" width="12.85546875" style="668" customWidth="1"/>
    <col min="771" max="771" width="14.7109375" style="668" customWidth="1"/>
    <col min="772" max="772" width="10" style="668" customWidth="1"/>
    <col min="773" max="773" width="6.28515625" style="668" customWidth="1"/>
    <col min="774" max="774" width="12.28515625" style="668" customWidth="1"/>
    <col min="775" max="775" width="8.5703125" style="668" customWidth="1"/>
    <col min="776" max="776" width="13.7109375" style="668" customWidth="1"/>
    <col min="777" max="777" width="11.5703125" style="668" customWidth="1"/>
    <col min="778" max="778" width="34.28515625" style="668" customWidth="1"/>
    <col min="779" max="779" width="24.28515625" style="668" customWidth="1"/>
    <col min="780" max="780" width="21.140625" style="668" customWidth="1"/>
    <col min="781" max="781" width="22.140625" style="668" customWidth="1"/>
    <col min="782" max="782" width="8" style="668" customWidth="1"/>
    <col min="783" max="783" width="17" style="668" customWidth="1"/>
    <col min="784" max="784" width="12.7109375" style="668" customWidth="1"/>
    <col min="785" max="785" width="24.5703125" style="668" customWidth="1"/>
    <col min="786" max="786" width="29" style="668" customWidth="1"/>
    <col min="787" max="787" width="17.7109375" style="668" customWidth="1"/>
    <col min="788" max="788" width="36.42578125" style="668" customWidth="1"/>
    <col min="789" max="789" width="21.85546875" style="668" customWidth="1"/>
    <col min="790" max="790" width="11.7109375" style="668" customWidth="1"/>
    <col min="791" max="791" width="26.28515625" style="668" customWidth="1"/>
    <col min="792" max="792" width="9" style="668" customWidth="1"/>
    <col min="793" max="793" width="6.28515625" style="668" customWidth="1"/>
    <col min="794" max="795" width="7.28515625" style="668" customWidth="1"/>
    <col min="796" max="796" width="8.42578125" style="668" customWidth="1"/>
    <col min="797" max="797" width="9.5703125" style="668" customWidth="1"/>
    <col min="798" max="798" width="6.28515625" style="668" customWidth="1"/>
    <col min="799" max="799" width="5.85546875" style="668" customWidth="1"/>
    <col min="800" max="801" width="4.42578125" style="668" customWidth="1"/>
    <col min="802" max="802" width="5" style="668" customWidth="1"/>
    <col min="803" max="803" width="5.85546875" style="668" customWidth="1"/>
    <col min="804" max="804" width="6.140625" style="668" customWidth="1"/>
    <col min="805" max="805" width="6.28515625" style="668" customWidth="1"/>
    <col min="806" max="806" width="11.140625" style="668" customWidth="1"/>
    <col min="807" max="807" width="14.140625" style="668" customWidth="1"/>
    <col min="808" max="808" width="19.85546875" style="668" customWidth="1"/>
    <col min="809" max="809" width="17" style="668" customWidth="1"/>
    <col min="810" max="810" width="20.85546875" style="668" customWidth="1"/>
    <col min="811" max="1023" width="11.42578125" style="668"/>
    <col min="1024" max="1024" width="13.140625" style="668" customWidth="1"/>
    <col min="1025" max="1025" width="4" style="668" customWidth="1"/>
    <col min="1026" max="1026" width="12.85546875" style="668" customWidth="1"/>
    <col min="1027" max="1027" width="14.7109375" style="668" customWidth="1"/>
    <col min="1028" max="1028" width="10" style="668" customWidth="1"/>
    <col min="1029" max="1029" width="6.28515625" style="668" customWidth="1"/>
    <col min="1030" max="1030" width="12.28515625" style="668" customWidth="1"/>
    <col min="1031" max="1031" width="8.5703125" style="668" customWidth="1"/>
    <col min="1032" max="1032" width="13.7109375" style="668" customWidth="1"/>
    <col min="1033" max="1033" width="11.5703125" style="668" customWidth="1"/>
    <col min="1034" max="1034" width="34.28515625" style="668" customWidth="1"/>
    <col min="1035" max="1035" width="24.28515625" style="668" customWidth="1"/>
    <col min="1036" max="1036" width="21.140625" style="668" customWidth="1"/>
    <col min="1037" max="1037" width="22.140625" style="668" customWidth="1"/>
    <col min="1038" max="1038" width="8" style="668" customWidth="1"/>
    <col min="1039" max="1039" width="17" style="668" customWidth="1"/>
    <col min="1040" max="1040" width="12.7109375" style="668" customWidth="1"/>
    <col min="1041" max="1041" width="24.5703125" style="668" customWidth="1"/>
    <col min="1042" max="1042" width="29" style="668" customWidth="1"/>
    <col min="1043" max="1043" width="17.7109375" style="668" customWidth="1"/>
    <col min="1044" max="1044" width="36.42578125" style="668" customWidth="1"/>
    <col min="1045" max="1045" width="21.85546875" style="668" customWidth="1"/>
    <col min="1046" max="1046" width="11.7109375" style="668" customWidth="1"/>
    <col min="1047" max="1047" width="26.28515625" style="668" customWidth="1"/>
    <col min="1048" max="1048" width="9" style="668" customWidth="1"/>
    <col min="1049" max="1049" width="6.28515625" style="668" customWidth="1"/>
    <col min="1050" max="1051" width="7.28515625" style="668" customWidth="1"/>
    <col min="1052" max="1052" width="8.42578125" style="668" customWidth="1"/>
    <col min="1053" max="1053" width="9.5703125" style="668" customWidth="1"/>
    <col min="1054" max="1054" width="6.28515625" style="668" customWidth="1"/>
    <col min="1055" max="1055" width="5.85546875" style="668" customWidth="1"/>
    <col min="1056" max="1057" width="4.42578125" style="668" customWidth="1"/>
    <col min="1058" max="1058" width="5" style="668" customWidth="1"/>
    <col min="1059" max="1059" width="5.85546875" style="668" customWidth="1"/>
    <col min="1060" max="1060" width="6.140625" style="668" customWidth="1"/>
    <col min="1061" max="1061" width="6.28515625" style="668" customWidth="1"/>
    <col min="1062" max="1062" width="11.140625" style="668" customWidth="1"/>
    <col min="1063" max="1063" width="14.140625" style="668" customWidth="1"/>
    <col min="1064" max="1064" width="19.85546875" style="668" customWidth="1"/>
    <col min="1065" max="1065" width="17" style="668" customWidth="1"/>
    <col min="1066" max="1066" width="20.85546875" style="668" customWidth="1"/>
    <col min="1067" max="1279" width="11.42578125" style="668"/>
    <col min="1280" max="1280" width="13.140625" style="668" customWidth="1"/>
    <col min="1281" max="1281" width="4" style="668" customWidth="1"/>
    <col min="1282" max="1282" width="12.85546875" style="668" customWidth="1"/>
    <col min="1283" max="1283" width="14.7109375" style="668" customWidth="1"/>
    <col min="1284" max="1284" width="10" style="668" customWidth="1"/>
    <col min="1285" max="1285" width="6.28515625" style="668" customWidth="1"/>
    <col min="1286" max="1286" width="12.28515625" style="668" customWidth="1"/>
    <col min="1287" max="1287" width="8.5703125" style="668" customWidth="1"/>
    <col min="1288" max="1288" width="13.7109375" style="668" customWidth="1"/>
    <col min="1289" max="1289" width="11.5703125" style="668" customWidth="1"/>
    <col min="1290" max="1290" width="34.28515625" style="668" customWidth="1"/>
    <col min="1291" max="1291" width="24.28515625" style="668" customWidth="1"/>
    <col min="1292" max="1292" width="21.140625" style="668" customWidth="1"/>
    <col min="1293" max="1293" width="22.140625" style="668" customWidth="1"/>
    <col min="1294" max="1294" width="8" style="668" customWidth="1"/>
    <col min="1295" max="1295" width="17" style="668" customWidth="1"/>
    <col min="1296" max="1296" width="12.7109375" style="668" customWidth="1"/>
    <col min="1297" max="1297" width="24.5703125" style="668" customWidth="1"/>
    <col min="1298" max="1298" width="29" style="668" customWidth="1"/>
    <col min="1299" max="1299" width="17.7109375" style="668" customWidth="1"/>
    <col min="1300" max="1300" width="36.42578125" style="668" customWidth="1"/>
    <col min="1301" max="1301" width="21.85546875" style="668" customWidth="1"/>
    <col min="1302" max="1302" width="11.7109375" style="668" customWidth="1"/>
    <col min="1303" max="1303" width="26.28515625" style="668" customWidth="1"/>
    <col min="1304" max="1304" width="9" style="668" customWidth="1"/>
    <col min="1305" max="1305" width="6.28515625" style="668" customWidth="1"/>
    <col min="1306" max="1307" width="7.28515625" style="668" customWidth="1"/>
    <col min="1308" max="1308" width="8.42578125" style="668" customWidth="1"/>
    <col min="1309" max="1309" width="9.5703125" style="668" customWidth="1"/>
    <col min="1310" max="1310" width="6.28515625" style="668" customWidth="1"/>
    <col min="1311" max="1311" width="5.85546875" style="668" customWidth="1"/>
    <col min="1312" max="1313" width="4.42578125" style="668" customWidth="1"/>
    <col min="1314" max="1314" width="5" style="668" customWidth="1"/>
    <col min="1315" max="1315" width="5.85546875" style="668" customWidth="1"/>
    <col min="1316" max="1316" width="6.140625" style="668" customWidth="1"/>
    <col min="1317" max="1317" width="6.28515625" style="668" customWidth="1"/>
    <col min="1318" max="1318" width="11.140625" style="668" customWidth="1"/>
    <col min="1319" max="1319" width="14.140625" style="668" customWidth="1"/>
    <col min="1320" max="1320" width="19.85546875" style="668" customWidth="1"/>
    <col min="1321" max="1321" width="17" style="668" customWidth="1"/>
    <col min="1322" max="1322" width="20.85546875" style="668" customWidth="1"/>
    <col min="1323" max="1535" width="11.42578125" style="668"/>
    <col min="1536" max="1536" width="13.140625" style="668" customWidth="1"/>
    <col min="1537" max="1537" width="4" style="668" customWidth="1"/>
    <col min="1538" max="1538" width="12.85546875" style="668" customWidth="1"/>
    <col min="1539" max="1539" width="14.7109375" style="668" customWidth="1"/>
    <col min="1540" max="1540" width="10" style="668" customWidth="1"/>
    <col min="1541" max="1541" width="6.28515625" style="668" customWidth="1"/>
    <col min="1542" max="1542" width="12.28515625" style="668" customWidth="1"/>
    <col min="1543" max="1543" width="8.5703125" style="668" customWidth="1"/>
    <col min="1544" max="1544" width="13.7109375" style="668" customWidth="1"/>
    <col min="1545" max="1545" width="11.5703125" style="668" customWidth="1"/>
    <col min="1546" max="1546" width="34.28515625" style="668" customWidth="1"/>
    <col min="1547" max="1547" width="24.28515625" style="668" customWidth="1"/>
    <col min="1548" max="1548" width="21.140625" style="668" customWidth="1"/>
    <col min="1549" max="1549" width="22.140625" style="668" customWidth="1"/>
    <col min="1550" max="1550" width="8" style="668" customWidth="1"/>
    <col min="1551" max="1551" width="17" style="668" customWidth="1"/>
    <col min="1552" max="1552" width="12.7109375" style="668" customWidth="1"/>
    <col min="1553" max="1553" width="24.5703125" style="668" customWidth="1"/>
    <col min="1554" max="1554" width="29" style="668" customWidth="1"/>
    <col min="1555" max="1555" width="17.7109375" style="668" customWidth="1"/>
    <col min="1556" max="1556" width="36.42578125" style="668" customWidth="1"/>
    <col min="1557" max="1557" width="21.85546875" style="668" customWidth="1"/>
    <col min="1558" max="1558" width="11.7109375" style="668" customWidth="1"/>
    <col min="1559" max="1559" width="26.28515625" style="668" customWidth="1"/>
    <col min="1560" max="1560" width="9" style="668" customWidth="1"/>
    <col min="1561" max="1561" width="6.28515625" style="668" customWidth="1"/>
    <col min="1562" max="1563" width="7.28515625" style="668" customWidth="1"/>
    <col min="1564" max="1564" width="8.42578125" style="668" customWidth="1"/>
    <col min="1565" max="1565" width="9.5703125" style="668" customWidth="1"/>
    <col min="1566" max="1566" width="6.28515625" style="668" customWidth="1"/>
    <col min="1567" max="1567" width="5.85546875" style="668" customWidth="1"/>
    <col min="1568" max="1569" width="4.42578125" style="668" customWidth="1"/>
    <col min="1570" max="1570" width="5" style="668" customWidth="1"/>
    <col min="1571" max="1571" width="5.85546875" style="668" customWidth="1"/>
    <col min="1572" max="1572" width="6.140625" style="668" customWidth="1"/>
    <col min="1573" max="1573" width="6.28515625" style="668" customWidth="1"/>
    <col min="1574" max="1574" width="11.140625" style="668" customWidth="1"/>
    <col min="1575" max="1575" width="14.140625" style="668" customWidth="1"/>
    <col min="1576" max="1576" width="19.85546875" style="668" customWidth="1"/>
    <col min="1577" max="1577" width="17" style="668" customWidth="1"/>
    <col min="1578" max="1578" width="20.85546875" style="668" customWidth="1"/>
    <col min="1579" max="1791" width="11.42578125" style="668"/>
    <col min="1792" max="1792" width="13.140625" style="668" customWidth="1"/>
    <col min="1793" max="1793" width="4" style="668" customWidth="1"/>
    <col min="1794" max="1794" width="12.85546875" style="668" customWidth="1"/>
    <col min="1795" max="1795" width="14.7109375" style="668" customWidth="1"/>
    <col min="1796" max="1796" width="10" style="668" customWidth="1"/>
    <col min="1797" max="1797" width="6.28515625" style="668" customWidth="1"/>
    <col min="1798" max="1798" width="12.28515625" style="668" customWidth="1"/>
    <col min="1799" max="1799" width="8.5703125" style="668" customWidth="1"/>
    <col min="1800" max="1800" width="13.7109375" style="668" customWidth="1"/>
    <col min="1801" max="1801" width="11.5703125" style="668" customWidth="1"/>
    <col min="1802" max="1802" width="34.28515625" style="668" customWidth="1"/>
    <col min="1803" max="1803" width="24.28515625" style="668" customWidth="1"/>
    <col min="1804" max="1804" width="21.140625" style="668" customWidth="1"/>
    <col min="1805" max="1805" width="22.140625" style="668" customWidth="1"/>
    <col min="1806" max="1806" width="8" style="668" customWidth="1"/>
    <col min="1807" max="1807" width="17" style="668" customWidth="1"/>
    <col min="1808" max="1808" width="12.7109375" style="668" customWidth="1"/>
    <col min="1809" max="1809" width="24.5703125" style="668" customWidth="1"/>
    <col min="1810" max="1810" width="29" style="668" customWidth="1"/>
    <col min="1811" max="1811" width="17.7109375" style="668" customWidth="1"/>
    <col min="1812" max="1812" width="36.42578125" style="668" customWidth="1"/>
    <col min="1813" max="1813" width="21.85546875" style="668" customWidth="1"/>
    <col min="1814" max="1814" width="11.7109375" style="668" customWidth="1"/>
    <col min="1815" max="1815" width="26.28515625" style="668" customWidth="1"/>
    <col min="1816" max="1816" width="9" style="668" customWidth="1"/>
    <col min="1817" max="1817" width="6.28515625" style="668" customWidth="1"/>
    <col min="1818" max="1819" width="7.28515625" style="668" customWidth="1"/>
    <col min="1820" max="1820" width="8.42578125" style="668" customWidth="1"/>
    <col min="1821" max="1821" width="9.5703125" style="668" customWidth="1"/>
    <col min="1822" max="1822" width="6.28515625" style="668" customWidth="1"/>
    <col min="1823" max="1823" width="5.85546875" style="668" customWidth="1"/>
    <col min="1824" max="1825" width="4.42578125" style="668" customWidth="1"/>
    <col min="1826" max="1826" width="5" style="668" customWidth="1"/>
    <col min="1827" max="1827" width="5.85546875" style="668" customWidth="1"/>
    <col min="1828" max="1828" width="6.140625" style="668" customWidth="1"/>
    <col min="1829" max="1829" width="6.28515625" style="668" customWidth="1"/>
    <col min="1830" max="1830" width="11.140625" style="668" customWidth="1"/>
    <col min="1831" max="1831" width="14.140625" style="668" customWidth="1"/>
    <col min="1832" max="1832" width="19.85546875" style="668" customWidth="1"/>
    <col min="1833" max="1833" width="17" style="668" customWidth="1"/>
    <col min="1834" max="1834" width="20.85546875" style="668" customWidth="1"/>
    <col min="1835" max="2047" width="11.42578125" style="668"/>
    <col min="2048" max="2048" width="13.140625" style="668" customWidth="1"/>
    <col min="2049" max="2049" width="4" style="668" customWidth="1"/>
    <col min="2050" max="2050" width="12.85546875" style="668" customWidth="1"/>
    <col min="2051" max="2051" width="14.7109375" style="668" customWidth="1"/>
    <col min="2052" max="2052" width="10" style="668" customWidth="1"/>
    <col min="2053" max="2053" width="6.28515625" style="668" customWidth="1"/>
    <col min="2054" max="2054" width="12.28515625" style="668" customWidth="1"/>
    <col min="2055" max="2055" width="8.5703125" style="668" customWidth="1"/>
    <col min="2056" max="2056" width="13.7109375" style="668" customWidth="1"/>
    <col min="2057" max="2057" width="11.5703125" style="668" customWidth="1"/>
    <col min="2058" max="2058" width="34.28515625" style="668" customWidth="1"/>
    <col min="2059" max="2059" width="24.28515625" style="668" customWidth="1"/>
    <col min="2060" max="2060" width="21.140625" style="668" customWidth="1"/>
    <col min="2061" max="2061" width="22.140625" style="668" customWidth="1"/>
    <col min="2062" max="2062" width="8" style="668" customWidth="1"/>
    <col min="2063" max="2063" width="17" style="668" customWidth="1"/>
    <col min="2064" max="2064" width="12.7109375" style="668" customWidth="1"/>
    <col min="2065" max="2065" width="24.5703125" style="668" customWidth="1"/>
    <col min="2066" max="2066" width="29" style="668" customWidth="1"/>
    <col min="2067" max="2067" width="17.7109375" style="668" customWidth="1"/>
    <col min="2068" max="2068" width="36.42578125" style="668" customWidth="1"/>
    <col min="2069" max="2069" width="21.85546875" style="668" customWidth="1"/>
    <col min="2070" max="2070" width="11.7109375" style="668" customWidth="1"/>
    <col min="2071" max="2071" width="26.28515625" style="668" customWidth="1"/>
    <col min="2072" max="2072" width="9" style="668" customWidth="1"/>
    <col min="2073" max="2073" width="6.28515625" style="668" customWidth="1"/>
    <col min="2074" max="2075" width="7.28515625" style="668" customWidth="1"/>
    <col min="2076" max="2076" width="8.42578125" style="668" customWidth="1"/>
    <col min="2077" max="2077" width="9.5703125" style="668" customWidth="1"/>
    <col min="2078" max="2078" width="6.28515625" style="668" customWidth="1"/>
    <col min="2079" max="2079" width="5.85546875" style="668" customWidth="1"/>
    <col min="2080" max="2081" width="4.42578125" style="668" customWidth="1"/>
    <col min="2082" max="2082" width="5" style="668" customWidth="1"/>
    <col min="2083" max="2083" width="5.85546875" style="668" customWidth="1"/>
    <col min="2084" max="2084" width="6.140625" style="668" customWidth="1"/>
    <col min="2085" max="2085" width="6.28515625" style="668" customWidth="1"/>
    <col min="2086" max="2086" width="11.140625" style="668" customWidth="1"/>
    <col min="2087" max="2087" width="14.140625" style="668" customWidth="1"/>
    <col min="2088" max="2088" width="19.85546875" style="668" customWidth="1"/>
    <col min="2089" max="2089" width="17" style="668" customWidth="1"/>
    <col min="2090" max="2090" width="20.85546875" style="668" customWidth="1"/>
    <col min="2091" max="2303" width="11.42578125" style="668"/>
    <col min="2304" max="2304" width="13.140625" style="668" customWidth="1"/>
    <col min="2305" max="2305" width="4" style="668" customWidth="1"/>
    <col min="2306" max="2306" width="12.85546875" style="668" customWidth="1"/>
    <col min="2307" max="2307" width="14.7109375" style="668" customWidth="1"/>
    <col min="2308" max="2308" width="10" style="668" customWidth="1"/>
    <col min="2309" max="2309" width="6.28515625" style="668" customWidth="1"/>
    <col min="2310" max="2310" width="12.28515625" style="668" customWidth="1"/>
    <col min="2311" max="2311" width="8.5703125" style="668" customWidth="1"/>
    <col min="2312" max="2312" width="13.7109375" style="668" customWidth="1"/>
    <col min="2313" max="2313" width="11.5703125" style="668" customWidth="1"/>
    <col min="2314" max="2314" width="34.28515625" style="668" customWidth="1"/>
    <col min="2315" max="2315" width="24.28515625" style="668" customWidth="1"/>
    <col min="2316" max="2316" width="21.140625" style="668" customWidth="1"/>
    <col min="2317" max="2317" width="22.140625" style="668" customWidth="1"/>
    <col min="2318" max="2318" width="8" style="668" customWidth="1"/>
    <col min="2319" max="2319" width="17" style="668" customWidth="1"/>
    <col min="2320" max="2320" width="12.7109375" style="668" customWidth="1"/>
    <col min="2321" max="2321" width="24.5703125" style="668" customWidth="1"/>
    <col min="2322" max="2322" width="29" style="668" customWidth="1"/>
    <col min="2323" max="2323" width="17.7109375" style="668" customWidth="1"/>
    <col min="2324" max="2324" width="36.42578125" style="668" customWidth="1"/>
    <col min="2325" max="2325" width="21.85546875" style="668" customWidth="1"/>
    <col min="2326" max="2326" width="11.7109375" style="668" customWidth="1"/>
    <col min="2327" max="2327" width="26.28515625" style="668" customWidth="1"/>
    <col min="2328" max="2328" width="9" style="668" customWidth="1"/>
    <col min="2329" max="2329" width="6.28515625" style="668" customWidth="1"/>
    <col min="2330" max="2331" width="7.28515625" style="668" customWidth="1"/>
    <col min="2332" max="2332" width="8.42578125" style="668" customWidth="1"/>
    <col min="2333" max="2333" width="9.5703125" style="668" customWidth="1"/>
    <col min="2334" max="2334" width="6.28515625" style="668" customWidth="1"/>
    <col min="2335" max="2335" width="5.85546875" style="668" customWidth="1"/>
    <col min="2336" max="2337" width="4.42578125" style="668" customWidth="1"/>
    <col min="2338" max="2338" width="5" style="668" customWidth="1"/>
    <col min="2339" max="2339" width="5.85546875" style="668" customWidth="1"/>
    <col min="2340" max="2340" width="6.140625" style="668" customWidth="1"/>
    <col min="2341" max="2341" width="6.28515625" style="668" customWidth="1"/>
    <col min="2342" max="2342" width="11.140625" style="668" customWidth="1"/>
    <col min="2343" max="2343" width="14.140625" style="668" customWidth="1"/>
    <col min="2344" max="2344" width="19.85546875" style="668" customWidth="1"/>
    <col min="2345" max="2345" width="17" style="668" customWidth="1"/>
    <col min="2346" max="2346" width="20.85546875" style="668" customWidth="1"/>
    <col min="2347" max="2559" width="11.42578125" style="668"/>
    <col min="2560" max="2560" width="13.140625" style="668" customWidth="1"/>
    <col min="2561" max="2561" width="4" style="668" customWidth="1"/>
    <col min="2562" max="2562" width="12.85546875" style="668" customWidth="1"/>
    <col min="2563" max="2563" width="14.7109375" style="668" customWidth="1"/>
    <col min="2564" max="2564" width="10" style="668" customWidth="1"/>
    <col min="2565" max="2565" width="6.28515625" style="668" customWidth="1"/>
    <col min="2566" max="2566" width="12.28515625" style="668" customWidth="1"/>
    <col min="2567" max="2567" width="8.5703125" style="668" customWidth="1"/>
    <col min="2568" max="2568" width="13.7109375" style="668" customWidth="1"/>
    <col min="2569" max="2569" width="11.5703125" style="668" customWidth="1"/>
    <col min="2570" max="2570" width="34.28515625" style="668" customWidth="1"/>
    <col min="2571" max="2571" width="24.28515625" style="668" customWidth="1"/>
    <col min="2572" max="2572" width="21.140625" style="668" customWidth="1"/>
    <col min="2573" max="2573" width="22.140625" style="668" customWidth="1"/>
    <col min="2574" max="2574" width="8" style="668" customWidth="1"/>
    <col min="2575" max="2575" width="17" style="668" customWidth="1"/>
    <col min="2576" max="2576" width="12.7109375" style="668" customWidth="1"/>
    <col min="2577" max="2577" width="24.5703125" style="668" customWidth="1"/>
    <col min="2578" max="2578" width="29" style="668" customWidth="1"/>
    <col min="2579" max="2579" width="17.7109375" style="668" customWidth="1"/>
    <col min="2580" max="2580" width="36.42578125" style="668" customWidth="1"/>
    <col min="2581" max="2581" width="21.85546875" style="668" customWidth="1"/>
    <col min="2582" max="2582" width="11.7109375" style="668" customWidth="1"/>
    <col min="2583" max="2583" width="26.28515625" style="668" customWidth="1"/>
    <col min="2584" max="2584" width="9" style="668" customWidth="1"/>
    <col min="2585" max="2585" width="6.28515625" style="668" customWidth="1"/>
    <col min="2586" max="2587" width="7.28515625" style="668" customWidth="1"/>
    <col min="2588" max="2588" width="8.42578125" style="668" customWidth="1"/>
    <col min="2589" max="2589" width="9.5703125" style="668" customWidth="1"/>
    <col min="2590" max="2590" width="6.28515625" style="668" customWidth="1"/>
    <col min="2591" max="2591" width="5.85546875" style="668" customWidth="1"/>
    <col min="2592" max="2593" width="4.42578125" style="668" customWidth="1"/>
    <col min="2594" max="2594" width="5" style="668" customWidth="1"/>
    <col min="2595" max="2595" width="5.85546875" style="668" customWidth="1"/>
    <col min="2596" max="2596" width="6.140625" style="668" customWidth="1"/>
    <col min="2597" max="2597" width="6.28515625" style="668" customWidth="1"/>
    <col min="2598" max="2598" width="11.140625" style="668" customWidth="1"/>
    <col min="2599" max="2599" width="14.140625" style="668" customWidth="1"/>
    <col min="2600" max="2600" width="19.85546875" style="668" customWidth="1"/>
    <col min="2601" max="2601" width="17" style="668" customWidth="1"/>
    <col min="2602" max="2602" width="20.85546875" style="668" customWidth="1"/>
    <col min="2603" max="2815" width="11.42578125" style="668"/>
    <col min="2816" max="2816" width="13.140625" style="668" customWidth="1"/>
    <col min="2817" max="2817" width="4" style="668" customWidth="1"/>
    <col min="2818" max="2818" width="12.85546875" style="668" customWidth="1"/>
    <col min="2819" max="2819" width="14.7109375" style="668" customWidth="1"/>
    <col min="2820" max="2820" width="10" style="668" customWidth="1"/>
    <col min="2821" max="2821" width="6.28515625" style="668" customWidth="1"/>
    <col min="2822" max="2822" width="12.28515625" style="668" customWidth="1"/>
    <col min="2823" max="2823" width="8.5703125" style="668" customWidth="1"/>
    <col min="2824" max="2824" width="13.7109375" style="668" customWidth="1"/>
    <col min="2825" max="2825" width="11.5703125" style="668" customWidth="1"/>
    <col min="2826" max="2826" width="34.28515625" style="668" customWidth="1"/>
    <col min="2827" max="2827" width="24.28515625" style="668" customWidth="1"/>
    <col min="2828" max="2828" width="21.140625" style="668" customWidth="1"/>
    <col min="2829" max="2829" width="22.140625" style="668" customWidth="1"/>
    <col min="2830" max="2830" width="8" style="668" customWidth="1"/>
    <col min="2831" max="2831" width="17" style="668" customWidth="1"/>
    <col min="2832" max="2832" width="12.7109375" style="668" customWidth="1"/>
    <col min="2833" max="2833" width="24.5703125" style="668" customWidth="1"/>
    <col min="2834" max="2834" width="29" style="668" customWidth="1"/>
    <col min="2835" max="2835" width="17.7109375" style="668" customWidth="1"/>
    <col min="2836" max="2836" width="36.42578125" style="668" customWidth="1"/>
    <col min="2837" max="2837" width="21.85546875" style="668" customWidth="1"/>
    <col min="2838" max="2838" width="11.7109375" style="668" customWidth="1"/>
    <col min="2839" max="2839" width="26.28515625" style="668" customWidth="1"/>
    <col min="2840" max="2840" width="9" style="668" customWidth="1"/>
    <col min="2841" max="2841" width="6.28515625" style="668" customWidth="1"/>
    <col min="2842" max="2843" width="7.28515625" style="668" customWidth="1"/>
    <col min="2844" max="2844" width="8.42578125" style="668" customWidth="1"/>
    <col min="2845" max="2845" width="9.5703125" style="668" customWidth="1"/>
    <col min="2846" max="2846" width="6.28515625" style="668" customWidth="1"/>
    <col min="2847" max="2847" width="5.85546875" style="668" customWidth="1"/>
    <col min="2848" max="2849" width="4.42578125" style="668" customWidth="1"/>
    <col min="2850" max="2850" width="5" style="668" customWidth="1"/>
    <col min="2851" max="2851" width="5.85546875" style="668" customWidth="1"/>
    <col min="2852" max="2852" width="6.140625" style="668" customWidth="1"/>
    <col min="2853" max="2853" width="6.28515625" style="668" customWidth="1"/>
    <col min="2854" max="2854" width="11.140625" style="668" customWidth="1"/>
    <col min="2855" max="2855" width="14.140625" style="668" customWidth="1"/>
    <col min="2856" max="2856" width="19.85546875" style="668" customWidth="1"/>
    <col min="2857" max="2857" width="17" style="668" customWidth="1"/>
    <col min="2858" max="2858" width="20.85546875" style="668" customWidth="1"/>
    <col min="2859" max="3071" width="11.42578125" style="668"/>
    <col min="3072" max="3072" width="13.140625" style="668" customWidth="1"/>
    <col min="3073" max="3073" width="4" style="668" customWidth="1"/>
    <col min="3074" max="3074" width="12.85546875" style="668" customWidth="1"/>
    <col min="3075" max="3075" width="14.7109375" style="668" customWidth="1"/>
    <col min="3076" max="3076" width="10" style="668" customWidth="1"/>
    <col min="3077" max="3077" width="6.28515625" style="668" customWidth="1"/>
    <col min="3078" max="3078" width="12.28515625" style="668" customWidth="1"/>
    <col min="3079" max="3079" width="8.5703125" style="668" customWidth="1"/>
    <col min="3080" max="3080" width="13.7109375" style="668" customWidth="1"/>
    <col min="3081" max="3081" width="11.5703125" style="668" customWidth="1"/>
    <col min="3082" max="3082" width="34.28515625" style="668" customWidth="1"/>
    <col min="3083" max="3083" width="24.28515625" style="668" customWidth="1"/>
    <col min="3084" max="3084" width="21.140625" style="668" customWidth="1"/>
    <col min="3085" max="3085" width="22.140625" style="668" customWidth="1"/>
    <col min="3086" max="3086" width="8" style="668" customWidth="1"/>
    <col min="3087" max="3087" width="17" style="668" customWidth="1"/>
    <col min="3088" max="3088" width="12.7109375" style="668" customWidth="1"/>
    <col min="3089" max="3089" width="24.5703125" style="668" customWidth="1"/>
    <col min="3090" max="3090" width="29" style="668" customWidth="1"/>
    <col min="3091" max="3091" width="17.7109375" style="668" customWidth="1"/>
    <col min="3092" max="3092" width="36.42578125" style="668" customWidth="1"/>
    <col min="3093" max="3093" width="21.85546875" style="668" customWidth="1"/>
    <col min="3094" max="3094" width="11.7109375" style="668" customWidth="1"/>
    <col min="3095" max="3095" width="26.28515625" style="668" customWidth="1"/>
    <col min="3096" max="3096" width="9" style="668" customWidth="1"/>
    <col min="3097" max="3097" width="6.28515625" style="668" customWidth="1"/>
    <col min="3098" max="3099" width="7.28515625" style="668" customWidth="1"/>
    <col min="3100" max="3100" width="8.42578125" style="668" customWidth="1"/>
    <col min="3101" max="3101" width="9.5703125" style="668" customWidth="1"/>
    <col min="3102" max="3102" width="6.28515625" style="668" customWidth="1"/>
    <col min="3103" max="3103" width="5.85546875" style="668" customWidth="1"/>
    <col min="3104" max="3105" width="4.42578125" style="668" customWidth="1"/>
    <col min="3106" max="3106" width="5" style="668" customWidth="1"/>
    <col min="3107" max="3107" width="5.85546875" style="668" customWidth="1"/>
    <col min="3108" max="3108" width="6.140625" style="668" customWidth="1"/>
    <col min="3109" max="3109" width="6.28515625" style="668" customWidth="1"/>
    <col min="3110" max="3110" width="11.140625" style="668" customWidth="1"/>
    <col min="3111" max="3111" width="14.140625" style="668" customWidth="1"/>
    <col min="3112" max="3112" width="19.85546875" style="668" customWidth="1"/>
    <col min="3113" max="3113" width="17" style="668" customWidth="1"/>
    <col min="3114" max="3114" width="20.85546875" style="668" customWidth="1"/>
    <col min="3115" max="3327" width="11.42578125" style="668"/>
    <col min="3328" max="3328" width="13.140625" style="668" customWidth="1"/>
    <col min="3329" max="3329" width="4" style="668" customWidth="1"/>
    <col min="3330" max="3330" width="12.85546875" style="668" customWidth="1"/>
    <col min="3331" max="3331" width="14.7109375" style="668" customWidth="1"/>
    <col min="3332" max="3332" width="10" style="668" customWidth="1"/>
    <col min="3333" max="3333" width="6.28515625" style="668" customWidth="1"/>
    <col min="3334" max="3334" width="12.28515625" style="668" customWidth="1"/>
    <col min="3335" max="3335" width="8.5703125" style="668" customWidth="1"/>
    <col min="3336" max="3336" width="13.7109375" style="668" customWidth="1"/>
    <col min="3337" max="3337" width="11.5703125" style="668" customWidth="1"/>
    <col min="3338" max="3338" width="34.28515625" style="668" customWidth="1"/>
    <col min="3339" max="3339" width="24.28515625" style="668" customWidth="1"/>
    <col min="3340" max="3340" width="21.140625" style="668" customWidth="1"/>
    <col min="3341" max="3341" width="22.140625" style="668" customWidth="1"/>
    <col min="3342" max="3342" width="8" style="668" customWidth="1"/>
    <col min="3343" max="3343" width="17" style="668" customWidth="1"/>
    <col min="3344" max="3344" width="12.7109375" style="668" customWidth="1"/>
    <col min="3345" max="3345" width="24.5703125" style="668" customWidth="1"/>
    <col min="3346" max="3346" width="29" style="668" customWidth="1"/>
    <col min="3347" max="3347" width="17.7109375" style="668" customWidth="1"/>
    <col min="3348" max="3348" width="36.42578125" style="668" customWidth="1"/>
    <col min="3349" max="3349" width="21.85546875" style="668" customWidth="1"/>
    <col min="3350" max="3350" width="11.7109375" style="668" customWidth="1"/>
    <col min="3351" max="3351" width="26.28515625" style="668" customWidth="1"/>
    <col min="3352" max="3352" width="9" style="668" customWidth="1"/>
    <col min="3353" max="3353" width="6.28515625" style="668" customWidth="1"/>
    <col min="3354" max="3355" width="7.28515625" style="668" customWidth="1"/>
    <col min="3356" max="3356" width="8.42578125" style="668" customWidth="1"/>
    <col min="3357" max="3357" width="9.5703125" style="668" customWidth="1"/>
    <col min="3358" max="3358" width="6.28515625" style="668" customWidth="1"/>
    <col min="3359" max="3359" width="5.85546875" style="668" customWidth="1"/>
    <col min="3360" max="3361" width="4.42578125" style="668" customWidth="1"/>
    <col min="3362" max="3362" width="5" style="668" customWidth="1"/>
    <col min="3363" max="3363" width="5.85546875" style="668" customWidth="1"/>
    <col min="3364" max="3364" width="6.140625" style="668" customWidth="1"/>
    <col min="3365" max="3365" width="6.28515625" style="668" customWidth="1"/>
    <col min="3366" max="3366" width="11.140625" style="668" customWidth="1"/>
    <col min="3367" max="3367" width="14.140625" style="668" customWidth="1"/>
    <col min="3368" max="3368" width="19.85546875" style="668" customWidth="1"/>
    <col min="3369" max="3369" width="17" style="668" customWidth="1"/>
    <col min="3370" max="3370" width="20.85546875" style="668" customWidth="1"/>
    <col min="3371" max="3583" width="11.42578125" style="668"/>
    <col min="3584" max="3584" width="13.140625" style="668" customWidth="1"/>
    <col min="3585" max="3585" width="4" style="668" customWidth="1"/>
    <col min="3586" max="3586" width="12.85546875" style="668" customWidth="1"/>
    <col min="3587" max="3587" width="14.7109375" style="668" customWidth="1"/>
    <col min="3588" max="3588" width="10" style="668" customWidth="1"/>
    <col min="3589" max="3589" width="6.28515625" style="668" customWidth="1"/>
    <col min="3590" max="3590" width="12.28515625" style="668" customWidth="1"/>
    <col min="3591" max="3591" width="8.5703125" style="668" customWidth="1"/>
    <col min="3592" max="3592" width="13.7109375" style="668" customWidth="1"/>
    <col min="3593" max="3593" width="11.5703125" style="668" customWidth="1"/>
    <col min="3594" max="3594" width="34.28515625" style="668" customWidth="1"/>
    <col min="3595" max="3595" width="24.28515625" style="668" customWidth="1"/>
    <col min="3596" max="3596" width="21.140625" style="668" customWidth="1"/>
    <col min="3597" max="3597" width="22.140625" style="668" customWidth="1"/>
    <col min="3598" max="3598" width="8" style="668" customWidth="1"/>
    <col min="3599" max="3599" width="17" style="668" customWidth="1"/>
    <col min="3600" max="3600" width="12.7109375" style="668" customWidth="1"/>
    <col min="3601" max="3601" width="24.5703125" style="668" customWidth="1"/>
    <col min="3602" max="3602" width="29" style="668" customWidth="1"/>
    <col min="3603" max="3603" width="17.7109375" style="668" customWidth="1"/>
    <col min="3604" max="3604" width="36.42578125" style="668" customWidth="1"/>
    <col min="3605" max="3605" width="21.85546875" style="668" customWidth="1"/>
    <col min="3606" max="3606" width="11.7109375" style="668" customWidth="1"/>
    <col min="3607" max="3607" width="26.28515625" style="668" customWidth="1"/>
    <col min="3608" max="3608" width="9" style="668" customWidth="1"/>
    <col min="3609" max="3609" width="6.28515625" style="668" customWidth="1"/>
    <col min="3610" max="3611" width="7.28515625" style="668" customWidth="1"/>
    <col min="3612" max="3612" width="8.42578125" style="668" customWidth="1"/>
    <col min="3613" max="3613" width="9.5703125" style="668" customWidth="1"/>
    <col min="3614" max="3614" width="6.28515625" style="668" customWidth="1"/>
    <col min="3615" max="3615" width="5.85546875" style="668" customWidth="1"/>
    <col min="3616" max="3617" width="4.42578125" style="668" customWidth="1"/>
    <col min="3618" max="3618" width="5" style="668" customWidth="1"/>
    <col min="3619" max="3619" width="5.85546875" style="668" customWidth="1"/>
    <col min="3620" max="3620" width="6.140625" style="668" customWidth="1"/>
    <col min="3621" max="3621" width="6.28515625" style="668" customWidth="1"/>
    <col min="3622" max="3622" width="11.140625" style="668" customWidth="1"/>
    <col min="3623" max="3623" width="14.140625" style="668" customWidth="1"/>
    <col min="3624" max="3624" width="19.85546875" style="668" customWidth="1"/>
    <col min="3625" max="3625" width="17" style="668" customWidth="1"/>
    <col min="3626" max="3626" width="20.85546875" style="668" customWidth="1"/>
    <col min="3627" max="3839" width="11.42578125" style="668"/>
    <col min="3840" max="3840" width="13.140625" style="668" customWidth="1"/>
    <col min="3841" max="3841" width="4" style="668" customWidth="1"/>
    <col min="3842" max="3842" width="12.85546875" style="668" customWidth="1"/>
    <col min="3843" max="3843" width="14.7109375" style="668" customWidth="1"/>
    <col min="3844" max="3844" width="10" style="668" customWidth="1"/>
    <col min="3845" max="3845" width="6.28515625" style="668" customWidth="1"/>
    <col min="3846" max="3846" width="12.28515625" style="668" customWidth="1"/>
    <col min="3847" max="3847" width="8.5703125" style="668" customWidth="1"/>
    <col min="3848" max="3848" width="13.7109375" style="668" customWidth="1"/>
    <col min="3849" max="3849" width="11.5703125" style="668" customWidth="1"/>
    <col min="3850" max="3850" width="34.28515625" style="668" customWidth="1"/>
    <col min="3851" max="3851" width="24.28515625" style="668" customWidth="1"/>
    <col min="3852" max="3852" width="21.140625" style="668" customWidth="1"/>
    <col min="3853" max="3853" width="22.140625" style="668" customWidth="1"/>
    <col min="3854" max="3854" width="8" style="668" customWidth="1"/>
    <col min="3855" max="3855" width="17" style="668" customWidth="1"/>
    <col min="3856" max="3856" width="12.7109375" style="668" customWidth="1"/>
    <col min="3857" max="3857" width="24.5703125" style="668" customWidth="1"/>
    <col min="3858" max="3858" width="29" style="668" customWidth="1"/>
    <col min="3859" max="3859" width="17.7109375" style="668" customWidth="1"/>
    <col min="3860" max="3860" width="36.42578125" style="668" customWidth="1"/>
    <col min="3861" max="3861" width="21.85546875" style="668" customWidth="1"/>
    <col min="3862" max="3862" width="11.7109375" style="668" customWidth="1"/>
    <col min="3863" max="3863" width="26.28515625" style="668" customWidth="1"/>
    <col min="3864" max="3864" width="9" style="668" customWidth="1"/>
    <col min="3865" max="3865" width="6.28515625" style="668" customWidth="1"/>
    <col min="3866" max="3867" width="7.28515625" style="668" customWidth="1"/>
    <col min="3868" max="3868" width="8.42578125" style="668" customWidth="1"/>
    <col min="3869" max="3869" width="9.5703125" style="668" customWidth="1"/>
    <col min="3870" max="3870" width="6.28515625" style="668" customWidth="1"/>
    <col min="3871" max="3871" width="5.85546875" style="668" customWidth="1"/>
    <col min="3872" max="3873" width="4.42578125" style="668" customWidth="1"/>
    <col min="3874" max="3874" width="5" style="668" customWidth="1"/>
    <col min="3875" max="3875" width="5.85546875" style="668" customWidth="1"/>
    <col min="3876" max="3876" width="6.140625" style="668" customWidth="1"/>
    <col min="3877" max="3877" width="6.28515625" style="668" customWidth="1"/>
    <col min="3878" max="3878" width="11.140625" style="668" customWidth="1"/>
    <col min="3879" max="3879" width="14.140625" style="668" customWidth="1"/>
    <col min="3880" max="3880" width="19.85546875" style="668" customWidth="1"/>
    <col min="3881" max="3881" width="17" style="668" customWidth="1"/>
    <col min="3882" max="3882" width="20.85546875" style="668" customWidth="1"/>
    <col min="3883" max="4095" width="11.42578125" style="668"/>
    <col min="4096" max="4096" width="13.140625" style="668" customWidth="1"/>
    <col min="4097" max="4097" width="4" style="668" customWidth="1"/>
    <col min="4098" max="4098" width="12.85546875" style="668" customWidth="1"/>
    <col min="4099" max="4099" width="14.7109375" style="668" customWidth="1"/>
    <col min="4100" max="4100" width="10" style="668" customWidth="1"/>
    <col min="4101" max="4101" width="6.28515625" style="668" customWidth="1"/>
    <col min="4102" max="4102" width="12.28515625" style="668" customWidth="1"/>
    <col min="4103" max="4103" width="8.5703125" style="668" customWidth="1"/>
    <col min="4104" max="4104" width="13.7109375" style="668" customWidth="1"/>
    <col min="4105" max="4105" width="11.5703125" style="668" customWidth="1"/>
    <col min="4106" max="4106" width="34.28515625" style="668" customWidth="1"/>
    <col min="4107" max="4107" width="24.28515625" style="668" customWidth="1"/>
    <col min="4108" max="4108" width="21.140625" style="668" customWidth="1"/>
    <col min="4109" max="4109" width="22.140625" style="668" customWidth="1"/>
    <col min="4110" max="4110" width="8" style="668" customWidth="1"/>
    <col min="4111" max="4111" width="17" style="668" customWidth="1"/>
    <col min="4112" max="4112" width="12.7109375" style="668" customWidth="1"/>
    <col min="4113" max="4113" width="24.5703125" style="668" customWidth="1"/>
    <col min="4114" max="4114" width="29" style="668" customWidth="1"/>
    <col min="4115" max="4115" width="17.7109375" style="668" customWidth="1"/>
    <col min="4116" max="4116" width="36.42578125" style="668" customWidth="1"/>
    <col min="4117" max="4117" width="21.85546875" style="668" customWidth="1"/>
    <col min="4118" max="4118" width="11.7109375" style="668" customWidth="1"/>
    <col min="4119" max="4119" width="26.28515625" style="668" customWidth="1"/>
    <col min="4120" max="4120" width="9" style="668" customWidth="1"/>
    <col min="4121" max="4121" width="6.28515625" style="668" customWidth="1"/>
    <col min="4122" max="4123" width="7.28515625" style="668" customWidth="1"/>
    <col min="4124" max="4124" width="8.42578125" style="668" customWidth="1"/>
    <col min="4125" max="4125" width="9.5703125" style="668" customWidth="1"/>
    <col min="4126" max="4126" width="6.28515625" style="668" customWidth="1"/>
    <col min="4127" max="4127" width="5.85546875" style="668" customWidth="1"/>
    <col min="4128" max="4129" width="4.42578125" style="668" customWidth="1"/>
    <col min="4130" max="4130" width="5" style="668" customWidth="1"/>
    <col min="4131" max="4131" width="5.85546875" style="668" customWidth="1"/>
    <col min="4132" max="4132" width="6.140625" style="668" customWidth="1"/>
    <col min="4133" max="4133" width="6.28515625" style="668" customWidth="1"/>
    <col min="4134" max="4134" width="11.140625" style="668" customWidth="1"/>
    <col min="4135" max="4135" width="14.140625" style="668" customWidth="1"/>
    <col min="4136" max="4136" width="19.85546875" style="668" customWidth="1"/>
    <col min="4137" max="4137" width="17" style="668" customWidth="1"/>
    <col min="4138" max="4138" width="20.85546875" style="668" customWidth="1"/>
    <col min="4139" max="4351" width="11.42578125" style="668"/>
    <col min="4352" max="4352" width="13.140625" style="668" customWidth="1"/>
    <col min="4353" max="4353" width="4" style="668" customWidth="1"/>
    <col min="4354" max="4354" width="12.85546875" style="668" customWidth="1"/>
    <col min="4355" max="4355" width="14.7109375" style="668" customWidth="1"/>
    <col min="4356" max="4356" width="10" style="668" customWidth="1"/>
    <col min="4357" max="4357" width="6.28515625" style="668" customWidth="1"/>
    <col min="4358" max="4358" width="12.28515625" style="668" customWidth="1"/>
    <col min="4359" max="4359" width="8.5703125" style="668" customWidth="1"/>
    <col min="4360" max="4360" width="13.7109375" style="668" customWidth="1"/>
    <col min="4361" max="4361" width="11.5703125" style="668" customWidth="1"/>
    <col min="4362" max="4362" width="34.28515625" style="668" customWidth="1"/>
    <col min="4363" max="4363" width="24.28515625" style="668" customWidth="1"/>
    <col min="4364" max="4364" width="21.140625" style="668" customWidth="1"/>
    <col min="4365" max="4365" width="22.140625" style="668" customWidth="1"/>
    <col min="4366" max="4366" width="8" style="668" customWidth="1"/>
    <col min="4367" max="4367" width="17" style="668" customWidth="1"/>
    <col min="4368" max="4368" width="12.7109375" style="668" customWidth="1"/>
    <col min="4369" max="4369" width="24.5703125" style="668" customWidth="1"/>
    <col min="4370" max="4370" width="29" style="668" customWidth="1"/>
    <col min="4371" max="4371" width="17.7109375" style="668" customWidth="1"/>
    <col min="4372" max="4372" width="36.42578125" style="668" customWidth="1"/>
    <col min="4373" max="4373" width="21.85546875" style="668" customWidth="1"/>
    <col min="4374" max="4374" width="11.7109375" style="668" customWidth="1"/>
    <col min="4375" max="4375" width="26.28515625" style="668" customWidth="1"/>
    <col min="4376" max="4376" width="9" style="668" customWidth="1"/>
    <col min="4377" max="4377" width="6.28515625" style="668" customWidth="1"/>
    <col min="4378" max="4379" width="7.28515625" style="668" customWidth="1"/>
    <col min="4380" max="4380" width="8.42578125" style="668" customWidth="1"/>
    <col min="4381" max="4381" width="9.5703125" style="668" customWidth="1"/>
    <col min="4382" max="4382" width="6.28515625" style="668" customWidth="1"/>
    <col min="4383" max="4383" width="5.85546875" style="668" customWidth="1"/>
    <col min="4384" max="4385" width="4.42578125" style="668" customWidth="1"/>
    <col min="4386" max="4386" width="5" style="668" customWidth="1"/>
    <col min="4387" max="4387" width="5.85546875" style="668" customWidth="1"/>
    <col min="4388" max="4388" width="6.140625" style="668" customWidth="1"/>
    <col min="4389" max="4389" width="6.28515625" style="668" customWidth="1"/>
    <col min="4390" max="4390" width="11.140625" style="668" customWidth="1"/>
    <col min="4391" max="4391" width="14.140625" style="668" customWidth="1"/>
    <col min="4392" max="4392" width="19.85546875" style="668" customWidth="1"/>
    <col min="4393" max="4393" width="17" style="668" customWidth="1"/>
    <col min="4394" max="4394" width="20.85546875" style="668" customWidth="1"/>
    <col min="4395" max="4607" width="11.42578125" style="668"/>
    <col min="4608" max="4608" width="13.140625" style="668" customWidth="1"/>
    <col min="4609" max="4609" width="4" style="668" customWidth="1"/>
    <col min="4610" max="4610" width="12.85546875" style="668" customWidth="1"/>
    <col min="4611" max="4611" width="14.7109375" style="668" customWidth="1"/>
    <col min="4612" max="4612" width="10" style="668" customWidth="1"/>
    <col min="4613" max="4613" width="6.28515625" style="668" customWidth="1"/>
    <col min="4614" max="4614" width="12.28515625" style="668" customWidth="1"/>
    <col min="4615" max="4615" width="8.5703125" style="668" customWidth="1"/>
    <col min="4616" max="4616" width="13.7109375" style="668" customWidth="1"/>
    <col min="4617" max="4617" width="11.5703125" style="668" customWidth="1"/>
    <col min="4618" max="4618" width="34.28515625" style="668" customWidth="1"/>
    <col min="4619" max="4619" width="24.28515625" style="668" customWidth="1"/>
    <col min="4620" max="4620" width="21.140625" style="668" customWidth="1"/>
    <col min="4621" max="4621" width="22.140625" style="668" customWidth="1"/>
    <col min="4622" max="4622" width="8" style="668" customWidth="1"/>
    <col min="4623" max="4623" width="17" style="668" customWidth="1"/>
    <col min="4624" max="4624" width="12.7109375" style="668" customWidth="1"/>
    <col min="4625" max="4625" width="24.5703125" style="668" customWidth="1"/>
    <col min="4626" max="4626" width="29" style="668" customWidth="1"/>
    <col min="4627" max="4627" width="17.7109375" style="668" customWidth="1"/>
    <col min="4628" max="4628" width="36.42578125" style="668" customWidth="1"/>
    <col min="4629" max="4629" width="21.85546875" style="668" customWidth="1"/>
    <col min="4630" max="4630" width="11.7109375" style="668" customWidth="1"/>
    <col min="4631" max="4631" width="26.28515625" style="668" customWidth="1"/>
    <col min="4632" max="4632" width="9" style="668" customWidth="1"/>
    <col min="4633" max="4633" width="6.28515625" style="668" customWidth="1"/>
    <col min="4634" max="4635" width="7.28515625" style="668" customWidth="1"/>
    <col min="4636" max="4636" width="8.42578125" style="668" customWidth="1"/>
    <col min="4637" max="4637" width="9.5703125" style="668" customWidth="1"/>
    <col min="4638" max="4638" width="6.28515625" style="668" customWidth="1"/>
    <col min="4639" max="4639" width="5.85546875" style="668" customWidth="1"/>
    <col min="4640" max="4641" width="4.42578125" style="668" customWidth="1"/>
    <col min="4642" max="4642" width="5" style="668" customWidth="1"/>
    <col min="4643" max="4643" width="5.85546875" style="668" customWidth="1"/>
    <col min="4644" max="4644" width="6.140625" style="668" customWidth="1"/>
    <col min="4645" max="4645" width="6.28515625" style="668" customWidth="1"/>
    <col min="4646" max="4646" width="11.140625" style="668" customWidth="1"/>
    <col min="4647" max="4647" width="14.140625" style="668" customWidth="1"/>
    <col min="4648" max="4648" width="19.85546875" style="668" customWidth="1"/>
    <col min="4649" max="4649" width="17" style="668" customWidth="1"/>
    <col min="4650" max="4650" width="20.85546875" style="668" customWidth="1"/>
    <col min="4651" max="4863" width="11.42578125" style="668"/>
    <col min="4864" max="4864" width="13.140625" style="668" customWidth="1"/>
    <col min="4865" max="4865" width="4" style="668" customWidth="1"/>
    <col min="4866" max="4866" width="12.85546875" style="668" customWidth="1"/>
    <col min="4867" max="4867" width="14.7109375" style="668" customWidth="1"/>
    <col min="4868" max="4868" width="10" style="668" customWidth="1"/>
    <col min="4869" max="4869" width="6.28515625" style="668" customWidth="1"/>
    <col min="4870" max="4870" width="12.28515625" style="668" customWidth="1"/>
    <col min="4871" max="4871" width="8.5703125" style="668" customWidth="1"/>
    <col min="4872" max="4872" width="13.7109375" style="668" customWidth="1"/>
    <col min="4873" max="4873" width="11.5703125" style="668" customWidth="1"/>
    <col min="4874" max="4874" width="34.28515625" style="668" customWidth="1"/>
    <col min="4875" max="4875" width="24.28515625" style="668" customWidth="1"/>
    <col min="4876" max="4876" width="21.140625" style="668" customWidth="1"/>
    <col min="4877" max="4877" width="22.140625" style="668" customWidth="1"/>
    <col min="4878" max="4878" width="8" style="668" customWidth="1"/>
    <col min="4879" max="4879" width="17" style="668" customWidth="1"/>
    <col min="4880" max="4880" width="12.7109375" style="668" customWidth="1"/>
    <col min="4881" max="4881" width="24.5703125" style="668" customWidth="1"/>
    <col min="4882" max="4882" width="29" style="668" customWidth="1"/>
    <col min="4883" max="4883" width="17.7109375" style="668" customWidth="1"/>
    <col min="4884" max="4884" width="36.42578125" style="668" customWidth="1"/>
    <col min="4885" max="4885" width="21.85546875" style="668" customWidth="1"/>
    <col min="4886" max="4886" width="11.7109375" style="668" customWidth="1"/>
    <col min="4887" max="4887" width="26.28515625" style="668" customWidth="1"/>
    <col min="4888" max="4888" width="9" style="668" customWidth="1"/>
    <col min="4889" max="4889" width="6.28515625" style="668" customWidth="1"/>
    <col min="4890" max="4891" width="7.28515625" style="668" customWidth="1"/>
    <col min="4892" max="4892" width="8.42578125" style="668" customWidth="1"/>
    <col min="4893" max="4893" width="9.5703125" style="668" customWidth="1"/>
    <col min="4894" max="4894" width="6.28515625" style="668" customWidth="1"/>
    <col min="4895" max="4895" width="5.85546875" style="668" customWidth="1"/>
    <col min="4896" max="4897" width="4.42578125" style="668" customWidth="1"/>
    <col min="4898" max="4898" width="5" style="668" customWidth="1"/>
    <col min="4899" max="4899" width="5.85546875" style="668" customWidth="1"/>
    <col min="4900" max="4900" width="6.140625" style="668" customWidth="1"/>
    <col min="4901" max="4901" width="6.28515625" style="668" customWidth="1"/>
    <col min="4902" max="4902" width="11.140625" style="668" customWidth="1"/>
    <col min="4903" max="4903" width="14.140625" style="668" customWidth="1"/>
    <col min="4904" max="4904" width="19.85546875" style="668" customWidth="1"/>
    <col min="4905" max="4905" width="17" style="668" customWidth="1"/>
    <col min="4906" max="4906" width="20.85546875" style="668" customWidth="1"/>
    <col min="4907" max="5119" width="11.42578125" style="668"/>
    <col min="5120" max="5120" width="13.140625" style="668" customWidth="1"/>
    <col min="5121" max="5121" width="4" style="668" customWidth="1"/>
    <col min="5122" max="5122" width="12.85546875" style="668" customWidth="1"/>
    <col min="5123" max="5123" width="14.7109375" style="668" customWidth="1"/>
    <col min="5124" max="5124" width="10" style="668" customWidth="1"/>
    <col min="5125" max="5125" width="6.28515625" style="668" customWidth="1"/>
    <col min="5126" max="5126" width="12.28515625" style="668" customWidth="1"/>
    <col min="5127" max="5127" width="8.5703125" style="668" customWidth="1"/>
    <col min="5128" max="5128" width="13.7109375" style="668" customWidth="1"/>
    <col min="5129" max="5129" width="11.5703125" style="668" customWidth="1"/>
    <col min="5130" max="5130" width="34.28515625" style="668" customWidth="1"/>
    <col min="5131" max="5131" width="24.28515625" style="668" customWidth="1"/>
    <col min="5132" max="5132" width="21.140625" style="668" customWidth="1"/>
    <col min="5133" max="5133" width="22.140625" style="668" customWidth="1"/>
    <col min="5134" max="5134" width="8" style="668" customWidth="1"/>
    <col min="5135" max="5135" width="17" style="668" customWidth="1"/>
    <col min="5136" max="5136" width="12.7109375" style="668" customWidth="1"/>
    <col min="5137" max="5137" width="24.5703125" style="668" customWidth="1"/>
    <col min="5138" max="5138" width="29" style="668" customWidth="1"/>
    <col min="5139" max="5139" width="17.7109375" style="668" customWidth="1"/>
    <col min="5140" max="5140" width="36.42578125" style="668" customWidth="1"/>
    <col min="5141" max="5141" width="21.85546875" style="668" customWidth="1"/>
    <col min="5142" max="5142" width="11.7109375" style="668" customWidth="1"/>
    <col min="5143" max="5143" width="26.28515625" style="668" customWidth="1"/>
    <col min="5144" max="5144" width="9" style="668" customWidth="1"/>
    <col min="5145" max="5145" width="6.28515625" style="668" customWidth="1"/>
    <col min="5146" max="5147" width="7.28515625" style="668" customWidth="1"/>
    <col min="5148" max="5148" width="8.42578125" style="668" customWidth="1"/>
    <col min="5149" max="5149" width="9.5703125" style="668" customWidth="1"/>
    <col min="5150" max="5150" width="6.28515625" style="668" customWidth="1"/>
    <col min="5151" max="5151" width="5.85546875" style="668" customWidth="1"/>
    <col min="5152" max="5153" width="4.42578125" style="668" customWidth="1"/>
    <col min="5154" max="5154" width="5" style="668" customWidth="1"/>
    <col min="5155" max="5155" width="5.85546875" style="668" customWidth="1"/>
    <col min="5156" max="5156" width="6.140625" style="668" customWidth="1"/>
    <col min="5157" max="5157" width="6.28515625" style="668" customWidth="1"/>
    <col min="5158" max="5158" width="11.140625" style="668" customWidth="1"/>
    <col min="5159" max="5159" width="14.140625" style="668" customWidth="1"/>
    <col min="5160" max="5160" width="19.85546875" style="668" customWidth="1"/>
    <col min="5161" max="5161" width="17" style="668" customWidth="1"/>
    <col min="5162" max="5162" width="20.85546875" style="668" customWidth="1"/>
    <col min="5163" max="5375" width="11.42578125" style="668"/>
    <col min="5376" max="5376" width="13.140625" style="668" customWidth="1"/>
    <col min="5377" max="5377" width="4" style="668" customWidth="1"/>
    <col min="5378" max="5378" width="12.85546875" style="668" customWidth="1"/>
    <col min="5379" max="5379" width="14.7109375" style="668" customWidth="1"/>
    <col min="5380" max="5380" width="10" style="668" customWidth="1"/>
    <col min="5381" max="5381" width="6.28515625" style="668" customWidth="1"/>
    <col min="5382" max="5382" width="12.28515625" style="668" customWidth="1"/>
    <col min="5383" max="5383" width="8.5703125" style="668" customWidth="1"/>
    <col min="5384" max="5384" width="13.7109375" style="668" customWidth="1"/>
    <col min="5385" max="5385" width="11.5703125" style="668" customWidth="1"/>
    <col min="5386" max="5386" width="34.28515625" style="668" customWidth="1"/>
    <col min="5387" max="5387" width="24.28515625" style="668" customWidth="1"/>
    <col min="5388" max="5388" width="21.140625" style="668" customWidth="1"/>
    <col min="5389" max="5389" width="22.140625" style="668" customWidth="1"/>
    <col min="5390" max="5390" width="8" style="668" customWidth="1"/>
    <col min="5391" max="5391" width="17" style="668" customWidth="1"/>
    <col min="5392" max="5392" width="12.7109375" style="668" customWidth="1"/>
    <col min="5393" max="5393" width="24.5703125" style="668" customWidth="1"/>
    <col min="5394" max="5394" width="29" style="668" customWidth="1"/>
    <col min="5395" max="5395" width="17.7109375" style="668" customWidth="1"/>
    <col min="5396" max="5396" width="36.42578125" style="668" customWidth="1"/>
    <col min="5397" max="5397" width="21.85546875" style="668" customWidth="1"/>
    <col min="5398" max="5398" width="11.7109375" style="668" customWidth="1"/>
    <col min="5399" max="5399" width="26.28515625" style="668" customWidth="1"/>
    <col min="5400" max="5400" width="9" style="668" customWidth="1"/>
    <col min="5401" max="5401" width="6.28515625" style="668" customWidth="1"/>
    <col min="5402" max="5403" width="7.28515625" style="668" customWidth="1"/>
    <col min="5404" max="5404" width="8.42578125" style="668" customWidth="1"/>
    <col min="5405" max="5405" width="9.5703125" style="668" customWidth="1"/>
    <col min="5406" max="5406" width="6.28515625" style="668" customWidth="1"/>
    <col min="5407" max="5407" width="5.85546875" style="668" customWidth="1"/>
    <col min="5408" max="5409" width="4.42578125" style="668" customWidth="1"/>
    <col min="5410" max="5410" width="5" style="668" customWidth="1"/>
    <col min="5411" max="5411" width="5.85546875" style="668" customWidth="1"/>
    <col min="5412" max="5412" width="6.140625" style="668" customWidth="1"/>
    <col min="5413" max="5413" width="6.28515625" style="668" customWidth="1"/>
    <col min="5414" max="5414" width="11.140625" style="668" customWidth="1"/>
    <col min="5415" max="5415" width="14.140625" style="668" customWidth="1"/>
    <col min="5416" max="5416" width="19.85546875" style="668" customWidth="1"/>
    <col min="5417" max="5417" width="17" style="668" customWidth="1"/>
    <col min="5418" max="5418" width="20.85546875" style="668" customWidth="1"/>
    <col min="5419" max="5631" width="11.42578125" style="668"/>
    <col min="5632" max="5632" width="13.140625" style="668" customWidth="1"/>
    <col min="5633" max="5633" width="4" style="668" customWidth="1"/>
    <col min="5634" max="5634" width="12.85546875" style="668" customWidth="1"/>
    <col min="5635" max="5635" width="14.7109375" style="668" customWidth="1"/>
    <col min="5636" max="5636" width="10" style="668" customWidth="1"/>
    <col min="5637" max="5637" width="6.28515625" style="668" customWidth="1"/>
    <col min="5638" max="5638" width="12.28515625" style="668" customWidth="1"/>
    <col min="5639" max="5639" width="8.5703125" style="668" customWidth="1"/>
    <col min="5640" max="5640" width="13.7109375" style="668" customWidth="1"/>
    <col min="5641" max="5641" width="11.5703125" style="668" customWidth="1"/>
    <col min="5642" max="5642" width="34.28515625" style="668" customWidth="1"/>
    <col min="5643" max="5643" width="24.28515625" style="668" customWidth="1"/>
    <col min="5644" max="5644" width="21.140625" style="668" customWidth="1"/>
    <col min="5645" max="5645" width="22.140625" style="668" customWidth="1"/>
    <col min="5646" max="5646" width="8" style="668" customWidth="1"/>
    <col min="5647" max="5647" width="17" style="668" customWidth="1"/>
    <col min="5648" max="5648" width="12.7109375" style="668" customWidth="1"/>
    <col min="5649" max="5649" width="24.5703125" style="668" customWidth="1"/>
    <col min="5650" max="5650" width="29" style="668" customWidth="1"/>
    <col min="5651" max="5651" width="17.7109375" style="668" customWidth="1"/>
    <col min="5652" max="5652" width="36.42578125" style="668" customWidth="1"/>
    <col min="5653" max="5653" width="21.85546875" style="668" customWidth="1"/>
    <col min="5654" max="5654" width="11.7109375" style="668" customWidth="1"/>
    <col min="5655" max="5655" width="26.28515625" style="668" customWidth="1"/>
    <col min="5656" max="5656" width="9" style="668" customWidth="1"/>
    <col min="5657" max="5657" width="6.28515625" style="668" customWidth="1"/>
    <col min="5658" max="5659" width="7.28515625" style="668" customWidth="1"/>
    <col min="5660" max="5660" width="8.42578125" style="668" customWidth="1"/>
    <col min="5661" max="5661" width="9.5703125" style="668" customWidth="1"/>
    <col min="5662" max="5662" width="6.28515625" style="668" customWidth="1"/>
    <col min="5663" max="5663" width="5.85546875" style="668" customWidth="1"/>
    <col min="5664" max="5665" width="4.42578125" style="668" customWidth="1"/>
    <col min="5666" max="5666" width="5" style="668" customWidth="1"/>
    <col min="5667" max="5667" width="5.85546875" style="668" customWidth="1"/>
    <col min="5668" max="5668" width="6.140625" style="668" customWidth="1"/>
    <col min="5669" max="5669" width="6.28515625" style="668" customWidth="1"/>
    <col min="5670" max="5670" width="11.140625" style="668" customWidth="1"/>
    <col min="5671" max="5671" width="14.140625" style="668" customWidth="1"/>
    <col min="5672" max="5672" width="19.85546875" style="668" customWidth="1"/>
    <col min="5673" max="5673" width="17" style="668" customWidth="1"/>
    <col min="5674" max="5674" width="20.85546875" style="668" customWidth="1"/>
    <col min="5675" max="5887" width="11.42578125" style="668"/>
    <col min="5888" max="5888" width="13.140625" style="668" customWidth="1"/>
    <col min="5889" max="5889" width="4" style="668" customWidth="1"/>
    <col min="5890" max="5890" width="12.85546875" style="668" customWidth="1"/>
    <col min="5891" max="5891" width="14.7109375" style="668" customWidth="1"/>
    <col min="5892" max="5892" width="10" style="668" customWidth="1"/>
    <col min="5893" max="5893" width="6.28515625" style="668" customWidth="1"/>
    <col min="5894" max="5894" width="12.28515625" style="668" customWidth="1"/>
    <col min="5895" max="5895" width="8.5703125" style="668" customWidth="1"/>
    <col min="5896" max="5896" width="13.7109375" style="668" customWidth="1"/>
    <col min="5897" max="5897" width="11.5703125" style="668" customWidth="1"/>
    <col min="5898" max="5898" width="34.28515625" style="668" customWidth="1"/>
    <col min="5899" max="5899" width="24.28515625" style="668" customWidth="1"/>
    <col min="5900" max="5900" width="21.140625" style="668" customWidth="1"/>
    <col min="5901" max="5901" width="22.140625" style="668" customWidth="1"/>
    <col min="5902" max="5902" width="8" style="668" customWidth="1"/>
    <col min="5903" max="5903" width="17" style="668" customWidth="1"/>
    <col min="5904" max="5904" width="12.7109375" style="668" customWidth="1"/>
    <col min="5905" max="5905" width="24.5703125" style="668" customWidth="1"/>
    <col min="5906" max="5906" width="29" style="668" customWidth="1"/>
    <col min="5907" max="5907" width="17.7109375" style="668" customWidth="1"/>
    <col min="5908" max="5908" width="36.42578125" style="668" customWidth="1"/>
    <col min="5909" max="5909" width="21.85546875" style="668" customWidth="1"/>
    <col min="5910" max="5910" width="11.7109375" style="668" customWidth="1"/>
    <col min="5911" max="5911" width="26.28515625" style="668" customWidth="1"/>
    <col min="5912" max="5912" width="9" style="668" customWidth="1"/>
    <col min="5913" max="5913" width="6.28515625" style="668" customWidth="1"/>
    <col min="5914" max="5915" width="7.28515625" style="668" customWidth="1"/>
    <col min="5916" max="5916" width="8.42578125" style="668" customWidth="1"/>
    <col min="5917" max="5917" width="9.5703125" style="668" customWidth="1"/>
    <col min="5918" max="5918" width="6.28515625" style="668" customWidth="1"/>
    <col min="5919" max="5919" width="5.85546875" style="668" customWidth="1"/>
    <col min="5920" max="5921" width="4.42578125" style="668" customWidth="1"/>
    <col min="5922" max="5922" width="5" style="668" customWidth="1"/>
    <col min="5923" max="5923" width="5.85546875" style="668" customWidth="1"/>
    <col min="5924" max="5924" width="6.140625" style="668" customWidth="1"/>
    <col min="5925" max="5925" width="6.28515625" style="668" customWidth="1"/>
    <col min="5926" max="5926" width="11.140625" style="668" customWidth="1"/>
    <col min="5927" max="5927" width="14.140625" style="668" customWidth="1"/>
    <col min="5928" max="5928" width="19.85546875" style="668" customWidth="1"/>
    <col min="5929" max="5929" width="17" style="668" customWidth="1"/>
    <col min="5930" max="5930" width="20.85546875" style="668" customWidth="1"/>
    <col min="5931" max="6143" width="11.42578125" style="668"/>
    <col min="6144" max="6144" width="13.140625" style="668" customWidth="1"/>
    <col min="6145" max="6145" width="4" style="668" customWidth="1"/>
    <col min="6146" max="6146" width="12.85546875" style="668" customWidth="1"/>
    <col min="6147" max="6147" width="14.7109375" style="668" customWidth="1"/>
    <col min="6148" max="6148" width="10" style="668" customWidth="1"/>
    <col min="6149" max="6149" width="6.28515625" style="668" customWidth="1"/>
    <col min="6150" max="6150" width="12.28515625" style="668" customWidth="1"/>
    <col min="6151" max="6151" width="8.5703125" style="668" customWidth="1"/>
    <col min="6152" max="6152" width="13.7109375" style="668" customWidth="1"/>
    <col min="6153" max="6153" width="11.5703125" style="668" customWidth="1"/>
    <col min="6154" max="6154" width="34.28515625" style="668" customWidth="1"/>
    <col min="6155" max="6155" width="24.28515625" style="668" customWidth="1"/>
    <col min="6156" max="6156" width="21.140625" style="668" customWidth="1"/>
    <col min="6157" max="6157" width="22.140625" style="668" customWidth="1"/>
    <col min="6158" max="6158" width="8" style="668" customWidth="1"/>
    <col min="6159" max="6159" width="17" style="668" customWidth="1"/>
    <col min="6160" max="6160" width="12.7109375" style="668" customWidth="1"/>
    <col min="6161" max="6161" width="24.5703125" style="668" customWidth="1"/>
    <col min="6162" max="6162" width="29" style="668" customWidth="1"/>
    <col min="6163" max="6163" width="17.7109375" style="668" customWidth="1"/>
    <col min="6164" max="6164" width="36.42578125" style="668" customWidth="1"/>
    <col min="6165" max="6165" width="21.85546875" style="668" customWidth="1"/>
    <col min="6166" max="6166" width="11.7109375" style="668" customWidth="1"/>
    <col min="6167" max="6167" width="26.28515625" style="668" customWidth="1"/>
    <col min="6168" max="6168" width="9" style="668" customWidth="1"/>
    <col min="6169" max="6169" width="6.28515625" style="668" customWidth="1"/>
    <col min="6170" max="6171" width="7.28515625" style="668" customWidth="1"/>
    <col min="6172" max="6172" width="8.42578125" style="668" customWidth="1"/>
    <col min="6173" max="6173" width="9.5703125" style="668" customWidth="1"/>
    <col min="6174" max="6174" width="6.28515625" style="668" customWidth="1"/>
    <col min="6175" max="6175" width="5.85546875" style="668" customWidth="1"/>
    <col min="6176" max="6177" width="4.42578125" style="668" customWidth="1"/>
    <col min="6178" max="6178" width="5" style="668" customWidth="1"/>
    <col min="6179" max="6179" width="5.85546875" style="668" customWidth="1"/>
    <col min="6180" max="6180" width="6.140625" style="668" customWidth="1"/>
    <col min="6181" max="6181" width="6.28515625" style="668" customWidth="1"/>
    <col min="6182" max="6182" width="11.140625" style="668" customWidth="1"/>
    <col min="6183" max="6183" width="14.140625" style="668" customWidth="1"/>
    <col min="6184" max="6184" width="19.85546875" style="668" customWidth="1"/>
    <col min="6185" max="6185" width="17" style="668" customWidth="1"/>
    <col min="6186" max="6186" width="20.85546875" style="668" customWidth="1"/>
    <col min="6187" max="6399" width="11.42578125" style="668"/>
    <col min="6400" max="6400" width="13.140625" style="668" customWidth="1"/>
    <col min="6401" max="6401" width="4" style="668" customWidth="1"/>
    <col min="6402" max="6402" width="12.85546875" style="668" customWidth="1"/>
    <col min="6403" max="6403" width="14.7109375" style="668" customWidth="1"/>
    <col min="6404" max="6404" width="10" style="668" customWidth="1"/>
    <col min="6405" max="6405" width="6.28515625" style="668" customWidth="1"/>
    <col min="6406" max="6406" width="12.28515625" style="668" customWidth="1"/>
    <col min="6407" max="6407" width="8.5703125" style="668" customWidth="1"/>
    <col min="6408" max="6408" width="13.7109375" style="668" customWidth="1"/>
    <col min="6409" max="6409" width="11.5703125" style="668" customWidth="1"/>
    <col min="6410" max="6410" width="34.28515625" style="668" customWidth="1"/>
    <col min="6411" max="6411" width="24.28515625" style="668" customWidth="1"/>
    <col min="6412" max="6412" width="21.140625" style="668" customWidth="1"/>
    <col min="6413" max="6413" width="22.140625" style="668" customWidth="1"/>
    <col min="6414" max="6414" width="8" style="668" customWidth="1"/>
    <col min="6415" max="6415" width="17" style="668" customWidth="1"/>
    <col min="6416" max="6416" width="12.7109375" style="668" customWidth="1"/>
    <col min="6417" max="6417" width="24.5703125" style="668" customWidth="1"/>
    <col min="6418" max="6418" width="29" style="668" customWidth="1"/>
    <col min="6419" max="6419" width="17.7109375" style="668" customWidth="1"/>
    <col min="6420" max="6420" width="36.42578125" style="668" customWidth="1"/>
    <col min="6421" max="6421" width="21.85546875" style="668" customWidth="1"/>
    <col min="6422" max="6422" width="11.7109375" style="668" customWidth="1"/>
    <col min="6423" max="6423" width="26.28515625" style="668" customWidth="1"/>
    <col min="6424" max="6424" width="9" style="668" customWidth="1"/>
    <col min="6425" max="6425" width="6.28515625" style="668" customWidth="1"/>
    <col min="6426" max="6427" width="7.28515625" style="668" customWidth="1"/>
    <col min="6428" max="6428" width="8.42578125" style="668" customWidth="1"/>
    <col min="6429" max="6429" width="9.5703125" style="668" customWidth="1"/>
    <col min="6430" max="6430" width="6.28515625" style="668" customWidth="1"/>
    <col min="6431" max="6431" width="5.85546875" style="668" customWidth="1"/>
    <col min="6432" max="6433" width="4.42578125" style="668" customWidth="1"/>
    <col min="6434" max="6434" width="5" style="668" customWidth="1"/>
    <col min="6435" max="6435" width="5.85546875" style="668" customWidth="1"/>
    <col min="6436" max="6436" width="6.140625" style="668" customWidth="1"/>
    <col min="6437" max="6437" width="6.28515625" style="668" customWidth="1"/>
    <col min="6438" max="6438" width="11.140625" style="668" customWidth="1"/>
    <col min="6439" max="6439" width="14.140625" style="668" customWidth="1"/>
    <col min="6440" max="6440" width="19.85546875" style="668" customWidth="1"/>
    <col min="6441" max="6441" width="17" style="668" customWidth="1"/>
    <col min="6442" max="6442" width="20.85546875" style="668" customWidth="1"/>
    <col min="6443" max="6655" width="11.42578125" style="668"/>
    <col min="6656" max="6656" width="13.140625" style="668" customWidth="1"/>
    <col min="6657" max="6657" width="4" style="668" customWidth="1"/>
    <col min="6658" max="6658" width="12.85546875" style="668" customWidth="1"/>
    <col min="6659" max="6659" width="14.7109375" style="668" customWidth="1"/>
    <col min="6660" max="6660" width="10" style="668" customWidth="1"/>
    <col min="6661" max="6661" width="6.28515625" style="668" customWidth="1"/>
    <col min="6662" max="6662" width="12.28515625" style="668" customWidth="1"/>
    <col min="6663" max="6663" width="8.5703125" style="668" customWidth="1"/>
    <col min="6664" max="6664" width="13.7109375" style="668" customWidth="1"/>
    <col min="6665" max="6665" width="11.5703125" style="668" customWidth="1"/>
    <col min="6666" max="6666" width="34.28515625" style="668" customWidth="1"/>
    <col min="6667" max="6667" width="24.28515625" style="668" customWidth="1"/>
    <col min="6668" max="6668" width="21.140625" style="668" customWidth="1"/>
    <col min="6669" max="6669" width="22.140625" style="668" customWidth="1"/>
    <col min="6670" max="6670" width="8" style="668" customWidth="1"/>
    <col min="6671" max="6671" width="17" style="668" customWidth="1"/>
    <col min="6672" max="6672" width="12.7109375" style="668" customWidth="1"/>
    <col min="6673" max="6673" width="24.5703125" style="668" customWidth="1"/>
    <col min="6674" max="6674" width="29" style="668" customWidth="1"/>
    <col min="6675" max="6675" width="17.7109375" style="668" customWidth="1"/>
    <col min="6676" max="6676" width="36.42578125" style="668" customWidth="1"/>
    <col min="6677" max="6677" width="21.85546875" style="668" customWidth="1"/>
    <col min="6678" max="6678" width="11.7109375" style="668" customWidth="1"/>
    <col min="6679" max="6679" width="26.28515625" style="668" customWidth="1"/>
    <col min="6680" max="6680" width="9" style="668" customWidth="1"/>
    <col min="6681" max="6681" width="6.28515625" style="668" customWidth="1"/>
    <col min="6682" max="6683" width="7.28515625" style="668" customWidth="1"/>
    <col min="6684" max="6684" width="8.42578125" style="668" customWidth="1"/>
    <col min="6685" max="6685" width="9.5703125" style="668" customWidth="1"/>
    <col min="6686" max="6686" width="6.28515625" style="668" customWidth="1"/>
    <col min="6687" max="6687" width="5.85546875" style="668" customWidth="1"/>
    <col min="6688" max="6689" width="4.42578125" style="668" customWidth="1"/>
    <col min="6690" max="6690" width="5" style="668" customWidth="1"/>
    <col min="6691" max="6691" width="5.85546875" style="668" customWidth="1"/>
    <col min="6692" max="6692" width="6.140625" style="668" customWidth="1"/>
    <col min="6693" max="6693" width="6.28515625" style="668" customWidth="1"/>
    <col min="6694" max="6694" width="11.140625" style="668" customWidth="1"/>
    <col min="6695" max="6695" width="14.140625" style="668" customWidth="1"/>
    <col min="6696" max="6696" width="19.85546875" style="668" customWidth="1"/>
    <col min="6697" max="6697" width="17" style="668" customWidth="1"/>
    <col min="6698" max="6698" width="20.85546875" style="668" customWidth="1"/>
    <col min="6699" max="6911" width="11.42578125" style="668"/>
    <col min="6912" max="6912" width="13.140625" style="668" customWidth="1"/>
    <col min="6913" max="6913" width="4" style="668" customWidth="1"/>
    <col min="6914" max="6914" width="12.85546875" style="668" customWidth="1"/>
    <col min="6915" max="6915" width="14.7109375" style="668" customWidth="1"/>
    <col min="6916" max="6916" width="10" style="668" customWidth="1"/>
    <col min="6917" max="6917" width="6.28515625" style="668" customWidth="1"/>
    <col min="6918" max="6918" width="12.28515625" style="668" customWidth="1"/>
    <col min="6919" max="6919" width="8.5703125" style="668" customWidth="1"/>
    <col min="6920" max="6920" width="13.7109375" style="668" customWidth="1"/>
    <col min="6921" max="6921" width="11.5703125" style="668" customWidth="1"/>
    <col min="6922" max="6922" width="34.28515625" style="668" customWidth="1"/>
    <col min="6923" max="6923" width="24.28515625" style="668" customWidth="1"/>
    <col min="6924" max="6924" width="21.140625" style="668" customWidth="1"/>
    <col min="6925" max="6925" width="22.140625" style="668" customWidth="1"/>
    <col min="6926" max="6926" width="8" style="668" customWidth="1"/>
    <col min="6927" max="6927" width="17" style="668" customWidth="1"/>
    <col min="6928" max="6928" width="12.7109375" style="668" customWidth="1"/>
    <col min="6929" max="6929" width="24.5703125" style="668" customWidth="1"/>
    <col min="6930" max="6930" width="29" style="668" customWidth="1"/>
    <col min="6931" max="6931" width="17.7109375" style="668" customWidth="1"/>
    <col min="6932" max="6932" width="36.42578125" style="668" customWidth="1"/>
    <col min="6933" max="6933" width="21.85546875" style="668" customWidth="1"/>
    <col min="6934" max="6934" width="11.7109375" style="668" customWidth="1"/>
    <col min="6935" max="6935" width="26.28515625" style="668" customWidth="1"/>
    <col min="6936" max="6936" width="9" style="668" customWidth="1"/>
    <col min="6937" max="6937" width="6.28515625" style="668" customWidth="1"/>
    <col min="6938" max="6939" width="7.28515625" style="668" customWidth="1"/>
    <col min="6940" max="6940" width="8.42578125" style="668" customWidth="1"/>
    <col min="6941" max="6941" width="9.5703125" style="668" customWidth="1"/>
    <col min="6942" max="6942" width="6.28515625" style="668" customWidth="1"/>
    <col min="6943" max="6943" width="5.85546875" style="668" customWidth="1"/>
    <col min="6944" max="6945" width="4.42578125" style="668" customWidth="1"/>
    <col min="6946" max="6946" width="5" style="668" customWidth="1"/>
    <col min="6947" max="6947" width="5.85546875" style="668" customWidth="1"/>
    <col min="6948" max="6948" width="6.140625" style="668" customWidth="1"/>
    <col min="6949" max="6949" width="6.28515625" style="668" customWidth="1"/>
    <col min="6950" max="6950" width="11.140625" style="668" customWidth="1"/>
    <col min="6951" max="6951" width="14.140625" style="668" customWidth="1"/>
    <col min="6952" max="6952" width="19.85546875" style="668" customWidth="1"/>
    <col min="6953" max="6953" width="17" style="668" customWidth="1"/>
    <col min="6954" max="6954" width="20.85546875" style="668" customWidth="1"/>
    <col min="6955" max="7167" width="11.42578125" style="668"/>
    <col min="7168" max="7168" width="13.140625" style="668" customWidth="1"/>
    <col min="7169" max="7169" width="4" style="668" customWidth="1"/>
    <col min="7170" max="7170" width="12.85546875" style="668" customWidth="1"/>
    <col min="7171" max="7171" width="14.7109375" style="668" customWidth="1"/>
    <col min="7172" max="7172" width="10" style="668" customWidth="1"/>
    <col min="7173" max="7173" width="6.28515625" style="668" customWidth="1"/>
    <col min="7174" max="7174" width="12.28515625" style="668" customWidth="1"/>
    <col min="7175" max="7175" width="8.5703125" style="668" customWidth="1"/>
    <col min="7176" max="7176" width="13.7109375" style="668" customWidth="1"/>
    <col min="7177" max="7177" width="11.5703125" style="668" customWidth="1"/>
    <col min="7178" max="7178" width="34.28515625" style="668" customWidth="1"/>
    <col min="7179" max="7179" width="24.28515625" style="668" customWidth="1"/>
    <col min="7180" max="7180" width="21.140625" style="668" customWidth="1"/>
    <col min="7181" max="7181" width="22.140625" style="668" customWidth="1"/>
    <col min="7182" max="7182" width="8" style="668" customWidth="1"/>
    <col min="7183" max="7183" width="17" style="668" customWidth="1"/>
    <col min="7184" max="7184" width="12.7109375" style="668" customWidth="1"/>
    <col min="7185" max="7185" width="24.5703125" style="668" customWidth="1"/>
    <col min="7186" max="7186" width="29" style="668" customWidth="1"/>
    <col min="7187" max="7187" width="17.7109375" style="668" customWidth="1"/>
    <col min="7188" max="7188" width="36.42578125" style="668" customWidth="1"/>
    <col min="7189" max="7189" width="21.85546875" style="668" customWidth="1"/>
    <col min="7190" max="7190" width="11.7109375" style="668" customWidth="1"/>
    <col min="7191" max="7191" width="26.28515625" style="668" customWidth="1"/>
    <col min="7192" max="7192" width="9" style="668" customWidth="1"/>
    <col min="7193" max="7193" width="6.28515625" style="668" customWidth="1"/>
    <col min="7194" max="7195" width="7.28515625" style="668" customWidth="1"/>
    <col min="7196" max="7196" width="8.42578125" style="668" customWidth="1"/>
    <col min="7197" max="7197" width="9.5703125" style="668" customWidth="1"/>
    <col min="7198" max="7198" width="6.28515625" style="668" customWidth="1"/>
    <col min="7199" max="7199" width="5.85546875" style="668" customWidth="1"/>
    <col min="7200" max="7201" width="4.42578125" style="668" customWidth="1"/>
    <col min="7202" max="7202" width="5" style="668" customWidth="1"/>
    <col min="7203" max="7203" width="5.85546875" style="668" customWidth="1"/>
    <col min="7204" max="7204" width="6.140625" style="668" customWidth="1"/>
    <col min="7205" max="7205" width="6.28515625" style="668" customWidth="1"/>
    <col min="7206" max="7206" width="11.140625" style="668" customWidth="1"/>
    <col min="7207" max="7207" width="14.140625" style="668" customWidth="1"/>
    <col min="7208" max="7208" width="19.85546875" style="668" customWidth="1"/>
    <col min="7209" max="7209" width="17" style="668" customWidth="1"/>
    <col min="7210" max="7210" width="20.85546875" style="668" customWidth="1"/>
    <col min="7211" max="7423" width="11.42578125" style="668"/>
    <col min="7424" max="7424" width="13.140625" style="668" customWidth="1"/>
    <col min="7425" max="7425" width="4" style="668" customWidth="1"/>
    <col min="7426" max="7426" width="12.85546875" style="668" customWidth="1"/>
    <col min="7427" max="7427" width="14.7109375" style="668" customWidth="1"/>
    <col min="7428" max="7428" width="10" style="668" customWidth="1"/>
    <col min="7429" max="7429" width="6.28515625" style="668" customWidth="1"/>
    <col min="7430" max="7430" width="12.28515625" style="668" customWidth="1"/>
    <col min="7431" max="7431" width="8.5703125" style="668" customWidth="1"/>
    <col min="7432" max="7432" width="13.7109375" style="668" customWidth="1"/>
    <col min="7433" max="7433" width="11.5703125" style="668" customWidth="1"/>
    <col min="7434" max="7434" width="34.28515625" style="668" customWidth="1"/>
    <col min="7435" max="7435" width="24.28515625" style="668" customWidth="1"/>
    <col min="7436" max="7436" width="21.140625" style="668" customWidth="1"/>
    <col min="7437" max="7437" width="22.140625" style="668" customWidth="1"/>
    <col min="7438" max="7438" width="8" style="668" customWidth="1"/>
    <col min="7439" max="7439" width="17" style="668" customWidth="1"/>
    <col min="7440" max="7440" width="12.7109375" style="668" customWidth="1"/>
    <col min="7441" max="7441" width="24.5703125" style="668" customWidth="1"/>
    <col min="7442" max="7442" width="29" style="668" customWidth="1"/>
    <col min="7443" max="7443" width="17.7109375" style="668" customWidth="1"/>
    <col min="7444" max="7444" width="36.42578125" style="668" customWidth="1"/>
    <col min="7445" max="7445" width="21.85546875" style="668" customWidth="1"/>
    <col min="7446" max="7446" width="11.7109375" style="668" customWidth="1"/>
    <col min="7447" max="7447" width="26.28515625" style="668" customWidth="1"/>
    <col min="7448" max="7448" width="9" style="668" customWidth="1"/>
    <col min="7449" max="7449" width="6.28515625" style="668" customWidth="1"/>
    <col min="7450" max="7451" width="7.28515625" style="668" customWidth="1"/>
    <col min="7452" max="7452" width="8.42578125" style="668" customWidth="1"/>
    <col min="7453" max="7453" width="9.5703125" style="668" customWidth="1"/>
    <col min="7454" max="7454" width="6.28515625" style="668" customWidth="1"/>
    <col min="7455" max="7455" width="5.85546875" style="668" customWidth="1"/>
    <col min="7456" max="7457" width="4.42578125" style="668" customWidth="1"/>
    <col min="7458" max="7458" width="5" style="668" customWidth="1"/>
    <col min="7459" max="7459" width="5.85546875" style="668" customWidth="1"/>
    <col min="7460" max="7460" width="6.140625" style="668" customWidth="1"/>
    <col min="7461" max="7461" width="6.28515625" style="668" customWidth="1"/>
    <col min="7462" max="7462" width="11.140625" style="668" customWidth="1"/>
    <col min="7463" max="7463" width="14.140625" style="668" customWidth="1"/>
    <col min="7464" max="7464" width="19.85546875" style="668" customWidth="1"/>
    <col min="7465" max="7465" width="17" style="668" customWidth="1"/>
    <col min="7466" max="7466" width="20.85546875" style="668" customWidth="1"/>
    <col min="7467" max="7679" width="11.42578125" style="668"/>
    <col min="7680" max="7680" width="13.140625" style="668" customWidth="1"/>
    <col min="7681" max="7681" width="4" style="668" customWidth="1"/>
    <col min="7682" max="7682" width="12.85546875" style="668" customWidth="1"/>
    <col min="7683" max="7683" width="14.7109375" style="668" customWidth="1"/>
    <col min="7684" max="7684" width="10" style="668" customWidth="1"/>
    <col min="7685" max="7685" width="6.28515625" style="668" customWidth="1"/>
    <col min="7686" max="7686" width="12.28515625" style="668" customWidth="1"/>
    <col min="7687" max="7687" width="8.5703125" style="668" customWidth="1"/>
    <col min="7688" max="7688" width="13.7109375" style="668" customWidth="1"/>
    <col min="7689" max="7689" width="11.5703125" style="668" customWidth="1"/>
    <col min="7690" max="7690" width="34.28515625" style="668" customWidth="1"/>
    <col min="7691" max="7691" width="24.28515625" style="668" customWidth="1"/>
    <col min="7692" max="7692" width="21.140625" style="668" customWidth="1"/>
    <col min="7693" max="7693" width="22.140625" style="668" customWidth="1"/>
    <col min="7694" max="7694" width="8" style="668" customWidth="1"/>
    <col min="7695" max="7695" width="17" style="668" customWidth="1"/>
    <col min="7696" max="7696" width="12.7109375" style="668" customWidth="1"/>
    <col min="7697" max="7697" width="24.5703125" style="668" customWidth="1"/>
    <col min="7698" max="7698" width="29" style="668" customWidth="1"/>
    <col min="7699" max="7699" width="17.7109375" style="668" customWidth="1"/>
    <col min="7700" max="7700" width="36.42578125" style="668" customWidth="1"/>
    <col min="7701" max="7701" width="21.85546875" style="668" customWidth="1"/>
    <col min="7702" max="7702" width="11.7109375" style="668" customWidth="1"/>
    <col min="7703" max="7703" width="26.28515625" style="668" customWidth="1"/>
    <col min="7704" max="7704" width="9" style="668" customWidth="1"/>
    <col min="7705" max="7705" width="6.28515625" style="668" customWidth="1"/>
    <col min="7706" max="7707" width="7.28515625" style="668" customWidth="1"/>
    <col min="7708" max="7708" width="8.42578125" style="668" customWidth="1"/>
    <col min="7709" max="7709" width="9.5703125" style="668" customWidth="1"/>
    <col min="7710" max="7710" width="6.28515625" style="668" customWidth="1"/>
    <col min="7711" max="7711" width="5.85546875" style="668" customWidth="1"/>
    <col min="7712" max="7713" width="4.42578125" style="668" customWidth="1"/>
    <col min="7714" max="7714" width="5" style="668" customWidth="1"/>
    <col min="7715" max="7715" width="5.85546875" style="668" customWidth="1"/>
    <col min="7716" max="7716" width="6.140625" style="668" customWidth="1"/>
    <col min="7717" max="7717" width="6.28515625" style="668" customWidth="1"/>
    <col min="7718" max="7718" width="11.140625" style="668" customWidth="1"/>
    <col min="7719" max="7719" width="14.140625" style="668" customWidth="1"/>
    <col min="7720" max="7720" width="19.85546875" style="668" customWidth="1"/>
    <col min="7721" max="7721" width="17" style="668" customWidth="1"/>
    <col min="7722" max="7722" width="20.85546875" style="668" customWidth="1"/>
    <col min="7723" max="7935" width="11.42578125" style="668"/>
    <col min="7936" max="7936" width="13.140625" style="668" customWidth="1"/>
    <col min="7937" max="7937" width="4" style="668" customWidth="1"/>
    <col min="7938" max="7938" width="12.85546875" style="668" customWidth="1"/>
    <col min="7939" max="7939" width="14.7109375" style="668" customWidth="1"/>
    <col min="7940" max="7940" width="10" style="668" customWidth="1"/>
    <col min="7941" max="7941" width="6.28515625" style="668" customWidth="1"/>
    <col min="7942" max="7942" width="12.28515625" style="668" customWidth="1"/>
    <col min="7943" max="7943" width="8.5703125" style="668" customWidth="1"/>
    <col min="7944" max="7944" width="13.7109375" style="668" customWidth="1"/>
    <col min="7945" max="7945" width="11.5703125" style="668" customWidth="1"/>
    <col min="7946" max="7946" width="34.28515625" style="668" customWidth="1"/>
    <col min="7947" max="7947" width="24.28515625" style="668" customWidth="1"/>
    <col min="7948" max="7948" width="21.140625" style="668" customWidth="1"/>
    <col min="7949" max="7949" width="22.140625" style="668" customWidth="1"/>
    <col min="7950" max="7950" width="8" style="668" customWidth="1"/>
    <col min="7951" max="7951" width="17" style="668" customWidth="1"/>
    <col min="7952" max="7952" width="12.7109375" style="668" customWidth="1"/>
    <col min="7953" max="7953" width="24.5703125" style="668" customWidth="1"/>
    <col min="7954" max="7954" width="29" style="668" customWidth="1"/>
    <col min="7955" max="7955" width="17.7109375" style="668" customWidth="1"/>
    <col min="7956" max="7956" width="36.42578125" style="668" customWidth="1"/>
    <col min="7957" max="7957" width="21.85546875" style="668" customWidth="1"/>
    <col min="7958" max="7958" width="11.7109375" style="668" customWidth="1"/>
    <col min="7959" max="7959" width="26.28515625" style="668" customWidth="1"/>
    <col min="7960" max="7960" width="9" style="668" customWidth="1"/>
    <col min="7961" max="7961" width="6.28515625" style="668" customWidth="1"/>
    <col min="7962" max="7963" width="7.28515625" style="668" customWidth="1"/>
    <col min="7964" max="7964" width="8.42578125" style="668" customWidth="1"/>
    <col min="7965" max="7965" width="9.5703125" style="668" customWidth="1"/>
    <col min="7966" max="7966" width="6.28515625" style="668" customWidth="1"/>
    <col min="7967" max="7967" width="5.85546875" style="668" customWidth="1"/>
    <col min="7968" max="7969" width="4.42578125" style="668" customWidth="1"/>
    <col min="7970" max="7970" width="5" style="668" customWidth="1"/>
    <col min="7971" max="7971" width="5.85546875" style="668" customWidth="1"/>
    <col min="7972" max="7972" width="6.140625" style="668" customWidth="1"/>
    <col min="7973" max="7973" width="6.28515625" style="668" customWidth="1"/>
    <col min="7974" max="7974" width="11.140625" style="668" customWidth="1"/>
    <col min="7975" max="7975" width="14.140625" style="668" customWidth="1"/>
    <col min="7976" max="7976" width="19.85546875" style="668" customWidth="1"/>
    <col min="7977" max="7977" width="17" style="668" customWidth="1"/>
    <col min="7978" max="7978" width="20.85546875" style="668" customWidth="1"/>
    <col min="7979" max="8191" width="11.42578125" style="668"/>
    <col min="8192" max="8192" width="13.140625" style="668" customWidth="1"/>
    <col min="8193" max="8193" width="4" style="668" customWidth="1"/>
    <col min="8194" max="8194" width="12.85546875" style="668" customWidth="1"/>
    <col min="8195" max="8195" width="14.7109375" style="668" customWidth="1"/>
    <col min="8196" max="8196" width="10" style="668" customWidth="1"/>
    <col min="8197" max="8197" width="6.28515625" style="668" customWidth="1"/>
    <col min="8198" max="8198" width="12.28515625" style="668" customWidth="1"/>
    <col min="8199" max="8199" width="8.5703125" style="668" customWidth="1"/>
    <col min="8200" max="8200" width="13.7109375" style="668" customWidth="1"/>
    <col min="8201" max="8201" width="11.5703125" style="668" customWidth="1"/>
    <col min="8202" max="8202" width="34.28515625" style="668" customWidth="1"/>
    <col min="8203" max="8203" width="24.28515625" style="668" customWidth="1"/>
    <col min="8204" max="8204" width="21.140625" style="668" customWidth="1"/>
    <col min="8205" max="8205" width="22.140625" style="668" customWidth="1"/>
    <col min="8206" max="8206" width="8" style="668" customWidth="1"/>
    <col min="8207" max="8207" width="17" style="668" customWidth="1"/>
    <col min="8208" max="8208" width="12.7109375" style="668" customWidth="1"/>
    <col min="8209" max="8209" width="24.5703125" style="668" customWidth="1"/>
    <col min="8210" max="8210" width="29" style="668" customWidth="1"/>
    <col min="8211" max="8211" width="17.7109375" style="668" customWidth="1"/>
    <col min="8212" max="8212" width="36.42578125" style="668" customWidth="1"/>
    <col min="8213" max="8213" width="21.85546875" style="668" customWidth="1"/>
    <col min="8214" max="8214" width="11.7109375" style="668" customWidth="1"/>
    <col min="8215" max="8215" width="26.28515625" style="668" customWidth="1"/>
    <col min="8216" max="8216" width="9" style="668" customWidth="1"/>
    <col min="8217" max="8217" width="6.28515625" style="668" customWidth="1"/>
    <col min="8218" max="8219" width="7.28515625" style="668" customWidth="1"/>
    <col min="8220" max="8220" width="8.42578125" style="668" customWidth="1"/>
    <col min="8221" max="8221" width="9.5703125" style="668" customWidth="1"/>
    <col min="8222" max="8222" width="6.28515625" style="668" customWidth="1"/>
    <col min="8223" max="8223" width="5.85546875" style="668" customWidth="1"/>
    <col min="8224" max="8225" width="4.42578125" style="668" customWidth="1"/>
    <col min="8226" max="8226" width="5" style="668" customWidth="1"/>
    <col min="8227" max="8227" width="5.85546875" style="668" customWidth="1"/>
    <col min="8228" max="8228" width="6.140625" style="668" customWidth="1"/>
    <col min="8229" max="8229" width="6.28515625" style="668" customWidth="1"/>
    <col min="8230" max="8230" width="11.140625" style="668" customWidth="1"/>
    <col min="8231" max="8231" width="14.140625" style="668" customWidth="1"/>
    <col min="8232" max="8232" width="19.85546875" style="668" customWidth="1"/>
    <col min="8233" max="8233" width="17" style="668" customWidth="1"/>
    <col min="8234" max="8234" width="20.85546875" style="668" customWidth="1"/>
    <col min="8235" max="8447" width="11.42578125" style="668"/>
    <col min="8448" max="8448" width="13.140625" style="668" customWidth="1"/>
    <col min="8449" max="8449" width="4" style="668" customWidth="1"/>
    <col min="8450" max="8450" width="12.85546875" style="668" customWidth="1"/>
    <col min="8451" max="8451" width="14.7109375" style="668" customWidth="1"/>
    <col min="8452" max="8452" width="10" style="668" customWidth="1"/>
    <col min="8453" max="8453" width="6.28515625" style="668" customWidth="1"/>
    <col min="8454" max="8454" width="12.28515625" style="668" customWidth="1"/>
    <col min="8455" max="8455" width="8.5703125" style="668" customWidth="1"/>
    <col min="8456" max="8456" width="13.7109375" style="668" customWidth="1"/>
    <col min="8457" max="8457" width="11.5703125" style="668" customWidth="1"/>
    <col min="8458" max="8458" width="34.28515625" style="668" customWidth="1"/>
    <col min="8459" max="8459" width="24.28515625" style="668" customWidth="1"/>
    <col min="8460" max="8460" width="21.140625" style="668" customWidth="1"/>
    <col min="8461" max="8461" width="22.140625" style="668" customWidth="1"/>
    <col min="8462" max="8462" width="8" style="668" customWidth="1"/>
    <col min="8463" max="8463" width="17" style="668" customWidth="1"/>
    <col min="8464" max="8464" width="12.7109375" style="668" customWidth="1"/>
    <col min="8465" max="8465" width="24.5703125" style="668" customWidth="1"/>
    <col min="8466" max="8466" width="29" style="668" customWidth="1"/>
    <col min="8467" max="8467" width="17.7109375" style="668" customWidth="1"/>
    <col min="8468" max="8468" width="36.42578125" style="668" customWidth="1"/>
    <col min="8469" max="8469" width="21.85546875" style="668" customWidth="1"/>
    <col min="8470" max="8470" width="11.7109375" style="668" customWidth="1"/>
    <col min="8471" max="8471" width="26.28515625" style="668" customWidth="1"/>
    <col min="8472" max="8472" width="9" style="668" customWidth="1"/>
    <col min="8473" max="8473" width="6.28515625" style="668" customWidth="1"/>
    <col min="8474" max="8475" width="7.28515625" style="668" customWidth="1"/>
    <col min="8476" max="8476" width="8.42578125" style="668" customWidth="1"/>
    <col min="8477" max="8477" width="9.5703125" style="668" customWidth="1"/>
    <col min="8478" max="8478" width="6.28515625" style="668" customWidth="1"/>
    <col min="8479" max="8479" width="5.85546875" style="668" customWidth="1"/>
    <col min="8480" max="8481" width="4.42578125" style="668" customWidth="1"/>
    <col min="8482" max="8482" width="5" style="668" customWidth="1"/>
    <col min="8483" max="8483" width="5.85546875" style="668" customWidth="1"/>
    <col min="8484" max="8484" width="6.140625" style="668" customWidth="1"/>
    <col min="8485" max="8485" width="6.28515625" style="668" customWidth="1"/>
    <col min="8486" max="8486" width="11.140625" style="668" customWidth="1"/>
    <col min="8487" max="8487" width="14.140625" style="668" customWidth="1"/>
    <col min="8488" max="8488" width="19.85546875" style="668" customWidth="1"/>
    <col min="8489" max="8489" width="17" style="668" customWidth="1"/>
    <col min="8490" max="8490" width="20.85546875" style="668" customWidth="1"/>
    <col min="8491" max="8703" width="11.42578125" style="668"/>
    <col min="8704" max="8704" width="13.140625" style="668" customWidth="1"/>
    <col min="8705" max="8705" width="4" style="668" customWidth="1"/>
    <col min="8706" max="8706" width="12.85546875" style="668" customWidth="1"/>
    <col min="8707" max="8707" width="14.7109375" style="668" customWidth="1"/>
    <col min="8708" max="8708" width="10" style="668" customWidth="1"/>
    <col min="8709" max="8709" width="6.28515625" style="668" customWidth="1"/>
    <col min="8710" max="8710" width="12.28515625" style="668" customWidth="1"/>
    <col min="8711" max="8711" width="8.5703125" style="668" customWidth="1"/>
    <col min="8712" max="8712" width="13.7109375" style="668" customWidth="1"/>
    <col min="8713" max="8713" width="11.5703125" style="668" customWidth="1"/>
    <col min="8714" max="8714" width="34.28515625" style="668" customWidth="1"/>
    <col min="8715" max="8715" width="24.28515625" style="668" customWidth="1"/>
    <col min="8716" max="8716" width="21.140625" style="668" customWidth="1"/>
    <col min="8717" max="8717" width="22.140625" style="668" customWidth="1"/>
    <col min="8718" max="8718" width="8" style="668" customWidth="1"/>
    <col min="8719" max="8719" width="17" style="668" customWidth="1"/>
    <col min="8720" max="8720" width="12.7109375" style="668" customWidth="1"/>
    <col min="8721" max="8721" width="24.5703125" style="668" customWidth="1"/>
    <col min="8722" max="8722" width="29" style="668" customWidth="1"/>
    <col min="8723" max="8723" width="17.7109375" style="668" customWidth="1"/>
    <col min="8724" max="8724" width="36.42578125" style="668" customWidth="1"/>
    <col min="8725" max="8725" width="21.85546875" style="668" customWidth="1"/>
    <col min="8726" max="8726" width="11.7109375" style="668" customWidth="1"/>
    <col min="8727" max="8727" width="26.28515625" style="668" customWidth="1"/>
    <col min="8728" max="8728" width="9" style="668" customWidth="1"/>
    <col min="8729" max="8729" width="6.28515625" style="668" customWidth="1"/>
    <col min="8730" max="8731" width="7.28515625" style="668" customWidth="1"/>
    <col min="8732" max="8732" width="8.42578125" style="668" customWidth="1"/>
    <col min="8733" max="8733" width="9.5703125" style="668" customWidth="1"/>
    <col min="8734" max="8734" width="6.28515625" style="668" customWidth="1"/>
    <col min="8735" max="8735" width="5.85546875" style="668" customWidth="1"/>
    <col min="8736" max="8737" width="4.42578125" style="668" customWidth="1"/>
    <col min="8738" max="8738" width="5" style="668" customWidth="1"/>
    <col min="8739" max="8739" width="5.85546875" style="668" customWidth="1"/>
    <col min="8740" max="8740" width="6.140625" style="668" customWidth="1"/>
    <col min="8741" max="8741" width="6.28515625" style="668" customWidth="1"/>
    <col min="8742" max="8742" width="11.140625" style="668" customWidth="1"/>
    <col min="8743" max="8743" width="14.140625" style="668" customWidth="1"/>
    <col min="8744" max="8744" width="19.85546875" style="668" customWidth="1"/>
    <col min="8745" max="8745" width="17" style="668" customWidth="1"/>
    <col min="8746" max="8746" width="20.85546875" style="668" customWidth="1"/>
    <col min="8747" max="8959" width="11.42578125" style="668"/>
    <col min="8960" max="8960" width="13.140625" style="668" customWidth="1"/>
    <col min="8961" max="8961" width="4" style="668" customWidth="1"/>
    <col min="8962" max="8962" width="12.85546875" style="668" customWidth="1"/>
    <col min="8963" max="8963" width="14.7109375" style="668" customWidth="1"/>
    <col min="8964" max="8964" width="10" style="668" customWidth="1"/>
    <col min="8965" max="8965" width="6.28515625" style="668" customWidth="1"/>
    <col min="8966" max="8966" width="12.28515625" style="668" customWidth="1"/>
    <col min="8967" max="8967" width="8.5703125" style="668" customWidth="1"/>
    <col min="8968" max="8968" width="13.7109375" style="668" customWidth="1"/>
    <col min="8969" max="8969" width="11.5703125" style="668" customWidth="1"/>
    <col min="8970" max="8970" width="34.28515625" style="668" customWidth="1"/>
    <col min="8971" max="8971" width="24.28515625" style="668" customWidth="1"/>
    <col min="8972" max="8972" width="21.140625" style="668" customWidth="1"/>
    <col min="8973" max="8973" width="22.140625" style="668" customWidth="1"/>
    <col min="8974" max="8974" width="8" style="668" customWidth="1"/>
    <col min="8975" max="8975" width="17" style="668" customWidth="1"/>
    <col min="8976" max="8976" width="12.7109375" style="668" customWidth="1"/>
    <col min="8977" max="8977" width="24.5703125" style="668" customWidth="1"/>
    <col min="8978" max="8978" width="29" style="668" customWidth="1"/>
    <col min="8979" max="8979" width="17.7109375" style="668" customWidth="1"/>
    <col min="8980" max="8980" width="36.42578125" style="668" customWidth="1"/>
    <col min="8981" max="8981" width="21.85546875" style="668" customWidth="1"/>
    <col min="8982" max="8982" width="11.7109375" style="668" customWidth="1"/>
    <col min="8983" max="8983" width="26.28515625" style="668" customWidth="1"/>
    <col min="8984" max="8984" width="9" style="668" customWidth="1"/>
    <col min="8985" max="8985" width="6.28515625" style="668" customWidth="1"/>
    <col min="8986" max="8987" width="7.28515625" style="668" customWidth="1"/>
    <col min="8988" max="8988" width="8.42578125" style="668" customWidth="1"/>
    <col min="8989" max="8989" width="9.5703125" style="668" customWidth="1"/>
    <col min="8990" max="8990" width="6.28515625" style="668" customWidth="1"/>
    <col min="8991" max="8991" width="5.85546875" style="668" customWidth="1"/>
    <col min="8992" max="8993" width="4.42578125" style="668" customWidth="1"/>
    <col min="8994" max="8994" width="5" style="668" customWidth="1"/>
    <col min="8995" max="8995" width="5.85546875" style="668" customWidth="1"/>
    <col min="8996" max="8996" width="6.140625" style="668" customWidth="1"/>
    <col min="8997" max="8997" width="6.28515625" style="668" customWidth="1"/>
    <col min="8998" max="8998" width="11.140625" style="668" customWidth="1"/>
    <col min="8999" max="8999" width="14.140625" style="668" customWidth="1"/>
    <col min="9000" max="9000" width="19.85546875" style="668" customWidth="1"/>
    <col min="9001" max="9001" width="17" style="668" customWidth="1"/>
    <col min="9002" max="9002" width="20.85546875" style="668" customWidth="1"/>
    <col min="9003" max="9215" width="11.42578125" style="668"/>
    <col min="9216" max="9216" width="13.140625" style="668" customWidth="1"/>
    <col min="9217" max="9217" width="4" style="668" customWidth="1"/>
    <col min="9218" max="9218" width="12.85546875" style="668" customWidth="1"/>
    <col min="9219" max="9219" width="14.7109375" style="668" customWidth="1"/>
    <col min="9220" max="9220" width="10" style="668" customWidth="1"/>
    <col min="9221" max="9221" width="6.28515625" style="668" customWidth="1"/>
    <col min="9222" max="9222" width="12.28515625" style="668" customWidth="1"/>
    <col min="9223" max="9223" width="8.5703125" style="668" customWidth="1"/>
    <col min="9224" max="9224" width="13.7109375" style="668" customWidth="1"/>
    <col min="9225" max="9225" width="11.5703125" style="668" customWidth="1"/>
    <col min="9226" max="9226" width="34.28515625" style="668" customWidth="1"/>
    <col min="9227" max="9227" width="24.28515625" style="668" customWidth="1"/>
    <col min="9228" max="9228" width="21.140625" style="668" customWidth="1"/>
    <col min="9229" max="9229" width="22.140625" style="668" customWidth="1"/>
    <col min="9230" max="9230" width="8" style="668" customWidth="1"/>
    <col min="9231" max="9231" width="17" style="668" customWidth="1"/>
    <col min="9232" max="9232" width="12.7109375" style="668" customWidth="1"/>
    <col min="9233" max="9233" width="24.5703125" style="668" customWidth="1"/>
    <col min="9234" max="9234" width="29" style="668" customWidth="1"/>
    <col min="9235" max="9235" width="17.7109375" style="668" customWidth="1"/>
    <col min="9236" max="9236" width="36.42578125" style="668" customWidth="1"/>
    <col min="9237" max="9237" width="21.85546875" style="668" customWidth="1"/>
    <col min="9238" max="9238" width="11.7109375" style="668" customWidth="1"/>
    <col min="9239" max="9239" width="26.28515625" style="668" customWidth="1"/>
    <col min="9240" max="9240" width="9" style="668" customWidth="1"/>
    <col min="9241" max="9241" width="6.28515625" style="668" customWidth="1"/>
    <col min="9242" max="9243" width="7.28515625" style="668" customWidth="1"/>
    <col min="9244" max="9244" width="8.42578125" style="668" customWidth="1"/>
    <col min="9245" max="9245" width="9.5703125" style="668" customWidth="1"/>
    <col min="9246" max="9246" width="6.28515625" style="668" customWidth="1"/>
    <col min="9247" max="9247" width="5.85546875" style="668" customWidth="1"/>
    <col min="9248" max="9249" width="4.42578125" style="668" customWidth="1"/>
    <col min="9250" max="9250" width="5" style="668" customWidth="1"/>
    <col min="9251" max="9251" width="5.85546875" style="668" customWidth="1"/>
    <col min="9252" max="9252" width="6.140625" style="668" customWidth="1"/>
    <col min="9253" max="9253" width="6.28515625" style="668" customWidth="1"/>
    <col min="9254" max="9254" width="11.140625" style="668" customWidth="1"/>
    <col min="9255" max="9255" width="14.140625" style="668" customWidth="1"/>
    <col min="9256" max="9256" width="19.85546875" style="668" customWidth="1"/>
    <col min="9257" max="9257" width="17" style="668" customWidth="1"/>
    <col min="9258" max="9258" width="20.85546875" style="668" customWidth="1"/>
    <col min="9259" max="9471" width="11.42578125" style="668"/>
    <col min="9472" max="9472" width="13.140625" style="668" customWidth="1"/>
    <col min="9473" max="9473" width="4" style="668" customWidth="1"/>
    <col min="9474" max="9474" width="12.85546875" style="668" customWidth="1"/>
    <col min="9475" max="9475" width="14.7109375" style="668" customWidth="1"/>
    <col min="9476" max="9476" width="10" style="668" customWidth="1"/>
    <col min="9477" max="9477" width="6.28515625" style="668" customWidth="1"/>
    <col min="9478" max="9478" width="12.28515625" style="668" customWidth="1"/>
    <col min="9479" max="9479" width="8.5703125" style="668" customWidth="1"/>
    <col min="9480" max="9480" width="13.7109375" style="668" customWidth="1"/>
    <col min="9481" max="9481" width="11.5703125" style="668" customWidth="1"/>
    <col min="9482" max="9482" width="34.28515625" style="668" customWidth="1"/>
    <col min="9483" max="9483" width="24.28515625" style="668" customWidth="1"/>
    <col min="9484" max="9484" width="21.140625" style="668" customWidth="1"/>
    <col min="9485" max="9485" width="22.140625" style="668" customWidth="1"/>
    <col min="9486" max="9486" width="8" style="668" customWidth="1"/>
    <col min="9487" max="9487" width="17" style="668" customWidth="1"/>
    <col min="9488" max="9488" width="12.7109375" style="668" customWidth="1"/>
    <col min="9489" max="9489" width="24.5703125" style="668" customWidth="1"/>
    <col min="9490" max="9490" width="29" style="668" customWidth="1"/>
    <col min="9491" max="9491" width="17.7109375" style="668" customWidth="1"/>
    <col min="9492" max="9492" width="36.42578125" style="668" customWidth="1"/>
    <col min="9493" max="9493" width="21.85546875" style="668" customWidth="1"/>
    <col min="9494" max="9494" width="11.7109375" style="668" customWidth="1"/>
    <col min="9495" max="9495" width="26.28515625" style="668" customWidth="1"/>
    <col min="9496" max="9496" width="9" style="668" customWidth="1"/>
    <col min="9497" max="9497" width="6.28515625" style="668" customWidth="1"/>
    <col min="9498" max="9499" width="7.28515625" style="668" customWidth="1"/>
    <col min="9500" max="9500" width="8.42578125" style="668" customWidth="1"/>
    <col min="9501" max="9501" width="9.5703125" style="668" customWidth="1"/>
    <col min="9502" max="9502" width="6.28515625" style="668" customWidth="1"/>
    <col min="9503" max="9503" width="5.85546875" style="668" customWidth="1"/>
    <col min="9504" max="9505" width="4.42578125" style="668" customWidth="1"/>
    <col min="9506" max="9506" width="5" style="668" customWidth="1"/>
    <col min="9507" max="9507" width="5.85546875" style="668" customWidth="1"/>
    <col min="9508" max="9508" width="6.140625" style="668" customWidth="1"/>
    <col min="9509" max="9509" width="6.28515625" style="668" customWidth="1"/>
    <col min="9510" max="9510" width="11.140625" style="668" customWidth="1"/>
    <col min="9511" max="9511" width="14.140625" style="668" customWidth="1"/>
    <col min="9512" max="9512" width="19.85546875" style="668" customWidth="1"/>
    <col min="9513" max="9513" width="17" style="668" customWidth="1"/>
    <col min="9514" max="9514" width="20.85546875" style="668" customWidth="1"/>
    <col min="9515" max="9727" width="11.42578125" style="668"/>
    <col min="9728" max="9728" width="13.140625" style="668" customWidth="1"/>
    <col min="9729" max="9729" width="4" style="668" customWidth="1"/>
    <col min="9730" max="9730" width="12.85546875" style="668" customWidth="1"/>
    <col min="9731" max="9731" width="14.7109375" style="668" customWidth="1"/>
    <col min="9732" max="9732" width="10" style="668" customWidth="1"/>
    <col min="9733" max="9733" width="6.28515625" style="668" customWidth="1"/>
    <col min="9734" max="9734" width="12.28515625" style="668" customWidth="1"/>
    <col min="9735" max="9735" width="8.5703125" style="668" customWidth="1"/>
    <col min="9736" max="9736" width="13.7109375" style="668" customWidth="1"/>
    <col min="9737" max="9737" width="11.5703125" style="668" customWidth="1"/>
    <col min="9738" max="9738" width="34.28515625" style="668" customWidth="1"/>
    <col min="9739" max="9739" width="24.28515625" style="668" customWidth="1"/>
    <col min="9740" max="9740" width="21.140625" style="668" customWidth="1"/>
    <col min="9741" max="9741" width="22.140625" style="668" customWidth="1"/>
    <col min="9742" max="9742" width="8" style="668" customWidth="1"/>
    <col min="9743" max="9743" width="17" style="668" customWidth="1"/>
    <col min="9744" max="9744" width="12.7109375" style="668" customWidth="1"/>
    <col min="9745" max="9745" width="24.5703125" style="668" customWidth="1"/>
    <col min="9746" max="9746" width="29" style="668" customWidth="1"/>
    <col min="9747" max="9747" width="17.7109375" style="668" customWidth="1"/>
    <col min="9748" max="9748" width="36.42578125" style="668" customWidth="1"/>
    <col min="9749" max="9749" width="21.85546875" style="668" customWidth="1"/>
    <col min="9750" max="9750" width="11.7109375" style="668" customWidth="1"/>
    <col min="9751" max="9751" width="26.28515625" style="668" customWidth="1"/>
    <col min="9752" max="9752" width="9" style="668" customWidth="1"/>
    <col min="9753" max="9753" width="6.28515625" style="668" customWidth="1"/>
    <col min="9754" max="9755" width="7.28515625" style="668" customWidth="1"/>
    <col min="9756" max="9756" width="8.42578125" style="668" customWidth="1"/>
    <col min="9757" max="9757" width="9.5703125" style="668" customWidth="1"/>
    <col min="9758" max="9758" width="6.28515625" style="668" customWidth="1"/>
    <col min="9759" max="9759" width="5.85546875" style="668" customWidth="1"/>
    <col min="9760" max="9761" width="4.42578125" style="668" customWidth="1"/>
    <col min="9762" max="9762" width="5" style="668" customWidth="1"/>
    <col min="9763" max="9763" width="5.85546875" style="668" customWidth="1"/>
    <col min="9764" max="9764" width="6.140625" style="668" customWidth="1"/>
    <col min="9765" max="9765" width="6.28515625" style="668" customWidth="1"/>
    <col min="9766" max="9766" width="11.140625" style="668" customWidth="1"/>
    <col min="9767" max="9767" width="14.140625" style="668" customWidth="1"/>
    <col min="9768" max="9768" width="19.85546875" style="668" customWidth="1"/>
    <col min="9769" max="9769" width="17" style="668" customWidth="1"/>
    <col min="9770" max="9770" width="20.85546875" style="668" customWidth="1"/>
    <col min="9771" max="9983" width="11.42578125" style="668"/>
    <col min="9984" max="9984" width="13.140625" style="668" customWidth="1"/>
    <col min="9985" max="9985" width="4" style="668" customWidth="1"/>
    <col min="9986" max="9986" width="12.85546875" style="668" customWidth="1"/>
    <col min="9987" max="9987" width="14.7109375" style="668" customWidth="1"/>
    <col min="9988" max="9988" width="10" style="668" customWidth="1"/>
    <col min="9989" max="9989" width="6.28515625" style="668" customWidth="1"/>
    <col min="9990" max="9990" width="12.28515625" style="668" customWidth="1"/>
    <col min="9991" max="9991" width="8.5703125" style="668" customWidth="1"/>
    <col min="9992" max="9992" width="13.7109375" style="668" customWidth="1"/>
    <col min="9993" max="9993" width="11.5703125" style="668" customWidth="1"/>
    <col min="9994" max="9994" width="34.28515625" style="668" customWidth="1"/>
    <col min="9995" max="9995" width="24.28515625" style="668" customWidth="1"/>
    <col min="9996" max="9996" width="21.140625" style="668" customWidth="1"/>
    <col min="9997" max="9997" width="22.140625" style="668" customWidth="1"/>
    <col min="9998" max="9998" width="8" style="668" customWidth="1"/>
    <col min="9999" max="9999" width="17" style="668" customWidth="1"/>
    <col min="10000" max="10000" width="12.7109375" style="668" customWidth="1"/>
    <col min="10001" max="10001" width="24.5703125" style="668" customWidth="1"/>
    <col min="10002" max="10002" width="29" style="668" customWidth="1"/>
    <col min="10003" max="10003" width="17.7109375" style="668" customWidth="1"/>
    <col min="10004" max="10004" width="36.42578125" style="668" customWidth="1"/>
    <col min="10005" max="10005" width="21.85546875" style="668" customWidth="1"/>
    <col min="10006" max="10006" width="11.7109375" style="668" customWidth="1"/>
    <col min="10007" max="10007" width="26.28515625" style="668" customWidth="1"/>
    <col min="10008" max="10008" width="9" style="668" customWidth="1"/>
    <col min="10009" max="10009" width="6.28515625" style="668" customWidth="1"/>
    <col min="10010" max="10011" width="7.28515625" style="668" customWidth="1"/>
    <col min="10012" max="10012" width="8.42578125" style="668" customWidth="1"/>
    <col min="10013" max="10013" width="9.5703125" style="668" customWidth="1"/>
    <col min="10014" max="10014" width="6.28515625" style="668" customWidth="1"/>
    <col min="10015" max="10015" width="5.85546875" style="668" customWidth="1"/>
    <col min="10016" max="10017" width="4.42578125" style="668" customWidth="1"/>
    <col min="10018" max="10018" width="5" style="668" customWidth="1"/>
    <col min="10019" max="10019" width="5.85546875" style="668" customWidth="1"/>
    <col min="10020" max="10020" width="6.140625" style="668" customWidth="1"/>
    <col min="10021" max="10021" width="6.28515625" style="668" customWidth="1"/>
    <col min="10022" max="10022" width="11.140625" style="668" customWidth="1"/>
    <col min="10023" max="10023" width="14.140625" style="668" customWidth="1"/>
    <col min="10024" max="10024" width="19.85546875" style="668" customWidth="1"/>
    <col min="10025" max="10025" width="17" style="668" customWidth="1"/>
    <col min="10026" max="10026" width="20.85546875" style="668" customWidth="1"/>
    <col min="10027" max="10239" width="11.42578125" style="668"/>
    <col min="10240" max="10240" width="13.140625" style="668" customWidth="1"/>
    <col min="10241" max="10241" width="4" style="668" customWidth="1"/>
    <col min="10242" max="10242" width="12.85546875" style="668" customWidth="1"/>
    <col min="10243" max="10243" width="14.7109375" style="668" customWidth="1"/>
    <col min="10244" max="10244" width="10" style="668" customWidth="1"/>
    <col min="10245" max="10245" width="6.28515625" style="668" customWidth="1"/>
    <col min="10246" max="10246" width="12.28515625" style="668" customWidth="1"/>
    <col min="10247" max="10247" width="8.5703125" style="668" customWidth="1"/>
    <col min="10248" max="10248" width="13.7109375" style="668" customWidth="1"/>
    <col min="10249" max="10249" width="11.5703125" style="668" customWidth="1"/>
    <col min="10250" max="10250" width="34.28515625" style="668" customWidth="1"/>
    <col min="10251" max="10251" width="24.28515625" style="668" customWidth="1"/>
    <col min="10252" max="10252" width="21.140625" style="668" customWidth="1"/>
    <col min="10253" max="10253" width="22.140625" style="668" customWidth="1"/>
    <col min="10254" max="10254" width="8" style="668" customWidth="1"/>
    <col min="10255" max="10255" width="17" style="668" customWidth="1"/>
    <col min="10256" max="10256" width="12.7109375" style="668" customWidth="1"/>
    <col min="10257" max="10257" width="24.5703125" style="668" customWidth="1"/>
    <col min="10258" max="10258" width="29" style="668" customWidth="1"/>
    <col min="10259" max="10259" width="17.7109375" style="668" customWidth="1"/>
    <col min="10260" max="10260" width="36.42578125" style="668" customWidth="1"/>
    <col min="10261" max="10261" width="21.85546875" style="668" customWidth="1"/>
    <col min="10262" max="10262" width="11.7109375" style="668" customWidth="1"/>
    <col min="10263" max="10263" width="26.28515625" style="668" customWidth="1"/>
    <col min="10264" max="10264" width="9" style="668" customWidth="1"/>
    <col min="10265" max="10265" width="6.28515625" style="668" customWidth="1"/>
    <col min="10266" max="10267" width="7.28515625" style="668" customWidth="1"/>
    <col min="10268" max="10268" width="8.42578125" style="668" customWidth="1"/>
    <col min="10269" max="10269" width="9.5703125" style="668" customWidth="1"/>
    <col min="10270" max="10270" width="6.28515625" style="668" customWidth="1"/>
    <col min="10271" max="10271" width="5.85546875" style="668" customWidth="1"/>
    <col min="10272" max="10273" width="4.42578125" style="668" customWidth="1"/>
    <col min="10274" max="10274" width="5" style="668" customWidth="1"/>
    <col min="10275" max="10275" width="5.85546875" style="668" customWidth="1"/>
    <col min="10276" max="10276" width="6.140625" style="668" customWidth="1"/>
    <col min="10277" max="10277" width="6.28515625" style="668" customWidth="1"/>
    <col min="10278" max="10278" width="11.140625" style="668" customWidth="1"/>
    <col min="10279" max="10279" width="14.140625" style="668" customWidth="1"/>
    <col min="10280" max="10280" width="19.85546875" style="668" customWidth="1"/>
    <col min="10281" max="10281" width="17" style="668" customWidth="1"/>
    <col min="10282" max="10282" width="20.85546875" style="668" customWidth="1"/>
    <col min="10283" max="10495" width="11.42578125" style="668"/>
    <col min="10496" max="10496" width="13.140625" style="668" customWidth="1"/>
    <col min="10497" max="10497" width="4" style="668" customWidth="1"/>
    <col min="10498" max="10498" width="12.85546875" style="668" customWidth="1"/>
    <col min="10499" max="10499" width="14.7109375" style="668" customWidth="1"/>
    <col min="10500" max="10500" width="10" style="668" customWidth="1"/>
    <col min="10501" max="10501" width="6.28515625" style="668" customWidth="1"/>
    <col min="10502" max="10502" width="12.28515625" style="668" customWidth="1"/>
    <col min="10503" max="10503" width="8.5703125" style="668" customWidth="1"/>
    <col min="10504" max="10504" width="13.7109375" style="668" customWidth="1"/>
    <col min="10505" max="10505" width="11.5703125" style="668" customWidth="1"/>
    <col min="10506" max="10506" width="34.28515625" style="668" customWidth="1"/>
    <col min="10507" max="10507" width="24.28515625" style="668" customWidth="1"/>
    <col min="10508" max="10508" width="21.140625" style="668" customWidth="1"/>
    <col min="10509" max="10509" width="22.140625" style="668" customWidth="1"/>
    <col min="10510" max="10510" width="8" style="668" customWidth="1"/>
    <col min="10511" max="10511" width="17" style="668" customWidth="1"/>
    <col min="10512" max="10512" width="12.7109375" style="668" customWidth="1"/>
    <col min="10513" max="10513" width="24.5703125" style="668" customWidth="1"/>
    <col min="10514" max="10514" width="29" style="668" customWidth="1"/>
    <col min="10515" max="10515" width="17.7109375" style="668" customWidth="1"/>
    <col min="10516" max="10516" width="36.42578125" style="668" customWidth="1"/>
    <col min="10517" max="10517" width="21.85546875" style="668" customWidth="1"/>
    <col min="10518" max="10518" width="11.7109375" style="668" customWidth="1"/>
    <col min="10519" max="10519" width="26.28515625" style="668" customWidth="1"/>
    <col min="10520" max="10520" width="9" style="668" customWidth="1"/>
    <col min="10521" max="10521" width="6.28515625" style="668" customWidth="1"/>
    <col min="10522" max="10523" width="7.28515625" style="668" customWidth="1"/>
    <col min="10524" max="10524" width="8.42578125" style="668" customWidth="1"/>
    <col min="10525" max="10525" width="9.5703125" style="668" customWidth="1"/>
    <col min="10526" max="10526" width="6.28515625" style="668" customWidth="1"/>
    <col min="10527" max="10527" width="5.85546875" style="668" customWidth="1"/>
    <col min="10528" max="10529" width="4.42578125" style="668" customWidth="1"/>
    <col min="10530" max="10530" width="5" style="668" customWidth="1"/>
    <col min="10531" max="10531" width="5.85546875" style="668" customWidth="1"/>
    <col min="10532" max="10532" width="6.140625" style="668" customWidth="1"/>
    <col min="10533" max="10533" width="6.28515625" style="668" customWidth="1"/>
    <col min="10534" max="10534" width="11.140625" style="668" customWidth="1"/>
    <col min="10535" max="10535" width="14.140625" style="668" customWidth="1"/>
    <col min="10536" max="10536" width="19.85546875" style="668" customWidth="1"/>
    <col min="10537" max="10537" width="17" style="668" customWidth="1"/>
    <col min="10538" max="10538" width="20.85546875" style="668" customWidth="1"/>
    <col min="10539" max="10751" width="11.42578125" style="668"/>
    <col min="10752" max="10752" width="13.140625" style="668" customWidth="1"/>
    <col min="10753" max="10753" width="4" style="668" customWidth="1"/>
    <col min="10754" max="10754" width="12.85546875" style="668" customWidth="1"/>
    <col min="10755" max="10755" width="14.7109375" style="668" customWidth="1"/>
    <col min="10756" max="10756" width="10" style="668" customWidth="1"/>
    <col min="10757" max="10757" width="6.28515625" style="668" customWidth="1"/>
    <col min="10758" max="10758" width="12.28515625" style="668" customWidth="1"/>
    <col min="10759" max="10759" width="8.5703125" style="668" customWidth="1"/>
    <col min="10760" max="10760" width="13.7109375" style="668" customWidth="1"/>
    <col min="10761" max="10761" width="11.5703125" style="668" customWidth="1"/>
    <col min="10762" max="10762" width="34.28515625" style="668" customWidth="1"/>
    <col min="10763" max="10763" width="24.28515625" style="668" customWidth="1"/>
    <col min="10764" max="10764" width="21.140625" style="668" customWidth="1"/>
    <col min="10765" max="10765" width="22.140625" style="668" customWidth="1"/>
    <col min="10766" max="10766" width="8" style="668" customWidth="1"/>
    <col min="10767" max="10767" width="17" style="668" customWidth="1"/>
    <col min="10768" max="10768" width="12.7109375" style="668" customWidth="1"/>
    <col min="10769" max="10769" width="24.5703125" style="668" customWidth="1"/>
    <col min="10770" max="10770" width="29" style="668" customWidth="1"/>
    <col min="10771" max="10771" width="17.7109375" style="668" customWidth="1"/>
    <col min="10772" max="10772" width="36.42578125" style="668" customWidth="1"/>
    <col min="10773" max="10773" width="21.85546875" style="668" customWidth="1"/>
    <col min="10774" max="10774" width="11.7109375" style="668" customWidth="1"/>
    <col min="10775" max="10775" width="26.28515625" style="668" customWidth="1"/>
    <col min="10776" max="10776" width="9" style="668" customWidth="1"/>
    <col min="10777" max="10777" width="6.28515625" style="668" customWidth="1"/>
    <col min="10778" max="10779" width="7.28515625" style="668" customWidth="1"/>
    <col min="10780" max="10780" width="8.42578125" style="668" customWidth="1"/>
    <col min="10781" max="10781" width="9.5703125" style="668" customWidth="1"/>
    <col min="10782" max="10782" width="6.28515625" style="668" customWidth="1"/>
    <col min="10783" max="10783" width="5.85546875" style="668" customWidth="1"/>
    <col min="10784" max="10785" width="4.42578125" style="668" customWidth="1"/>
    <col min="10786" max="10786" width="5" style="668" customWidth="1"/>
    <col min="10787" max="10787" width="5.85546875" style="668" customWidth="1"/>
    <col min="10788" max="10788" width="6.140625" style="668" customWidth="1"/>
    <col min="10789" max="10789" width="6.28515625" style="668" customWidth="1"/>
    <col min="10790" max="10790" width="11.140625" style="668" customWidth="1"/>
    <col min="10791" max="10791" width="14.140625" style="668" customWidth="1"/>
    <col min="10792" max="10792" width="19.85546875" style="668" customWidth="1"/>
    <col min="10793" max="10793" width="17" style="668" customWidth="1"/>
    <col min="10794" max="10794" width="20.85546875" style="668" customWidth="1"/>
    <col min="10795" max="11007" width="11.42578125" style="668"/>
    <col min="11008" max="11008" width="13.140625" style="668" customWidth="1"/>
    <col min="11009" max="11009" width="4" style="668" customWidth="1"/>
    <col min="11010" max="11010" width="12.85546875" style="668" customWidth="1"/>
    <col min="11011" max="11011" width="14.7109375" style="668" customWidth="1"/>
    <col min="11012" max="11012" width="10" style="668" customWidth="1"/>
    <col min="11013" max="11013" width="6.28515625" style="668" customWidth="1"/>
    <col min="11014" max="11014" width="12.28515625" style="668" customWidth="1"/>
    <col min="11015" max="11015" width="8.5703125" style="668" customWidth="1"/>
    <col min="11016" max="11016" width="13.7109375" style="668" customWidth="1"/>
    <col min="11017" max="11017" width="11.5703125" style="668" customWidth="1"/>
    <col min="11018" max="11018" width="34.28515625" style="668" customWidth="1"/>
    <col min="11019" max="11019" width="24.28515625" style="668" customWidth="1"/>
    <col min="11020" max="11020" width="21.140625" style="668" customWidth="1"/>
    <col min="11021" max="11021" width="22.140625" style="668" customWidth="1"/>
    <col min="11022" max="11022" width="8" style="668" customWidth="1"/>
    <col min="11023" max="11023" width="17" style="668" customWidth="1"/>
    <col min="11024" max="11024" width="12.7109375" style="668" customWidth="1"/>
    <col min="11025" max="11025" width="24.5703125" style="668" customWidth="1"/>
    <col min="11026" max="11026" width="29" style="668" customWidth="1"/>
    <col min="11027" max="11027" width="17.7109375" style="668" customWidth="1"/>
    <col min="11028" max="11028" width="36.42578125" style="668" customWidth="1"/>
    <col min="11029" max="11029" width="21.85546875" style="668" customWidth="1"/>
    <col min="11030" max="11030" width="11.7109375" style="668" customWidth="1"/>
    <col min="11031" max="11031" width="26.28515625" style="668" customWidth="1"/>
    <col min="11032" max="11032" width="9" style="668" customWidth="1"/>
    <col min="11033" max="11033" width="6.28515625" style="668" customWidth="1"/>
    <col min="11034" max="11035" width="7.28515625" style="668" customWidth="1"/>
    <col min="11036" max="11036" width="8.42578125" style="668" customWidth="1"/>
    <col min="11037" max="11037" width="9.5703125" style="668" customWidth="1"/>
    <col min="11038" max="11038" width="6.28515625" style="668" customWidth="1"/>
    <col min="11039" max="11039" width="5.85546875" style="668" customWidth="1"/>
    <col min="11040" max="11041" width="4.42578125" style="668" customWidth="1"/>
    <col min="11042" max="11042" width="5" style="668" customWidth="1"/>
    <col min="11043" max="11043" width="5.85546875" style="668" customWidth="1"/>
    <col min="11044" max="11044" width="6.140625" style="668" customWidth="1"/>
    <col min="11045" max="11045" width="6.28515625" style="668" customWidth="1"/>
    <col min="11046" max="11046" width="11.140625" style="668" customWidth="1"/>
    <col min="11047" max="11047" width="14.140625" style="668" customWidth="1"/>
    <col min="11048" max="11048" width="19.85546875" style="668" customWidth="1"/>
    <col min="11049" max="11049" width="17" style="668" customWidth="1"/>
    <col min="11050" max="11050" width="20.85546875" style="668" customWidth="1"/>
    <col min="11051" max="11263" width="11.42578125" style="668"/>
    <col min="11264" max="11264" width="13.140625" style="668" customWidth="1"/>
    <col min="11265" max="11265" width="4" style="668" customWidth="1"/>
    <col min="11266" max="11266" width="12.85546875" style="668" customWidth="1"/>
    <col min="11267" max="11267" width="14.7109375" style="668" customWidth="1"/>
    <col min="11268" max="11268" width="10" style="668" customWidth="1"/>
    <col min="11269" max="11269" width="6.28515625" style="668" customWidth="1"/>
    <col min="11270" max="11270" width="12.28515625" style="668" customWidth="1"/>
    <col min="11271" max="11271" width="8.5703125" style="668" customWidth="1"/>
    <col min="11272" max="11272" width="13.7109375" style="668" customWidth="1"/>
    <col min="11273" max="11273" width="11.5703125" style="668" customWidth="1"/>
    <col min="11274" max="11274" width="34.28515625" style="668" customWidth="1"/>
    <col min="11275" max="11275" width="24.28515625" style="668" customWidth="1"/>
    <col min="11276" max="11276" width="21.140625" style="668" customWidth="1"/>
    <col min="11277" max="11277" width="22.140625" style="668" customWidth="1"/>
    <col min="11278" max="11278" width="8" style="668" customWidth="1"/>
    <col min="11279" max="11279" width="17" style="668" customWidth="1"/>
    <col min="11280" max="11280" width="12.7109375" style="668" customWidth="1"/>
    <col min="11281" max="11281" width="24.5703125" style="668" customWidth="1"/>
    <col min="11282" max="11282" width="29" style="668" customWidth="1"/>
    <col min="11283" max="11283" width="17.7109375" style="668" customWidth="1"/>
    <col min="11284" max="11284" width="36.42578125" style="668" customWidth="1"/>
    <col min="11285" max="11285" width="21.85546875" style="668" customWidth="1"/>
    <col min="11286" max="11286" width="11.7109375" style="668" customWidth="1"/>
    <col min="11287" max="11287" width="26.28515625" style="668" customWidth="1"/>
    <col min="11288" max="11288" width="9" style="668" customWidth="1"/>
    <col min="11289" max="11289" width="6.28515625" style="668" customWidth="1"/>
    <col min="11290" max="11291" width="7.28515625" style="668" customWidth="1"/>
    <col min="11292" max="11292" width="8.42578125" style="668" customWidth="1"/>
    <col min="11293" max="11293" width="9.5703125" style="668" customWidth="1"/>
    <col min="11294" max="11294" width="6.28515625" style="668" customWidth="1"/>
    <col min="11295" max="11295" width="5.85546875" style="668" customWidth="1"/>
    <col min="11296" max="11297" width="4.42578125" style="668" customWidth="1"/>
    <col min="11298" max="11298" width="5" style="668" customWidth="1"/>
    <col min="11299" max="11299" width="5.85546875" style="668" customWidth="1"/>
    <col min="11300" max="11300" width="6.140625" style="668" customWidth="1"/>
    <col min="11301" max="11301" width="6.28515625" style="668" customWidth="1"/>
    <col min="11302" max="11302" width="11.140625" style="668" customWidth="1"/>
    <col min="11303" max="11303" width="14.140625" style="668" customWidth="1"/>
    <col min="11304" max="11304" width="19.85546875" style="668" customWidth="1"/>
    <col min="11305" max="11305" width="17" style="668" customWidth="1"/>
    <col min="11306" max="11306" width="20.85546875" style="668" customWidth="1"/>
    <col min="11307" max="11519" width="11.42578125" style="668"/>
    <col min="11520" max="11520" width="13.140625" style="668" customWidth="1"/>
    <col min="11521" max="11521" width="4" style="668" customWidth="1"/>
    <col min="11522" max="11522" width="12.85546875" style="668" customWidth="1"/>
    <col min="11523" max="11523" width="14.7109375" style="668" customWidth="1"/>
    <col min="11524" max="11524" width="10" style="668" customWidth="1"/>
    <col min="11525" max="11525" width="6.28515625" style="668" customWidth="1"/>
    <col min="11526" max="11526" width="12.28515625" style="668" customWidth="1"/>
    <col min="11527" max="11527" width="8.5703125" style="668" customWidth="1"/>
    <col min="11528" max="11528" width="13.7109375" style="668" customWidth="1"/>
    <col min="11529" max="11529" width="11.5703125" style="668" customWidth="1"/>
    <col min="11530" max="11530" width="34.28515625" style="668" customWidth="1"/>
    <col min="11531" max="11531" width="24.28515625" style="668" customWidth="1"/>
    <col min="11532" max="11532" width="21.140625" style="668" customWidth="1"/>
    <col min="11533" max="11533" width="22.140625" style="668" customWidth="1"/>
    <col min="11534" max="11534" width="8" style="668" customWidth="1"/>
    <col min="11535" max="11535" width="17" style="668" customWidth="1"/>
    <col min="11536" max="11536" width="12.7109375" style="668" customWidth="1"/>
    <col min="11537" max="11537" width="24.5703125" style="668" customWidth="1"/>
    <col min="11538" max="11538" width="29" style="668" customWidth="1"/>
    <col min="11539" max="11539" width="17.7109375" style="668" customWidth="1"/>
    <col min="11540" max="11540" width="36.42578125" style="668" customWidth="1"/>
    <col min="11541" max="11541" width="21.85546875" style="668" customWidth="1"/>
    <col min="11542" max="11542" width="11.7109375" style="668" customWidth="1"/>
    <col min="11543" max="11543" width="26.28515625" style="668" customWidth="1"/>
    <col min="11544" max="11544" width="9" style="668" customWidth="1"/>
    <col min="11545" max="11545" width="6.28515625" style="668" customWidth="1"/>
    <col min="11546" max="11547" width="7.28515625" style="668" customWidth="1"/>
    <col min="11548" max="11548" width="8.42578125" style="668" customWidth="1"/>
    <col min="11549" max="11549" width="9.5703125" style="668" customWidth="1"/>
    <col min="11550" max="11550" width="6.28515625" style="668" customWidth="1"/>
    <col min="11551" max="11551" width="5.85546875" style="668" customWidth="1"/>
    <col min="11552" max="11553" width="4.42578125" style="668" customWidth="1"/>
    <col min="11554" max="11554" width="5" style="668" customWidth="1"/>
    <col min="11555" max="11555" width="5.85546875" style="668" customWidth="1"/>
    <col min="11556" max="11556" width="6.140625" style="668" customWidth="1"/>
    <col min="11557" max="11557" width="6.28515625" style="668" customWidth="1"/>
    <col min="11558" max="11558" width="11.140625" style="668" customWidth="1"/>
    <col min="11559" max="11559" width="14.140625" style="668" customWidth="1"/>
    <col min="11560" max="11560" width="19.85546875" style="668" customWidth="1"/>
    <col min="11561" max="11561" width="17" style="668" customWidth="1"/>
    <col min="11562" max="11562" width="20.85546875" style="668" customWidth="1"/>
    <col min="11563" max="11775" width="11.42578125" style="668"/>
    <col min="11776" max="11776" width="13.140625" style="668" customWidth="1"/>
    <col min="11777" max="11777" width="4" style="668" customWidth="1"/>
    <col min="11778" max="11778" width="12.85546875" style="668" customWidth="1"/>
    <col min="11779" max="11779" width="14.7109375" style="668" customWidth="1"/>
    <col min="11780" max="11780" width="10" style="668" customWidth="1"/>
    <col min="11781" max="11781" width="6.28515625" style="668" customWidth="1"/>
    <col min="11782" max="11782" width="12.28515625" style="668" customWidth="1"/>
    <col min="11783" max="11783" width="8.5703125" style="668" customWidth="1"/>
    <col min="11784" max="11784" width="13.7109375" style="668" customWidth="1"/>
    <col min="11785" max="11785" width="11.5703125" style="668" customWidth="1"/>
    <col min="11786" max="11786" width="34.28515625" style="668" customWidth="1"/>
    <col min="11787" max="11787" width="24.28515625" style="668" customWidth="1"/>
    <col min="11788" max="11788" width="21.140625" style="668" customWidth="1"/>
    <col min="11789" max="11789" width="22.140625" style="668" customWidth="1"/>
    <col min="11790" max="11790" width="8" style="668" customWidth="1"/>
    <col min="11791" max="11791" width="17" style="668" customWidth="1"/>
    <col min="11792" max="11792" width="12.7109375" style="668" customWidth="1"/>
    <col min="11793" max="11793" width="24.5703125" style="668" customWidth="1"/>
    <col min="11794" max="11794" width="29" style="668" customWidth="1"/>
    <col min="11795" max="11795" width="17.7109375" style="668" customWidth="1"/>
    <col min="11796" max="11796" width="36.42578125" style="668" customWidth="1"/>
    <col min="11797" max="11797" width="21.85546875" style="668" customWidth="1"/>
    <col min="11798" max="11798" width="11.7109375" style="668" customWidth="1"/>
    <col min="11799" max="11799" width="26.28515625" style="668" customWidth="1"/>
    <col min="11800" max="11800" width="9" style="668" customWidth="1"/>
    <col min="11801" max="11801" width="6.28515625" style="668" customWidth="1"/>
    <col min="11802" max="11803" width="7.28515625" style="668" customWidth="1"/>
    <col min="11804" max="11804" width="8.42578125" style="668" customWidth="1"/>
    <col min="11805" max="11805" width="9.5703125" style="668" customWidth="1"/>
    <col min="11806" max="11806" width="6.28515625" style="668" customWidth="1"/>
    <col min="11807" max="11807" width="5.85546875" style="668" customWidth="1"/>
    <col min="11808" max="11809" width="4.42578125" style="668" customWidth="1"/>
    <col min="11810" max="11810" width="5" style="668" customWidth="1"/>
    <col min="11811" max="11811" width="5.85546875" style="668" customWidth="1"/>
    <col min="11812" max="11812" width="6.140625" style="668" customWidth="1"/>
    <col min="11813" max="11813" width="6.28515625" style="668" customWidth="1"/>
    <col min="11814" max="11814" width="11.140625" style="668" customWidth="1"/>
    <col min="11815" max="11815" width="14.140625" style="668" customWidth="1"/>
    <col min="11816" max="11816" width="19.85546875" style="668" customWidth="1"/>
    <col min="11817" max="11817" width="17" style="668" customWidth="1"/>
    <col min="11818" max="11818" width="20.85546875" style="668" customWidth="1"/>
    <col min="11819" max="12031" width="11.42578125" style="668"/>
    <col min="12032" max="12032" width="13.140625" style="668" customWidth="1"/>
    <col min="12033" max="12033" width="4" style="668" customWidth="1"/>
    <col min="12034" max="12034" width="12.85546875" style="668" customWidth="1"/>
    <col min="12035" max="12035" width="14.7109375" style="668" customWidth="1"/>
    <col min="12036" max="12036" width="10" style="668" customWidth="1"/>
    <col min="12037" max="12037" width="6.28515625" style="668" customWidth="1"/>
    <col min="12038" max="12038" width="12.28515625" style="668" customWidth="1"/>
    <col min="12039" max="12039" width="8.5703125" style="668" customWidth="1"/>
    <col min="12040" max="12040" width="13.7109375" style="668" customWidth="1"/>
    <col min="12041" max="12041" width="11.5703125" style="668" customWidth="1"/>
    <col min="12042" max="12042" width="34.28515625" style="668" customWidth="1"/>
    <col min="12043" max="12043" width="24.28515625" style="668" customWidth="1"/>
    <col min="12044" max="12044" width="21.140625" style="668" customWidth="1"/>
    <col min="12045" max="12045" width="22.140625" style="668" customWidth="1"/>
    <col min="12046" max="12046" width="8" style="668" customWidth="1"/>
    <col min="12047" max="12047" width="17" style="668" customWidth="1"/>
    <col min="12048" max="12048" width="12.7109375" style="668" customWidth="1"/>
    <col min="12049" max="12049" width="24.5703125" style="668" customWidth="1"/>
    <col min="12050" max="12050" width="29" style="668" customWidth="1"/>
    <col min="12051" max="12051" width="17.7109375" style="668" customWidth="1"/>
    <col min="12052" max="12052" width="36.42578125" style="668" customWidth="1"/>
    <col min="12053" max="12053" width="21.85546875" style="668" customWidth="1"/>
    <col min="12054" max="12054" width="11.7109375" style="668" customWidth="1"/>
    <col min="12055" max="12055" width="26.28515625" style="668" customWidth="1"/>
    <col min="12056" max="12056" width="9" style="668" customWidth="1"/>
    <col min="12057" max="12057" width="6.28515625" style="668" customWidth="1"/>
    <col min="12058" max="12059" width="7.28515625" style="668" customWidth="1"/>
    <col min="12060" max="12060" width="8.42578125" style="668" customWidth="1"/>
    <col min="12061" max="12061" width="9.5703125" style="668" customWidth="1"/>
    <col min="12062" max="12062" width="6.28515625" style="668" customWidth="1"/>
    <col min="12063" max="12063" width="5.85546875" style="668" customWidth="1"/>
    <col min="12064" max="12065" width="4.42578125" style="668" customWidth="1"/>
    <col min="12066" max="12066" width="5" style="668" customWidth="1"/>
    <col min="12067" max="12067" width="5.85546875" style="668" customWidth="1"/>
    <col min="12068" max="12068" width="6.140625" style="668" customWidth="1"/>
    <col min="12069" max="12069" width="6.28515625" style="668" customWidth="1"/>
    <col min="12070" max="12070" width="11.140625" style="668" customWidth="1"/>
    <col min="12071" max="12071" width="14.140625" style="668" customWidth="1"/>
    <col min="12072" max="12072" width="19.85546875" style="668" customWidth="1"/>
    <col min="12073" max="12073" width="17" style="668" customWidth="1"/>
    <col min="12074" max="12074" width="20.85546875" style="668" customWidth="1"/>
    <col min="12075" max="12287" width="11.42578125" style="668"/>
    <col min="12288" max="12288" width="13.140625" style="668" customWidth="1"/>
    <col min="12289" max="12289" width="4" style="668" customWidth="1"/>
    <col min="12290" max="12290" width="12.85546875" style="668" customWidth="1"/>
    <col min="12291" max="12291" width="14.7109375" style="668" customWidth="1"/>
    <col min="12292" max="12292" width="10" style="668" customWidth="1"/>
    <col min="12293" max="12293" width="6.28515625" style="668" customWidth="1"/>
    <col min="12294" max="12294" width="12.28515625" style="668" customWidth="1"/>
    <col min="12295" max="12295" width="8.5703125" style="668" customWidth="1"/>
    <col min="12296" max="12296" width="13.7109375" style="668" customWidth="1"/>
    <col min="12297" max="12297" width="11.5703125" style="668" customWidth="1"/>
    <col min="12298" max="12298" width="34.28515625" style="668" customWidth="1"/>
    <col min="12299" max="12299" width="24.28515625" style="668" customWidth="1"/>
    <col min="12300" max="12300" width="21.140625" style="668" customWidth="1"/>
    <col min="12301" max="12301" width="22.140625" style="668" customWidth="1"/>
    <col min="12302" max="12302" width="8" style="668" customWidth="1"/>
    <col min="12303" max="12303" width="17" style="668" customWidth="1"/>
    <col min="12304" max="12304" width="12.7109375" style="668" customWidth="1"/>
    <col min="12305" max="12305" width="24.5703125" style="668" customWidth="1"/>
    <col min="12306" max="12306" width="29" style="668" customWidth="1"/>
    <col min="12307" max="12307" width="17.7109375" style="668" customWidth="1"/>
    <col min="12308" max="12308" width="36.42578125" style="668" customWidth="1"/>
    <col min="12309" max="12309" width="21.85546875" style="668" customWidth="1"/>
    <col min="12310" max="12310" width="11.7109375" style="668" customWidth="1"/>
    <col min="12311" max="12311" width="26.28515625" style="668" customWidth="1"/>
    <col min="12312" max="12312" width="9" style="668" customWidth="1"/>
    <col min="12313" max="12313" width="6.28515625" style="668" customWidth="1"/>
    <col min="12314" max="12315" width="7.28515625" style="668" customWidth="1"/>
    <col min="12316" max="12316" width="8.42578125" style="668" customWidth="1"/>
    <col min="12317" max="12317" width="9.5703125" style="668" customWidth="1"/>
    <col min="12318" max="12318" width="6.28515625" style="668" customWidth="1"/>
    <col min="12319" max="12319" width="5.85546875" style="668" customWidth="1"/>
    <col min="12320" max="12321" width="4.42578125" style="668" customWidth="1"/>
    <col min="12322" max="12322" width="5" style="668" customWidth="1"/>
    <col min="12323" max="12323" width="5.85546875" style="668" customWidth="1"/>
    <col min="12324" max="12324" width="6.140625" style="668" customWidth="1"/>
    <col min="12325" max="12325" width="6.28515625" style="668" customWidth="1"/>
    <col min="12326" max="12326" width="11.140625" style="668" customWidth="1"/>
    <col min="12327" max="12327" width="14.140625" style="668" customWidth="1"/>
    <col min="12328" max="12328" width="19.85546875" style="668" customWidth="1"/>
    <col min="12329" max="12329" width="17" style="668" customWidth="1"/>
    <col min="12330" max="12330" width="20.85546875" style="668" customWidth="1"/>
    <col min="12331" max="12543" width="11.42578125" style="668"/>
    <col min="12544" max="12544" width="13.140625" style="668" customWidth="1"/>
    <col min="12545" max="12545" width="4" style="668" customWidth="1"/>
    <col min="12546" max="12546" width="12.85546875" style="668" customWidth="1"/>
    <col min="12547" max="12547" width="14.7109375" style="668" customWidth="1"/>
    <col min="12548" max="12548" width="10" style="668" customWidth="1"/>
    <col min="12549" max="12549" width="6.28515625" style="668" customWidth="1"/>
    <col min="12550" max="12550" width="12.28515625" style="668" customWidth="1"/>
    <col min="12551" max="12551" width="8.5703125" style="668" customWidth="1"/>
    <col min="12552" max="12552" width="13.7109375" style="668" customWidth="1"/>
    <col min="12553" max="12553" width="11.5703125" style="668" customWidth="1"/>
    <col min="12554" max="12554" width="34.28515625" style="668" customWidth="1"/>
    <col min="12555" max="12555" width="24.28515625" style="668" customWidth="1"/>
    <col min="12556" max="12556" width="21.140625" style="668" customWidth="1"/>
    <col min="12557" max="12557" width="22.140625" style="668" customWidth="1"/>
    <col min="12558" max="12558" width="8" style="668" customWidth="1"/>
    <col min="12559" max="12559" width="17" style="668" customWidth="1"/>
    <col min="12560" max="12560" width="12.7109375" style="668" customWidth="1"/>
    <col min="12561" max="12561" width="24.5703125" style="668" customWidth="1"/>
    <col min="12562" max="12562" width="29" style="668" customWidth="1"/>
    <col min="12563" max="12563" width="17.7109375" style="668" customWidth="1"/>
    <col min="12564" max="12564" width="36.42578125" style="668" customWidth="1"/>
    <col min="12565" max="12565" width="21.85546875" style="668" customWidth="1"/>
    <col min="12566" max="12566" width="11.7109375" style="668" customWidth="1"/>
    <col min="12567" max="12567" width="26.28515625" style="668" customWidth="1"/>
    <col min="12568" max="12568" width="9" style="668" customWidth="1"/>
    <col min="12569" max="12569" width="6.28515625" style="668" customWidth="1"/>
    <col min="12570" max="12571" width="7.28515625" style="668" customWidth="1"/>
    <col min="12572" max="12572" width="8.42578125" style="668" customWidth="1"/>
    <col min="12573" max="12573" width="9.5703125" style="668" customWidth="1"/>
    <col min="12574" max="12574" width="6.28515625" style="668" customWidth="1"/>
    <col min="12575" max="12575" width="5.85546875" style="668" customWidth="1"/>
    <col min="12576" max="12577" width="4.42578125" style="668" customWidth="1"/>
    <col min="12578" max="12578" width="5" style="668" customWidth="1"/>
    <col min="12579" max="12579" width="5.85546875" style="668" customWidth="1"/>
    <col min="12580" max="12580" width="6.140625" style="668" customWidth="1"/>
    <col min="12581" max="12581" width="6.28515625" style="668" customWidth="1"/>
    <col min="12582" max="12582" width="11.140625" style="668" customWidth="1"/>
    <col min="12583" max="12583" width="14.140625" style="668" customWidth="1"/>
    <col min="12584" max="12584" width="19.85546875" style="668" customWidth="1"/>
    <col min="12585" max="12585" width="17" style="668" customWidth="1"/>
    <col min="12586" max="12586" width="20.85546875" style="668" customWidth="1"/>
    <col min="12587" max="12799" width="11.42578125" style="668"/>
    <col min="12800" max="12800" width="13.140625" style="668" customWidth="1"/>
    <col min="12801" max="12801" width="4" style="668" customWidth="1"/>
    <col min="12802" max="12802" width="12.85546875" style="668" customWidth="1"/>
    <col min="12803" max="12803" width="14.7109375" style="668" customWidth="1"/>
    <col min="12804" max="12804" width="10" style="668" customWidth="1"/>
    <col min="12805" max="12805" width="6.28515625" style="668" customWidth="1"/>
    <col min="12806" max="12806" width="12.28515625" style="668" customWidth="1"/>
    <col min="12807" max="12807" width="8.5703125" style="668" customWidth="1"/>
    <col min="12808" max="12808" width="13.7109375" style="668" customWidth="1"/>
    <col min="12809" max="12809" width="11.5703125" style="668" customWidth="1"/>
    <col min="12810" max="12810" width="34.28515625" style="668" customWidth="1"/>
    <col min="12811" max="12811" width="24.28515625" style="668" customWidth="1"/>
    <col min="12812" max="12812" width="21.140625" style="668" customWidth="1"/>
    <col min="12813" max="12813" width="22.140625" style="668" customWidth="1"/>
    <col min="12814" max="12814" width="8" style="668" customWidth="1"/>
    <col min="12815" max="12815" width="17" style="668" customWidth="1"/>
    <col min="12816" max="12816" width="12.7109375" style="668" customWidth="1"/>
    <col min="12817" max="12817" width="24.5703125" style="668" customWidth="1"/>
    <col min="12818" max="12818" width="29" style="668" customWidth="1"/>
    <col min="12819" max="12819" width="17.7109375" style="668" customWidth="1"/>
    <col min="12820" max="12820" width="36.42578125" style="668" customWidth="1"/>
    <col min="12821" max="12821" width="21.85546875" style="668" customWidth="1"/>
    <col min="12822" max="12822" width="11.7109375" style="668" customWidth="1"/>
    <col min="12823" max="12823" width="26.28515625" style="668" customWidth="1"/>
    <col min="12824" max="12824" width="9" style="668" customWidth="1"/>
    <col min="12825" max="12825" width="6.28515625" style="668" customWidth="1"/>
    <col min="12826" max="12827" width="7.28515625" style="668" customWidth="1"/>
    <col min="12828" max="12828" width="8.42578125" style="668" customWidth="1"/>
    <col min="12829" max="12829" width="9.5703125" style="668" customWidth="1"/>
    <col min="12830" max="12830" width="6.28515625" style="668" customWidth="1"/>
    <col min="12831" max="12831" width="5.85546875" style="668" customWidth="1"/>
    <col min="12832" max="12833" width="4.42578125" style="668" customWidth="1"/>
    <col min="12834" max="12834" width="5" style="668" customWidth="1"/>
    <col min="12835" max="12835" width="5.85546875" style="668" customWidth="1"/>
    <col min="12836" max="12836" width="6.140625" style="668" customWidth="1"/>
    <col min="12837" max="12837" width="6.28515625" style="668" customWidth="1"/>
    <col min="12838" max="12838" width="11.140625" style="668" customWidth="1"/>
    <col min="12839" max="12839" width="14.140625" style="668" customWidth="1"/>
    <col min="12840" max="12840" width="19.85546875" style="668" customWidth="1"/>
    <col min="12841" max="12841" width="17" style="668" customWidth="1"/>
    <col min="12842" max="12842" width="20.85546875" style="668" customWidth="1"/>
    <col min="12843" max="13055" width="11.42578125" style="668"/>
    <col min="13056" max="13056" width="13.140625" style="668" customWidth="1"/>
    <col min="13057" max="13057" width="4" style="668" customWidth="1"/>
    <col min="13058" max="13058" width="12.85546875" style="668" customWidth="1"/>
    <col min="13059" max="13059" width="14.7109375" style="668" customWidth="1"/>
    <col min="13060" max="13060" width="10" style="668" customWidth="1"/>
    <col min="13061" max="13061" width="6.28515625" style="668" customWidth="1"/>
    <col min="13062" max="13062" width="12.28515625" style="668" customWidth="1"/>
    <col min="13063" max="13063" width="8.5703125" style="668" customWidth="1"/>
    <col min="13064" max="13064" width="13.7109375" style="668" customWidth="1"/>
    <col min="13065" max="13065" width="11.5703125" style="668" customWidth="1"/>
    <col min="13066" max="13066" width="34.28515625" style="668" customWidth="1"/>
    <col min="13067" max="13067" width="24.28515625" style="668" customWidth="1"/>
    <col min="13068" max="13068" width="21.140625" style="668" customWidth="1"/>
    <col min="13069" max="13069" width="22.140625" style="668" customWidth="1"/>
    <col min="13070" max="13070" width="8" style="668" customWidth="1"/>
    <col min="13071" max="13071" width="17" style="668" customWidth="1"/>
    <col min="13072" max="13072" width="12.7109375" style="668" customWidth="1"/>
    <col min="13073" max="13073" width="24.5703125" style="668" customWidth="1"/>
    <col min="13074" max="13074" width="29" style="668" customWidth="1"/>
    <col min="13075" max="13075" width="17.7109375" style="668" customWidth="1"/>
    <col min="13076" max="13076" width="36.42578125" style="668" customWidth="1"/>
    <col min="13077" max="13077" width="21.85546875" style="668" customWidth="1"/>
    <col min="13078" max="13078" width="11.7109375" style="668" customWidth="1"/>
    <col min="13079" max="13079" width="26.28515625" style="668" customWidth="1"/>
    <col min="13080" max="13080" width="9" style="668" customWidth="1"/>
    <col min="13081" max="13081" width="6.28515625" style="668" customWidth="1"/>
    <col min="13082" max="13083" width="7.28515625" style="668" customWidth="1"/>
    <col min="13084" max="13084" width="8.42578125" style="668" customWidth="1"/>
    <col min="13085" max="13085" width="9.5703125" style="668" customWidth="1"/>
    <col min="13086" max="13086" width="6.28515625" style="668" customWidth="1"/>
    <col min="13087" max="13087" width="5.85546875" style="668" customWidth="1"/>
    <col min="13088" max="13089" width="4.42578125" style="668" customWidth="1"/>
    <col min="13090" max="13090" width="5" style="668" customWidth="1"/>
    <col min="13091" max="13091" width="5.85546875" style="668" customWidth="1"/>
    <col min="13092" max="13092" width="6.140625" style="668" customWidth="1"/>
    <col min="13093" max="13093" width="6.28515625" style="668" customWidth="1"/>
    <col min="13094" max="13094" width="11.140625" style="668" customWidth="1"/>
    <col min="13095" max="13095" width="14.140625" style="668" customWidth="1"/>
    <col min="13096" max="13096" width="19.85546875" style="668" customWidth="1"/>
    <col min="13097" max="13097" width="17" style="668" customWidth="1"/>
    <col min="13098" max="13098" width="20.85546875" style="668" customWidth="1"/>
    <col min="13099" max="13311" width="11.42578125" style="668"/>
    <col min="13312" max="13312" width="13.140625" style="668" customWidth="1"/>
    <col min="13313" max="13313" width="4" style="668" customWidth="1"/>
    <col min="13314" max="13314" width="12.85546875" style="668" customWidth="1"/>
    <col min="13315" max="13315" width="14.7109375" style="668" customWidth="1"/>
    <col min="13316" max="13316" width="10" style="668" customWidth="1"/>
    <col min="13317" max="13317" width="6.28515625" style="668" customWidth="1"/>
    <col min="13318" max="13318" width="12.28515625" style="668" customWidth="1"/>
    <col min="13319" max="13319" width="8.5703125" style="668" customWidth="1"/>
    <col min="13320" max="13320" width="13.7109375" style="668" customWidth="1"/>
    <col min="13321" max="13321" width="11.5703125" style="668" customWidth="1"/>
    <col min="13322" max="13322" width="34.28515625" style="668" customWidth="1"/>
    <col min="13323" max="13323" width="24.28515625" style="668" customWidth="1"/>
    <col min="13324" max="13324" width="21.140625" style="668" customWidth="1"/>
    <col min="13325" max="13325" width="22.140625" style="668" customWidth="1"/>
    <col min="13326" max="13326" width="8" style="668" customWidth="1"/>
    <col min="13327" max="13327" width="17" style="668" customWidth="1"/>
    <col min="13328" max="13328" width="12.7109375" style="668" customWidth="1"/>
    <col min="13329" max="13329" width="24.5703125" style="668" customWidth="1"/>
    <col min="13330" max="13330" width="29" style="668" customWidth="1"/>
    <col min="13331" max="13331" width="17.7109375" style="668" customWidth="1"/>
    <col min="13332" max="13332" width="36.42578125" style="668" customWidth="1"/>
    <col min="13333" max="13333" width="21.85546875" style="668" customWidth="1"/>
    <col min="13334" max="13334" width="11.7109375" style="668" customWidth="1"/>
    <col min="13335" max="13335" width="26.28515625" style="668" customWidth="1"/>
    <col min="13336" max="13336" width="9" style="668" customWidth="1"/>
    <col min="13337" max="13337" width="6.28515625" style="668" customWidth="1"/>
    <col min="13338" max="13339" width="7.28515625" style="668" customWidth="1"/>
    <col min="13340" max="13340" width="8.42578125" style="668" customWidth="1"/>
    <col min="13341" max="13341" width="9.5703125" style="668" customWidth="1"/>
    <col min="13342" max="13342" width="6.28515625" style="668" customWidth="1"/>
    <col min="13343" max="13343" width="5.85546875" style="668" customWidth="1"/>
    <col min="13344" max="13345" width="4.42578125" style="668" customWidth="1"/>
    <col min="13346" max="13346" width="5" style="668" customWidth="1"/>
    <col min="13347" max="13347" width="5.85546875" style="668" customWidth="1"/>
    <col min="13348" max="13348" width="6.140625" style="668" customWidth="1"/>
    <col min="13349" max="13349" width="6.28515625" style="668" customWidth="1"/>
    <col min="13350" max="13350" width="11.140625" style="668" customWidth="1"/>
    <col min="13351" max="13351" width="14.140625" style="668" customWidth="1"/>
    <col min="13352" max="13352" width="19.85546875" style="668" customWidth="1"/>
    <col min="13353" max="13353" width="17" style="668" customWidth="1"/>
    <col min="13354" max="13354" width="20.85546875" style="668" customWidth="1"/>
    <col min="13355" max="13567" width="11.42578125" style="668"/>
    <col min="13568" max="13568" width="13.140625" style="668" customWidth="1"/>
    <col min="13569" max="13569" width="4" style="668" customWidth="1"/>
    <col min="13570" max="13570" width="12.85546875" style="668" customWidth="1"/>
    <col min="13571" max="13571" width="14.7109375" style="668" customWidth="1"/>
    <col min="13572" max="13572" width="10" style="668" customWidth="1"/>
    <col min="13573" max="13573" width="6.28515625" style="668" customWidth="1"/>
    <col min="13574" max="13574" width="12.28515625" style="668" customWidth="1"/>
    <col min="13575" max="13575" width="8.5703125" style="668" customWidth="1"/>
    <col min="13576" max="13576" width="13.7109375" style="668" customWidth="1"/>
    <col min="13577" max="13577" width="11.5703125" style="668" customWidth="1"/>
    <col min="13578" max="13578" width="34.28515625" style="668" customWidth="1"/>
    <col min="13579" max="13579" width="24.28515625" style="668" customWidth="1"/>
    <col min="13580" max="13580" width="21.140625" style="668" customWidth="1"/>
    <col min="13581" max="13581" width="22.140625" style="668" customWidth="1"/>
    <col min="13582" max="13582" width="8" style="668" customWidth="1"/>
    <col min="13583" max="13583" width="17" style="668" customWidth="1"/>
    <col min="13584" max="13584" width="12.7109375" style="668" customWidth="1"/>
    <col min="13585" max="13585" width="24.5703125" style="668" customWidth="1"/>
    <col min="13586" max="13586" width="29" style="668" customWidth="1"/>
    <col min="13587" max="13587" width="17.7109375" style="668" customWidth="1"/>
    <col min="13588" max="13588" width="36.42578125" style="668" customWidth="1"/>
    <col min="13589" max="13589" width="21.85546875" style="668" customWidth="1"/>
    <col min="13590" max="13590" width="11.7109375" style="668" customWidth="1"/>
    <col min="13591" max="13591" width="26.28515625" style="668" customWidth="1"/>
    <col min="13592" max="13592" width="9" style="668" customWidth="1"/>
    <col min="13593" max="13593" width="6.28515625" style="668" customWidth="1"/>
    <col min="13594" max="13595" width="7.28515625" style="668" customWidth="1"/>
    <col min="13596" max="13596" width="8.42578125" style="668" customWidth="1"/>
    <col min="13597" max="13597" width="9.5703125" style="668" customWidth="1"/>
    <col min="13598" max="13598" width="6.28515625" style="668" customWidth="1"/>
    <col min="13599" max="13599" width="5.85546875" style="668" customWidth="1"/>
    <col min="13600" max="13601" width="4.42578125" style="668" customWidth="1"/>
    <col min="13602" max="13602" width="5" style="668" customWidth="1"/>
    <col min="13603" max="13603" width="5.85546875" style="668" customWidth="1"/>
    <col min="13604" max="13604" width="6.140625" style="668" customWidth="1"/>
    <col min="13605" max="13605" width="6.28515625" style="668" customWidth="1"/>
    <col min="13606" max="13606" width="11.140625" style="668" customWidth="1"/>
    <col min="13607" max="13607" width="14.140625" style="668" customWidth="1"/>
    <col min="13608" max="13608" width="19.85546875" style="668" customWidth="1"/>
    <col min="13609" max="13609" width="17" style="668" customWidth="1"/>
    <col min="13610" max="13610" width="20.85546875" style="668" customWidth="1"/>
    <col min="13611" max="13823" width="11.42578125" style="668"/>
    <col min="13824" max="13824" width="13.140625" style="668" customWidth="1"/>
    <col min="13825" max="13825" width="4" style="668" customWidth="1"/>
    <col min="13826" max="13826" width="12.85546875" style="668" customWidth="1"/>
    <col min="13827" max="13827" width="14.7109375" style="668" customWidth="1"/>
    <col min="13828" max="13828" width="10" style="668" customWidth="1"/>
    <col min="13829" max="13829" width="6.28515625" style="668" customWidth="1"/>
    <col min="13830" max="13830" width="12.28515625" style="668" customWidth="1"/>
    <col min="13831" max="13831" width="8.5703125" style="668" customWidth="1"/>
    <col min="13832" max="13832" width="13.7109375" style="668" customWidth="1"/>
    <col min="13833" max="13833" width="11.5703125" style="668" customWidth="1"/>
    <col min="13834" max="13834" width="34.28515625" style="668" customWidth="1"/>
    <col min="13835" max="13835" width="24.28515625" style="668" customWidth="1"/>
    <col min="13836" max="13836" width="21.140625" style="668" customWidth="1"/>
    <col min="13837" max="13837" width="22.140625" style="668" customWidth="1"/>
    <col min="13838" max="13838" width="8" style="668" customWidth="1"/>
    <col min="13839" max="13839" width="17" style="668" customWidth="1"/>
    <col min="13840" max="13840" width="12.7109375" style="668" customWidth="1"/>
    <col min="13841" max="13841" width="24.5703125" style="668" customWidth="1"/>
    <col min="13842" max="13842" width="29" style="668" customWidth="1"/>
    <col min="13843" max="13843" width="17.7109375" style="668" customWidth="1"/>
    <col min="13844" max="13844" width="36.42578125" style="668" customWidth="1"/>
    <col min="13845" max="13845" width="21.85546875" style="668" customWidth="1"/>
    <col min="13846" max="13846" width="11.7109375" style="668" customWidth="1"/>
    <col min="13847" max="13847" width="26.28515625" style="668" customWidth="1"/>
    <col min="13848" max="13848" width="9" style="668" customWidth="1"/>
    <col min="13849" max="13849" width="6.28515625" style="668" customWidth="1"/>
    <col min="13850" max="13851" width="7.28515625" style="668" customWidth="1"/>
    <col min="13852" max="13852" width="8.42578125" style="668" customWidth="1"/>
    <col min="13853" max="13853" width="9.5703125" style="668" customWidth="1"/>
    <col min="13854" max="13854" width="6.28515625" style="668" customWidth="1"/>
    <col min="13855" max="13855" width="5.85546875" style="668" customWidth="1"/>
    <col min="13856" max="13857" width="4.42578125" style="668" customWidth="1"/>
    <col min="13858" max="13858" width="5" style="668" customWidth="1"/>
    <col min="13859" max="13859" width="5.85546875" style="668" customWidth="1"/>
    <col min="13860" max="13860" width="6.140625" style="668" customWidth="1"/>
    <col min="13861" max="13861" width="6.28515625" style="668" customWidth="1"/>
    <col min="13862" max="13862" width="11.140625" style="668" customWidth="1"/>
    <col min="13863" max="13863" width="14.140625" style="668" customWidth="1"/>
    <col min="13864" max="13864" width="19.85546875" style="668" customWidth="1"/>
    <col min="13865" max="13865" width="17" style="668" customWidth="1"/>
    <col min="13866" max="13866" width="20.85546875" style="668" customWidth="1"/>
    <col min="13867" max="14079" width="11.42578125" style="668"/>
    <col min="14080" max="14080" width="13.140625" style="668" customWidth="1"/>
    <col min="14081" max="14081" width="4" style="668" customWidth="1"/>
    <col min="14082" max="14082" width="12.85546875" style="668" customWidth="1"/>
    <col min="14083" max="14083" width="14.7109375" style="668" customWidth="1"/>
    <col min="14084" max="14084" width="10" style="668" customWidth="1"/>
    <col min="14085" max="14085" width="6.28515625" style="668" customWidth="1"/>
    <col min="14086" max="14086" width="12.28515625" style="668" customWidth="1"/>
    <col min="14087" max="14087" width="8.5703125" style="668" customWidth="1"/>
    <col min="14088" max="14088" width="13.7109375" style="668" customWidth="1"/>
    <col min="14089" max="14089" width="11.5703125" style="668" customWidth="1"/>
    <col min="14090" max="14090" width="34.28515625" style="668" customWidth="1"/>
    <col min="14091" max="14091" width="24.28515625" style="668" customWidth="1"/>
    <col min="14092" max="14092" width="21.140625" style="668" customWidth="1"/>
    <col min="14093" max="14093" width="22.140625" style="668" customWidth="1"/>
    <col min="14094" max="14094" width="8" style="668" customWidth="1"/>
    <col min="14095" max="14095" width="17" style="668" customWidth="1"/>
    <col min="14096" max="14096" width="12.7109375" style="668" customWidth="1"/>
    <col min="14097" max="14097" width="24.5703125" style="668" customWidth="1"/>
    <col min="14098" max="14098" width="29" style="668" customWidth="1"/>
    <col min="14099" max="14099" width="17.7109375" style="668" customWidth="1"/>
    <col min="14100" max="14100" width="36.42578125" style="668" customWidth="1"/>
    <col min="14101" max="14101" width="21.85546875" style="668" customWidth="1"/>
    <col min="14102" max="14102" width="11.7109375" style="668" customWidth="1"/>
    <col min="14103" max="14103" width="26.28515625" style="668" customWidth="1"/>
    <col min="14104" max="14104" width="9" style="668" customWidth="1"/>
    <col min="14105" max="14105" width="6.28515625" style="668" customWidth="1"/>
    <col min="14106" max="14107" width="7.28515625" style="668" customWidth="1"/>
    <col min="14108" max="14108" width="8.42578125" style="668" customWidth="1"/>
    <col min="14109" max="14109" width="9.5703125" style="668" customWidth="1"/>
    <col min="14110" max="14110" width="6.28515625" style="668" customWidth="1"/>
    <col min="14111" max="14111" width="5.85546875" style="668" customWidth="1"/>
    <col min="14112" max="14113" width="4.42578125" style="668" customWidth="1"/>
    <col min="14114" max="14114" width="5" style="668" customWidth="1"/>
    <col min="14115" max="14115" width="5.85546875" style="668" customWidth="1"/>
    <col min="14116" max="14116" width="6.140625" style="668" customWidth="1"/>
    <col min="14117" max="14117" width="6.28515625" style="668" customWidth="1"/>
    <col min="14118" max="14118" width="11.140625" style="668" customWidth="1"/>
    <col min="14119" max="14119" width="14.140625" style="668" customWidth="1"/>
    <col min="14120" max="14120" width="19.85546875" style="668" customWidth="1"/>
    <col min="14121" max="14121" width="17" style="668" customWidth="1"/>
    <col min="14122" max="14122" width="20.85546875" style="668" customWidth="1"/>
    <col min="14123" max="14335" width="11.42578125" style="668"/>
    <col min="14336" max="14336" width="13.140625" style="668" customWidth="1"/>
    <col min="14337" max="14337" width="4" style="668" customWidth="1"/>
    <col min="14338" max="14338" width="12.85546875" style="668" customWidth="1"/>
    <col min="14339" max="14339" width="14.7109375" style="668" customWidth="1"/>
    <col min="14340" max="14340" width="10" style="668" customWidth="1"/>
    <col min="14341" max="14341" width="6.28515625" style="668" customWidth="1"/>
    <col min="14342" max="14342" width="12.28515625" style="668" customWidth="1"/>
    <col min="14343" max="14343" width="8.5703125" style="668" customWidth="1"/>
    <col min="14344" max="14344" width="13.7109375" style="668" customWidth="1"/>
    <col min="14345" max="14345" width="11.5703125" style="668" customWidth="1"/>
    <col min="14346" max="14346" width="34.28515625" style="668" customWidth="1"/>
    <col min="14347" max="14347" width="24.28515625" style="668" customWidth="1"/>
    <col min="14348" max="14348" width="21.140625" style="668" customWidth="1"/>
    <col min="14349" max="14349" width="22.140625" style="668" customWidth="1"/>
    <col min="14350" max="14350" width="8" style="668" customWidth="1"/>
    <col min="14351" max="14351" width="17" style="668" customWidth="1"/>
    <col min="14352" max="14352" width="12.7109375" style="668" customWidth="1"/>
    <col min="14353" max="14353" width="24.5703125" style="668" customWidth="1"/>
    <col min="14354" max="14354" width="29" style="668" customWidth="1"/>
    <col min="14355" max="14355" width="17.7109375" style="668" customWidth="1"/>
    <col min="14356" max="14356" width="36.42578125" style="668" customWidth="1"/>
    <col min="14357" max="14357" width="21.85546875" style="668" customWidth="1"/>
    <col min="14358" max="14358" width="11.7109375" style="668" customWidth="1"/>
    <col min="14359" max="14359" width="26.28515625" style="668" customWidth="1"/>
    <col min="14360" max="14360" width="9" style="668" customWidth="1"/>
    <col min="14361" max="14361" width="6.28515625" style="668" customWidth="1"/>
    <col min="14362" max="14363" width="7.28515625" style="668" customWidth="1"/>
    <col min="14364" max="14364" width="8.42578125" style="668" customWidth="1"/>
    <col min="14365" max="14365" width="9.5703125" style="668" customWidth="1"/>
    <col min="14366" max="14366" width="6.28515625" style="668" customWidth="1"/>
    <col min="14367" max="14367" width="5.85546875" style="668" customWidth="1"/>
    <col min="14368" max="14369" width="4.42578125" style="668" customWidth="1"/>
    <col min="14370" max="14370" width="5" style="668" customWidth="1"/>
    <col min="14371" max="14371" width="5.85546875" style="668" customWidth="1"/>
    <col min="14372" max="14372" width="6.140625" style="668" customWidth="1"/>
    <col min="14373" max="14373" width="6.28515625" style="668" customWidth="1"/>
    <col min="14374" max="14374" width="11.140625" style="668" customWidth="1"/>
    <col min="14375" max="14375" width="14.140625" style="668" customWidth="1"/>
    <col min="14376" max="14376" width="19.85546875" style="668" customWidth="1"/>
    <col min="14377" max="14377" width="17" style="668" customWidth="1"/>
    <col min="14378" max="14378" width="20.85546875" style="668" customWidth="1"/>
    <col min="14379" max="14591" width="11.42578125" style="668"/>
    <col min="14592" max="14592" width="13.140625" style="668" customWidth="1"/>
    <col min="14593" max="14593" width="4" style="668" customWidth="1"/>
    <col min="14594" max="14594" width="12.85546875" style="668" customWidth="1"/>
    <col min="14595" max="14595" width="14.7109375" style="668" customWidth="1"/>
    <col min="14596" max="14596" width="10" style="668" customWidth="1"/>
    <col min="14597" max="14597" width="6.28515625" style="668" customWidth="1"/>
    <col min="14598" max="14598" width="12.28515625" style="668" customWidth="1"/>
    <col min="14599" max="14599" width="8.5703125" style="668" customWidth="1"/>
    <col min="14600" max="14600" width="13.7109375" style="668" customWidth="1"/>
    <col min="14601" max="14601" width="11.5703125" style="668" customWidth="1"/>
    <col min="14602" max="14602" width="34.28515625" style="668" customWidth="1"/>
    <col min="14603" max="14603" width="24.28515625" style="668" customWidth="1"/>
    <col min="14604" max="14604" width="21.140625" style="668" customWidth="1"/>
    <col min="14605" max="14605" width="22.140625" style="668" customWidth="1"/>
    <col min="14606" max="14606" width="8" style="668" customWidth="1"/>
    <col min="14607" max="14607" width="17" style="668" customWidth="1"/>
    <col min="14608" max="14608" width="12.7109375" style="668" customWidth="1"/>
    <col min="14609" max="14609" width="24.5703125" style="668" customWidth="1"/>
    <col min="14610" max="14610" width="29" style="668" customWidth="1"/>
    <col min="14611" max="14611" width="17.7109375" style="668" customWidth="1"/>
    <col min="14612" max="14612" width="36.42578125" style="668" customWidth="1"/>
    <col min="14613" max="14613" width="21.85546875" style="668" customWidth="1"/>
    <col min="14614" max="14614" width="11.7109375" style="668" customWidth="1"/>
    <col min="14615" max="14615" width="26.28515625" style="668" customWidth="1"/>
    <col min="14616" max="14616" width="9" style="668" customWidth="1"/>
    <col min="14617" max="14617" width="6.28515625" style="668" customWidth="1"/>
    <col min="14618" max="14619" width="7.28515625" style="668" customWidth="1"/>
    <col min="14620" max="14620" width="8.42578125" style="668" customWidth="1"/>
    <col min="14621" max="14621" width="9.5703125" style="668" customWidth="1"/>
    <col min="14622" max="14622" width="6.28515625" style="668" customWidth="1"/>
    <col min="14623" max="14623" width="5.85546875" style="668" customWidth="1"/>
    <col min="14624" max="14625" width="4.42578125" style="668" customWidth="1"/>
    <col min="14626" max="14626" width="5" style="668" customWidth="1"/>
    <col min="14627" max="14627" width="5.85546875" style="668" customWidth="1"/>
    <col min="14628" max="14628" width="6.140625" style="668" customWidth="1"/>
    <col min="14629" max="14629" width="6.28515625" style="668" customWidth="1"/>
    <col min="14630" max="14630" width="11.140625" style="668" customWidth="1"/>
    <col min="14631" max="14631" width="14.140625" style="668" customWidth="1"/>
    <col min="14632" max="14632" width="19.85546875" style="668" customWidth="1"/>
    <col min="14633" max="14633" width="17" style="668" customWidth="1"/>
    <col min="14634" max="14634" width="20.85546875" style="668" customWidth="1"/>
    <col min="14635" max="14847" width="11.42578125" style="668"/>
    <col min="14848" max="14848" width="13.140625" style="668" customWidth="1"/>
    <col min="14849" max="14849" width="4" style="668" customWidth="1"/>
    <col min="14850" max="14850" width="12.85546875" style="668" customWidth="1"/>
    <col min="14851" max="14851" width="14.7109375" style="668" customWidth="1"/>
    <col min="14852" max="14852" width="10" style="668" customWidth="1"/>
    <col min="14853" max="14853" width="6.28515625" style="668" customWidth="1"/>
    <col min="14854" max="14854" width="12.28515625" style="668" customWidth="1"/>
    <col min="14855" max="14855" width="8.5703125" style="668" customWidth="1"/>
    <col min="14856" max="14856" width="13.7109375" style="668" customWidth="1"/>
    <col min="14857" max="14857" width="11.5703125" style="668" customWidth="1"/>
    <col min="14858" max="14858" width="34.28515625" style="668" customWidth="1"/>
    <col min="14859" max="14859" width="24.28515625" style="668" customWidth="1"/>
    <col min="14860" max="14860" width="21.140625" style="668" customWidth="1"/>
    <col min="14861" max="14861" width="22.140625" style="668" customWidth="1"/>
    <col min="14862" max="14862" width="8" style="668" customWidth="1"/>
    <col min="14863" max="14863" width="17" style="668" customWidth="1"/>
    <col min="14864" max="14864" width="12.7109375" style="668" customWidth="1"/>
    <col min="14865" max="14865" width="24.5703125" style="668" customWidth="1"/>
    <col min="14866" max="14866" width="29" style="668" customWidth="1"/>
    <col min="14867" max="14867" width="17.7109375" style="668" customWidth="1"/>
    <col min="14868" max="14868" width="36.42578125" style="668" customWidth="1"/>
    <col min="14869" max="14869" width="21.85546875" style="668" customWidth="1"/>
    <col min="14870" max="14870" width="11.7109375" style="668" customWidth="1"/>
    <col min="14871" max="14871" width="26.28515625" style="668" customWidth="1"/>
    <col min="14872" max="14872" width="9" style="668" customWidth="1"/>
    <col min="14873" max="14873" width="6.28515625" style="668" customWidth="1"/>
    <col min="14874" max="14875" width="7.28515625" style="668" customWidth="1"/>
    <col min="14876" max="14876" width="8.42578125" style="668" customWidth="1"/>
    <col min="14877" max="14877" width="9.5703125" style="668" customWidth="1"/>
    <col min="14878" max="14878" width="6.28515625" style="668" customWidth="1"/>
    <col min="14879" max="14879" width="5.85546875" style="668" customWidth="1"/>
    <col min="14880" max="14881" width="4.42578125" style="668" customWidth="1"/>
    <col min="14882" max="14882" width="5" style="668" customWidth="1"/>
    <col min="14883" max="14883" width="5.85546875" style="668" customWidth="1"/>
    <col min="14884" max="14884" width="6.140625" style="668" customWidth="1"/>
    <col min="14885" max="14885" width="6.28515625" style="668" customWidth="1"/>
    <col min="14886" max="14886" width="11.140625" style="668" customWidth="1"/>
    <col min="14887" max="14887" width="14.140625" style="668" customWidth="1"/>
    <col min="14888" max="14888" width="19.85546875" style="668" customWidth="1"/>
    <col min="14889" max="14889" width="17" style="668" customWidth="1"/>
    <col min="14890" max="14890" width="20.85546875" style="668" customWidth="1"/>
    <col min="14891" max="15103" width="11.42578125" style="668"/>
    <col min="15104" max="15104" width="13.140625" style="668" customWidth="1"/>
    <col min="15105" max="15105" width="4" style="668" customWidth="1"/>
    <col min="15106" max="15106" width="12.85546875" style="668" customWidth="1"/>
    <col min="15107" max="15107" width="14.7109375" style="668" customWidth="1"/>
    <col min="15108" max="15108" width="10" style="668" customWidth="1"/>
    <col min="15109" max="15109" width="6.28515625" style="668" customWidth="1"/>
    <col min="15110" max="15110" width="12.28515625" style="668" customWidth="1"/>
    <col min="15111" max="15111" width="8.5703125" style="668" customWidth="1"/>
    <col min="15112" max="15112" width="13.7109375" style="668" customWidth="1"/>
    <col min="15113" max="15113" width="11.5703125" style="668" customWidth="1"/>
    <col min="15114" max="15114" width="34.28515625" style="668" customWidth="1"/>
    <col min="15115" max="15115" width="24.28515625" style="668" customWidth="1"/>
    <col min="15116" max="15116" width="21.140625" style="668" customWidth="1"/>
    <col min="15117" max="15117" width="22.140625" style="668" customWidth="1"/>
    <col min="15118" max="15118" width="8" style="668" customWidth="1"/>
    <col min="15119" max="15119" width="17" style="668" customWidth="1"/>
    <col min="15120" max="15120" width="12.7109375" style="668" customWidth="1"/>
    <col min="15121" max="15121" width="24.5703125" style="668" customWidth="1"/>
    <col min="15122" max="15122" width="29" style="668" customWidth="1"/>
    <col min="15123" max="15123" width="17.7109375" style="668" customWidth="1"/>
    <col min="15124" max="15124" width="36.42578125" style="668" customWidth="1"/>
    <col min="15125" max="15125" width="21.85546875" style="668" customWidth="1"/>
    <col min="15126" max="15126" width="11.7109375" style="668" customWidth="1"/>
    <col min="15127" max="15127" width="26.28515625" style="668" customWidth="1"/>
    <col min="15128" max="15128" width="9" style="668" customWidth="1"/>
    <col min="15129" max="15129" width="6.28515625" style="668" customWidth="1"/>
    <col min="15130" max="15131" width="7.28515625" style="668" customWidth="1"/>
    <col min="15132" max="15132" width="8.42578125" style="668" customWidth="1"/>
    <col min="15133" max="15133" width="9.5703125" style="668" customWidth="1"/>
    <col min="15134" max="15134" width="6.28515625" style="668" customWidth="1"/>
    <col min="15135" max="15135" width="5.85546875" style="668" customWidth="1"/>
    <col min="15136" max="15137" width="4.42578125" style="668" customWidth="1"/>
    <col min="15138" max="15138" width="5" style="668" customWidth="1"/>
    <col min="15139" max="15139" width="5.85546875" style="668" customWidth="1"/>
    <col min="15140" max="15140" width="6.140625" style="668" customWidth="1"/>
    <col min="15141" max="15141" width="6.28515625" style="668" customWidth="1"/>
    <col min="15142" max="15142" width="11.140625" style="668" customWidth="1"/>
    <col min="15143" max="15143" width="14.140625" style="668" customWidth="1"/>
    <col min="15144" max="15144" width="19.85546875" style="668" customWidth="1"/>
    <col min="15145" max="15145" width="17" style="668" customWidth="1"/>
    <col min="15146" max="15146" width="20.85546875" style="668" customWidth="1"/>
    <col min="15147" max="15359" width="11.42578125" style="668"/>
    <col min="15360" max="15360" width="13.140625" style="668" customWidth="1"/>
    <col min="15361" max="15361" width="4" style="668" customWidth="1"/>
    <col min="15362" max="15362" width="12.85546875" style="668" customWidth="1"/>
    <col min="15363" max="15363" width="14.7109375" style="668" customWidth="1"/>
    <col min="15364" max="15364" width="10" style="668" customWidth="1"/>
    <col min="15365" max="15365" width="6.28515625" style="668" customWidth="1"/>
    <col min="15366" max="15366" width="12.28515625" style="668" customWidth="1"/>
    <col min="15367" max="15367" width="8.5703125" style="668" customWidth="1"/>
    <col min="15368" max="15368" width="13.7109375" style="668" customWidth="1"/>
    <col min="15369" max="15369" width="11.5703125" style="668" customWidth="1"/>
    <col min="15370" max="15370" width="34.28515625" style="668" customWidth="1"/>
    <col min="15371" max="15371" width="24.28515625" style="668" customWidth="1"/>
    <col min="15372" max="15372" width="21.140625" style="668" customWidth="1"/>
    <col min="15373" max="15373" width="22.140625" style="668" customWidth="1"/>
    <col min="15374" max="15374" width="8" style="668" customWidth="1"/>
    <col min="15375" max="15375" width="17" style="668" customWidth="1"/>
    <col min="15376" max="15376" width="12.7109375" style="668" customWidth="1"/>
    <col min="15377" max="15377" width="24.5703125" style="668" customWidth="1"/>
    <col min="15378" max="15378" width="29" style="668" customWidth="1"/>
    <col min="15379" max="15379" width="17.7109375" style="668" customWidth="1"/>
    <col min="15380" max="15380" width="36.42578125" style="668" customWidth="1"/>
    <col min="15381" max="15381" width="21.85546875" style="668" customWidth="1"/>
    <col min="15382" max="15382" width="11.7109375" style="668" customWidth="1"/>
    <col min="15383" max="15383" width="26.28515625" style="668" customWidth="1"/>
    <col min="15384" max="15384" width="9" style="668" customWidth="1"/>
    <col min="15385" max="15385" width="6.28515625" style="668" customWidth="1"/>
    <col min="15386" max="15387" width="7.28515625" style="668" customWidth="1"/>
    <col min="15388" max="15388" width="8.42578125" style="668" customWidth="1"/>
    <col min="15389" max="15389" width="9.5703125" style="668" customWidth="1"/>
    <col min="15390" max="15390" width="6.28515625" style="668" customWidth="1"/>
    <col min="15391" max="15391" width="5.85546875" style="668" customWidth="1"/>
    <col min="15392" max="15393" width="4.42578125" style="668" customWidth="1"/>
    <col min="15394" max="15394" width="5" style="668" customWidth="1"/>
    <col min="15395" max="15395" width="5.85546875" style="668" customWidth="1"/>
    <col min="15396" max="15396" width="6.140625" style="668" customWidth="1"/>
    <col min="15397" max="15397" width="6.28515625" style="668" customWidth="1"/>
    <col min="15398" max="15398" width="11.140625" style="668" customWidth="1"/>
    <col min="15399" max="15399" width="14.140625" style="668" customWidth="1"/>
    <col min="15400" max="15400" width="19.85546875" style="668" customWidth="1"/>
    <col min="15401" max="15401" width="17" style="668" customWidth="1"/>
    <col min="15402" max="15402" width="20.85546875" style="668" customWidth="1"/>
    <col min="15403" max="15615" width="11.42578125" style="668"/>
    <col min="15616" max="15616" width="13.140625" style="668" customWidth="1"/>
    <col min="15617" max="15617" width="4" style="668" customWidth="1"/>
    <col min="15618" max="15618" width="12.85546875" style="668" customWidth="1"/>
    <col min="15619" max="15619" width="14.7109375" style="668" customWidth="1"/>
    <col min="15620" max="15620" width="10" style="668" customWidth="1"/>
    <col min="15621" max="15621" width="6.28515625" style="668" customWidth="1"/>
    <col min="15622" max="15622" width="12.28515625" style="668" customWidth="1"/>
    <col min="15623" max="15623" width="8.5703125" style="668" customWidth="1"/>
    <col min="15624" max="15624" width="13.7109375" style="668" customWidth="1"/>
    <col min="15625" max="15625" width="11.5703125" style="668" customWidth="1"/>
    <col min="15626" max="15626" width="34.28515625" style="668" customWidth="1"/>
    <col min="15627" max="15627" width="24.28515625" style="668" customWidth="1"/>
    <col min="15628" max="15628" width="21.140625" style="668" customWidth="1"/>
    <col min="15629" max="15629" width="22.140625" style="668" customWidth="1"/>
    <col min="15630" max="15630" width="8" style="668" customWidth="1"/>
    <col min="15631" max="15631" width="17" style="668" customWidth="1"/>
    <col min="15632" max="15632" width="12.7109375" style="668" customWidth="1"/>
    <col min="15633" max="15633" width="24.5703125" style="668" customWidth="1"/>
    <col min="15634" max="15634" width="29" style="668" customWidth="1"/>
    <col min="15635" max="15635" width="17.7109375" style="668" customWidth="1"/>
    <col min="15636" max="15636" width="36.42578125" style="668" customWidth="1"/>
    <col min="15637" max="15637" width="21.85546875" style="668" customWidth="1"/>
    <col min="15638" max="15638" width="11.7109375" style="668" customWidth="1"/>
    <col min="15639" max="15639" width="26.28515625" style="668" customWidth="1"/>
    <col min="15640" max="15640" width="9" style="668" customWidth="1"/>
    <col min="15641" max="15641" width="6.28515625" style="668" customWidth="1"/>
    <col min="15642" max="15643" width="7.28515625" style="668" customWidth="1"/>
    <col min="15644" max="15644" width="8.42578125" style="668" customWidth="1"/>
    <col min="15645" max="15645" width="9.5703125" style="668" customWidth="1"/>
    <col min="15646" max="15646" width="6.28515625" style="668" customWidth="1"/>
    <col min="15647" max="15647" width="5.85546875" style="668" customWidth="1"/>
    <col min="15648" max="15649" width="4.42578125" style="668" customWidth="1"/>
    <col min="15650" max="15650" width="5" style="668" customWidth="1"/>
    <col min="15651" max="15651" width="5.85546875" style="668" customWidth="1"/>
    <col min="15652" max="15652" width="6.140625" style="668" customWidth="1"/>
    <col min="15653" max="15653" width="6.28515625" style="668" customWidth="1"/>
    <col min="15654" max="15654" width="11.140625" style="668" customWidth="1"/>
    <col min="15655" max="15655" width="14.140625" style="668" customWidth="1"/>
    <col min="15656" max="15656" width="19.85546875" style="668" customWidth="1"/>
    <col min="15657" max="15657" width="17" style="668" customWidth="1"/>
    <col min="15658" max="15658" width="20.85546875" style="668" customWidth="1"/>
    <col min="15659" max="15871" width="11.42578125" style="668"/>
    <col min="15872" max="15872" width="13.140625" style="668" customWidth="1"/>
    <col min="15873" max="15873" width="4" style="668" customWidth="1"/>
    <col min="15874" max="15874" width="12.85546875" style="668" customWidth="1"/>
    <col min="15875" max="15875" width="14.7109375" style="668" customWidth="1"/>
    <col min="15876" max="15876" width="10" style="668" customWidth="1"/>
    <col min="15877" max="15877" width="6.28515625" style="668" customWidth="1"/>
    <col min="15878" max="15878" width="12.28515625" style="668" customWidth="1"/>
    <col min="15879" max="15879" width="8.5703125" style="668" customWidth="1"/>
    <col min="15880" max="15880" width="13.7109375" style="668" customWidth="1"/>
    <col min="15881" max="15881" width="11.5703125" style="668" customWidth="1"/>
    <col min="15882" max="15882" width="34.28515625" style="668" customWidth="1"/>
    <col min="15883" max="15883" width="24.28515625" style="668" customWidth="1"/>
    <col min="15884" max="15884" width="21.140625" style="668" customWidth="1"/>
    <col min="15885" max="15885" width="22.140625" style="668" customWidth="1"/>
    <col min="15886" max="15886" width="8" style="668" customWidth="1"/>
    <col min="15887" max="15887" width="17" style="668" customWidth="1"/>
    <col min="15888" max="15888" width="12.7109375" style="668" customWidth="1"/>
    <col min="15889" max="15889" width="24.5703125" style="668" customWidth="1"/>
    <col min="15890" max="15890" width="29" style="668" customWidth="1"/>
    <col min="15891" max="15891" width="17.7109375" style="668" customWidth="1"/>
    <col min="15892" max="15892" width="36.42578125" style="668" customWidth="1"/>
    <col min="15893" max="15893" width="21.85546875" style="668" customWidth="1"/>
    <col min="15894" max="15894" width="11.7109375" style="668" customWidth="1"/>
    <col min="15895" max="15895" width="26.28515625" style="668" customWidth="1"/>
    <col min="15896" max="15896" width="9" style="668" customWidth="1"/>
    <col min="15897" max="15897" width="6.28515625" style="668" customWidth="1"/>
    <col min="15898" max="15899" width="7.28515625" style="668" customWidth="1"/>
    <col min="15900" max="15900" width="8.42578125" style="668" customWidth="1"/>
    <col min="15901" max="15901" width="9.5703125" style="668" customWidth="1"/>
    <col min="15902" max="15902" width="6.28515625" style="668" customWidth="1"/>
    <col min="15903" max="15903" width="5.85546875" style="668" customWidth="1"/>
    <col min="15904" max="15905" width="4.42578125" style="668" customWidth="1"/>
    <col min="15906" max="15906" width="5" style="668" customWidth="1"/>
    <col min="15907" max="15907" width="5.85546875" style="668" customWidth="1"/>
    <col min="15908" max="15908" width="6.140625" style="668" customWidth="1"/>
    <col min="15909" max="15909" width="6.28515625" style="668" customWidth="1"/>
    <col min="15910" max="15910" width="11.140625" style="668" customWidth="1"/>
    <col min="15911" max="15911" width="14.140625" style="668" customWidth="1"/>
    <col min="15912" max="15912" width="19.85546875" style="668" customWidth="1"/>
    <col min="15913" max="15913" width="17" style="668" customWidth="1"/>
    <col min="15914" max="15914" width="20.85546875" style="668" customWidth="1"/>
    <col min="15915" max="16127" width="11.42578125" style="668"/>
    <col min="16128" max="16128" width="13.140625" style="668" customWidth="1"/>
    <col min="16129" max="16129" width="4" style="668" customWidth="1"/>
    <col min="16130" max="16130" width="12.85546875" style="668" customWidth="1"/>
    <col min="16131" max="16131" width="14.7109375" style="668" customWidth="1"/>
    <col min="16132" max="16132" width="10" style="668" customWidth="1"/>
    <col min="16133" max="16133" width="6.28515625" style="668" customWidth="1"/>
    <col min="16134" max="16134" width="12.28515625" style="668" customWidth="1"/>
    <col min="16135" max="16135" width="8.5703125" style="668" customWidth="1"/>
    <col min="16136" max="16136" width="13.7109375" style="668" customWidth="1"/>
    <col min="16137" max="16137" width="11.5703125" style="668" customWidth="1"/>
    <col min="16138" max="16138" width="34.28515625" style="668" customWidth="1"/>
    <col min="16139" max="16139" width="24.28515625" style="668" customWidth="1"/>
    <col min="16140" max="16140" width="21.140625" style="668" customWidth="1"/>
    <col min="16141" max="16141" width="22.140625" style="668" customWidth="1"/>
    <col min="16142" max="16142" width="8" style="668" customWidth="1"/>
    <col min="16143" max="16143" width="17" style="668" customWidth="1"/>
    <col min="16144" max="16144" width="12.7109375" style="668" customWidth="1"/>
    <col min="16145" max="16145" width="24.5703125" style="668" customWidth="1"/>
    <col min="16146" max="16146" width="29" style="668" customWidth="1"/>
    <col min="16147" max="16147" width="17.7109375" style="668" customWidth="1"/>
    <col min="16148" max="16148" width="36.42578125" style="668" customWidth="1"/>
    <col min="16149" max="16149" width="21.85546875" style="668" customWidth="1"/>
    <col min="16150" max="16150" width="11.7109375" style="668" customWidth="1"/>
    <col min="16151" max="16151" width="26.28515625" style="668" customWidth="1"/>
    <col min="16152" max="16152" width="9" style="668" customWidth="1"/>
    <col min="16153" max="16153" width="6.28515625" style="668" customWidth="1"/>
    <col min="16154" max="16155" width="7.28515625" style="668" customWidth="1"/>
    <col min="16156" max="16156" width="8.42578125" style="668" customWidth="1"/>
    <col min="16157" max="16157" width="9.5703125" style="668" customWidth="1"/>
    <col min="16158" max="16158" width="6.28515625" style="668" customWidth="1"/>
    <col min="16159" max="16159" width="5.85546875" style="668" customWidth="1"/>
    <col min="16160" max="16161" width="4.42578125" style="668" customWidth="1"/>
    <col min="16162" max="16162" width="5" style="668" customWidth="1"/>
    <col min="16163" max="16163" width="5.85546875" style="668" customWidth="1"/>
    <col min="16164" max="16164" width="6.140625" style="668" customWidth="1"/>
    <col min="16165" max="16165" width="6.28515625" style="668" customWidth="1"/>
    <col min="16166" max="16166" width="11.140625" style="668" customWidth="1"/>
    <col min="16167" max="16167" width="14.140625" style="668" customWidth="1"/>
    <col min="16168" max="16168" width="19.85546875" style="668" customWidth="1"/>
    <col min="16169" max="16169" width="17" style="668" customWidth="1"/>
    <col min="16170" max="16170" width="20.85546875" style="668" customWidth="1"/>
    <col min="16171" max="16384" width="11.42578125" style="668"/>
  </cols>
  <sheetData>
    <row r="1" spans="1:63" ht="27" customHeight="1" x14ac:dyDescent="0.2">
      <c r="A1" s="2852" t="s">
        <v>1196</v>
      </c>
      <c r="B1" s="4422"/>
      <c r="C1" s="4422"/>
      <c r="D1" s="4422"/>
      <c r="E1" s="4422"/>
      <c r="F1" s="4422"/>
      <c r="G1" s="4422"/>
      <c r="H1" s="4422"/>
      <c r="I1" s="4422"/>
      <c r="J1" s="4422"/>
      <c r="K1" s="4422"/>
      <c r="L1" s="4422"/>
      <c r="M1" s="4422"/>
      <c r="N1" s="4422"/>
      <c r="O1" s="4422"/>
      <c r="P1" s="4422"/>
      <c r="Q1" s="4422"/>
      <c r="R1" s="4422"/>
      <c r="S1" s="4422"/>
      <c r="T1" s="4422"/>
      <c r="U1" s="4422"/>
      <c r="V1" s="4422"/>
      <c r="W1" s="4422"/>
      <c r="X1" s="4422"/>
      <c r="Y1" s="4422"/>
      <c r="Z1" s="4422"/>
      <c r="AA1" s="4422"/>
      <c r="AB1" s="4422"/>
      <c r="AC1" s="4422"/>
      <c r="AD1" s="4422"/>
      <c r="AE1" s="4422"/>
      <c r="AF1" s="4422"/>
      <c r="AG1" s="4422"/>
      <c r="AH1" s="4422"/>
      <c r="AI1" s="4422"/>
      <c r="AJ1" s="4422"/>
      <c r="AK1" s="4422"/>
      <c r="AL1" s="4422"/>
      <c r="AM1" s="4422"/>
      <c r="AN1" s="4422"/>
      <c r="AO1" s="4423"/>
      <c r="AP1" s="1389" t="s">
        <v>1</v>
      </c>
      <c r="AQ1" s="1390" t="s">
        <v>116</v>
      </c>
      <c r="AR1" s="651"/>
      <c r="AS1" s="651"/>
      <c r="AT1" s="651"/>
      <c r="AU1" s="651"/>
      <c r="AV1" s="651"/>
      <c r="AW1" s="651"/>
      <c r="AX1" s="651"/>
      <c r="AY1" s="651"/>
      <c r="AZ1" s="651"/>
      <c r="BA1" s="651"/>
      <c r="BB1" s="651"/>
      <c r="BC1" s="651"/>
      <c r="BD1" s="651"/>
      <c r="BE1" s="651"/>
      <c r="BF1" s="651"/>
      <c r="BG1" s="651"/>
      <c r="BH1" s="651"/>
      <c r="BI1" s="651"/>
      <c r="BJ1" s="651"/>
      <c r="BK1" s="651"/>
    </row>
    <row r="2" spans="1:63" ht="27" customHeight="1" x14ac:dyDescent="0.2">
      <c r="A2" s="4424"/>
      <c r="B2" s="4425"/>
      <c r="C2" s="4425"/>
      <c r="D2" s="4425"/>
      <c r="E2" s="4425"/>
      <c r="F2" s="4425"/>
      <c r="G2" s="4425"/>
      <c r="H2" s="4425"/>
      <c r="I2" s="4425"/>
      <c r="J2" s="4425"/>
      <c r="K2" s="4425"/>
      <c r="L2" s="4425"/>
      <c r="M2" s="4425"/>
      <c r="N2" s="4425"/>
      <c r="O2" s="4425"/>
      <c r="P2" s="4425"/>
      <c r="Q2" s="4425"/>
      <c r="R2" s="4425"/>
      <c r="S2" s="4425"/>
      <c r="T2" s="4425"/>
      <c r="U2" s="4425"/>
      <c r="V2" s="4425"/>
      <c r="W2" s="4425"/>
      <c r="X2" s="4425"/>
      <c r="Y2" s="4425"/>
      <c r="Z2" s="4425"/>
      <c r="AA2" s="4425"/>
      <c r="AB2" s="4425"/>
      <c r="AC2" s="4425"/>
      <c r="AD2" s="4425"/>
      <c r="AE2" s="4425"/>
      <c r="AF2" s="4425"/>
      <c r="AG2" s="4425"/>
      <c r="AH2" s="4425"/>
      <c r="AI2" s="4425"/>
      <c r="AJ2" s="4425"/>
      <c r="AK2" s="4425"/>
      <c r="AL2" s="4425"/>
      <c r="AM2" s="4425"/>
      <c r="AN2" s="4425"/>
      <c r="AO2" s="3602"/>
      <c r="AP2" s="1391" t="s">
        <v>3</v>
      </c>
      <c r="AQ2" s="1392" t="s">
        <v>117</v>
      </c>
      <c r="AR2" s="651"/>
      <c r="AS2" s="651"/>
      <c r="AT2" s="651"/>
      <c r="AU2" s="651"/>
      <c r="AV2" s="651"/>
      <c r="AW2" s="651"/>
      <c r="AX2" s="651"/>
      <c r="AY2" s="651"/>
      <c r="AZ2" s="651"/>
      <c r="BA2" s="651"/>
      <c r="BB2" s="651"/>
      <c r="BC2" s="651"/>
      <c r="BD2" s="651"/>
      <c r="BE2" s="651"/>
      <c r="BF2" s="651"/>
      <c r="BG2" s="651"/>
      <c r="BH2" s="651"/>
      <c r="BI2" s="651"/>
      <c r="BJ2" s="651"/>
      <c r="BK2" s="651"/>
    </row>
    <row r="3" spans="1:63" ht="27" customHeight="1" x14ac:dyDescent="0.2">
      <c r="A3" s="4424"/>
      <c r="B3" s="4425"/>
      <c r="C3" s="4425"/>
      <c r="D3" s="4425"/>
      <c r="E3" s="4425"/>
      <c r="F3" s="4425"/>
      <c r="G3" s="4425"/>
      <c r="H3" s="4425"/>
      <c r="I3" s="4425"/>
      <c r="J3" s="4425"/>
      <c r="K3" s="4425"/>
      <c r="L3" s="4425"/>
      <c r="M3" s="4425"/>
      <c r="N3" s="4425"/>
      <c r="O3" s="4425"/>
      <c r="P3" s="4425"/>
      <c r="Q3" s="4425"/>
      <c r="R3" s="4425"/>
      <c r="S3" s="4425"/>
      <c r="T3" s="4425"/>
      <c r="U3" s="4425"/>
      <c r="V3" s="4425"/>
      <c r="W3" s="4425"/>
      <c r="X3" s="4425"/>
      <c r="Y3" s="4425"/>
      <c r="Z3" s="4425"/>
      <c r="AA3" s="4425"/>
      <c r="AB3" s="4425"/>
      <c r="AC3" s="4425"/>
      <c r="AD3" s="4425"/>
      <c r="AE3" s="4425"/>
      <c r="AF3" s="4425"/>
      <c r="AG3" s="4425"/>
      <c r="AH3" s="4425"/>
      <c r="AI3" s="4425"/>
      <c r="AJ3" s="4425"/>
      <c r="AK3" s="4425"/>
      <c r="AL3" s="4425"/>
      <c r="AM3" s="4425"/>
      <c r="AN3" s="4425"/>
      <c r="AO3" s="3602"/>
      <c r="AP3" s="1393" t="s">
        <v>5</v>
      </c>
      <c r="AQ3" s="1392" t="s">
        <v>6</v>
      </c>
      <c r="AR3" s="651"/>
      <c r="AS3" s="651"/>
      <c r="AT3" s="651"/>
      <c r="AU3" s="651"/>
      <c r="AV3" s="651"/>
      <c r="AW3" s="651"/>
      <c r="AX3" s="651"/>
      <c r="AY3" s="651"/>
      <c r="AZ3" s="651"/>
      <c r="BA3" s="651"/>
      <c r="BB3" s="651"/>
      <c r="BC3" s="651"/>
      <c r="BD3" s="651"/>
      <c r="BE3" s="651"/>
      <c r="BF3" s="651"/>
      <c r="BG3" s="651"/>
      <c r="BH3" s="651"/>
      <c r="BI3" s="651"/>
      <c r="BJ3" s="651"/>
      <c r="BK3" s="651"/>
    </row>
    <row r="4" spans="1:63" ht="27" customHeight="1" x14ac:dyDescent="0.2">
      <c r="A4" s="4426"/>
      <c r="B4" s="3603"/>
      <c r="C4" s="3603"/>
      <c r="D4" s="3603"/>
      <c r="E4" s="3603"/>
      <c r="F4" s="3603"/>
      <c r="G4" s="3603"/>
      <c r="H4" s="3603"/>
      <c r="I4" s="3603"/>
      <c r="J4" s="3603"/>
      <c r="K4" s="3603"/>
      <c r="L4" s="3603"/>
      <c r="M4" s="3603"/>
      <c r="N4" s="3603"/>
      <c r="O4" s="3603"/>
      <c r="P4" s="3603"/>
      <c r="Q4" s="3603"/>
      <c r="R4" s="3603"/>
      <c r="S4" s="3603"/>
      <c r="T4" s="3603"/>
      <c r="U4" s="3603"/>
      <c r="V4" s="3603"/>
      <c r="W4" s="3603"/>
      <c r="X4" s="3603"/>
      <c r="Y4" s="3603"/>
      <c r="Z4" s="3603"/>
      <c r="AA4" s="3603"/>
      <c r="AB4" s="3603"/>
      <c r="AC4" s="3603"/>
      <c r="AD4" s="3603"/>
      <c r="AE4" s="3603"/>
      <c r="AF4" s="3603"/>
      <c r="AG4" s="3603"/>
      <c r="AH4" s="3603"/>
      <c r="AI4" s="3603"/>
      <c r="AJ4" s="3603"/>
      <c r="AK4" s="3603"/>
      <c r="AL4" s="3603"/>
      <c r="AM4" s="3603"/>
      <c r="AN4" s="3603"/>
      <c r="AO4" s="3604"/>
      <c r="AP4" s="1393" t="s">
        <v>7</v>
      </c>
      <c r="AQ4" s="1394" t="s">
        <v>8</v>
      </c>
      <c r="AR4" s="651"/>
      <c r="AS4" s="651"/>
      <c r="AT4" s="651"/>
      <c r="AU4" s="651"/>
      <c r="AV4" s="651"/>
      <c r="AW4" s="651"/>
      <c r="AX4" s="651"/>
      <c r="AY4" s="651"/>
      <c r="AZ4" s="651"/>
      <c r="BA4" s="651"/>
      <c r="BB4" s="651"/>
      <c r="BC4" s="651"/>
      <c r="BD4" s="651"/>
      <c r="BE4" s="651"/>
      <c r="BF4" s="651"/>
      <c r="BG4" s="651"/>
      <c r="BH4" s="651"/>
      <c r="BI4" s="651"/>
      <c r="BJ4" s="651"/>
      <c r="BK4" s="651"/>
    </row>
    <row r="5" spans="1:63" ht="27" customHeight="1" x14ac:dyDescent="0.2">
      <c r="A5" s="4427" t="s">
        <v>9</v>
      </c>
      <c r="B5" s="3605"/>
      <c r="C5" s="3605"/>
      <c r="D5" s="3605"/>
      <c r="E5" s="3605"/>
      <c r="F5" s="3605"/>
      <c r="G5" s="3605"/>
      <c r="H5" s="3605"/>
      <c r="I5" s="3605"/>
      <c r="J5" s="3605"/>
      <c r="K5" s="3605"/>
      <c r="L5" s="3605"/>
      <c r="M5" s="3605"/>
      <c r="N5" s="3607" t="s">
        <v>10</v>
      </c>
      <c r="O5" s="3607"/>
      <c r="P5" s="3607"/>
      <c r="Q5" s="3607"/>
      <c r="R5" s="3607"/>
      <c r="S5" s="3607"/>
      <c r="T5" s="3607"/>
      <c r="U5" s="3607"/>
      <c r="V5" s="3607"/>
      <c r="W5" s="3607"/>
      <c r="X5" s="3607"/>
      <c r="Y5" s="3607"/>
      <c r="Z5" s="3607"/>
      <c r="AA5" s="3607"/>
      <c r="AB5" s="3607"/>
      <c r="AC5" s="3607"/>
      <c r="AD5" s="3607"/>
      <c r="AE5" s="3607"/>
      <c r="AF5" s="3607"/>
      <c r="AG5" s="3607"/>
      <c r="AH5" s="3607"/>
      <c r="AI5" s="3607"/>
      <c r="AJ5" s="3607"/>
      <c r="AK5" s="3607"/>
      <c r="AL5" s="3607"/>
      <c r="AM5" s="3607"/>
      <c r="AN5" s="3607"/>
      <c r="AO5" s="3607"/>
      <c r="AP5" s="3607"/>
      <c r="AQ5" s="4429"/>
      <c r="AR5" s="651"/>
      <c r="AS5" s="651"/>
      <c r="AT5" s="651"/>
      <c r="AU5" s="651"/>
      <c r="AV5" s="651"/>
      <c r="AW5" s="651"/>
      <c r="AX5" s="651"/>
      <c r="AY5" s="651"/>
      <c r="AZ5" s="651"/>
      <c r="BA5" s="651"/>
      <c r="BB5" s="651"/>
      <c r="BC5" s="651"/>
      <c r="BD5" s="651"/>
      <c r="BE5" s="651"/>
      <c r="BF5" s="651"/>
      <c r="BG5" s="651"/>
      <c r="BH5" s="651"/>
      <c r="BI5" s="651"/>
      <c r="BJ5" s="651"/>
      <c r="BK5" s="651"/>
    </row>
    <row r="6" spans="1:63" ht="15" x14ac:dyDescent="0.2">
      <c r="A6" s="4428"/>
      <c r="B6" s="3606"/>
      <c r="C6" s="3606"/>
      <c r="D6" s="3606"/>
      <c r="E6" s="3606"/>
      <c r="F6" s="3606"/>
      <c r="G6" s="3606"/>
      <c r="H6" s="3606"/>
      <c r="I6" s="3606"/>
      <c r="J6" s="3606"/>
      <c r="K6" s="3606"/>
      <c r="L6" s="3606"/>
      <c r="M6" s="3606"/>
      <c r="N6" s="173"/>
      <c r="O6" s="174"/>
      <c r="P6" s="174"/>
      <c r="Q6" s="174"/>
      <c r="R6" s="174"/>
      <c r="S6" s="174"/>
      <c r="T6" s="174"/>
      <c r="U6" s="174"/>
      <c r="V6" s="174"/>
      <c r="W6" s="174"/>
      <c r="X6" s="176"/>
      <c r="Y6" s="3608" t="s">
        <v>11</v>
      </c>
      <c r="Z6" s="3606"/>
      <c r="AA6" s="3606"/>
      <c r="AB6" s="3606"/>
      <c r="AC6" s="3606"/>
      <c r="AD6" s="3606"/>
      <c r="AE6" s="3606"/>
      <c r="AF6" s="3606"/>
      <c r="AG6" s="3606"/>
      <c r="AH6" s="3606"/>
      <c r="AI6" s="3606"/>
      <c r="AJ6" s="3606"/>
      <c r="AK6" s="3606"/>
      <c r="AL6" s="3606"/>
      <c r="AM6" s="3609"/>
      <c r="AN6" s="176"/>
      <c r="AO6" s="174"/>
      <c r="AP6" s="174"/>
      <c r="AQ6" s="1395"/>
      <c r="AR6" s="651"/>
      <c r="AS6" s="651"/>
      <c r="AT6" s="651"/>
      <c r="AU6" s="651"/>
      <c r="AV6" s="651"/>
      <c r="AW6" s="651"/>
      <c r="AX6" s="651"/>
      <c r="AY6" s="651"/>
      <c r="AZ6" s="651"/>
      <c r="BA6" s="651"/>
      <c r="BB6" s="651"/>
      <c r="BC6" s="651"/>
      <c r="BD6" s="651"/>
      <c r="BE6" s="651"/>
      <c r="BF6" s="651"/>
      <c r="BG6" s="651"/>
      <c r="BH6" s="651"/>
      <c r="BI6" s="651"/>
      <c r="BJ6" s="651"/>
      <c r="BK6" s="651"/>
    </row>
    <row r="7" spans="1:63" ht="37.5" customHeight="1" x14ac:dyDescent="0.2">
      <c r="A7" s="4430" t="s">
        <v>12</v>
      </c>
      <c r="B7" s="3668" t="s">
        <v>13</v>
      </c>
      <c r="C7" s="3668"/>
      <c r="D7" s="3668" t="s">
        <v>12</v>
      </c>
      <c r="E7" s="3668" t="s">
        <v>14</v>
      </c>
      <c r="F7" s="3668"/>
      <c r="G7" s="3668" t="s">
        <v>12</v>
      </c>
      <c r="H7" s="3668" t="s">
        <v>15</v>
      </c>
      <c r="I7" s="3668"/>
      <c r="J7" s="3668" t="s">
        <v>12</v>
      </c>
      <c r="K7" s="3668" t="s">
        <v>16</v>
      </c>
      <c r="L7" s="3668" t="s">
        <v>17</v>
      </c>
      <c r="M7" s="2849" t="s">
        <v>18</v>
      </c>
      <c r="N7" s="3668" t="s">
        <v>19</v>
      </c>
      <c r="O7" s="2843" t="s">
        <v>324</v>
      </c>
      <c r="P7" s="3668" t="s">
        <v>10</v>
      </c>
      <c r="Q7" s="3668" t="s">
        <v>21</v>
      </c>
      <c r="R7" s="3668" t="s">
        <v>22</v>
      </c>
      <c r="S7" s="3668" t="s">
        <v>23</v>
      </c>
      <c r="T7" s="3668" t="s">
        <v>24</v>
      </c>
      <c r="U7" s="4421" t="s">
        <v>25</v>
      </c>
      <c r="V7" s="2849" t="s">
        <v>22</v>
      </c>
      <c r="W7" s="2843" t="s">
        <v>12</v>
      </c>
      <c r="X7" s="3668" t="s">
        <v>26</v>
      </c>
      <c r="Y7" s="2837" t="s">
        <v>27</v>
      </c>
      <c r="Z7" s="2838"/>
      <c r="AA7" s="2839" t="s">
        <v>28</v>
      </c>
      <c r="AB7" s="2840"/>
      <c r="AC7" s="2840"/>
      <c r="AD7" s="2840"/>
      <c r="AE7" s="2841" t="s">
        <v>29</v>
      </c>
      <c r="AF7" s="2842"/>
      <c r="AG7" s="2842"/>
      <c r="AH7" s="2842"/>
      <c r="AI7" s="2842"/>
      <c r="AJ7" s="2842"/>
      <c r="AK7" s="2839" t="s">
        <v>30</v>
      </c>
      <c r="AL7" s="2840"/>
      <c r="AM7" s="2840"/>
      <c r="AN7" s="2827" t="s">
        <v>31</v>
      </c>
      <c r="AO7" s="3665" t="s">
        <v>32</v>
      </c>
      <c r="AP7" s="3665" t="s">
        <v>33</v>
      </c>
      <c r="AQ7" s="4420" t="s">
        <v>34</v>
      </c>
    </row>
    <row r="8" spans="1:63" ht="105.75" customHeight="1" x14ac:dyDescent="0.2">
      <c r="A8" s="4430"/>
      <c r="B8" s="3668"/>
      <c r="C8" s="3668"/>
      <c r="D8" s="3668"/>
      <c r="E8" s="3668"/>
      <c r="F8" s="3668"/>
      <c r="G8" s="3668"/>
      <c r="H8" s="3668"/>
      <c r="I8" s="3668"/>
      <c r="J8" s="3668"/>
      <c r="K8" s="3668"/>
      <c r="L8" s="3668"/>
      <c r="M8" s="3669"/>
      <c r="N8" s="3668"/>
      <c r="O8" s="2844"/>
      <c r="P8" s="3668"/>
      <c r="Q8" s="3668"/>
      <c r="R8" s="3668"/>
      <c r="S8" s="3668"/>
      <c r="T8" s="3668"/>
      <c r="U8" s="4421"/>
      <c r="V8" s="2850"/>
      <c r="W8" s="2844"/>
      <c r="X8" s="3668"/>
      <c r="Y8" s="1396" t="s">
        <v>35</v>
      </c>
      <c r="Z8" s="1397" t="s">
        <v>36</v>
      </c>
      <c r="AA8" s="1398" t="s">
        <v>37</v>
      </c>
      <c r="AB8" s="1396" t="s">
        <v>118</v>
      </c>
      <c r="AC8" s="1398" t="s">
        <v>473</v>
      </c>
      <c r="AD8" s="1396" t="s">
        <v>120</v>
      </c>
      <c r="AE8" s="1396" t="s">
        <v>41</v>
      </c>
      <c r="AF8" s="1396" t="s">
        <v>42</v>
      </c>
      <c r="AG8" s="1396" t="s">
        <v>43</v>
      </c>
      <c r="AH8" s="1396" t="s">
        <v>44</v>
      </c>
      <c r="AI8" s="1396" t="s">
        <v>45</v>
      </c>
      <c r="AJ8" s="1396" t="s">
        <v>46</v>
      </c>
      <c r="AK8" s="1396" t="s">
        <v>47</v>
      </c>
      <c r="AL8" s="1396" t="s">
        <v>48</v>
      </c>
      <c r="AM8" s="1396" t="s">
        <v>49</v>
      </c>
      <c r="AN8" s="2828"/>
      <c r="AO8" s="3666"/>
      <c r="AP8" s="3666"/>
      <c r="AQ8" s="4420"/>
    </row>
    <row r="9" spans="1:63" ht="20.25" customHeight="1" x14ac:dyDescent="0.2">
      <c r="A9" s="1399">
        <v>3</v>
      </c>
      <c r="B9" s="1400"/>
      <c r="C9" s="1400" t="s">
        <v>293</v>
      </c>
      <c r="D9" s="1400"/>
      <c r="E9" s="1400"/>
      <c r="F9" s="1400"/>
      <c r="G9" s="1400"/>
      <c r="H9" s="1400"/>
      <c r="I9" s="1400"/>
      <c r="J9" s="1400"/>
      <c r="K9" s="1401"/>
      <c r="L9" s="1400"/>
      <c r="M9" s="1400"/>
      <c r="N9" s="1400"/>
      <c r="O9" s="1402"/>
      <c r="P9" s="1401"/>
      <c r="Q9" s="1403"/>
      <c r="R9" s="1404"/>
      <c r="S9" s="1401"/>
      <c r="T9" s="1401"/>
      <c r="U9" s="1401"/>
      <c r="V9" s="1401"/>
      <c r="W9" s="1405"/>
      <c r="X9" s="1402"/>
      <c r="Y9" s="1400"/>
      <c r="Z9" s="1400"/>
      <c r="AA9" s="1400"/>
      <c r="AB9" s="1400"/>
      <c r="AC9" s="1400"/>
      <c r="AD9" s="1400"/>
      <c r="AE9" s="1400"/>
      <c r="AF9" s="1400"/>
      <c r="AG9" s="1400"/>
      <c r="AH9" s="1400"/>
      <c r="AI9" s="1400"/>
      <c r="AJ9" s="1400"/>
      <c r="AK9" s="1400"/>
      <c r="AL9" s="1400"/>
      <c r="AM9" s="1400"/>
      <c r="AN9" s="1400"/>
      <c r="AO9" s="1406"/>
      <c r="AP9" s="1406"/>
      <c r="AQ9" s="1407"/>
      <c r="AR9" s="651"/>
      <c r="AS9" s="651"/>
      <c r="AT9" s="651"/>
      <c r="AU9" s="651"/>
      <c r="AV9" s="651"/>
      <c r="AW9" s="651"/>
      <c r="AX9" s="651"/>
      <c r="AY9" s="651"/>
      <c r="AZ9" s="651"/>
      <c r="BA9" s="651"/>
      <c r="BB9" s="651"/>
      <c r="BC9" s="651"/>
      <c r="BD9" s="651"/>
      <c r="BE9" s="651"/>
      <c r="BF9" s="651"/>
      <c r="BG9" s="651"/>
      <c r="BH9" s="651"/>
      <c r="BI9" s="651"/>
      <c r="BJ9" s="651"/>
    </row>
    <row r="10" spans="1:63" s="651" customFormat="1" ht="20.25" customHeight="1" x14ac:dyDescent="0.2">
      <c r="A10" s="708"/>
      <c r="B10" s="1408"/>
      <c r="C10" s="1132"/>
      <c r="D10" s="1409">
        <v>20</v>
      </c>
      <c r="E10" s="1410" t="s">
        <v>1197</v>
      </c>
      <c r="F10" s="1410"/>
      <c r="G10" s="1410"/>
      <c r="H10" s="1410"/>
      <c r="I10" s="1410"/>
      <c r="J10" s="1410"/>
      <c r="K10" s="1411"/>
      <c r="L10" s="1410"/>
      <c r="M10" s="1410"/>
      <c r="N10" s="1410"/>
      <c r="O10" s="1412"/>
      <c r="P10" s="1411"/>
      <c r="Q10" s="1413"/>
      <c r="R10" s="1414"/>
      <c r="S10" s="1411"/>
      <c r="T10" s="1411"/>
      <c r="U10" s="1411"/>
      <c r="V10" s="1415"/>
      <c r="W10" s="1416"/>
      <c r="X10" s="1412"/>
      <c r="Y10" s="1410"/>
      <c r="Z10" s="1410"/>
      <c r="AA10" s="1410"/>
      <c r="AB10" s="1410"/>
      <c r="AC10" s="1410"/>
      <c r="AD10" s="1410"/>
      <c r="AE10" s="1410"/>
      <c r="AF10" s="1410"/>
      <c r="AG10" s="1410"/>
      <c r="AH10" s="1410"/>
      <c r="AI10" s="1410"/>
      <c r="AJ10" s="1410"/>
      <c r="AK10" s="1410"/>
      <c r="AL10" s="1410"/>
      <c r="AM10" s="1410"/>
      <c r="AN10" s="1410"/>
      <c r="AO10" s="1417"/>
      <c r="AP10" s="1417"/>
      <c r="AQ10" s="1418"/>
    </row>
    <row r="11" spans="1:63" s="651" customFormat="1" ht="20.25" customHeight="1" x14ac:dyDescent="0.2">
      <c r="A11" s="1121"/>
      <c r="B11" s="1135"/>
      <c r="C11" s="677"/>
      <c r="D11" s="1419"/>
      <c r="E11" s="694"/>
      <c r="F11" s="694"/>
      <c r="G11" s="1420">
        <v>68</v>
      </c>
      <c r="H11" s="1421" t="s">
        <v>1198</v>
      </c>
      <c r="I11" s="1421"/>
      <c r="J11" s="1421"/>
      <c r="K11" s="1422"/>
      <c r="L11" s="1421"/>
      <c r="M11" s="1421"/>
      <c r="N11" s="1421"/>
      <c r="O11" s="1423"/>
      <c r="P11" s="1422"/>
      <c r="Q11" s="1424"/>
      <c r="R11" s="1425"/>
      <c r="S11" s="1422"/>
      <c r="T11" s="1422"/>
      <c r="U11" s="1422"/>
      <c r="V11" s="1426"/>
      <c r="W11" s="1427"/>
      <c r="X11" s="1423"/>
      <c r="Y11" s="1421"/>
      <c r="Z11" s="1421"/>
      <c r="AA11" s="1421"/>
      <c r="AB11" s="1421"/>
      <c r="AC11" s="1421"/>
      <c r="AD11" s="1421"/>
      <c r="AE11" s="1421"/>
      <c r="AF11" s="1421"/>
      <c r="AG11" s="1421"/>
      <c r="AH11" s="1421"/>
      <c r="AI11" s="1421"/>
      <c r="AJ11" s="1421"/>
      <c r="AK11" s="1421"/>
      <c r="AL11" s="1421"/>
      <c r="AM11" s="1421"/>
      <c r="AN11" s="1421"/>
      <c r="AO11" s="1428"/>
      <c r="AP11" s="1428"/>
      <c r="AQ11" s="1429"/>
    </row>
    <row r="12" spans="1:63" s="651" customFormat="1" ht="33" customHeight="1" x14ac:dyDescent="0.2">
      <c r="A12" s="1121"/>
      <c r="B12" s="1135"/>
      <c r="C12" s="677"/>
      <c r="D12" s="1430"/>
      <c r="E12" s="710"/>
      <c r="F12" s="710"/>
      <c r="G12" s="1431"/>
      <c r="H12" s="710"/>
      <c r="I12" s="710"/>
      <c r="J12" s="3560">
        <v>202</v>
      </c>
      <c r="K12" s="3274" t="s">
        <v>1199</v>
      </c>
      <c r="L12" s="3274" t="s">
        <v>1200</v>
      </c>
      <c r="M12" s="3560">
        <v>23</v>
      </c>
      <c r="N12" s="218" t="s">
        <v>1201</v>
      </c>
      <c r="O12" s="3250" t="s">
        <v>1202</v>
      </c>
      <c r="P12" s="3253" t="s">
        <v>1203</v>
      </c>
      <c r="Q12" s="3277">
        <f>+(V12+V13+V14+V15+V16+V17)/R12</f>
        <v>0.91249586506429403</v>
      </c>
      <c r="R12" s="3561">
        <f>SUM(V12:V18)</f>
        <v>2180137888.8000002</v>
      </c>
      <c r="S12" s="3253" t="s">
        <v>1204</v>
      </c>
      <c r="T12" s="4394" t="s">
        <v>1205</v>
      </c>
      <c r="U12" s="4405" t="s">
        <v>1206</v>
      </c>
      <c r="V12" s="1160">
        <v>199249781</v>
      </c>
      <c r="W12" s="707">
        <v>12</v>
      </c>
      <c r="X12" s="1432" t="s">
        <v>1207</v>
      </c>
      <c r="Y12" s="3553">
        <v>300</v>
      </c>
      <c r="Z12" s="3553">
        <v>710</v>
      </c>
      <c r="AA12" s="3553">
        <v>317</v>
      </c>
      <c r="AB12" s="3553">
        <v>633</v>
      </c>
      <c r="AC12" s="3553"/>
      <c r="AD12" s="3553"/>
      <c r="AE12" s="3553"/>
      <c r="AF12" s="3553"/>
      <c r="AG12" s="3553"/>
      <c r="AH12" s="3553"/>
      <c r="AI12" s="3553"/>
      <c r="AJ12" s="3553"/>
      <c r="AK12" s="3553"/>
      <c r="AL12" s="3553">
        <v>60</v>
      </c>
      <c r="AM12" s="4419"/>
      <c r="AN12" s="3553">
        <f>+Y12+Z12</f>
        <v>1010</v>
      </c>
      <c r="AO12" s="3539">
        <v>43480</v>
      </c>
      <c r="AP12" s="3539">
        <v>43830</v>
      </c>
      <c r="AQ12" s="4394" t="s">
        <v>1208</v>
      </c>
    </row>
    <row r="13" spans="1:63" s="651" customFormat="1" ht="30" customHeight="1" x14ac:dyDescent="0.2">
      <c r="A13" s="1121"/>
      <c r="B13" s="1135"/>
      <c r="C13" s="677"/>
      <c r="D13" s="1430"/>
      <c r="E13" s="710"/>
      <c r="F13" s="710"/>
      <c r="G13" s="1430"/>
      <c r="H13" s="710"/>
      <c r="I13" s="710"/>
      <c r="J13" s="3560"/>
      <c r="K13" s="3274"/>
      <c r="L13" s="3274"/>
      <c r="M13" s="3560"/>
      <c r="N13" s="218" t="s">
        <v>1209</v>
      </c>
      <c r="O13" s="3251"/>
      <c r="P13" s="3254"/>
      <c r="Q13" s="3278"/>
      <c r="R13" s="4404"/>
      <c r="S13" s="3254"/>
      <c r="T13" s="4395"/>
      <c r="U13" s="4406"/>
      <c r="V13" s="1160">
        <v>20000000</v>
      </c>
      <c r="W13" s="707">
        <v>9</v>
      </c>
      <c r="X13" s="1432" t="s">
        <v>1210</v>
      </c>
      <c r="Y13" s="4400"/>
      <c r="Z13" s="4400"/>
      <c r="AA13" s="4400"/>
      <c r="AB13" s="4400"/>
      <c r="AC13" s="4400"/>
      <c r="AD13" s="4400"/>
      <c r="AE13" s="4400"/>
      <c r="AF13" s="4400"/>
      <c r="AG13" s="4400"/>
      <c r="AH13" s="4400"/>
      <c r="AI13" s="4400"/>
      <c r="AJ13" s="4400"/>
      <c r="AK13" s="4400"/>
      <c r="AL13" s="4400"/>
      <c r="AM13" s="4419"/>
      <c r="AN13" s="4400"/>
      <c r="AO13" s="3540"/>
      <c r="AP13" s="3540"/>
      <c r="AQ13" s="4395"/>
    </row>
    <row r="14" spans="1:63" s="651" customFormat="1" ht="36" customHeight="1" x14ac:dyDescent="0.2">
      <c r="A14" s="1121"/>
      <c r="B14" s="1135"/>
      <c r="C14" s="677"/>
      <c r="D14" s="1430"/>
      <c r="E14" s="710"/>
      <c r="F14" s="710"/>
      <c r="G14" s="1430"/>
      <c r="H14" s="710"/>
      <c r="I14" s="710"/>
      <c r="J14" s="3560"/>
      <c r="K14" s="3274"/>
      <c r="L14" s="3274"/>
      <c r="M14" s="3560"/>
      <c r="N14" s="1433" t="s">
        <v>1211</v>
      </c>
      <c r="O14" s="3251"/>
      <c r="P14" s="3254"/>
      <c r="Q14" s="3278"/>
      <c r="R14" s="4404"/>
      <c r="S14" s="3254"/>
      <c r="T14" s="4395"/>
      <c r="U14" s="4406"/>
      <c r="V14" s="1434">
        <v>78571457</v>
      </c>
      <c r="W14" s="707">
        <v>3</v>
      </c>
      <c r="X14" s="1435" t="s">
        <v>1212</v>
      </c>
      <c r="Y14" s="4400"/>
      <c r="Z14" s="4400"/>
      <c r="AA14" s="4400"/>
      <c r="AB14" s="4400"/>
      <c r="AC14" s="4400"/>
      <c r="AD14" s="4400"/>
      <c r="AE14" s="4400"/>
      <c r="AF14" s="4400"/>
      <c r="AG14" s="4400"/>
      <c r="AH14" s="4400"/>
      <c r="AI14" s="4400"/>
      <c r="AJ14" s="4400"/>
      <c r="AK14" s="4400"/>
      <c r="AL14" s="4400"/>
      <c r="AM14" s="4419"/>
      <c r="AN14" s="4400"/>
      <c r="AO14" s="3540"/>
      <c r="AP14" s="3540"/>
      <c r="AQ14" s="4395"/>
    </row>
    <row r="15" spans="1:63" s="651" customFormat="1" ht="33" customHeight="1" x14ac:dyDescent="0.2">
      <c r="A15" s="1121"/>
      <c r="B15" s="1135"/>
      <c r="C15" s="677"/>
      <c r="D15" s="1430"/>
      <c r="E15" s="710"/>
      <c r="F15" s="710"/>
      <c r="G15" s="1430"/>
      <c r="H15" s="710"/>
      <c r="I15" s="710"/>
      <c r="J15" s="3560"/>
      <c r="K15" s="3274"/>
      <c r="L15" s="3274"/>
      <c r="M15" s="3560"/>
      <c r="N15" s="218" t="s">
        <v>1213</v>
      </c>
      <c r="O15" s="3251"/>
      <c r="P15" s="3254"/>
      <c r="Q15" s="3278"/>
      <c r="R15" s="4404"/>
      <c r="S15" s="3254"/>
      <c r="T15" s="4395"/>
      <c r="U15" s="4406"/>
      <c r="V15" s="1436">
        <v>77863791</v>
      </c>
      <c r="W15" s="1437">
        <v>12</v>
      </c>
      <c r="X15" s="1435" t="s">
        <v>1207</v>
      </c>
      <c r="Y15" s="4400"/>
      <c r="Z15" s="4400"/>
      <c r="AA15" s="4400"/>
      <c r="AB15" s="4400"/>
      <c r="AC15" s="4400"/>
      <c r="AD15" s="4400"/>
      <c r="AE15" s="4400"/>
      <c r="AF15" s="4400"/>
      <c r="AG15" s="4400"/>
      <c r="AH15" s="4400"/>
      <c r="AI15" s="4400"/>
      <c r="AJ15" s="4400"/>
      <c r="AK15" s="4400"/>
      <c r="AL15" s="4400"/>
      <c r="AM15" s="4419"/>
      <c r="AN15" s="4400"/>
      <c r="AO15" s="3540"/>
      <c r="AP15" s="3540"/>
      <c r="AQ15" s="4395"/>
    </row>
    <row r="16" spans="1:63" s="651" customFormat="1" ht="28.5" customHeight="1" x14ac:dyDescent="0.2">
      <c r="A16" s="1121"/>
      <c r="B16" s="1135"/>
      <c r="C16" s="677"/>
      <c r="D16" s="1430"/>
      <c r="E16" s="710"/>
      <c r="F16" s="710"/>
      <c r="G16" s="1430"/>
      <c r="H16" s="710"/>
      <c r="I16" s="710"/>
      <c r="J16" s="3560"/>
      <c r="K16" s="3274"/>
      <c r="L16" s="3274"/>
      <c r="M16" s="3560"/>
      <c r="N16" s="184" t="s">
        <v>1214</v>
      </c>
      <c r="O16" s="3251"/>
      <c r="P16" s="3254"/>
      <c r="Q16" s="3278"/>
      <c r="R16" s="4404"/>
      <c r="S16" s="3254"/>
      <c r="T16" s="4395"/>
      <c r="U16" s="3268"/>
      <c r="V16" s="1436">
        <v>1242107102.8</v>
      </c>
      <c r="W16" s="1437">
        <v>6</v>
      </c>
      <c r="X16" s="1435" t="s">
        <v>1215</v>
      </c>
      <c r="Y16" s="4400"/>
      <c r="Z16" s="4400"/>
      <c r="AA16" s="4400"/>
      <c r="AB16" s="4400"/>
      <c r="AC16" s="4400"/>
      <c r="AD16" s="4400"/>
      <c r="AE16" s="4400"/>
      <c r="AF16" s="4400"/>
      <c r="AG16" s="4400"/>
      <c r="AH16" s="4400"/>
      <c r="AI16" s="4400"/>
      <c r="AJ16" s="4400"/>
      <c r="AK16" s="4400"/>
      <c r="AL16" s="4400"/>
      <c r="AM16" s="4419"/>
      <c r="AN16" s="4400"/>
      <c r="AO16" s="3540"/>
      <c r="AP16" s="3540"/>
      <c r="AQ16" s="4395"/>
    </row>
    <row r="17" spans="1:43" s="651" customFormat="1" ht="51.75" customHeight="1" x14ac:dyDescent="0.2">
      <c r="A17" s="1121"/>
      <c r="B17" s="1135"/>
      <c r="C17" s="677"/>
      <c r="D17" s="1430"/>
      <c r="E17" s="4418"/>
      <c r="F17" s="4418"/>
      <c r="G17" s="1430"/>
      <c r="H17" s="1135"/>
      <c r="I17" s="1135"/>
      <c r="J17" s="3560"/>
      <c r="K17" s="3274"/>
      <c r="L17" s="3274"/>
      <c r="M17" s="3560"/>
      <c r="N17" s="218" t="s">
        <v>1216</v>
      </c>
      <c r="O17" s="3251"/>
      <c r="P17" s="3254"/>
      <c r="Q17" s="3279"/>
      <c r="R17" s="4404"/>
      <c r="S17" s="3254"/>
      <c r="T17" s="4395"/>
      <c r="U17" s="706" t="s">
        <v>1217</v>
      </c>
      <c r="V17" s="1160">
        <v>371574677</v>
      </c>
      <c r="W17" s="707">
        <v>4</v>
      </c>
      <c r="X17" s="1432" t="s">
        <v>1218</v>
      </c>
      <c r="Y17" s="4400"/>
      <c r="Z17" s="4400"/>
      <c r="AA17" s="4400"/>
      <c r="AB17" s="4400"/>
      <c r="AC17" s="4400"/>
      <c r="AD17" s="4400"/>
      <c r="AE17" s="4400"/>
      <c r="AF17" s="4400"/>
      <c r="AG17" s="4400"/>
      <c r="AH17" s="4400"/>
      <c r="AI17" s="4400"/>
      <c r="AJ17" s="4400"/>
      <c r="AK17" s="4400"/>
      <c r="AL17" s="4400"/>
      <c r="AM17" s="4419"/>
      <c r="AN17" s="4400"/>
      <c r="AO17" s="3540"/>
      <c r="AP17" s="3540"/>
      <c r="AQ17" s="4395"/>
    </row>
    <row r="18" spans="1:43" s="651" customFormat="1" ht="113.25" customHeight="1" x14ac:dyDescent="0.2">
      <c r="A18" s="1121"/>
      <c r="B18" s="1135"/>
      <c r="C18" s="677"/>
      <c r="D18" s="1430"/>
      <c r="E18" s="710"/>
      <c r="F18" s="710"/>
      <c r="G18" s="1430"/>
      <c r="H18" s="710"/>
      <c r="I18" s="710"/>
      <c r="J18" s="218">
        <v>203</v>
      </c>
      <c r="K18" s="219" t="s">
        <v>1219</v>
      </c>
      <c r="L18" s="219" t="s">
        <v>1220</v>
      </c>
      <c r="M18" s="218">
        <v>20</v>
      </c>
      <c r="N18" s="218" t="s">
        <v>1221</v>
      </c>
      <c r="O18" s="3252"/>
      <c r="P18" s="3255"/>
      <c r="Q18" s="1438">
        <f>+V18/$R$12</f>
        <v>8.7504134935705802E-2</v>
      </c>
      <c r="R18" s="3562"/>
      <c r="S18" s="3255"/>
      <c r="T18" s="4396"/>
      <c r="U18" s="222" t="s">
        <v>1222</v>
      </c>
      <c r="V18" s="1439">
        <v>190771080</v>
      </c>
      <c r="W18" s="707">
        <v>4</v>
      </c>
      <c r="X18" s="218" t="s">
        <v>1218</v>
      </c>
      <c r="Y18" s="3554"/>
      <c r="Z18" s="3554"/>
      <c r="AA18" s="3554"/>
      <c r="AB18" s="3554"/>
      <c r="AC18" s="3554"/>
      <c r="AD18" s="3554"/>
      <c r="AE18" s="3554"/>
      <c r="AF18" s="3554"/>
      <c r="AG18" s="3554"/>
      <c r="AH18" s="3554"/>
      <c r="AI18" s="3554"/>
      <c r="AJ18" s="3554"/>
      <c r="AK18" s="3554"/>
      <c r="AL18" s="3554"/>
      <c r="AM18" s="4419"/>
      <c r="AN18" s="3554"/>
      <c r="AO18" s="3543"/>
      <c r="AP18" s="3543"/>
      <c r="AQ18" s="4396"/>
    </row>
    <row r="19" spans="1:43" s="651" customFormat="1" ht="23.25" customHeight="1" x14ac:dyDescent="0.2">
      <c r="A19" s="1121"/>
      <c r="B19" s="1135"/>
      <c r="C19" s="677"/>
      <c r="D19" s="1430"/>
      <c r="E19" s="710"/>
      <c r="F19" s="710"/>
      <c r="G19" s="1420">
        <v>69</v>
      </c>
      <c r="H19" s="1421" t="s">
        <v>1223</v>
      </c>
      <c r="I19" s="1421"/>
      <c r="J19" s="1421"/>
      <c r="K19" s="1422"/>
      <c r="L19" s="1421"/>
      <c r="M19" s="1421"/>
      <c r="N19" s="1421"/>
      <c r="O19" s="1423"/>
      <c r="P19" s="1422"/>
      <c r="Q19" s="1424"/>
      <c r="R19" s="1440"/>
      <c r="S19" s="1422" t="s">
        <v>923</v>
      </c>
      <c r="T19" s="1422" t="s">
        <v>923</v>
      </c>
      <c r="U19" s="1422"/>
      <c r="V19" s="1441">
        <f>+SUM(V12:V18)</f>
        <v>2180137888.8000002</v>
      </c>
      <c r="W19" s="1427"/>
      <c r="X19" s="1423"/>
      <c r="Y19" s="1442"/>
      <c r="Z19" s="1442"/>
      <c r="AA19" s="1442"/>
      <c r="AB19" s="1442"/>
      <c r="AC19" s="1442"/>
      <c r="AD19" s="1442"/>
      <c r="AE19" s="1442"/>
      <c r="AF19" s="1442"/>
      <c r="AG19" s="1442"/>
      <c r="AH19" s="1442"/>
      <c r="AI19" s="1442"/>
      <c r="AJ19" s="1442"/>
      <c r="AK19" s="1442"/>
      <c r="AL19" s="1442"/>
      <c r="AM19" s="1442"/>
      <c r="AN19" s="1442"/>
      <c r="AO19" s="1428"/>
      <c r="AP19" s="1428"/>
      <c r="AQ19" s="1443"/>
    </row>
    <row r="20" spans="1:43" s="651" customFormat="1" ht="46.5" customHeight="1" x14ac:dyDescent="0.2">
      <c r="A20" s="1121"/>
      <c r="B20" s="1135"/>
      <c r="C20" s="677"/>
      <c r="D20" s="1430"/>
      <c r="E20" s="710"/>
      <c r="F20" s="710"/>
      <c r="G20" s="1430"/>
      <c r="H20" s="710"/>
      <c r="I20" s="710"/>
      <c r="J20" s="3560">
        <v>204</v>
      </c>
      <c r="K20" s="3274" t="s">
        <v>1224</v>
      </c>
      <c r="L20" s="3259" t="s">
        <v>1225</v>
      </c>
      <c r="M20" s="3250">
        <v>13</v>
      </c>
      <c r="N20" s="218" t="s">
        <v>1226</v>
      </c>
      <c r="O20" s="3250" t="s">
        <v>1202</v>
      </c>
      <c r="P20" s="3253" t="s">
        <v>1203</v>
      </c>
      <c r="Q20" s="3277">
        <f>+(V20+V21)/R20</f>
        <v>1</v>
      </c>
      <c r="R20" s="3561">
        <f>SUM(V20:V21)</f>
        <v>170200000</v>
      </c>
      <c r="S20" s="3253" t="s">
        <v>1204</v>
      </c>
      <c r="T20" s="3253" t="s">
        <v>1205</v>
      </c>
      <c r="U20" s="4405" t="s">
        <v>1227</v>
      </c>
      <c r="V20" s="1136">
        <v>110200000</v>
      </c>
      <c r="W20" s="707">
        <v>4</v>
      </c>
      <c r="X20" s="1432" t="s">
        <v>1218</v>
      </c>
      <c r="Y20" s="3553"/>
      <c r="Z20" s="3553"/>
      <c r="AA20" s="3553"/>
      <c r="AB20" s="3553"/>
      <c r="AC20" s="3553"/>
      <c r="AD20" s="3553"/>
      <c r="AE20" s="3553"/>
      <c r="AF20" s="3553"/>
      <c r="AG20" s="3553"/>
      <c r="AH20" s="3553"/>
      <c r="AI20" s="3553"/>
      <c r="AJ20" s="3553"/>
      <c r="AK20" s="3553"/>
      <c r="AL20" s="3553"/>
      <c r="AM20" s="3553"/>
      <c r="AN20" s="3553"/>
      <c r="AO20" s="3539">
        <v>43480</v>
      </c>
      <c r="AP20" s="3539">
        <f>+AP12</f>
        <v>43830</v>
      </c>
      <c r="AQ20" s="4394" t="s">
        <v>1208</v>
      </c>
    </row>
    <row r="21" spans="1:43" s="651" customFormat="1" ht="51.75" customHeight="1" x14ac:dyDescent="0.2">
      <c r="A21" s="1121"/>
      <c r="B21" s="1135"/>
      <c r="C21" s="677"/>
      <c r="D21" s="1430"/>
      <c r="E21" s="710"/>
      <c r="F21" s="710"/>
      <c r="G21" s="1430"/>
      <c r="H21" s="710"/>
      <c r="I21" s="710"/>
      <c r="J21" s="3560"/>
      <c r="K21" s="3274"/>
      <c r="L21" s="3259"/>
      <c r="M21" s="3252"/>
      <c r="N21" s="218" t="s">
        <v>1228</v>
      </c>
      <c r="O21" s="3252"/>
      <c r="P21" s="3255"/>
      <c r="Q21" s="3279"/>
      <c r="R21" s="3562"/>
      <c r="S21" s="3255"/>
      <c r="T21" s="3255" t="s">
        <v>923</v>
      </c>
      <c r="U21" s="3268"/>
      <c r="V21" s="1136">
        <v>60000000</v>
      </c>
      <c r="W21" s="707">
        <v>12</v>
      </c>
      <c r="X21" s="1432" t="s">
        <v>1207</v>
      </c>
      <c r="Y21" s="3554"/>
      <c r="Z21" s="3554"/>
      <c r="AA21" s="3554"/>
      <c r="AB21" s="3554"/>
      <c r="AC21" s="3554"/>
      <c r="AD21" s="3554"/>
      <c r="AE21" s="3554"/>
      <c r="AF21" s="3554"/>
      <c r="AG21" s="3554"/>
      <c r="AH21" s="3554"/>
      <c r="AI21" s="3554"/>
      <c r="AJ21" s="3554"/>
      <c r="AK21" s="3554"/>
      <c r="AL21" s="3554"/>
      <c r="AM21" s="3554"/>
      <c r="AN21" s="3554"/>
      <c r="AO21" s="3540"/>
      <c r="AP21" s="3540"/>
      <c r="AQ21" s="4395"/>
    </row>
    <row r="22" spans="1:43" s="651" customFormat="1" ht="23.25" customHeight="1" x14ac:dyDescent="0.2">
      <c r="A22" s="1121"/>
      <c r="B22" s="1135"/>
      <c r="C22" s="677"/>
      <c r="D22" s="1430"/>
      <c r="E22" s="710"/>
      <c r="F22" s="710"/>
      <c r="G22" s="1420">
        <v>70</v>
      </c>
      <c r="H22" s="1421" t="s">
        <v>1229</v>
      </c>
      <c r="I22" s="1421"/>
      <c r="J22" s="1421"/>
      <c r="K22" s="1422"/>
      <c r="L22" s="1421"/>
      <c r="M22" s="1421"/>
      <c r="N22" s="1421"/>
      <c r="O22" s="1423"/>
      <c r="P22" s="1422"/>
      <c r="Q22" s="1424"/>
      <c r="R22" s="1440"/>
      <c r="S22" s="1422" t="s">
        <v>923</v>
      </c>
      <c r="T22" s="1422" t="s">
        <v>923</v>
      </c>
      <c r="U22" s="1422"/>
      <c r="V22" s="1441">
        <f>+SUM(V20:V21)</f>
        <v>170200000</v>
      </c>
      <c r="W22" s="1427"/>
      <c r="X22" s="1423"/>
      <c r="Y22" s="1442"/>
      <c r="Z22" s="1442"/>
      <c r="AA22" s="1442"/>
      <c r="AB22" s="1442"/>
      <c r="AC22" s="1442"/>
      <c r="AD22" s="1442"/>
      <c r="AE22" s="1442"/>
      <c r="AF22" s="1442"/>
      <c r="AG22" s="1442"/>
      <c r="AH22" s="1442"/>
      <c r="AI22" s="1442"/>
      <c r="AJ22" s="1442"/>
      <c r="AK22" s="1442"/>
      <c r="AL22" s="1442"/>
      <c r="AM22" s="1442"/>
      <c r="AN22" s="1442"/>
      <c r="AO22" s="1428"/>
      <c r="AP22" s="1428"/>
      <c r="AQ22" s="1443"/>
    </row>
    <row r="23" spans="1:43" s="651" customFormat="1" ht="42.75" customHeight="1" x14ac:dyDescent="0.2">
      <c r="A23" s="1121"/>
      <c r="B23" s="1135"/>
      <c r="C23" s="677"/>
      <c r="D23" s="1430"/>
      <c r="E23" s="710"/>
      <c r="F23" s="710"/>
      <c r="G23" s="1430"/>
      <c r="H23" s="710"/>
      <c r="I23" s="710"/>
      <c r="J23" s="3560">
        <v>205</v>
      </c>
      <c r="K23" s="3274" t="s">
        <v>1230</v>
      </c>
      <c r="L23" s="3922" t="s">
        <v>1231</v>
      </c>
      <c r="M23" s="3560">
        <v>1</v>
      </c>
      <c r="N23" s="218" t="s">
        <v>1232</v>
      </c>
      <c r="O23" s="3560" t="s">
        <v>1233</v>
      </c>
      <c r="P23" s="3274" t="s">
        <v>1234</v>
      </c>
      <c r="Q23" s="3277">
        <f>+(V23+V24+V25+V26+V27)/R23</f>
        <v>1</v>
      </c>
      <c r="R23" s="3566">
        <f>+SUM(V23:V27)</f>
        <v>378974532.34000003</v>
      </c>
      <c r="S23" s="3253" t="s">
        <v>1235</v>
      </c>
      <c r="T23" s="3253" t="s">
        <v>1236</v>
      </c>
      <c r="U23" s="4405" t="s">
        <v>1237</v>
      </c>
      <c r="V23" s="1136">
        <v>120000000</v>
      </c>
      <c r="W23" s="707">
        <v>12</v>
      </c>
      <c r="X23" s="1432" t="s">
        <v>1207</v>
      </c>
      <c r="Y23" s="3276">
        <v>6000</v>
      </c>
      <c r="Z23" s="3276">
        <v>9000</v>
      </c>
      <c r="AA23" s="3276">
        <v>10500</v>
      </c>
      <c r="AB23" s="3276">
        <v>4500</v>
      </c>
      <c r="AC23" s="3276"/>
      <c r="AD23" s="3276"/>
      <c r="AE23" s="3276">
        <v>22</v>
      </c>
      <c r="AF23" s="3276">
        <v>115</v>
      </c>
      <c r="AG23" s="3276">
        <v>1</v>
      </c>
      <c r="AH23" s="3276"/>
      <c r="AI23" s="3276"/>
      <c r="AJ23" s="3276"/>
      <c r="AK23" s="3276"/>
      <c r="AL23" s="3276">
        <v>59</v>
      </c>
      <c r="AM23" s="4410"/>
      <c r="AN23" s="3276">
        <f>+Y23+Z23</f>
        <v>15000</v>
      </c>
      <c r="AO23" s="3547">
        <v>43480</v>
      </c>
      <c r="AP23" s="3547">
        <v>43830</v>
      </c>
      <c r="AQ23" s="4417" t="s">
        <v>1208</v>
      </c>
    </row>
    <row r="24" spans="1:43" s="651" customFormat="1" ht="38.25" customHeight="1" x14ac:dyDescent="0.2">
      <c r="A24" s="1121"/>
      <c r="B24" s="1135"/>
      <c r="C24" s="677"/>
      <c r="D24" s="1430"/>
      <c r="E24" s="710"/>
      <c r="F24" s="710"/>
      <c r="G24" s="1430"/>
      <c r="H24" s="710"/>
      <c r="I24" s="710"/>
      <c r="J24" s="3560"/>
      <c r="K24" s="3274"/>
      <c r="L24" s="3922"/>
      <c r="M24" s="3560"/>
      <c r="N24" s="218" t="s">
        <v>1238</v>
      </c>
      <c r="O24" s="3560"/>
      <c r="P24" s="3274"/>
      <c r="Q24" s="3278"/>
      <c r="R24" s="3566"/>
      <c r="S24" s="3254"/>
      <c r="T24" s="3254" t="s">
        <v>923</v>
      </c>
      <c r="U24" s="4406"/>
      <c r="V24" s="1136">
        <v>100000000</v>
      </c>
      <c r="W24" s="707">
        <v>4</v>
      </c>
      <c r="X24" s="1432" t="s">
        <v>1218</v>
      </c>
      <c r="Y24" s="3276"/>
      <c r="Z24" s="3276"/>
      <c r="AA24" s="3276"/>
      <c r="AB24" s="3276"/>
      <c r="AC24" s="3276"/>
      <c r="AD24" s="3276"/>
      <c r="AE24" s="3276"/>
      <c r="AF24" s="3276"/>
      <c r="AG24" s="3276"/>
      <c r="AH24" s="3276"/>
      <c r="AI24" s="3276"/>
      <c r="AJ24" s="3276"/>
      <c r="AK24" s="3276"/>
      <c r="AL24" s="3276"/>
      <c r="AM24" s="4411"/>
      <c r="AN24" s="3276"/>
      <c r="AO24" s="3547"/>
      <c r="AP24" s="3547"/>
      <c r="AQ24" s="4417"/>
    </row>
    <row r="25" spans="1:43" s="651" customFormat="1" ht="38.25" customHeight="1" x14ac:dyDescent="0.2">
      <c r="A25" s="1121"/>
      <c r="B25" s="1135"/>
      <c r="C25" s="677"/>
      <c r="D25" s="1430"/>
      <c r="E25" s="710"/>
      <c r="F25" s="710"/>
      <c r="G25" s="1430"/>
      <c r="H25" s="710"/>
      <c r="I25" s="710"/>
      <c r="J25" s="3560"/>
      <c r="K25" s="3274"/>
      <c r="L25" s="3922"/>
      <c r="M25" s="3560"/>
      <c r="N25" s="218" t="s">
        <v>1239</v>
      </c>
      <c r="O25" s="3560"/>
      <c r="P25" s="3274"/>
      <c r="Q25" s="3278"/>
      <c r="R25" s="3566"/>
      <c r="S25" s="3254"/>
      <c r="T25" s="3254"/>
      <c r="U25" s="4406"/>
      <c r="V25" s="1136">
        <v>100000000</v>
      </c>
      <c r="W25" s="707">
        <v>7</v>
      </c>
      <c r="X25" s="1432" t="s">
        <v>1240</v>
      </c>
      <c r="Y25" s="3276"/>
      <c r="Z25" s="3276"/>
      <c r="AA25" s="3276"/>
      <c r="AB25" s="3276"/>
      <c r="AC25" s="3276"/>
      <c r="AD25" s="3276"/>
      <c r="AE25" s="3276"/>
      <c r="AF25" s="3276"/>
      <c r="AG25" s="3276"/>
      <c r="AH25" s="3276"/>
      <c r="AI25" s="3276"/>
      <c r="AJ25" s="3276"/>
      <c r="AK25" s="3276"/>
      <c r="AL25" s="3276"/>
      <c r="AM25" s="4411"/>
      <c r="AN25" s="3276"/>
      <c r="AO25" s="3547"/>
      <c r="AP25" s="3547"/>
      <c r="AQ25" s="4417"/>
    </row>
    <row r="26" spans="1:43" s="651" customFormat="1" ht="38.25" customHeight="1" x14ac:dyDescent="0.2">
      <c r="A26" s="1121"/>
      <c r="B26" s="1135"/>
      <c r="C26" s="677"/>
      <c r="D26" s="1430"/>
      <c r="E26" s="710"/>
      <c r="F26" s="710"/>
      <c r="G26" s="1430"/>
      <c r="H26" s="710"/>
      <c r="I26" s="710"/>
      <c r="J26" s="3560"/>
      <c r="K26" s="3274"/>
      <c r="L26" s="3922"/>
      <c r="M26" s="3560"/>
      <c r="N26" s="218" t="s">
        <v>1241</v>
      </c>
      <c r="O26" s="3560"/>
      <c r="P26" s="3274"/>
      <c r="Q26" s="3278"/>
      <c r="R26" s="3566"/>
      <c r="S26" s="3254"/>
      <c r="T26" s="3254"/>
      <c r="U26" s="4406"/>
      <c r="V26" s="1136">
        <v>45006589.340000004</v>
      </c>
      <c r="W26" s="707">
        <v>13</v>
      </c>
      <c r="X26" s="1432" t="s">
        <v>1242</v>
      </c>
      <c r="Y26" s="3276"/>
      <c r="Z26" s="3276"/>
      <c r="AA26" s="3276"/>
      <c r="AB26" s="3276"/>
      <c r="AC26" s="3276"/>
      <c r="AD26" s="3276"/>
      <c r="AE26" s="3276"/>
      <c r="AF26" s="3276"/>
      <c r="AG26" s="3276"/>
      <c r="AH26" s="3276"/>
      <c r="AI26" s="3276"/>
      <c r="AJ26" s="3276"/>
      <c r="AK26" s="3276"/>
      <c r="AL26" s="3276"/>
      <c r="AM26" s="4411"/>
      <c r="AN26" s="3276"/>
      <c r="AO26" s="3547"/>
      <c r="AP26" s="3547"/>
      <c r="AQ26" s="4417"/>
    </row>
    <row r="27" spans="1:43" s="651" customFormat="1" ht="38.25" customHeight="1" x14ac:dyDescent="0.2">
      <c r="A27" s="1121"/>
      <c r="B27" s="1135"/>
      <c r="C27" s="677"/>
      <c r="D27" s="1430"/>
      <c r="E27" s="710"/>
      <c r="F27" s="710"/>
      <c r="G27" s="1430"/>
      <c r="H27" s="710"/>
      <c r="I27" s="710"/>
      <c r="J27" s="3560"/>
      <c r="K27" s="3274"/>
      <c r="L27" s="3922"/>
      <c r="M27" s="3560"/>
      <c r="N27" s="184" t="s">
        <v>1243</v>
      </c>
      <c r="O27" s="3560"/>
      <c r="P27" s="3274"/>
      <c r="Q27" s="3279"/>
      <c r="R27" s="3566"/>
      <c r="S27" s="3254"/>
      <c r="T27" s="3254"/>
      <c r="U27" s="4406"/>
      <c r="V27" s="1444">
        <v>13967943</v>
      </c>
      <c r="W27" s="707">
        <v>15</v>
      </c>
      <c r="X27" s="710" t="s">
        <v>1210</v>
      </c>
      <c r="Y27" s="3276"/>
      <c r="Z27" s="3276"/>
      <c r="AA27" s="3276"/>
      <c r="AB27" s="3276"/>
      <c r="AC27" s="3276"/>
      <c r="AD27" s="3276"/>
      <c r="AE27" s="3276"/>
      <c r="AF27" s="3276"/>
      <c r="AG27" s="3276"/>
      <c r="AH27" s="3276"/>
      <c r="AI27" s="3276"/>
      <c r="AJ27" s="3276"/>
      <c r="AK27" s="3276"/>
      <c r="AL27" s="3276"/>
      <c r="AM27" s="4412"/>
      <c r="AN27" s="3276"/>
      <c r="AO27" s="3547"/>
      <c r="AP27" s="3547"/>
      <c r="AQ27" s="4417"/>
    </row>
    <row r="28" spans="1:43" s="651" customFormat="1" ht="23.25" customHeight="1" thickBot="1" x14ac:dyDescent="0.25">
      <c r="A28" s="1121"/>
      <c r="B28" s="1135"/>
      <c r="C28" s="677"/>
      <c r="D28" s="1430"/>
      <c r="E28" s="710"/>
      <c r="F28" s="710"/>
      <c r="G28" s="1420">
        <v>71</v>
      </c>
      <c r="H28" s="1421" t="s">
        <v>1244</v>
      </c>
      <c r="I28" s="1421"/>
      <c r="J28" s="1421"/>
      <c r="K28" s="1422"/>
      <c r="L28" s="1421"/>
      <c r="M28" s="1421"/>
      <c r="N28" s="1421"/>
      <c r="O28" s="1423"/>
      <c r="P28" s="1422"/>
      <c r="Q28" s="1424"/>
      <c r="R28" s="1440"/>
      <c r="S28" s="1422" t="s">
        <v>923</v>
      </c>
      <c r="T28" s="1422" t="s">
        <v>923</v>
      </c>
      <c r="U28" s="1422"/>
      <c r="V28" s="1441">
        <f>+SUM(V23:V27)</f>
        <v>378974532.34000003</v>
      </c>
      <c r="W28" s="1427"/>
      <c r="X28" s="1423"/>
      <c r="Y28" s="1442"/>
      <c r="Z28" s="1442"/>
      <c r="AA28" s="1442"/>
      <c r="AB28" s="1442"/>
      <c r="AC28" s="1442"/>
      <c r="AD28" s="1442"/>
      <c r="AE28" s="1442"/>
      <c r="AF28" s="1442"/>
      <c r="AG28" s="1442"/>
      <c r="AH28" s="1442"/>
      <c r="AI28" s="1442"/>
      <c r="AJ28" s="1442"/>
      <c r="AK28" s="1442"/>
      <c r="AL28" s="1442"/>
      <c r="AM28" s="1442"/>
      <c r="AN28" s="1442"/>
      <c r="AO28" s="1428"/>
      <c r="AP28" s="1428"/>
      <c r="AQ28" s="1443"/>
    </row>
    <row r="29" spans="1:43" s="651" customFormat="1" ht="52.5" customHeight="1" x14ac:dyDescent="0.2">
      <c r="A29" s="1121"/>
      <c r="B29" s="1135"/>
      <c r="C29" s="677"/>
      <c r="D29" s="1430"/>
      <c r="E29" s="710"/>
      <c r="F29" s="710"/>
      <c r="G29" s="1430"/>
      <c r="H29" s="710"/>
      <c r="I29" s="710"/>
      <c r="J29" s="3250">
        <v>206</v>
      </c>
      <c r="K29" s="3488" t="s">
        <v>1245</v>
      </c>
      <c r="L29" s="4415" t="s">
        <v>1246</v>
      </c>
      <c r="M29" s="3250">
        <v>12</v>
      </c>
      <c r="N29" s="218" t="s">
        <v>1247</v>
      </c>
      <c r="O29" s="3250" t="s">
        <v>1248</v>
      </c>
      <c r="P29" s="3253" t="s">
        <v>1249</v>
      </c>
      <c r="Q29" s="3277">
        <f>+(V29+V30)/$R$29</f>
        <v>0.32857142857142857</v>
      </c>
      <c r="R29" s="3566">
        <f>SUM(V29:V34)</f>
        <v>350000000</v>
      </c>
      <c r="S29" s="3253" t="s">
        <v>1250</v>
      </c>
      <c r="T29" s="3253" t="s">
        <v>1251</v>
      </c>
      <c r="U29" s="4405" t="s">
        <v>1252</v>
      </c>
      <c r="V29" s="1136">
        <v>55000000</v>
      </c>
      <c r="W29" s="1445">
        <v>12</v>
      </c>
      <c r="X29" s="1446" t="s">
        <v>1207</v>
      </c>
      <c r="Y29" s="3553">
        <v>900</v>
      </c>
      <c r="Z29" s="3553">
        <v>300</v>
      </c>
      <c r="AA29" s="3553">
        <v>372</v>
      </c>
      <c r="AB29" s="3553">
        <v>94</v>
      </c>
      <c r="AC29" s="3553">
        <v>734</v>
      </c>
      <c r="AD29" s="3553"/>
      <c r="AE29" s="3553"/>
      <c r="AF29" s="3553"/>
      <c r="AG29" s="3553"/>
      <c r="AH29" s="3553"/>
      <c r="AI29" s="3553"/>
      <c r="AJ29" s="3553"/>
      <c r="AK29" s="3553"/>
      <c r="AL29" s="3553"/>
      <c r="AM29" s="4410"/>
      <c r="AN29" s="3553">
        <f>+Y29+Z29</f>
        <v>1200</v>
      </c>
      <c r="AO29" s="3539">
        <v>43480</v>
      </c>
      <c r="AP29" s="3539">
        <v>43830</v>
      </c>
      <c r="AQ29" s="4413" t="s">
        <v>1208</v>
      </c>
    </row>
    <row r="30" spans="1:43" s="651" customFormat="1" ht="33" customHeight="1" x14ac:dyDescent="0.2">
      <c r="A30" s="1121"/>
      <c r="B30" s="1135"/>
      <c r="C30" s="677"/>
      <c r="D30" s="1430"/>
      <c r="E30" s="710"/>
      <c r="F30" s="710"/>
      <c r="G30" s="1430"/>
      <c r="H30" s="710"/>
      <c r="I30" s="710"/>
      <c r="J30" s="3252"/>
      <c r="K30" s="3490"/>
      <c r="L30" s="4416"/>
      <c r="M30" s="3252"/>
      <c r="N30" s="218" t="s">
        <v>1253</v>
      </c>
      <c r="O30" s="3251"/>
      <c r="P30" s="3254"/>
      <c r="Q30" s="3279"/>
      <c r="R30" s="3566"/>
      <c r="S30" s="3254"/>
      <c r="T30" s="3254"/>
      <c r="U30" s="3268"/>
      <c r="V30" s="1136">
        <v>60000000</v>
      </c>
      <c r="W30" s="1447">
        <v>13</v>
      </c>
      <c r="X30" s="218" t="s">
        <v>1254</v>
      </c>
      <c r="Y30" s="4400"/>
      <c r="Z30" s="4400"/>
      <c r="AA30" s="4400"/>
      <c r="AB30" s="4400"/>
      <c r="AC30" s="4400"/>
      <c r="AD30" s="4400"/>
      <c r="AE30" s="4400"/>
      <c r="AF30" s="4400"/>
      <c r="AG30" s="4400"/>
      <c r="AH30" s="4400"/>
      <c r="AI30" s="4400"/>
      <c r="AJ30" s="4400"/>
      <c r="AK30" s="4400"/>
      <c r="AL30" s="4400"/>
      <c r="AM30" s="4411"/>
      <c r="AN30" s="4400"/>
      <c r="AO30" s="3540"/>
      <c r="AP30" s="3540"/>
      <c r="AQ30" s="4414"/>
    </row>
    <row r="31" spans="1:43" s="651" customFormat="1" ht="54" customHeight="1" x14ac:dyDescent="0.2">
      <c r="A31" s="1121"/>
      <c r="B31" s="1135"/>
      <c r="C31" s="677"/>
      <c r="D31" s="1430"/>
      <c r="E31" s="710"/>
      <c r="F31" s="710"/>
      <c r="G31" s="1430"/>
      <c r="H31" s="710"/>
      <c r="I31" s="710"/>
      <c r="J31" s="3250">
        <v>207</v>
      </c>
      <c r="K31" s="3488" t="s">
        <v>1255</v>
      </c>
      <c r="L31" s="4415" t="s">
        <v>1256</v>
      </c>
      <c r="M31" s="3250">
        <v>1</v>
      </c>
      <c r="N31" s="218" t="s">
        <v>1257</v>
      </c>
      <c r="O31" s="3251"/>
      <c r="P31" s="3254"/>
      <c r="Q31" s="3277">
        <f>+(V31+V32)/$R$29</f>
        <v>0.51428571428571423</v>
      </c>
      <c r="R31" s="3566"/>
      <c r="S31" s="3254"/>
      <c r="T31" s="3254"/>
      <c r="U31" s="4405" t="s">
        <v>1258</v>
      </c>
      <c r="V31" s="1136">
        <v>100000000</v>
      </c>
      <c r="W31" s="1447">
        <v>13</v>
      </c>
      <c r="X31" s="218" t="s">
        <v>1254</v>
      </c>
      <c r="Y31" s="4400"/>
      <c r="Z31" s="4400"/>
      <c r="AA31" s="4400"/>
      <c r="AB31" s="4400"/>
      <c r="AC31" s="4400"/>
      <c r="AD31" s="4400"/>
      <c r="AE31" s="4400"/>
      <c r="AF31" s="4400"/>
      <c r="AG31" s="4400"/>
      <c r="AH31" s="4400"/>
      <c r="AI31" s="4400"/>
      <c r="AJ31" s="4400"/>
      <c r="AK31" s="4400"/>
      <c r="AL31" s="4400"/>
      <c r="AM31" s="4411"/>
      <c r="AN31" s="4400"/>
      <c r="AO31" s="3540"/>
      <c r="AP31" s="3540"/>
      <c r="AQ31" s="4414"/>
    </row>
    <row r="32" spans="1:43" s="651" customFormat="1" ht="33" customHeight="1" x14ac:dyDescent="0.2">
      <c r="A32" s="1121"/>
      <c r="B32" s="1135"/>
      <c r="C32" s="677"/>
      <c r="D32" s="1430"/>
      <c r="E32" s="710"/>
      <c r="F32" s="710"/>
      <c r="G32" s="1430"/>
      <c r="H32" s="710"/>
      <c r="I32" s="710"/>
      <c r="J32" s="3252"/>
      <c r="K32" s="3490"/>
      <c r="L32" s="4416"/>
      <c r="M32" s="3252"/>
      <c r="N32" s="218" t="s">
        <v>1259</v>
      </c>
      <c r="O32" s="3251"/>
      <c r="P32" s="3254"/>
      <c r="Q32" s="3279"/>
      <c r="R32" s="3566"/>
      <c r="S32" s="3254"/>
      <c r="T32" s="3254" t="s">
        <v>923</v>
      </c>
      <c r="U32" s="3268"/>
      <c r="V32" s="1136">
        <v>80000000</v>
      </c>
      <c r="W32" s="1447">
        <v>12</v>
      </c>
      <c r="X32" s="218" t="s">
        <v>1207</v>
      </c>
      <c r="Y32" s="4400"/>
      <c r="Z32" s="4400"/>
      <c r="AA32" s="4400"/>
      <c r="AB32" s="4400"/>
      <c r="AC32" s="4400"/>
      <c r="AD32" s="4400"/>
      <c r="AE32" s="4400"/>
      <c r="AF32" s="4400"/>
      <c r="AG32" s="4400"/>
      <c r="AH32" s="4400"/>
      <c r="AI32" s="4400"/>
      <c r="AJ32" s="4400"/>
      <c r="AK32" s="4400"/>
      <c r="AL32" s="4400"/>
      <c r="AM32" s="4411"/>
      <c r="AN32" s="4400"/>
      <c r="AO32" s="3540"/>
      <c r="AP32" s="3540"/>
      <c r="AQ32" s="4414"/>
    </row>
    <row r="33" spans="1:43" s="651" customFormat="1" ht="38.25" customHeight="1" x14ac:dyDescent="0.2">
      <c r="A33" s="1121"/>
      <c r="B33" s="1135"/>
      <c r="C33" s="677"/>
      <c r="D33" s="1430"/>
      <c r="E33" s="710"/>
      <c r="F33" s="710"/>
      <c r="G33" s="1430"/>
      <c r="H33" s="710"/>
      <c r="I33" s="710"/>
      <c r="J33" s="3560">
        <v>208</v>
      </c>
      <c r="K33" s="3259" t="s">
        <v>1260</v>
      </c>
      <c r="L33" s="3259" t="s">
        <v>1261</v>
      </c>
      <c r="M33" s="3560">
        <v>1</v>
      </c>
      <c r="N33" s="218" t="s">
        <v>1262</v>
      </c>
      <c r="O33" s="3251"/>
      <c r="P33" s="3254"/>
      <c r="Q33" s="3277">
        <f>+(V33+V34)/$R$29</f>
        <v>0.15714285714285714</v>
      </c>
      <c r="R33" s="3566"/>
      <c r="S33" s="3254"/>
      <c r="T33" s="3254" t="s">
        <v>923</v>
      </c>
      <c r="U33" s="4407" t="s">
        <v>1263</v>
      </c>
      <c r="V33" s="1136">
        <v>30000000</v>
      </c>
      <c r="W33" s="1448">
        <v>4</v>
      </c>
      <c r="X33" s="218" t="s">
        <v>1218</v>
      </c>
      <c r="Y33" s="4400"/>
      <c r="Z33" s="4400"/>
      <c r="AA33" s="4400"/>
      <c r="AB33" s="4400"/>
      <c r="AC33" s="4400"/>
      <c r="AD33" s="4400"/>
      <c r="AE33" s="4400"/>
      <c r="AF33" s="4400"/>
      <c r="AG33" s="4400"/>
      <c r="AH33" s="4400"/>
      <c r="AI33" s="4400"/>
      <c r="AJ33" s="4400"/>
      <c r="AK33" s="4400"/>
      <c r="AL33" s="4400"/>
      <c r="AM33" s="4411"/>
      <c r="AN33" s="4400"/>
      <c r="AO33" s="3540"/>
      <c r="AP33" s="3540"/>
      <c r="AQ33" s="4414"/>
    </row>
    <row r="34" spans="1:43" s="651" customFormat="1" ht="37.5" customHeight="1" x14ac:dyDescent="0.2">
      <c r="A34" s="1121"/>
      <c r="B34" s="1135"/>
      <c r="C34" s="677"/>
      <c r="D34" s="1430"/>
      <c r="E34" s="710"/>
      <c r="F34" s="710"/>
      <c r="G34" s="1430"/>
      <c r="H34" s="710"/>
      <c r="I34" s="710"/>
      <c r="J34" s="3560"/>
      <c r="K34" s="3259"/>
      <c r="L34" s="3259"/>
      <c r="M34" s="3560"/>
      <c r="N34" s="218" t="s">
        <v>1264</v>
      </c>
      <c r="O34" s="3251"/>
      <c r="P34" s="3254"/>
      <c r="Q34" s="3279"/>
      <c r="R34" s="3566"/>
      <c r="S34" s="3254"/>
      <c r="T34" s="3254"/>
      <c r="U34" s="4407"/>
      <c r="V34" s="1136">
        <v>25000000</v>
      </c>
      <c r="W34" s="1448">
        <v>12</v>
      </c>
      <c r="X34" s="218" t="s">
        <v>1207</v>
      </c>
      <c r="Y34" s="4400"/>
      <c r="Z34" s="4400"/>
      <c r="AA34" s="4400"/>
      <c r="AB34" s="4400"/>
      <c r="AC34" s="4400"/>
      <c r="AD34" s="4400"/>
      <c r="AE34" s="4400"/>
      <c r="AF34" s="4400"/>
      <c r="AG34" s="4400"/>
      <c r="AH34" s="4400"/>
      <c r="AI34" s="4400"/>
      <c r="AJ34" s="4400"/>
      <c r="AK34" s="4400"/>
      <c r="AL34" s="4400"/>
      <c r="AM34" s="4411"/>
      <c r="AN34" s="4400"/>
      <c r="AO34" s="3540"/>
      <c r="AP34" s="3540"/>
      <c r="AQ34" s="4414"/>
    </row>
    <row r="35" spans="1:43" s="651" customFormat="1" ht="20.25" customHeight="1" x14ac:dyDescent="0.2">
      <c r="A35" s="708"/>
      <c r="B35" s="1408"/>
      <c r="C35" s="1132"/>
      <c r="D35" s="1409">
        <v>21</v>
      </c>
      <c r="E35" s="1410" t="s">
        <v>1265</v>
      </c>
      <c r="F35" s="1410"/>
      <c r="G35" s="1410"/>
      <c r="H35" s="1410"/>
      <c r="I35" s="1410"/>
      <c r="J35" s="1410"/>
      <c r="K35" s="1411"/>
      <c r="L35" s="1410"/>
      <c r="M35" s="1410"/>
      <c r="N35" s="1410"/>
      <c r="O35" s="1412"/>
      <c r="P35" s="1411"/>
      <c r="Q35" s="1413"/>
      <c r="R35" s="1449"/>
      <c r="S35" s="1411" t="s">
        <v>923</v>
      </c>
      <c r="T35" s="1411" t="s">
        <v>923</v>
      </c>
      <c r="U35" s="1411"/>
      <c r="V35" s="1450">
        <f>+SUM(V29:V34)</f>
        <v>350000000</v>
      </c>
      <c r="W35" s="1416"/>
      <c r="X35" s="1412"/>
      <c r="Y35" s="1410"/>
      <c r="Z35" s="1410"/>
      <c r="AA35" s="1410"/>
      <c r="AB35" s="1410"/>
      <c r="AC35" s="1410"/>
      <c r="AD35" s="1410"/>
      <c r="AE35" s="1410"/>
      <c r="AF35" s="1410"/>
      <c r="AG35" s="1410"/>
      <c r="AH35" s="1410"/>
      <c r="AI35" s="1410"/>
      <c r="AJ35" s="1410"/>
      <c r="AK35" s="1410"/>
      <c r="AL35" s="1410"/>
      <c r="AM35" s="1410"/>
      <c r="AN35" s="1410"/>
      <c r="AO35" s="1417"/>
      <c r="AP35" s="1417"/>
      <c r="AQ35" s="1418"/>
    </row>
    <row r="36" spans="1:43" s="651" customFormat="1" ht="23.25" customHeight="1" x14ac:dyDescent="0.2">
      <c r="A36" s="1121"/>
      <c r="B36" s="1135"/>
      <c r="C36" s="677"/>
      <c r="D36" s="1430"/>
      <c r="E36" s="710"/>
      <c r="F36" s="710"/>
      <c r="G36" s="1420">
        <v>72</v>
      </c>
      <c r="H36" s="1421" t="s">
        <v>1266</v>
      </c>
      <c r="I36" s="1421"/>
      <c r="J36" s="1421"/>
      <c r="K36" s="1422"/>
      <c r="L36" s="1421"/>
      <c r="M36" s="1421"/>
      <c r="N36" s="1421"/>
      <c r="O36" s="1423"/>
      <c r="P36" s="1422"/>
      <c r="Q36" s="1424"/>
      <c r="R36" s="1440"/>
      <c r="S36" s="1422" t="s">
        <v>923</v>
      </c>
      <c r="T36" s="1422" t="s">
        <v>923</v>
      </c>
      <c r="U36" s="1422"/>
      <c r="V36" s="1441"/>
      <c r="W36" s="1427"/>
      <c r="X36" s="1423"/>
      <c r="Y36" s="1442"/>
      <c r="Z36" s="1442"/>
      <c r="AA36" s="1442"/>
      <c r="AB36" s="1442"/>
      <c r="AC36" s="1442"/>
      <c r="AD36" s="1442"/>
      <c r="AE36" s="1442"/>
      <c r="AF36" s="1442"/>
      <c r="AG36" s="1442"/>
      <c r="AH36" s="1442"/>
      <c r="AI36" s="1442"/>
      <c r="AJ36" s="1442"/>
      <c r="AK36" s="1442"/>
      <c r="AL36" s="1442"/>
      <c r="AM36" s="1442"/>
      <c r="AN36" s="1442"/>
      <c r="AO36" s="1428"/>
      <c r="AP36" s="1428"/>
      <c r="AQ36" s="1443"/>
    </row>
    <row r="37" spans="1:43" s="651" customFormat="1" ht="37.5" customHeight="1" x14ac:dyDescent="0.2">
      <c r="A37" s="1121"/>
      <c r="B37" s="1135"/>
      <c r="C37" s="677"/>
      <c r="D37" s="1430"/>
      <c r="E37" s="710"/>
      <c r="F37" s="710"/>
      <c r="G37" s="1430"/>
      <c r="H37" s="710"/>
      <c r="I37" s="710"/>
      <c r="J37" s="3560">
        <v>209</v>
      </c>
      <c r="K37" s="3247" t="s">
        <v>1267</v>
      </c>
      <c r="L37" s="3247" t="s">
        <v>1268</v>
      </c>
      <c r="M37" s="3250">
        <v>1</v>
      </c>
      <c r="N37" s="218" t="s">
        <v>1269</v>
      </c>
      <c r="O37" s="3250" t="s">
        <v>1270</v>
      </c>
      <c r="P37" s="3253" t="s">
        <v>1271</v>
      </c>
      <c r="Q37" s="3277">
        <f>+(V37+V38+V39)/$R$37</f>
        <v>0.39199154127076863</v>
      </c>
      <c r="R37" s="3561">
        <f>+SUM(V37:V47)</f>
        <v>191330659.22</v>
      </c>
      <c r="S37" s="3253" t="s">
        <v>1272</v>
      </c>
      <c r="T37" s="3253" t="s">
        <v>1273</v>
      </c>
      <c r="U37" s="4405" t="s">
        <v>1274</v>
      </c>
      <c r="V37" s="1136">
        <v>30000000</v>
      </c>
      <c r="W37" s="707">
        <v>3</v>
      </c>
      <c r="X37" s="1432" t="s">
        <v>1212</v>
      </c>
      <c r="Y37" s="3553">
        <v>1666</v>
      </c>
      <c r="Z37" s="3553">
        <v>1507</v>
      </c>
      <c r="AA37" s="3553">
        <v>1400</v>
      </c>
      <c r="AB37" s="3553">
        <v>350</v>
      </c>
      <c r="AC37" s="3553">
        <v>450</v>
      </c>
      <c r="AD37" s="3553">
        <v>973</v>
      </c>
      <c r="AE37" s="3553"/>
      <c r="AF37" s="3553"/>
      <c r="AG37" s="3553"/>
      <c r="AH37" s="3553"/>
      <c r="AI37" s="3553"/>
      <c r="AJ37" s="3553"/>
      <c r="AK37" s="3553"/>
      <c r="AL37" s="3553"/>
      <c r="AM37" s="4410"/>
      <c r="AN37" s="3553">
        <f>+Y37+Z37</f>
        <v>3173</v>
      </c>
      <c r="AO37" s="3539">
        <v>43480</v>
      </c>
      <c r="AP37" s="3539">
        <v>43830</v>
      </c>
      <c r="AQ37" s="4413" t="s">
        <v>1208</v>
      </c>
    </row>
    <row r="38" spans="1:43" s="651" customFormat="1" ht="36" customHeight="1" x14ac:dyDescent="0.2">
      <c r="A38" s="1121"/>
      <c r="B38" s="1135"/>
      <c r="C38" s="677"/>
      <c r="D38" s="1430"/>
      <c r="E38" s="710"/>
      <c r="F38" s="710"/>
      <c r="G38" s="1430"/>
      <c r="H38" s="710"/>
      <c r="I38" s="710"/>
      <c r="J38" s="3560"/>
      <c r="K38" s="3248"/>
      <c r="L38" s="3248"/>
      <c r="M38" s="3251"/>
      <c r="N38" s="218" t="s">
        <v>1275</v>
      </c>
      <c r="O38" s="3251"/>
      <c r="P38" s="3254"/>
      <c r="Q38" s="3278"/>
      <c r="R38" s="4404"/>
      <c r="S38" s="3254"/>
      <c r="T38" s="3254"/>
      <c r="U38" s="4406"/>
      <c r="V38" s="1136">
        <v>25000000</v>
      </c>
      <c r="W38" s="707">
        <v>7</v>
      </c>
      <c r="X38" s="1432" t="s">
        <v>1240</v>
      </c>
      <c r="Y38" s="4400"/>
      <c r="Z38" s="4400"/>
      <c r="AA38" s="4400"/>
      <c r="AB38" s="4400"/>
      <c r="AC38" s="4400"/>
      <c r="AD38" s="4400"/>
      <c r="AE38" s="4400"/>
      <c r="AF38" s="4400"/>
      <c r="AG38" s="4400"/>
      <c r="AH38" s="4400"/>
      <c r="AI38" s="4400"/>
      <c r="AJ38" s="4400"/>
      <c r="AK38" s="4400"/>
      <c r="AL38" s="4400"/>
      <c r="AM38" s="4411"/>
      <c r="AN38" s="4400"/>
      <c r="AO38" s="3540"/>
      <c r="AP38" s="3540"/>
      <c r="AQ38" s="4414"/>
    </row>
    <row r="39" spans="1:43" s="651" customFormat="1" ht="36" customHeight="1" x14ac:dyDescent="0.2">
      <c r="A39" s="1121"/>
      <c r="B39" s="1135"/>
      <c r="C39" s="677"/>
      <c r="D39" s="1430"/>
      <c r="E39" s="710"/>
      <c r="F39" s="710"/>
      <c r="G39" s="1430"/>
      <c r="H39" s="710"/>
      <c r="I39" s="710"/>
      <c r="J39" s="3560"/>
      <c r="K39" s="3248"/>
      <c r="L39" s="3248"/>
      <c r="M39" s="3251"/>
      <c r="N39" s="246" t="s">
        <v>1276</v>
      </c>
      <c r="O39" s="3251"/>
      <c r="P39" s="3254"/>
      <c r="Q39" s="3279"/>
      <c r="R39" s="4404"/>
      <c r="S39" s="3254"/>
      <c r="T39" s="3254"/>
      <c r="U39" s="4406"/>
      <c r="V39" s="1451">
        <v>20000000</v>
      </c>
      <c r="W39" s="707">
        <v>3</v>
      </c>
      <c r="X39" s="722" t="s">
        <v>1277</v>
      </c>
      <c r="Y39" s="4400"/>
      <c r="Z39" s="4400"/>
      <c r="AA39" s="4400"/>
      <c r="AB39" s="4400"/>
      <c r="AC39" s="4400"/>
      <c r="AD39" s="4400"/>
      <c r="AE39" s="4400"/>
      <c r="AF39" s="4400"/>
      <c r="AG39" s="4400"/>
      <c r="AH39" s="4400"/>
      <c r="AI39" s="4400"/>
      <c r="AJ39" s="4400"/>
      <c r="AK39" s="4400"/>
      <c r="AL39" s="4400"/>
      <c r="AM39" s="4411"/>
      <c r="AN39" s="4400"/>
      <c r="AO39" s="3540"/>
      <c r="AP39" s="3540"/>
      <c r="AQ39" s="4414"/>
    </row>
    <row r="40" spans="1:43" s="651" customFormat="1" ht="39" customHeight="1" x14ac:dyDescent="0.2">
      <c r="A40" s="1121"/>
      <c r="B40" s="1135"/>
      <c r="C40" s="677"/>
      <c r="D40" s="1430"/>
      <c r="E40" s="710"/>
      <c r="F40" s="710"/>
      <c r="G40" s="1430"/>
      <c r="H40" s="710"/>
      <c r="I40" s="710"/>
      <c r="J40" s="3250">
        <v>210</v>
      </c>
      <c r="K40" s="3247" t="s">
        <v>1278</v>
      </c>
      <c r="L40" s="3247" t="s">
        <v>1279</v>
      </c>
      <c r="M40" s="3250">
        <v>1</v>
      </c>
      <c r="N40" s="218" t="s">
        <v>1280</v>
      </c>
      <c r="O40" s="3251"/>
      <c r="P40" s="3254"/>
      <c r="Q40" s="3277">
        <f>+(V40+V41+V42+V43)/$R$37</f>
        <v>0.2935809149928878</v>
      </c>
      <c r="R40" s="4404"/>
      <c r="S40" s="3254"/>
      <c r="T40" s="3254"/>
      <c r="U40" s="4405" t="s">
        <v>1281</v>
      </c>
      <c r="V40" s="1136">
        <v>9000000</v>
      </c>
      <c r="W40" s="707">
        <v>7</v>
      </c>
      <c r="X40" s="1432" t="s">
        <v>1218</v>
      </c>
      <c r="Y40" s="4400"/>
      <c r="Z40" s="4400"/>
      <c r="AA40" s="4400"/>
      <c r="AB40" s="4400"/>
      <c r="AC40" s="4400"/>
      <c r="AD40" s="4400"/>
      <c r="AE40" s="4400"/>
      <c r="AF40" s="4400"/>
      <c r="AG40" s="4400"/>
      <c r="AH40" s="4400"/>
      <c r="AI40" s="4400"/>
      <c r="AJ40" s="4400"/>
      <c r="AK40" s="4400"/>
      <c r="AL40" s="4400"/>
      <c r="AM40" s="4411"/>
      <c r="AN40" s="4400"/>
      <c r="AO40" s="3540"/>
      <c r="AP40" s="3540"/>
      <c r="AQ40" s="4414"/>
    </row>
    <row r="41" spans="1:43" s="651" customFormat="1" ht="31.5" customHeight="1" x14ac:dyDescent="0.2">
      <c r="A41" s="1121"/>
      <c r="B41" s="1135"/>
      <c r="C41" s="677"/>
      <c r="D41" s="1430"/>
      <c r="E41" s="710"/>
      <c r="F41" s="710"/>
      <c r="G41" s="1430"/>
      <c r="H41" s="710"/>
      <c r="I41" s="710"/>
      <c r="J41" s="3251"/>
      <c r="K41" s="3248"/>
      <c r="L41" s="3248"/>
      <c r="M41" s="3251"/>
      <c r="N41" s="218" t="s">
        <v>1282</v>
      </c>
      <c r="O41" s="3251"/>
      <c r="P41" s="3254"/>
      <c r="Q41" s="3278"/>
      <c r="R41" s="4404"/>
      <c r="S41" s="3254"/>
      <c r="T41" s="3254"/>
      <c r="U41" s="4406"/>
      <c r="V41" s="1136">
        <v>25000000</v>
      </c>
      <c r="W41" s="707">
        <v>3</v>
      </c>
      <c r="X41" s="1432" t="s">
        <v>1212</v>
      </c>
      <c r="Y41" s="4400"/>
      <c r="Z41" s="4400"/>
      <c r="AA41" s="4400"/>
      <c r="AB41" s="4400"/>
      <c r="AC41" s="4400"/>
      <c r="AD41" s="4400"/>
      <c r="AE41" s="4400"/>
      <c r="AF41" s="4400"/>
      <c r="AG41" s="4400"/>
      <c r="AH41" s="4400"/>
      <c r="AI41" s="4400"/>
      <c r="AJ41" s="4400"/>
      <c r="AK41" s="4400"/>
      <c r="AL41" s="4400"/>
      <c r="AM41" s="4411"/>
      <c r="AN41" s="4400"/>
      <c r="AO41" s="3540"/>
      <c r="AP41" s="3540"/>
      <c r="AQ41" s="4414"/>
    </row>
    <row r="42" spans="1:43" s="651" customFormat="1" ht="31.5" customHeight="1" x14ac:dyDescent="0.2">
      <c r="A42" s="1121"/>
      <c r="B42" s="1135"/>
      <c r="C42" s="677"/>
      <c r="D42" s="1430"/>
      <c r="E42" s="710"/>
      <c r="F42" s="710"/>
      <c r="G42" s="1430"/>
      <c r="H42" s="710"/>
      <c r="I42" s="710"/>
      <c r="J42" s="3251"/>
      <c r="K42" s="3248"/>
      <c r="L42" s="3248"/>
      <c r="M42" s="3251"/>
      <c r="N42" s="218" t="s">
        <v>1283</v>
      </c>
      <c r="O42" s="3251"/>
      <c r="P42" s="3254"/>
      <c r="Q42" s="3278"/>
      <c r="R42" s="4404"/>
      <c r="S42" s="3254"/>
      <c r="T42" s="3254"/>
      <c r="U42" s="4406"/>
      <c r="V42" s="1136">
        <v>10000000</v>
      </c>
      <c r="W42" s="707">
        <v>7</v>
      </c>
      <c r="X42" s="1432" t="s">
        <v>1240</v>
      </c>
      <c r="Y42" s="4400"/>
      <c r="Z42" s="4400"/>
      <c r="AA42" s="4400"/>
      <c r="AB42" s="4400"/>
      <c r="AC42" s="4400"/>
      <c r="AD42" s="4400"/>
      <c r="AE42" s="4400"/>
      <c r="AF42" s="4400"/>
      <c r="AG42" s="4400"/>
      <c r="AH42" s="4400"/>
      <c r="AI42" s="4400"/>
      <c r="AJ42" s="4400"/>
      <c r="AK42" s="4400"/>
      <c r="AL42" s="4400"/>
      <c r="AM42" s="4411"/>
      <c r="AN42" s="4400"/>
      <c r="AO42" s="3540"/>
      <c r="AP42" s="3540"/>
      <c r="AQ42" s="4414"/>
    </row>
    <row r="43" spans="1:43" s="651" customFormat="1" ht="31.5" customHeight="1" x14ac:dyDescent="0.2">
      <c r="A43" s="1121"/>
      <c r="B43" s="1135"/>
      <c r="C43" s="677"/>
      <c r="D43" s="1430"/>
      <c r="E43" s="710"/>
      <c r="F43" s="710"/>
      <c r="G43" s="1430"/>
      <c r="H43" s="710"/>
      <c r="I43" s="710"/>
      <c r="J43" s="3251"/>
      <c r="K43" s="3248"/>
      <c r="L43" s="3248"/>
      <c r="M43" s="3251"/>
      <c r="N43" s="246" t="s">
        <v>1284</v>
      </c>
      <c r="O43" s="3251"/>
      <c r="P43" s="3254"/>
      <c r="Q43" s="3279"/>
      <c r="R43" s="4404"/>
      <c r="S43" s="3254"/>
      <c r="T43" s="3254"/>
      <c r="U43" s="4406"/>
      <c r="V43" s="1452">
        <v>12171030</v>
      </c>
      <c r="W43" s="707">
        <v>3</v>
      </c>
      <c r="X43" s="722" t="s">
        <v>1277</v>
      </c>
      <c r="Y43" s="4400"/>
      <c r="Z43" s="4400"/>
      <c r="AA43" s="4400"/>
      <c r="AB43" s="4400"/>
      <c r="AC43" s="4400"/>
      <c r="AD43" s="4400"/>
      <c r="AE43" s="4400"/>
      <c r="AF43" s="4400"/>
      <c r="AG43" s="4400"/>
      <c r="AH43" s="4400"/>
      <c r="AI43" s="4400"/>
      <c r="AJ43" s="4400"/>
      <c r="AK43" s="4400"/>
      <c r="AL43" s="4400"/>
      <c r="AM43" s="4411"/>
      <c r="AN43" s="4400"/>
      <c r="AO43" s="3540"/>
      <c r="AP43" s="3540"/>
      <c r="AQ43" s="4414"/>
    </row>
    <row r="44" spans="1:43" s="651" customFormat="1" ht="33" customHeight="1" x14ac:dyDescent="0.2">
      <c r="A44" s="1121"/>
      <c r="B44" s="1135"/>
      <c r="C44" s="677"/>
      <c r="D44" s="1430"/>
      <c r="E44" s="710"/>
      <c r="F44" s="710"/>
      <c r="G44" s="1430"/>
      <c r="H44" s="710"/>
      <c r="I44" s="710"/>
      <c r="J44" s="3250">
        <v>211</v>
      </c>
      <c r="K44" s="4408" t="s">
        <v>1285</v>
      </c>
      <c r="L44" s="3488" t="s">
        <v>1286</v>
      </c>
      <c r="M44" s="3250">
        <v>1</v>
      </c>
      <c r="N44" s="218" t="s">
        <v>1287</v>
      </c>
      <c r="O44" s="3251"/>
      <c r="P44" s="3254"/>
      <c r="Q44" s="3277">
        <f>+(V44+V45+V46+V47)/$R$37</f>
        <v>0.31442754373634357</v>
      </c>
      <c r="R44" s="4404"/>
      <c r="S44" s="3254"/>
      <c r="T44" s="3254"/>
      <c r="U44" s="4405" t="s">
        <v>1288</v>
      </c>
      <c r="V44" s="1136">
        <v>25000000</v>
      </c>
      <c r="W44" s="707">
        <v>3</v>
      </c>
      <c r="X44" s="1432" t="s">
        <v>1212</v>
      </c>
      <c r="Y44" s="4400"/>
      <c r="Z44" s="4400"/>
      <c r="AA44" s="4400"/>
      <c r="AB44" s="4400"/>
      <c r="AC44" s="4400"/>
      <c r="AD44" s="4400"/>
      <c r="AE44" s="4400"/>
      <c r="AF44" s="4400"/>
      <c r="AG44" s="4400"/>
      <c r="AH44" s="4400"/>
      <c r="AI44" s="4400"/>
      <c r="AJ44" s="4400"/>
      <c r="AK44" s="4400"/>
      <c r="AL44" s="4400"/>
      <c r="AM44" s="4411"/>
      <c r="AN44" s="4400"/>
      <c r="AO44" s="3540"/>
      <c r="AP44" s="3540"/>
      <c r="AQ44" s="4414"/>
    </row>
    <row r="45" spans="1:43" s="651" customFormat="1" ht="31.5" customHeight="1" x14ac:dyDescent="0.2">
      <c r="A45" s="1121"/>
      <c r="B45" s="1135"/>
      <c r="C45" s="677"/>
      <c r="D45" s="1430"/>
      <c r="E45" s="710"/>
      <c r="F45" s="710"/>
      <c r="G45" s="1430"/>
      <c r="H45" s="710"/>
      <c r="I45" s="710"/>
      <c r="J45" s="3251"/>
      <c r="K45" s="4409"/>
      <c r="L45" s="3489"/>
      <c r="M45" s="3251"/>
      <c r="N45" s="218" t="s">
        <v>1289</v>
      </c>
      <c r="O45" s="3251"/>
      <c r="P45" s="3254"/>
      <c r="Q45" s="3278"/>
      <c r="R45" s="4404"/>
      <c r="S45" s="3254"/>
      <c r="T45" s="3254"/>
      <c r="U45" s="4406"/>
      <c r="V45" s="1136">
        <v>10000000</v>
      </c>
      <c r="W45" s="707">
        <v>7</v>
      </c>
      <c r="X45" s="1432" t="s">
        <v>1240</v>
      </c>
      <c r="Y45" s="4400"/>
      <c r="Z45" s="4400"/>
      <c r="AA45" s="4400"/>
      <c r="AB45" s="4400"/>
      <c r="AC45" s="4400"/>
      <c r="AD45" s="4400"/>
      <c r="AE45" s="4400"/>
      <c r="AF45" s="4400"/>
      <c r="AG45" s="4400"/>
      <c r="AH45" s="4400"/>
      <c r="AI45" s="4400"/>
      <c r="AJ45" s="4400"/>
      <c r="AK45" s="4400"/>
      <c r="AL45" s="4400"/>
      <c r="AM45" s="4411"/>
      <c r="AN45" s="4400"/>
      <c r="AO45" s="3540"/>
      <c r="AP45" s="3540"/>
      <c r="AQ45" s="4414"/>
    </row>
    <row r="46" spans="1:43" s="651" customFormat="1" ht="25.5" customHeight="1" x14ac:dyDescent="0.2">
      <c r="A46" s="1121"/>
      <c r="B46" s="1135"/>
      <c r="C46" s="677"/>
      <c r="D46" s="1430"/>
      <c r="E46" s="710"/>
      <c r="F46" s="710"/>
      <c r="G46" s="1430"/>
      <c r="H46" s="710"/>
      <c r="I46" s="710"/>
      <c r="J46" s="3251"/>
      <c r="K46" s="4409"/>
      <c r="L46" s="3489"/>
      <c r="M46" s="3251"/>
      <c r="N46" s="218" t="s">
        <v>1290</v>
      </c>
      <c r="O46" s="3251"/>
      <c r="P46" s="3254"/>
      <c r="Q46" s="3278"/>
      <c r="R46" s="4404"/>
      <c r="S46" s="3254"/>
      <c r="T46" s="3254"/>
      <c r="U46" s="4406"/>
      <c r="V46" s="1136">
        <v>11503067.800000001</v>
      </c>
      <c r="W46" s="707">
        <v>6</v>
      </c>
      <c r="X46" s="1432" t="s">
        <v>1215</v>
      </c>
      <c r="Y46" s="4400"/>
      <c r="Z46" s="4400"/>
      <c r="AA46" s="4400"/>
      <c r="AB46" s="4400"/>
      <c r="AC46" s="4400"/>
      <c r="AD46" s="4400"/>
      <c r="AE46" s="4400"/>
      <c r="AF46" s="4400"/>
      <c r="AG46" s="4400"/>
      <c r="AH46" s="4400"/>
      <c r="AI46" s="4400"/>
      <c r="AJ46" s="4400"/>
      <c r="AK46" s="4400"/>
      <c r="AL46" s="4400"/>
      <c r="AM46" s="4411"/>
      <c r="AN46" s="4400"/>
      <c r="AO46" s="3540"/>
      <c r="AP46" s="3540"/>
      <c r="AQ46" s="4414"/>
    </row>
    <row r="47" spans="1:43" s="651" customFormat="1" ht="30" customHeight="1" thickBot="1" x14ac:dyDescent="0.25">
      <c r="A47" s="1121"/>
      <c r="B47" s="1135"/>
      <c r="C47" s="677"/>
      <c r="D47" s="1430"/>
      <c r="E47" s="710"/>
      <c r="F47" s="710"/>
      <c r="G47" s="1430"/>
      <c r="H47" s="710"/>
      <c r="I47" s="710"/>
      <c r="J47" s="3251"/>
      <c r="K47" s="4409"/>
      <c r="L47" s="3489"/>
      <c r="M47" s="3251"/>
      <c r="N47" s="1453" t="s">
        <v>1291</v>
      </c>
      <c r="O47" s="3251"/>
      <c r="P47" s="3254"/>
      <c r="Q47" s="3279"/>
      <c r="R47" s="4404"/>
      <c r="S47" s="3254"/>
      <c r="T47" s="3254"/>
      <c r="U47" s="4406"/>
      <c r="V47" s="1136">
        <v>13656561.42</v>
      </c>
      <c r="W47" s="1454">
        <v>13</v>
      </c>
      <c r="X47" s="184" t="s">
        <v>1254</v>
      </c>
      <c r="Y47" s="4400"/>
      <c r="Z47" s="4400"/>
      <c r="AA47" s="4400"/>
      <c r="AB47" s="4400"/>
      <c r="AC47" s="4400"/>
      <c r="AD47" s="4400"/>
      <c r="AE47" s="4400"/>
      <c r="AF47" s="4400"/>
      <c r="AG47" s="4400"/>
      <c r="AH47" s="4400"/>
      <c r="AI47" s="4400"/>
      <c r="AJ47" s="4400"/>
      <c r="AK47" s="4400"/>
      <c r="AL47" s="4400"/>
      <c r="AM47" s="4412"/>
      <c r="AN47" s="4400"/>
      <c r="AO47" s="3540"/>
      <c r="AP47" s="3540"/>
      <c r="AQ47" s="4414"/>
    </row>
    <row r="48" spans="1:43" s="651" customFormat="1" ht="23.25" customHeight="1" thickBot="1" x14ac:dyDescent="0.25">
      <c r="A48" s="1121"/>
      <c r="B48" s="1135"/>
      <c r="C48" s="677"/>
      <c r="D48" s="1430"/>
      <c r="E48" s="710"/>
      <c r="F48" s="710"/>
      <c r="G48" s="1420">
        <v>73</v>
      </c>
      <c r="H48" s="1421" t="s">
        <v>1292</v>
      </c>
      <c r="I48" s="1421"/>
      <c r="J48" s="1421"/>
      <c r="K48" s="1422"/>
      <c r="L48" s="1421"/>
      <c r="M48" s="1421"/>
      <c r="N48" s="1421"/>
      <c r="O48" s="1423"/>
      <c r="P48" s="1422"/>
      <c r="Q48" s="1424"/>
      <c r="R48" s="1440"/>
      <c r="S48" s="1422" t="s">
        <v>923</v>
      </c>
      <c r="T48" s="1422" t="s">
        <v>923</v>
      </c>
      <c r="U48" s="1422"/>
      <c r="V48" s="1441">
        <f>+SUM(V37:V47)</f>
        <v>191330659.22</v>
      </c>
      <c r="W48" s="1427"/>
      <c r="X48" s="1423"/>
      <c r="Y48" s="1442"/>
      <c r="Z48" s="1442"/>
      <c r="AA48" s="1442"/>
      <c r="AB48" s="1442"/>
      <c r="AC48" s="1442"/>
      <c r="AD48" s="1442"/>
      <c r="AE48" s="1442"/>
      <c r="AF48" s="1442"/>
      <c r="AG48" s="1442"/>
      <c r="AH48" s="1442"/>
      <c r="AI48" s="1442"/>
      <c r="AJ48" s="1442"/>
      <c r="AK48" s="1442"/>
      <c r="AL48" s="1442"/>
      <c r="AM48" s="1442"/>
      <c r="AN48" s="1442"/>
      <c r="AO48" s="1428"/>
      <c r="AP48" s="1428"/>
      <c r="AQ48" s="1443"/>
    </row>
    <row r="49" spans="1:43" s="651" customFormat="1" ht="60.75" customHeight="1" x14ac:dyDescent="0.2">
      <c r="A49" s="1121"/>
      <c r="B49" s="1135"/>
      <c r="C49" s="677"/>
      <c r="D49" s="1430"/>
      <c r="E49" s="710"/>
      <c r="F49" s="710"/>
      <c r="G49" s="1430"/>
      <c r="H49" s="710"/>
      <c r="I49" s="710"/>
      <c r="J49" s="3560">
        <v>212</v>
      </c>
      <c r="K49" s="3274" t="s">
        <v>1293</v>
      </c>
      <c r="L49" s="3259" t="s">
        <v>1294</v>
      </c>
      <c r="M49" s="3560">
        <v>12</v>
      </c>
      <c r="N49" s="218" t="s">
        <v>1295</v>
      </c>
      <c r="O49" s="3560" t="s">
        <v>1296</v>
      </c>
      <c r="P49" s="3274" t="s">
        <v>1297</v>
      </c>
      <c r="Q49" s="3277">
        <f>+(V49+V50+V51)/R49</f>
        <v>1</v>
      </c>
      <c r="R49" s="3566">
        <f>SUM(V49:V51)</f>
        <v>199599321.65000001</v>
      </c>
      <c r="S49" s="3253" t="s">
        <v>1298</v>
      </c>
      <c r="T49" s="3253" t="s">
        <v>1299</v>
      </c>
      <c r="U49" s="4407" t="s">
        <v>1300</v>
      </c>
      <c r="V49" s="1136">
        <v>40000000</v>
      </c>
      <c r="W49" s="1448">
        <v>3</v>
      </c>
      <c r="X49" s="1446" t="s">
        <v>1212</v>
      </c>
      <c r="Y49" s="3553">
        <v>3380</v>
      </c>
      <c r="Z49" s="3553">
        <v>460</v>
      </c>
      <c r="AA49" s="3493"/>
      <c r="AB49" s="3493"/>
      <c r="AC49" s="3553">
        <v>3840</v>
      </c>
      <c r="AD49" s="3553"/>
      <c r="AE49" s="3553"/>
      <c r="AF49" s="3553"/>
      <c r="AG49" s="3553"/>
      <c r="AH49" s="3553"/>
      <c r="AI49" s="3553"/>
      <c r="AJ49" s="3553"/>
      <c r="AK49" s="3553"/>
      <c r="AL49" s="3553"/>
      <c r="AM49" s="168"/>
      <c r="AN49" s="3553">
        <f>+Z49+Y49</f>
        <v>3840</v>
      </c>
      <c r="AO49" s="3539">
        <v>43480</v>
      </c>
      <c r="AP49" s="3539">
        <v>43830</v>
      </c>
      <c r="AQ49" s="4394" t="s">
        <v>1208</v>
      </c>
    </row>
    <row r="50" spans="1:43" s="651" customFormat="1" ht="24.75" customHeight="1" x14ac:dyDescent="0.2">
      <c r="A50" s="1121"/>
      <c r="B50" s="1135"/>
      <c r="C50" s="677"/>
      <c r="D50" s="1430"/>
      <c r="E50" s="710"/>
      <c r="F50" s="710"/>
      <c r="G50" s="1430"/>
      <c r="H50" s="710"/>
      <c r="I50" s="710"/>
      <c r="J50" s="3560"/>
      <c r="K50" s="3274"/>
      <c r="L50" s="3259"/>
      <c r="M50" s="3560"/>
      <c r="N50" s="218" t="s">
        <v>1301</v>
      </c>
      <c r="O50" s="3560"/>
      <c r="P50" s="3274"/>
      <c r="Q50" s="3278"/>
      <c r="R50" s="3566"/>
      <c r="S50" s="3254"/>
      <c r="T50" s="3254"/>
      <c r="U50" s="4407"/>
      <c r="V50" s="1136">
        <v>135000000</v>
      </c>
      <c r="W50" s="1448">
        <v>7</v>
      </c>
      <c r="X50" s="218" t="s">
        <v>1240</v>
      </c>
      <c r="Y50" s="4400"/>
      <c r="Z50" s="4400"/>
      <c r="AA50" s="3494"/>
      <c r="AB50" s="3494"/>
      <c r="AC50" s="4400"/>
      <c r="AD50" s="4400"/>
      <c r="AE50" s="4400"/>
      <c r="AF50" s="4400"/>
      <c r="AG50" s="4400"/>
      <c r="AH50" s="4400"/>
      <c r="AI50" s="4400"/>
      <c r="AJ50" s="4400"/>
      <c r="AK50" s="4400"/>
      <c r="AL50" s="4400"/>
      <c r="AM50" s="168"/>
      <c r="AN50" s="4400"/>
      <c r="AO50" s="3540"/>
      <c r="AP50" s="3540"/>
      <c r="AQ50" s="4395"/>
    </row>
    <row r="51" spans="1:43" s="651" customFormat="1" ht="24" customHeight="1" thickBot="1" x14ac:dyDescent="0.25">
      <c r="A51" s="1121"/>
      <c r="B51" s="1135"/>
      <c r="C51" s="677"/>
      <c r="D51" s="1430"/>
      <c r="E51" s="710"/>
      <c r="F51" s="710"/>
      <c r="G51" s="1430"/>
      <c r="H51" s="710"/>
      <c r="I51" s="710"/>
      <c r="J51" s="3560"/>
      <c r="K51" s="3274"/>
      <c r="L51" s="3259"/>
      <c r="M51" s="3560"/>
      <c r="N51" s="1453" t="s">
        <v>1302</v>
      </c>
      <c r="O51" s="3560"/>
      <c r="P51" s="3274"/>
      <c r="Q51" s="3279"/>
      <c r="R51" s="3566"/>
      <c r="S51" s="3254"/>
      <c r="T51" s="3254"/>
      <c r="U51" s="4407"/>
      <c r="V51" s="1136">
        <v>24599321.649999999</v>
      </c>
      <c r="W51" s="1448">
        <v>4</v>
      </c>
      <c r="X51" s="1453" t="s">
        <v>1218</v>
      </c>
      <c r="Y51" s="4400"/>
      <c r="Z51" s="4400"/>
      <c r="AA51" s="3494"/>
      <c r="AB51" s="3494"/>
      <c r="AC51" s="4400"/>
      <c r="AD51" s="4400"/>
      <c r="AE51" s="4400"/>
      <c r="AF51" s="4400"/>
      <c r="AG51" s="4400"/>
      <c r="AH51" s="4400"/>
      <c r="AI51" s="4400"/>
      <c r="AJ51" s="4400"/>
      <c r="AK51" s="4400"/>
      <c r="AL51" s="4400"/>
      <c r="AM51" s="168"/>
      <c r="AN51" s="4400"/>
      <c r="AO51" s="3540"/>
      <c r="AP51" s="3540"/>
      <c r="AQ51" s="4395"/>
    </row>
    <row r="52" spans="1:43" s="651" customFormat="1" ht="20.25" customHeight="1" x14ac:dyDescent="0.2">
      <c r="A52" s="708"/>
      <c r="B52" s="1408"/>
      <c r="C52" s="1132"/>
      <c r="D52" s="1409">
        <v>22</v>
      </c>
      <c r="E52" s="1410" t="s">
        <v>1303</v>
      </c>
      <c r="F52" s="1410"/>
      <c r="G52" s="1410"/>
      <c r="H52" s="1410"/>
      <c r="I52" s="1410"/>
      <c r="J52" s="1410"/>
      <c r="K52" s="1411"/>
      <c r="L52" s="1410"/>
      <c r="M52" s="1410"/>
      <c r="N52" s="1410"/>
      <c r="O52" s="1412"/>
      <c r="P52" s="1411"/>
      <c r="Q52" s="1413"/>
      <c r="R52" s="1449"/>
      <c r="S52" s="1411" t="s">
        <v>923</v>
      </c>
      <c r="T52" s="1411" t="s">
        <v>923</v>
      </c>
      <c r="U52" s="1411"/>
      <c r="V52" s="1450">
        <f>+SUM(V49:V51)</f>
        <v>199599321.65000001</v>
      </c>
      <c r="W52" s="1416"/>
      <c r="X52" s="1412"/>
      <c r="Y52" s="1410"/>
      <c r="Z52" s="1410"/>
      <c r="AA52" s="1410"/>
      <c r="AB52" s="1410"/>
      <c r="AC52" s="1410"/>
      <c r="AD52" s="1410"/>
      <c r="AE52" s="1410"/>
      <c r="AF52" s="1410"/>
      <c r="AG52" s="1410"/>
      <c r="AH52" s="1410"/>
      <c r="AI52" s="1410"/>
      <c r="AJ52" s="1410"/>
      <c r="AK52" s="1410"/>
      <c r="AL52" s="1410"/>
      <c r="AM52" s="1410"/>
      <c r="AN52" s="1410"/>
      <c r="AO52" s="1417"/>
      <c r="AP52" s="1417"/>
      <c r="AQ52" s="1418"/>
    </row>
    <row r="53" spans="1:43" s="651" customFormat="1" ht="23.25" customHeight="1" x14ac:dyDescent="0.2">
      <c r="A53" s="1121"/>
      <c r="B53" s="1135"/>
      <c r="C53" s="677"/>
      <c r="D53" s="1430"/>
      <c r="E53" s="710"/>
      <c r="F53" s="710"/>
      <c r="G53" s="1420">
        <v>74</v>
      </c>
      <c r="H53" s="1421" t="s">
        <v>1292</v>
      </c>
      <c r="I53" s="1421"/>
      <c r="J53" s="1421"/>
      <c r="K53" s="1422"/>
      <c r="L53" s="1421"/>
      <c r="M53" s="1421"/>
      <c r="N53" s="1421"/>
      <c r="O53" s="1423"/>
      <c r="P53" s="1422"/>
      <c r="Q53" s="1424"/>
      <c r="R53" s="1440"/>
      <c r="S53" s="1422" t="s">
        <v>923</v>
      </c>
      <c r="T53" s="1422" t="s">
        <v>923</v>
      </c>
      <c r="U53" s="1422"/>
      <c r="V53" s="1441"/>
      <c r="W53" s="1427"/>
      <c r="X53" s="1423"/>
      <c r="Y53" s="1442"/>
      <c r="Z53" s="1442"/>
      <c r="AA53" s="1442"/>
      <c r="AB53" s="1442"/>
      <c r="AC53" s="1442"/>
      <c r="AD53" s="1442"/>
      <c r="AE53" s="1442"/>
      <c r="AF53" s="1442"/>
      <c r="AG53" s="1442"/>
      <c r="AH53" s="1442"/>
      <c r="AI53" s="1442"/>
      <c r="AJ53" s="1442"/>
      <c r="AK53" s="1442"/>
      <c r="AL53" s="1442"/>
      <c r="AM53" s="1442"/>
      <c r="AN53" s="1442"/>
      <c r="AO53" s="1428"/>
      <c r="AP53" s="1428"/>
      <c r="AQ53" s="1443"/>
    </row>
    <row r="54" spans="1:43" s="651" customFormat="1" ht="39" customHeight="1" x14ac:dyDescent="0.2">
      <c r="A54" s="1121"/>
      <c r="B54" s="1135"/>
      <c r="C54" s="677"/>
      <c r="D54" s="1430"/>
      <c r="E54" s="710"/>
      <c r="F54" s="710"/>
      <c r="G54" s="1430"/>
      <c r="H54" s="710"/>
      <c r="I54" s="710"/>
      <c r="J54" s="3250">
        <v>213</v>
      </c>
      <c r="K54" s="3253" t="s">
        <v>1304</v>
      </c>
      <c r="L54" s="3247" t="s">
        <v>1305</v>
      </c>
      <c r="M54" s="3250">
        <v>12</v>
      </c>
      <c r="N54" s="681" t="s">
        <v>1306</v>
      </c>
      <c r="O54" s="3250" t="s">
        <v>1307</v>
      </c>
      <c r="P54" s="4401" t="s">
        <v>1308</v>
      </c>
      <c r="Q54" s="3277">
        <f>+(V54+V55+V56)/R54</f>
        <v>1</v>
      </c>
      <c r="R54" s="3561">
        <f>+SUM(V54:V56)</f>
        <v>233682415</v>
      </c>
      <c r="S54" s="3253" t="s">
        <v>1309</v>
      </c>
      <c r="T54" s="3253" t="s">
        <v>1310</v>
      </c>
      <c r="U54" s="4405" t="s">
        <v>1311</v>
      </c>
      <c r="V54" s="1455">
        <v>182000000</v>
      </c>
      <c r="W54" s="1456">
        <v>2</v>
      </c>
      <c r="X54" s="218" t="s">
        <v>1312</v>
      </c>
      <c r="Y54" s="3553"/>
      <c r="Z54" s="3553"/>
      <c r="AA54" s="3553"/>
      <c r="AB54" s="3553"/>
      <c r="AC54" s="3553"/>
      <c r="AD54" s="3553"/>
      <c r="AE54" s="3553"/>
      <c r="AF54" s="3553"/>
      <c r="AG54" s="3553"/>
      <c r="AH54" s="3553"/>
      <c r="AI54" s="3553"/>
      <c r="AJ54" s="3553"/>
      <c r="AK54" s="3553"/>
      <c r="AL54" s="3553"/>
      <c r="AM54" s="3553"/>
      <c r="AN54" s="3553"/>
      <c r="AO54" s="3539">
        <v>43101</v>
      </c>
      <c r="AP54" s="3539">
        <v>43465</v>
      </c>
      <c r="AQ54" s="4394" t="s">
        <v>1313</v>
      </c>
    </row>
    <row r="55" spans="1:43" s="651" customFormat="1" ht="37.5" customHeight="1" x14ac:dyDescent="0.2">
      <c r="A55" s="1121"/>
      <c r="B55" s="1135"/>
      <c r="C55" s="677"/>
      <c r="D55" s="1430"/>
      <c r="E55" s="710"/>
      <c r="F55" s="710"/>
      <c r="G55" s="1430"/>
      <c r="H55" s="710"/>
      <c r="I55" s="710"/>
      <c r="J55" s="3251"/>
      <c r="K55" s="3254"/>
      <c r="L55" s="3248"/>
      <c r="M55" s="3251"/>
      <c r="N55" s="681" t="s">
        <v>1314</v>
      </c>
      <c r="O55" s="3251"/>
      <c r="P55" s="4402"/>
      <c r="Q55" s="3278"/>
      <c r="R55" s="4404"/>
      <c r="S55" s="3254"/>
      <c r="T55" s="3254"/>
      <c r="U55" s="4406"/>
      <c r="V55" s="1455">
        <v>36225674</v>
      </c>
      <c r="W55" s="1456">
        <v>3</v>
      </c>
      <c r="X55" s="218" t="s">
        <v>1212</v>
      </c>
      <c r="Y55" s="4400"/>
      <c r="Z55" s="4400"/>
      <c r="AA55" s="4400"/>
      <c r="AB55" s="4400"/>
      <c r="AC55" s="4400"/>
      <c r="AD55" s="4400"/>
      <c r="AE55" s="4400"/>
      <c r="AF55" s="4400"/>
      <c r="AG55" s="4400"/>
      <c r="AH55" s="4400"/>
      <c r="AI55" s="4400"/>
      <c r="AJ55" s="4400"/>
      <c r="AK55" s="4400"/>
      <c r="AL55" s="4400"/>
      <c r="AM55" s="4400"/>
      <c r="AN55" s="4400"/>
      <c r="AO55" s="3540"/>
      <c r="AP55" s="3540"/>
      <c r="AQ55" s="4395"/>
    </row>
    <row r="56" spans="1:43" ht="36" customHeight="1" x14ac:dyDescent="0.2">
      <c r="A56" s="1150"/>
      <c r="B56" s="1457"/>
      <c r="C56" s="714"/>
      <c r="D56" s="1458"/>
      <c r="E56" s="4397"/>
      <c r="F56" s="3286"/>
      <c r="G56" s="1458"/>
      <c r="H56" s="4397"/>
      <c r="I56" s="3286"/>
      <c r="J56" s="3252"/>
      <c r="K56" s="3255"/>
      <c r="L56" s="3249"/>
      <c r="M56" s="3252"/>
      <c r="N56" s="681" t="s">
        <v>1315</v>
      </c>
      <c r="O56" s="3252"/>
      <c r="P56" s="4403"/>
      <c r="Q56" s="3279"/>
      <c r="R56" s="3562"/>
      <c r="S56" s="3255"/>
      <c r="T56" s="3255" t="s">
        <v>923</v>
      </c>
      <c r="U56" s="3268"/>
      <c r="V56" s="1455">
        <v>15456741</v>
      </c>
      <c r="W56" s="1456">
        <v>13</v>
      </c>
      <c r="X56" s="218" t="s">
        <v>1254</v>
      </c>
      <c r="Y56" s="3554"/>
      <c r="Z56" s="3554"/>
      <c r="AA56" s="3554"/>
      <c r="AB56" s="3554"/>
      <c r="AC56" s="3554"/>
      <c r="AD56" s="3554"/>
      <c r="AE56" s="3554"/>
      <c r="AF56" s="3554"/>
      <c r="AG56" s="3554"/>
      <c r="AH56" s="3554"/>
      <c r="AI56" s="3554"/>
      <c r="AJ56" s="3554"/>
      <c r="AK56" s="3554"/>
      <c r="AL56" s="3554"/>
      <c r="AM56" s="3554"/>
      <c r="AN56" s="3554"/>
      <c r="AO56" s="3543"/>
      <c r="AP56" s="3543"/>
      <c r="AQ56" s="4396"/>
    </row>
    <row r="57" spans="1:43" s="1146" customFormat="1" ht="15" x14ac:dyDescent="0.25">
      <c r="A57" s="1459"/>
      <c r="B57" s="1460"/>
      <c r="C57" s="1460"/>
      <c r="D57" s="1460"/>
      <c r="E57" s="1460"/>
      <c r="F57" s="1460"/>
      <c r="G57" s="1460"/>
      <c r="H57" s="1460"/>
      <c r="I57" s="1460"/>
      <c r="J57" s="1460"/>
      <c r="K57" s="1461"/>
      <c r="L57" s="1462"/>
      <c r="M57" s="1462"/>
      <c r="N57" s="1462"/>
      <c r="O57" s="1463"/>
      <c r="P57" s="1461"/>
      <c r="Q57" s="1464"/>
      <c r="R57" s="1465">
        <f>+R54+R49+R37+R29+R23+R20+R12</f>
        <v>3703924817.0100002</v>
      </c>
      <c r="S57" s="1461"/>
      <c r="T57" s="1461"/>
      <c r="U57" s="1466"/>
      <c r="V57" s="1467">
        <f>+V52+V48+V35+V28+V22+V19+V54+V55+V56</f>
        <v>3703924817.0100002</v>
      </c>
      <c r="W57" s="1468"/>
      <c r="X57" s="1469"/>
      <c r="Y57" s="1460"/>
      <c r="Z57" s="1460"/>
      <c r="AA57" s="1460"/>
      <c r="AB57" s="1460"/>
      <c r="AC57" s="1460"/>
      <c r="AD57" s="1460"/>
      <c r="AE57" s="1460"/>
      <c r="AF57" s="1460"/>
      <c r="AG57" s="1460"/>
      <c r="AH57" s="1460"/>
      <c r="AI57" s="1460"/>
      <c r="AJ57" s="1460"/>
      <c r="AK57" s="1460"/>
      <c r="AL57" s="1460"/>
      <c r="AM57" s="1460"/>
      <c r="AN57" s="1460"/>
      <c r="AO57" s="1470"/>
      <c r="AP57" s="1471"/>
      <c r="AQ57" s="1472"/>
    </row>
    <row r="59" spans="1:43" x14ac:dyDescent="0.2">
      <c r="V59" s="1473"/>
    </row>
    <row r="60" spans="1:43" ht="42.75" customHeight="1" x14ac:dyDescent="0.2">
      <c r="F60" s="4398" t="s">
        <v>1316</v>
      </c>
      <c r="G60" s="4398"/>
      <c r="H60" s="4398"/>
      <c r="I60" s="4398"/>
      <c r="J60" s="4398"/>
    </row>
    <row r="61" spans="1:43" ht="14.25" customHeight="1" x14ac:dyDescent="0.2">
      <c r="F61" s="4399" t="s">
        <v>1317</v>
      </c>
      <c r="G61" s="4399"/>
      <c r="H61" s="4399"/>
      <c r="I61" s="4399"/>
    </row>
    <row r="62" spans="1:43" ht="29.25" customHeight="1" x14ac:dyDescent="0.2">
      <c r="F62" s="4399"/>
      <c r="G62" s="4399"/>
      <c r="H62" s="4399"/>
      <c r="I62" s="4399"/>
    </row>
    <row r="63" spans="1:43" ht="20.25" x14ac:dyDescent="0.2">
      <c r="R63" s="1474"/>
      <c r="S63" s="1474"/>
      <c r="T63" s="1474"/>
      <c r="U63" s="1475"/>
      <c r="V63" s="1476"/>
    </row>
  </sheetData>
  <sheetProtection password="A60F" sheet="1" objects="1" scenarios="1"/>
  <mergeCells count="271">
    <mergeCell ref="L7:L8"/>
    <mergeCell ref="M7:M8"/>
    <mergeCell ref="N7:N8"/>
    <mergeCell ref="O7:O8"/>
    <mergeCell ref="A1:AO4"/>
    <mergeCell ref="A5:M6"/>
    <mergeCell ref="N5:AQ5"/>
    <mergeCell ref="Y6:AM6"/>
    <mergeCell ref="A7:A8"/>
    <mergeCell ref="B7:C8"/>
    <mergeCell ref="D7:D8"/>
    <mergeCell ref="E7:F8"/>
    <mergeCell ref="G7:G8"/>
    <mergeCell ref="H7:I8"/>
    <mergeCell ref="AK7:AM7"/>
    <mergeCell ref="AN7:AN8"/>
    <mergeCell ref="AO7:AO8"/>
    <mergeCell ref="AP7:AP8"/>
    <mergeCell ref="AQ7:AQ8"/>
    <mergeCell ref="J12:J17"/>
    <mergeCell ref="K12:K17"/>
    <mergeCell ref="L12:L17"/>
    <mergeCell ref="M12:M17"/>
    <mergeCell ref="O12:O18"/>
    <mergeCell ref="V7:V8"/>
    <mergeCell ref="W7:W8"/>
    <mergeCell ref="X7:X8"/>
    <mergeCell ref="Y7:Z7"/>
    <mergeCell ref="AA7:AD7"/>
    <mergeCell ref="AE7:AJ7"/>
    <mergeCell ref="P7:P8"/>
    <mergeCell ref="Q7:Q8"/>
    <mergeCell ref="R7:R8"/>
    <mergeCell ref="S7:S8"/>
    <mergeCell ref="T7:T8"/>
    <mergeCell ref="U7:U8"/>
    <mergeCell ref="J7:J8"/>
    <mergeCell ref="K7:K8"/>
    <mergeCell ref="AI12:AI18"/>
    <mergeCell ref="AJ12:AJ18"/>
    <mergeCell ref="Y12:Y18"/>
    <mergeCell ref="Z12:Z18"/>
    <mergeCell ref="AA12:AA18"/>
    <mergeCell ref="AB12:AB18"/>
    <mergeCell ref="AC12:AC18"/>
    <mergeCell ref="AD12:AD18"/>
    <mergeCell ref="P12:P18"/>
    <mergeCell ref="Q12:Q17"/>
    <mergeCell ref="R12:R18"/>
    <mergeCell ref="S12:S18"/>
    <mergeCell ref="T12:T18"/>
    <mergeCell ref="U12:U16"/>
    <mergeCell ref="U20:U21"/>
    <mergeCell ref="Y20:Y21"/>
    <mergeCell ref="Z20:Z21"/>
    <mergeCell ref="AA20:AA21"/>
    <mergeCell ref="AQ12:AQ18"/>
    <mergeCell ref="E17:F17"/>
    <mergeCell ref="J20:J21"/>
    <mergeCell ref="K20:K21"/>
    <mergeCell ref="L20:L21"/>
    <mergeCell ref="M20:M21"/>
    <mergeCell ref="O20:O21"/>
    <mergeCell ref="P20:P21"/>
    <mergeCell ref="Q20:Q21"/>
    <mergeCell ref="R20:R21"/>
    <mergeCell ref="AK12:AK18"/>
    <mergeCell ref="AL12:AL18"/>
    <mergeCell ref="AM12:AM18"/>
    <mergeCell ref="AN12:AN18"/>
    <mergeCell ref="AO12:AO18"/>
    <mergeCell ref="AP12:AP18"/>
    <mergeCell ref="AE12:AE18"/>
    <mergeCell ref="AF12:AF18"/>
    <mergeCell ref="AG12:AG18"/>
    <mergeCell ref="AH12:AH18"/>
    <mergeCell ref="AN20:AN21"/>
    <mergeCell ref="AO20:AO21"/>
    <mergeCell ref="AP20:AP21"/>
    <mergeCell ref="AQ20:AQ21"/>
    <mergeCell ref="J23:J27"/>
    <mergeCell ref="K23:K27"/>
    <mergeCell ref="L23:L27"/>
    <mergeCell ref="M23:M27"/>
    <mergeCell ref="O23:O27"/>
    <mergeCell ref="P23:P27"/>
    <mergeCell ref="AH20:AH21"/>
    <mergeCell ref="AI20:AI21"/>
    <mergeCell ref="AJ20:AJ21"/>
    <mergeCell ref="AK20:AK21"/>
    <mergeCell ref="AL20:AL21"/>
    <mergeCell ref="AM20:AM21"/>
    <mergeCell ref="AB20:AB21"/>
    <mergeCell ref="AC20:AC21"/>
    <mergeCell ref="AD20:AD21"/>
    <mergeCell ref="AE20:AE21"/>
    <mergeCell ref="AF20:AF21"/>
    <mergeCell ref="AG20:AG21"/>
    <mergeCell ref="S20:S21"/>
    <mergeCell ref="T20:T21"/>
    <mergeCell ref="Z23:Z27"/>
    <mergeCell ref="AA23:AA27"/>
    <mergeCell ref="AB23:AB27"/>
    <mergeCell ref="AC23:AC27"/>
    <mergeCell ref="AD23:AD27"/>
    <mergeCell ref="AE23:AE27"/>
    <mergeCell ref="Q23:Q27"/>
    <mergeCell ref="R23:R27"/>
    <mergeCell ref="S23:S27"/>
    <mergeCell ref="T23:T27"/>
    <mergeCell ref="U23:U27"/>
    <mergeCell ref="Y23:Y27"/>
    <mergeCell ref="AL23:AL27"/>
    <mergeCell ref="AM23:AM27"/>
    <mergeCell ref="AN23:AN27"/>
    <mergeCell ref="AO23:AO27"/>
    <mergeCell ref="AP23:AP27"/>
    <mergeCell ref="AQ23:AQ27"/>
    <mergeCell ref="AF23:AF27"/>
    <mergeCell ref="AG23:AG27"/>
    <mergeCell ref="AH23:AH27"/>
    <mergeCell ref="AI23:AI27"/>
    <mergeCell ref="AJ23:AJ27"/>
    <mergeCell ref="AK23:AK27"/>
    <mergeCell ref="K29:K30"/>
    <mergeCell ref="L29:L30"/>
    <mergeCell ref="M29:M30"/>
    <mergeCell ref="O29:O34"/>
    <mergeCell ref="P29:P34"/>
    <mergeCell ref="J31:J32"/>
    <mergeCell ref="K31:K32"/>
    <mergeCell ref="L31:L32"/>
    <mergeCell ref="M31:M32"/>
    <mergeCell ref="AO29:AO34"/>
    <mergeCell ref="AP29:AP34"/>
    <mergeCell ref="AQ29:AQ34"/>
    <mergeCell ref="AF29:AF34"/>
    <mergeCell ref="AG29:AG34"/>
    <mergeCell ref="AH29:AH34"/>
    <mergeCell ref="AI29:AI34"/>
    <mergeCell ref="AJ29:AJ34"/>
    <mergeCell ref="AK29:AK34"/>
    <mergeCell ref="J33:J34"/>
    <mergeCell ref="K33:K34"/>
    <mergeCell ref="L33:L34"/>
    <mergeCell ref="M33:M34"/>
    <mergeCell ref="Q33:Q34"/>
    <mergeCell ref="U33:U34"/>
    <mergeCell ref="AL29:AL34"/>
    <mergeCell ref="AM29:AM34"/>
    <mergeCell ref="AN29:AN34"/>
    <mergeCell ref="Z29:Z34"/>
    <mergeCell ref="AA29:AA34"/>
    <mergeCell ref="AB29:AB34"/>
    <mergeCell ref="AC29:AC34"/>
    <mergeCell ref="AD29:AD34"/>
    <mergeCell ref="AE29:AE34"/>
    <mergeCell ref="Q29:Q30"/>
    <mergeCell ref="R29:R34"/>
    <mergeCell ref="S29:S34"/>
    <mergeCell ref="T29:T34"/>
    <mergeCell ref="U29:U30"/>
    <mergeCell ref="Y29:Y34"/>
    <mergeCell ref="Q31:Q32"/>
    <mergeCell ref="U31:U32"/>
    <mergeCell ref="J29:J30"/>
    <mergeCell ref="U37:U39"/>
    <mergeCell ref="Y37:Y47"/>
    <mergeCell ref="Q40:Q43"/>
    <mergeCell ref="U40:U43"/>
    <mergeCell ref="J37:J39"/>
    <mergeCell ref="K37:K39"/>
    <mergeCell ref="L37:L39"/>
    <mergeCell ref="M37:M39"/>
    <mergeCell ref="O37:O47"/>
    <mergeCell ref="P37:P47"/>
    <mergeCell ref="J40:J43"/>
    <mergeCell ref="K40:K43"/>
    <mergeCell ref="L40:L43"/>
    <mergeCell ref="M40:M43"/>
    <mergeCell ref="Q44:Q47"/>
    <mergeCell ref="U44:U47"/>
    <mergeCell ref="AL37:AL47"/>
    <mergeCell ref="AM37:AM47"/>
    <mergeCell ref="AN37:AN47"/>
    <mergeCell ref="AO37:AO47"/>
    <mergeCell ref="AP37:AP47"/>
    <mergeCell ref="AQ37:AQ47"/>
    <mergeCell ref="AF37:AF47"/>
    <mergeCell ref="AG37:AG47"/>
    <mergeCell ref="AH37:AH47"/>
    <mergeCell ref="AI37:AI47"/>
    <mergeCell ref="AJ37:AJ47"/>
    <mergeCell ref="AK37:AK47"/>
    <mergeCell ref="Z37:Z47"/>
    <mergeCell ref="AA37:AA47"/>
    <mergeCell ref="AB37:AB47"/>
    <mergeCell ref="AC37:AC47"/>
    <mergeCell ref="AD37:AD47"/>
    <mergeCell ref="AE37:AE47"/>
    <mergeCell ref="Q37:Q39"/>
    <mergeCell ref="R37:R47"/>
    <mergeCell ref="S37:S47"/>
    <mergeCell ref="T37:T47"/>
    <mergeCell ref="J49:J51"/>
    <mergeCell ref="K49:K51"/>
    <mergeCell ref="L49:L51"/>
    <mergeCell ref="M49:M51"/>
    <mergeCell ref="O49:O51"/>
    <mergeCell ref="P49:P51"/>
    <mergeCell ref="J44:J47"/>
    <mergeCell ref="K44:K47"/>
    <mergeCell ref="L44:L47"/>
    <mergeCell ref="M44:M47"/>
    <mergeCell ref="AQ49:AQ51"/>
    <mergeCell ref="J54:J56"/>
    <mergeCell ref="K54:K56"/>
    <mergeCell ref="L54:L56"/>
    <mergeCell ref="M54:M56"/>
    <mergeCell ref="O54:O56"/>
    <mergeCell ref="AF49:AF51"/>
    <mergeCell ref="AG49:AG51"/>
    <mergeCell ref="AH49:AH51"/>
    <mergeCell ref="AI49:AI51"/>
    <mergeCell ref="AJ49:AJ51"/>
    <mergeCell ref="AK49:AK51"/>
    <mergeCell ref="Z49:Z51"/>
    <mergeCell ref="AA49:AA51"/>
    <mergeCell ref="AB49:AB51"/>
    <mergeCell ref="AC49:AC51"/>
    <mergeCell ref="AD49:AD51"/>
    <mergeCell ref="AE49:AE51"/>
    <mergeCell ref="Q49:Q51"/>
    <mergeCell ref="R49:R51"/>
    <mergeCell ref="S49:S51"/>
    <mergeCell ref="T49:T51"/>
    <mergeCell ref="U49:U51"/>
    <mergeCell ref="Y49:Y51"/>
    <mergeCell ref="Q54:Q56"/>
    <mergeCell ref="R54:R56"/>
    <mergeCell ref="S54:S56"/>
    <mergeCell ref="T54:T56"/>
    <mergeCell ref="U54:U56"/>
    <mergeCell ref="AL49:AL51"/>
    <mergeCell ref="AN49:AN51"/>
    <mergeCell ref="AO49:AO51"/>
    <mergeCell ref="AP49:AP51"/>
    <mergeCell ref="AQ54:AQ56"/>
    <mergeCell ref="E56:F56"/>
    <mergeCell ref="H56:I56"/>
    <mergeCell ref="F60:J60"/>
    <mergeCell ref="F61:I62"/>
    <mergeCell ref="AK54:AK56"/>
    <mergeCell ref="AL54:AL56"/>
    <mergeCell ref="AM54:AM56"/>
    <mergeCell ref="AN54:AN56"/>
    <mergeCell ref="AO54:AO56"/>
    <mergeCell ref="AP54:AP56"/>
    <mergeCell ref="AE54:AE56"/>
    <mergeCell ref="AF54:AF56"/>
    <mergeCell ref="AG54:AG56"/>
    <mergeCell ref="AH54:AH56"/>
    <mergeCell ref="AI54:AI56"/>
    <mergeCell ref="AJ54:AJ56"/>
    <mergeCell ref="Y54:Y56"/>
    <mergeCell ref="Z54:Z56"/>
    <mergeCell ref="AA54:AA56"/>
    <mergeCell ref="AB54:AB56"/>
    <mergeCell ref="AC54:AC56"/>
    <mergeCell ref="AD54:AD56"/>
    <mergeCell ref="P54:P56"/>
  </mergeCells>
  <pageMargins left="0.70866141732283472" right="0.70866141732283472" top="0.74803149606299213" bottom="0.74803149606299213" header="0.31496062992125984" footer="0.31496062992125984"/>
  <pageSetup paperSize="5"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showGridLines="0" topLeftCell="S1" zoomScale="60" zoomScaleNormal="60" workbookViewId="0">
      <selection activeCell="X15" sqref="X15:X21"/>
    </sheetView>
  </sheetViews>
  <sheetFormatPr baseColWidth="10" defaultColWidth="11.42578125" defaultRowHeight="14.25" x14ac:dyDescent="0.2"/>
  <cols>
    <col min="1" max="1" width="15.140625" style="399" customWidth="1"/>
    <col min="2" max="2" width="19.28515625" style="399" customWidth="1"/>
    <col min="3" max="3" width="17.5703125" style="399" customWidth="1"/>
    <col min="4" max="4" width="19.140625" style="399" customWidth="1"/>
    <col min="5" max="5" width="18" style="399" customWidth="1"/>
    <col min="6" max="6" width="22.42578125" style="399" customWidth="1"/>
    <col min="7" max="7" width="18.140625" style="399" customWidth="1"/>
    <col min="8" max="8" width="28.7109375" style="399" customWidth="1"/>
    <col min="9" max="9" width="21.5703125" style="399" customWidth="1"/>
    <col min="10" max="10" width="18.5703125" style="399" customWidth="1"/>
    <col min="11" max="11" width="29.140625" style="399" customWidth="1"/>
    <col min="12" max="12" width="20.5703125" style="399" customWidth="1"/>
    <col min="13" max="13" width="24" style="399" customWidth="1"/>
    <col min="14" max="14" width="17.5703125" style="399" customWidth="1"/>
    <col min="15" max="15" width="28.5703125" style="399" customWidth="1"/>
    <col min="16" max="16" width="23.7109375" style="399" customWidth="1"/>
    <col min="17" max="17" width="30.85546875" style="399" customWidth="1"/>
    <col min="18" max="18" width="23.85546875" style="399" customWidth="1"/>
    <col min="19" max="19" width="28.5703125" style="399" customWidth="1"/>
    <col min="20" max="20" width="18.85546875" style="590" customWidth="1"/>
    <col min="21" max="21" width="22.7109375" style="590" customWidth="1"/>
    <col min="22" max="25" width="11.42578125" style="399"/>
    <col min="26" max="27" width="13" style="399" customWidth="1"/>
    <col min="28" max="28" width="11.42578125" style="2073"/>
    <col min="29" max="37" width="7.7109375" style="399" customWidth="1"/>
    <col min="38" max="38" width="8.42578125" style="399" customWidth="1"/>
    <col min="39" max="39" width="17.85546875" style="399" customWidth="1"/>
    <col min="40" max="40" width="17.5703125" style="399" customWidth="1"/>
    <col min="41" max="41" width="22.42578125" style="399" customWidth="1"/>
    <col min="42" max="16384" width="11.42578125" style="399"/>
  </cols>
  <sheetData>
    <row r="1" spans="1:49" ht="15" customHeight="1" x14ac:dyDescent="0.25">
      <c r="A1" s="4336" t="s">
        <v>1852</v>
      </c>
      <c r="B1" s="4336"/>
      <c r="C1" s="4336"/>
      <c r="D1" s="4336"/>
      <c r="E1" s="4336"/>
      <c r="F1" s="4336"/>
      <c r="G1" s="4336"/>
      <c r="H1" s="4336"/>
      <c r="I1" s="4336"/>
      <c r="J1" s="4336"/>
      <c r="K1" s="4336"/>
      <c r="L1" s="4336"/>
      <c r="M1" s="4336"/>
      <c r="N1" s="4336"/>
      <c r="O1" s="4336"/>
      <c r="P1" s="4336"/>
      <c r="Q1" s="4336"/>
      <c r="R1" s="4336"/>
      <c r="S1" s="4336"/>
      <c r="T1" s="4336"/>
      <c r="U1" s="4336"/>
      <c r="V1" s="4336"/>
      <c r="W1" s="4336"/>
      <c r="X1" s="4336"/>
      <c r="Y1" s="4336"/>
      <c r="Z1" s="4336"/>
      <c r="AA1" s="4336"/>
      <c r="AB1" s="4336"/>
      <c r="AC1" s="4336"/>
      <c r="AD1" s="4336"/>
      <c r="AE1" s="4336"/>
      <c r="AF1" s="4336"/>
      <c r="AG1" s="4336"/>
      <c r="AH1" s="4336"/>
      <c r="AI1" s="4336"/>
      <c r="AJ1" s="4336"/>
      <c r="AK1" s="4336"/>
      <c r="AL1" s="4336"/>
      <c r="AM1" s="4336"/>
      <c r="AN1" s="2027" t="s">
        <v>1</v>
      </c>
      <c r="AO1" s="398" t="s">
        <v>2</v>
      </c>
    </row>
    <row r="2" spans="1:49" ht="15" x14ac:dyDescent="0.25">
      <c r="A2" s="4336"/>
      <c r="B2" s="4336"/>
      <c r="C2" s="4336"/>
      <c r="D2" s="4336"/>
      <c r="E2" s="4336"/>
      <c r="F2" s="4336"/>
      <c r="G2" s="4336"/>
      <c r="H2" s="4336"/>
      <c r="I2" s="4336"/>
      <c r="J2" s="4336"/>
      <c r="K2" s="4336"/>
      <c r="L2" s="4336"/>
      <c r="M2" s="4336"/>
      <c r="N2" s="4336"/>
      <c r="O2" s="4336"/>
      <c r="P2" s="4336"/>
      <c r="Q2" s="4336"/>
      <c r="R2" s="4336"/>
      <c r="S2" s="4336"/>
      <c r="T2" s="4336"/>
      <c r="U2" s="4336"/>
      <c r="V2" s="4336"/>
      <c r="W2" s="4336"/>
      <c r="X2" s="4336"/>
      <c r="Y2" s="4336"/>
      <c r="Z2" s="4336"/>
      <c r="AA2" s="4336"/>
      <c r="AB2" s="4336"/>
      <c r="AC2" s="4336"/>
      <c r="AD2" s="4336"/>
      <c r="AE2" s="4336"/>
      <c r="AF2" s="4336"/>
      <c r="AG2" s="4336"/>
      <c r="AH2" s="4336"/>
      <c r="AI2" s="4336"/>
      <c r="AJ2" s="4336"/>
      <c r="AK2" s="4336"/>
      <c r="AL2" s="4336"/>
      <c r="AM2" s="4336"/>
      <c r="AN2" s="2027" t="s">
        <v>3</v>
      </c>
      <c r="AO2" s="401">
        <v>6</v>
      </c>
    </row>
    <row r="3" spans="1:49" ht="15" x14ac:dyDescent="0.25">
      <c r="A3" s="4336"/>
      <c r="B3" s="4336"/>
      <c r="C3" s="4336"/>
      <c r="D3" s="4336"/>
      <c r="E3" s="4336"/>
      <c r="F3" s="4336"/>
      <c r="G3" s="4336"/>
      <c r="H3" s="4336"/>
      <c r="I3" s="4336"/>
      <c r="J3" s="4336"/>
      <c r="K3" s="4336"/>
      <c r="L3" s="4336"/>
      <c r="M3" s="4336"/>
      <c r="N3" s="4336"/>
      <c r="O3" s="4336"/>
      <c r="P3" s="4336"/>
      <c r="Q3" s="4336"/>
      <c r="R3" s="4336"/>
      <c r="S3" s="4336"/>
      <c r="T3" s="4336"/>
      <c r="U3" s="4336"/>
      <c r="V3" s="4336"/>
      <c r="W3" s="4336"/>
      <c r="X3" s="4336"/>
      <c r="Y3" s="4336"/>
      <c r="Z3" s="4336"/>
      <c r="AA3" s="4336"/>
      <c r="AB3" s="4336"/>
      <c r="AC3" s="4336"/>
      <c r="AD3" s="4336"/>
      <c r="AE3" s="4336"/>
      <c r="AF3" s="4336"/>
      <c r="AG3" s="4336"/>
      <c r="AH3" s="4336"/>
      <c r="AI3" s="4336"/>
      <c r="AJ3" s="4336"/>
      <c r="AK3" s="4336"/>
      <c r="AL3" s="4336"/>
      <c r="AM3" s="4336"/>
      <c r="AN3" s="2027" t="s">
        <v>5</v>
      </c>
      <c r="AO3" s="402" t="s">
        <v>6</v>
      </c>
    </row>
    <row r="4" spans="1:49" ht="15" x14ac:dyDescent="0.2">
      <c r="A4" s="2994"/>
      <c r="B4" s="2994"/>
      <c r="C4" s="2994"/>
      <c r="D4" s="2994"/>
      <c r="E4" s="2994"/>
      <c r="F4" s="2994"/>
      <c r="G4" s="2994"/>
      <c r="H4" s="2994"/>
      <c r="I4" s="2994"/>
      <c r="J4" s="2994"/>
      <c r="K4" s="2994"/>
      <c r="L4" s="2994"/>
      <c r="M4" s="2994"/>
      <c r="N4" s="2994"/>
      <c r="O4" s="2994"/>
      <c r="P4" s="2994"/>
      <c r="Q4" s="2994"/>
      <c r="R4" s="2994"/>
      <c r="S4" s="2994"/>
      <c r="T4" s="2994"/>
      <c r="U4" s="2994"/>
      <c r="V4" s="2994"/>
      <c r="W4" s="2994"/>
      <c r="X4" s="2994"/>
      <c r="Y4" s="2994"/>
      <c r="Z4" s="2994"/>
      <c r="AA4" s="2994"/>
      <c r="AB4" s="2994"/>
      <c r="AC4" s="2994"/>
      <c r="AD4" s="2994"/>
      <c r="AE4" s="2994"/>
      <c r="AF4" s="2994"/>
      <c r="AG4" s="2994"/>
      <c r="AH4" s="2994"/>
      <c r="AI4" s="2994"/>
      <c r="AJ4" s="2994"/>
      <c r="AK4" s="2994"/>
      <c r="AL4" s="2994"/>
      <c r="AM4" s="2994"/>
      <c r="AN4" s="403" t="s">
        <v>7</v>
      </c>
      <c r="AO4" s="404" t="s">
        <v>323</v>
      </c>
    </row>
    <row r="5" spans="1:49" ht="15" x14ac:dyDescent="0.2">
      <c r="A5" s="4481" t="s">
        <v>9</v>
      </c>
      <c r="B5" s="4481"/>
      <c r="C5" s="4481"/>
      <c r="D5" s="4481"/>
      <c r="E5" s="4481"/>
      <c r="F5" s="4481"/>
      <c r="G5" s="4481"/>
      <c r="H5" s="4481"/>
      <c r="I5" s="4481"/>
      <c r="J5" s="4481"/>
      <c r="K5" s="4481" t="s">
        <v>10</v>
      </c>
      <c r="L5" s="4481"/>
      <c r="M5" s="4481"/>
      <c r="N5" s="4481"/>
      <c r="O5" s="4481"/>
      <c r="P5" s="4481"/>
      <c r="Q5" s="4481"/>
      <c r="R5" s="4481"/>
      <c r="S5" s="4481"/>
      <c r="T5" s="4481"/>
      <c r="U5" s="4481"/>
      <c r="V5" s="4481"/>
      <c r="W5" s="4481"/>
      <c r="X5" s="4481"/>
      <c r="Y5" s="4481"/>
      <c r="Z5" s="4481"/>
      <c r="AA5" s="4481"/>
      <c r="AB5" s="4481"/>
      <c r="AC5" s="4481"/>
      <c r="AD5" s="4481"/>
      <c r="AE5" s="4481"/>
      <c r="AF5" s="4481"/>
      <c r="AG5" s="4481"/>
      <c r="AH5" s="4481"/>
      <c r="AI5" s="4481"/>
      <c r="AJ5" s="4481"/>
      <c r="AK5" s="4481"/>
      <c r="AL5" s="4481"/>
      <c r="AM5" s="4482"/>
      <c r="AN5" s="4482"/>
      <c r="AO5" s="4482"/>
    </row>
    <row r="6" spans="1:49" ht="15.75" customHeight="1" x14ac:dyDescent="0.2">
      <c r="A6" s="4481"/>
      <c r="B6" s="4481"/>
      <c r="C6" s="4481"/>
      <c r="D6" s="4481"/>
      <c r="E6" s="4481"/>
      <c r="F6" s="4481"/>
      <c r="G6" s="4481"/>
      <c r="H6" s="4481"/>
      <c r="I6" s="4481"/>
      <c r="J6" s="4481"/>
      <c r="K6" s="4481"/>
      <c r="L6" s="4481"/>
      <c r="M6" s="4481"/>
      <c r="N6" s="4481"/>
      <c r="O6" s="4481"/>
      <c r="P6" s="4481"/>
      <c r="Q6" s="4481"/>
      <c r="R6" s="4481"/>
      <c r="S6" s="4481"/>
      <c r="T6" s="4481"/>
      <c r="U6" s="4481"/>
      <c r="V6" s="4481" t="s">
        <v>1853</v>
      </c>
      <c r="W6" s="4481"/>
      <c r="X6" s="4481"/>
      <c r="Y6" s="4481"/>
      <c r="Z6" s="4481"/>
      <c r="AA6" s="4481"/>
      <c r="AB6" s="4481"/>
      <c r="AC6" s="4481"/>
      <c r="AD6" s="4481"/>
      <c r="AE6" s="4481"/>
      <c r="AF6" s="4481"/>
      <c r="AG6" s="4481"/>
      <c r="AH6" s="4481"/>
      <c r="AI6" s="4481"/>
      <c r="AJ6" s="4481"/>
      <c r="AK6" s="4481"/>
      <c r="AL6" s="4481"/>
      <c r="AM6" s="4483" t="s">
        <v>32</v>
      </c>
      <c r="AN6" s="4483" t="s">
        <v>33</v>
      </c>
      <c r="AO6" s="4486" t="s">
        <v>34</v>
      </c>
    </row>
    <row r="7" spans="1:49" ht="25.5" customHeight="1" x14ac:dyDescent="0.2">
      <c r="A7" s="4480" t="s">
        <v>12</v>
      </c>
      <c r="B7" s="4480" t="s">
        <v>1854</v>
      </c>
      <c r="C7" s="4480" t="s">
        <v>12</v>
      </c>
      <c r="D7" s="4480" t="s">
        <v>1855</v>
      </c>
      <c r="E7" s="4480" t="s">
        <v>12</v>
      </c>
      <c r="F7" s="4480" t="s">
        <v>1856</v>
      </c>
      <c r="G7" s="4480" t="s">
        <v>12</v>
      </c>
      <c r="H7" s="4475" t="s">
        <v>1857</v>
      </c>
      <c r="I7" s="4475" t="s">
        <v>17</v>
      </c>
      <c r="J7" s="4478" t="s">
        <v>18</v>
      </c>
      <c r="K7" s="4475" t="s">
        <v>19</v>
      </c>
      <c r="L7" s="4475" t="s">
        <v>1858</v>
      </c>
      <c r="M7" s="4475" t="s">
        <v>10</v>
      </c>
      <c r="N7" s="4475" t="s">
        <v>21</v>
      </c>
      <c r="O7" s="4475" t="s">
        <v>1320</v>
      </c>
      <c r="P7" s="4475" t="s">
        <v>23</v>
      </c>
      <c r="Q7" s="4475" t="s">
        <v>24</v>
      </c>
      <c r="R7" s="4475" t="s">
        <v>25</v>
      </c>
      <c r="S7" s="4477" t="s">
        <v>22</v>
      </c>
      <c r="T7" s="4475" t="s">
        <v>12</v>
      </c>
      <c r="U7" s="4475" t="s">
        <v>26</v>
      </c>
      <c r="V7" s="4476" t="s">
        <v>27</v>
      </c>
      <c r="W7" s="2758"/>
      <c r="X7" s="2759" t="s">
        <v>28</v>
      </c>
      <c r="Y7" s="2760"/>
      <c r="Z7" s="2760"/>
      <c r="AA7" s="2760"/>
      <c r="AB7" s="2028"/>
      <c r="AC7" s="2761" t="s">
        <v>29</v>
      </c>
      <c r="AD7" s="2762"/>
      <c r="AE7" s="2762"/>
      <c r="AF7" s="2762"/>
      <c r="AG7" s="2762"/>
      <c r="AH7" s="2762"/>
      <c r="AI7" s="2759" t="s">
        <v>30</v>
      </c>
      <c r="AJ7" s="2760"/>
      <c r="AK7" s="2760"/>
      <c r="AL7" s="4463" t="s">
        <v>31</v>
      </c>
      <c r="AM7" s="4484"/>
      <c r="AN7" s="4484"/>
      <c r="AO7" s="4487"/>
      <c r="AW7" s="399">
        <v>0</v>
      </c>
    </row>
    <row r="8" spans="1:49" ht="125.25" customHeight="1" x14ac:dyDescent="0.2">
      <c r="A8" s="4480"/>
      <c r="B8" s="4480"/>
      <c r="C8" s="4480"/>
      <c r="D8" s="4480"/>
      <c r="E8" s="4480"/>
      <c r="F8" s="4480"/>
      <c r="G8" s="4480"/>
      <c r="H8" s="4475"/>
      <c r="I8" s="4475"/>
      <c r="J8" s="4479"/>
      <c r="K8" s="4475"/>
      <c r="L8" s="4475"/>
      <c r="M8" s="4475"/>
      <c r="N8" s="4475"/>
      <c r="O8" s="4475"/>
      <c r="P8" s="4475"/>
      <c r="Q8" s="4475"/>
      <c r="R8" s="4475"/>
      <c r="S8" s="4477"/>
      <c r="T8" s="4475"/>
      <c r="U8" s="4475"/>
      <c r="V8" s="1325" t="s">
        <v>35</v>
      </c>
      <c r="W8" s="1326" t="s">
        <v>36</v>
      </c>
      <c r="X8" s="1325" t="s">
        <v>37</v>
      </c>
      <c r="Y8" s="1325" t="s">
        <v>118</v>
      </c>
      <c r="Z8" s="4465" t="s">
        <v>119</v>
      </c>
      <c r="AA8" s="4465"/>
      <c r="AB8" s="1325" t="s">
        <v>120</v>
      </c>
      <c r="AC8" s="1325" t="s">
        <v>41</v>
      </c>
      <c r="AD8" s="1325" t="s">
        <v>42</v>
      </c>
      <c r="AE8" s="1325" t="s">
        <v>43</v>
      </c>
      <c r="AF8" s="1325" t="s">
        <v>44</v>
      </c>
      <c r="AG8" s="1325" t="s">
        <v>45</v>
      </c>
      <c r="AH8" s="1325" t="s">
        <v>46</v>
      </c>
      <c r="AI8" s="1708" t="s">
        <v>47</v>
      </c>
      <c r="AJ8" s="1708" t="s">
        <v>48</v>
      </c>
      <c r="AK8" s="1708" t="s">
        <v>49</v>
      </c>
      <c r="AL8" s="4464"/>
      <c r="AM8" s="4485"/>
      <c r="AN8" s="4485"/>
      <c r="AO8" s="4487"/>
    </row>
    <row r="9" spans="1:49" ht="28.5" customHeight="1" x14ac:dyDescent="0.2">
      <c r="A9" s="2029">
        <v>2</v>
      </c>
      <c r="B9" s="4466" t="s">
        <v>193</v>
      </c>
      <c r="C9" s="4467"/>
      <c r="D9" s="4467"/>
      <c r="E9" s="417"/>
      <c r="F9" s="417"/>
      <c r="G9" s="417"/>
      <c r="H9" s="417"/>
      <c r="I9" s="417"/>
      <c r="J9" s="417"/>
      <c r="K9" s="417"/>
      <c r="L9" s="417"/>
      <c r="M9" s="417"/>
      <c r="N9" s="417"/>
      <c r="O9" s="417"/>
      <c r="P9" s="417"/>
      <c r="Q9" s="417"/>
      <c r="R9" s="417"/>
      <c r="S9" s="417"/>
      <c r="T9" s="418"/>
      <c r="U9" s="418"/>
      <c r="V9" s="417"/>
      <c r="W9" s="417"/>
      <c r="X9" s="417"/>
      <c r="Y9" s="417"/>
      <c r="Z9" s="417"/>
      <c r="AA9" s="417"/>
      <c r="AB9" s="417"/>
      <c r="AC9" s="417"/>
      <c r="AD9" s="417"/>
      <c r="AE9" s="417"/>
      <c r="AF9" s="417"/>
      <c r="AG9" s="417"/>
      <c r="AH9" s="417"/>
      <c r="AI9" s="417"/>
      <c r="AJ9" s="417"/>
      <c r="AK9" s="417"/>
      <c r="AL9" s="417"/>
      <c r="AM9" s="2030"/>
      <c r="AN9" s="2030"/>
      <c r="AO9" s="419"/>
    </row>
    <row r="10" spans="1:49" ht="24.75" customHeight="1" x14ac:dyDescent="0.2">
      <c r="A10" s="2031"/>
      <c r="B10" s="2032"/>
      <c r="C10" s="2033">
        <v>4</v>
      </c>
      <c r="D10" s="4468" t="s">
        <v>1859</v>
      </c>
      <c r="E10" s="4469"/>
      <c r="F10" s="4469"/>
      <c r="G10" s="4469"/>
      <c r="H10" s="4469"/>
      <c r="I10" s="4469"/>
      <c r="J10" s="4469"/>
      <c r="K10" s="4469"/>
      <c r="L10" s="4469"/>
      <c r="M10" s="4469"/>
      <c r="N10" s="4469"/>
      <c r="O10" s="4469"/>
      <c r="P10" s="4469"/>
      <c r="Q10" s="4469"/>
      <c r="R10" s="4469"/>
      <c r="S10" s="4469"/>
      <c r="T10" s="4469"/>
      <c r="U10" s="4469"/>
      <c r="V10" s="4469"/>
      <c r="W10" s="4469"/>
      <c r="X10" s="4469"/>
      <c r="Y10" s="4469"/>
      <c r="Z10" s="4469"/>
      <c r="AA10" s="4469"/>
      <c r="AB10" s="4469"/>
      <c r="AC10" s="4469"/>
      <c r="AD10" s="4469"/>
      <c r="AE10" s="4469"/>
      <c r="AF10" s="4469"/>
      <c r="AG10" s="4469"/>
      <c r="AH10" s="4469"/>
      <c r="AI10" s="4469"/>
      <c r="AJ10" s="4469"/>
      <c r="AK10" s="4469"/>
      <c r="AL10" s="4469"/>
      <c r="AM10" s="4469"/>
      <c r="AN10" s="4469"/>
      <c r="AO10" s="4470"/>
    </row>
    <row r="11" spans="1:49" ht="25.5" customHeight="1" x14ac:dyDescent="0.2">
      <c r="A11" s="2034"/>
      <c r="B11" s="2035"/>
      <c r="C11" s="2032"/>
      <c r="D11" s="2031"/>
      <c r="E11" s="2036">
        <v>14</v>
      </c>
      <c r="F11" s="4455" t="s">
        <v>1860</v>
      </c>
      <c r="G11" s="4455"/>
      <c r="H11" s="4455"/>
      <c r="I11" s="4455"/>
      <c r="J11" s="4455"/>
      <c r="K11" s="4455"/>
      <c r="L11" s="4455"/>
      <c r="M11" s="4455"/>
      <c r="N11" s="4455"/>
      <c r="O11" s="4455"/>
      <c r="P11" s="4455"/>
      <c r="Q11" s="4455"/>
      <c r="R11" s="4471"/>
      <c r="S11" s="4471"/>
      <c r="T11" s="4471"/>
      <c r="U11" s="4471"/>
      <c r="V11" s="4455"/>
      <c r="W11" s="4455"/>
      <c r="X11" s="4455"/>
      <c r="Y11" s="4455"/>
      <c r="Z11" s="4455"/>
      <c r="AA11" s="4455"/>
      <c r="AB11" s="4455"/>
      <c r="AC11" s="4455"/>
      <c r="AD11" s="4455"/>
      <c r="AE11" s="4455"/>
      <c r="AF11" s="4455"/>
      <c r="AG11" s="4455"/>
      <c r="AH11" s="4455"/>
      <c r="AI11" s="4455"/>
      <c r="AJ11" s="4455"/>
      <c r="AK11" s="4455"/>
      <c r="AL11" s="4455"/>
      <c r="AM11" s="4455"/>
      <c r="AN11" s="4455"/>
      <c r="AO11" s="4455"/>
    </row>
    <row r="12" spans="1:49" ht="74.25" customHeight="1" x14ac:dyDescent="0.2">
      <c r="A12" s="2037"/>
      <c r="B12" s="2038"/>
      <c r="C12" s="2037"/>
      <c r="D12" s="2038"/>
      <c r="E12" s="4448"/>
      <c r="F12" s="4415"/>
      <c r="G12" s="4473">
        <v>54</v>
      </c>
      <c r="H12" s="2586" t="s">
        <v>389</v>
      </c>
      <c r="I12" s="2972" t="s">
        <v>390</v>
      </c>
      <c r="J12" s="2972">
        <v>130</v>
      </c>
      <c r="K12" s="2972" t="s">
        <v>1861</v>
      </c>
      <c r="L12" s="2972" t="s">
        <v>1862</v>
      </c>
      <c r="M12" s="2586" t="s">
        <v>1863</v>
      </c>
      <c r="N12" s="4461" t="e">
        <f>+SUM(S12:S13)/O12</f>
        <v>#REF!</v>
      </c>
      <c r="O12" s="4435" t="e">
        <f>+SUM(S12:S13)</f>
        <v>#REF!</v>
      </c>
      <c r="P12" s="2586" t="s">
        <v>1864</v>
      </c>
      <c r="Q12" s="2646" t="s">
        <v>1865</v>
      </c>
      <c r="R12" s="4458" t="s">
        <v>1866</v>
      </c>
      <c r="S12" s="2039" t="e">
        <f>+#REF!</f>
        <v>#REF!</v>
      </c>
      <c r="T12" s="2040">
        <v>53</v>
      </c>
      <c r="U12" s="2041" t="s">
        <v>1867</v>
      </c>
      <c r="V12" s="4459">
        <v>1382.4</v>
      </c>
      <c r="W12" s="4442">
        <v>1317.6</v>
      </c>
      <c r="X12" s="4442">
        <v>459</v>
      </c>
      <c r="Y12" s="4442">
        <v>248</v>
      </c>
      <c r="Z12" s="4442">
        <v>1615</v>
      </c>
      <c r="AA12" s="4442">
        <v>1615</v>
      </c>
      <c r="AB12" s="4456">
        <v>378</v>
      </c>
      <c r="AC12" s="4442"/>
      <c r="AD12" s="4442"/>
      <c r="AE12" s="4442"/>
      <c r="AF12" s="4442"/>
      <c r="AG12" s="4442"/>
      <c r="AH12" s="4442"/>
      <c r="AI12" s="4442"/>
      <c r="AJ12" s="4442"/>
      <c r="AK12" s="4442"/>
      <c r="AL12" s="4442">
        <f>+X12+Y12+Z12+AB12</f>
        <v>2700</v>
      </c>
      <c r="AM12" s="3985">
        <v>43466</v>
      </c>
      <c r="AN12" s="3985">
        <v>43829</v>
      </c>
      <c r="AO12" s="2972" t="s">
        <v>1868</v>
      </c>
    </row>
    <row r="13" spans="1:49" ht="74.25" customHeight="1" x14ac:dyDescent="0.2">
      <c r="A13" s="2037"/>
      <c r="B13" s="2038"/>
      <c r="C13" s="2037"/>
      <c r="D13" s="2038"/>
      <c r="E13" s="4472"/>
      <c r="F13" s="4439"/>
      <c r="G13" s="4474"/>
      <c r="H13" s="2566"/>
      <c r="I13" s="2973"/>
      <c r="J13" s="2973"/>
      <c r="K13" s="2973"/>
      <c r="L13" s="2973"/>
      <c r="M13" s="2566"/>
      <c r="N13" s="4462"/>
      <c r="O13" s="4454"/>
      <c r="P13" s="2566"/>
      <c r="Q13" s="2599"/>
      <c r="R13" s="4458"/>
      <c r="S13" s="2039" t="e">
        <f>+#REF!</f>
        <v>#REF!</v>
      </c>
      <c r="T13" s="2040">
        <v>159</v>
      </c>
      <c r="U13" s="2041" t="s">
        <v>1869</v>
      </c>
      <c r="V13" s="4460"/>
      <c r="W13" s="4443"/>
      <c r="X13" s="4443"/>
      <c r="Y13" s="4443"/>
      <c r="Z13" s="4443"/>
      <c r="AA13" s="4443"/>
      <c r="AB13" s="4457"/>
      <c r="AC13" s="4443"/>
      <c r="AD13" s="4443"/>
      <c r="AE13" s="4443"/>
      <c r="AF13" s="4443"/>
      <c r="AG13" s="4443"/>
      <c r="AH13" s="4443"/>
      <c r="AI13" s="4443"/>
      <c r="AJ13" s="4443"/>
      <c r="AK13" s="4443"/>
      <c r="AL13" s="4443"/>
      <c r="AM13" s="3986"/>
      <c r="AN13" s="3986"/>
      <c r="AO13" s="2973"/>
    </row>
    <row r="14" spans="1:49" ht="21" customHeight="1" x14ac:dyDescent="0.2">
      <c r="A14" s="2034"/>
      <c r="B14" s="2035"/>
      <c r="C14" s="2035"/>
      <c r="D14" s="2034"/>
      <c r="E14" s="2036">
        <v>15</v>
      </c>
      <c r="F14" s="4455" t="s">
        <v>1870</v>
      </c>
      <c r="G14" s="4455"/>
      <c r="H14" s="4455"/>
      <c r="I14" s="4455"/>
      <c r="J14" s="4455"/>
      <c r="K14" s="2042"/>
      <c r="L14" s="2042"/>
      <c r="M14" s="2043"/>
      <c r="N14" s="2042"/>
      <c r="O14" s="2044"/>
      <c r="P14" s="2043"/>
      <c r="Q14" s="2043"/>
      <c r="R14" s="2045"/>
      <c r="S14" s="2046"/>
      <c r="T14" s="2047"/>
      <c r="U14" s="2047"/>
      <c r="V14" s="2042"/>
      <c r="W14" s="2042"/>
      <c r="X14" s="2042"/>
      <c r="Y14" s="2042"/>
      <c r="Z14" s="2042"/>
      <c r="AA14" s="2042"/>
      <c r="AB14" s="2048"/>
      <c r="AC14" s="2042"/>
      <c r="AD14" s="2042"/>
      <c r="AE14" s="2042"/>
      <c r="AF14" s="2042"/>
      <c r="AG14" s="2042"/>
      <c r="AH14" s="2042"/>
      <c r="AI14" s="2042"/>
      <c r="AJ14" s="2042"/>
      <c r="AK14" s="2042"/>
      <c r="AL14" s="2042"/>
      <c r="AM14" s="2049"/>
      <c r="AN14" s="2049"/>
      <c r="AO14" s="2042"/>
    </row>
    <row r="15" spans="1:49" ht="60" customHeight="1" x14ac:dyDescent="0.2">
      <c r="A15" s="2034"/>
      <c r="B15" s="2035"/>
      <c r="C15" s="2035"/>
      <c r="D15" s="2034"/>
      <c r="E15" s="4440"/>
      <c r="F15" s="4440"/>
      <c r="G15" s="4415">
        <v>59</v>
      </c>
      <c r="H15" s="3530" t="s">
        <v>437</v>
      </c>
      <c r="I15" s="4415" t="s">
        <v>438</v>
      </c>
      <c r="J15" s="4415">
        <v>12</v>
      </c>
      <c r="K15" s="4415" t="s">
        <v>1861</v>
      </c>
      <c r="L15" s="4415" t="s">
        <v>1862</v>
      </c>
      <c r="M15" s="3530" t="s">
        <v>1863</v>
      </c>
      <c r="N15" s="3145" t="e">
        <f>+S15/O15</f>
        <v>#REF!</v>
      </c>
      <c r="O15" s="4435" t="e">
        <f>+S15</f>
        <v>#REF!</v>
      </c>
      <c r="P15" s="3530" t="s">
        <v>1864</v>
      </c>
      <c r="Q15" s="3530" t="s">
        <v>1871</v>
      </c>
      <c r="R15" s="3530" t="s">
        <v>1872</v>
      </c>
      <c r="S15" s="4435" t="e">
        <f>+#REF!</f>
        <v>#REF!</v>
      </c>
      <c r="T15" s="4448" t="s">
        <v>339</v>
      </c>
      <c r="U15" s="4450" t="s">
        <v>1873</v>
      </c>
      <c r="V15" s="4444">
        <f>+[1]Hoja1!$E$12</f>
        <v>284400.12800000003</v>
      </c>
      <c r="W15" s="4444">
        <f>+[1]Hoja1!$D$12</f>
        <v>271068.87199999997</v>
      </c>
      <c r="X15" s="4444">
        <f>+X12</f>
        <v>459</v>
      </c>
      <c r="Y15" s="4444">
        <f>+Y12</f>
        <v>248</v>
      </c>
      <c r="Z15" s="4444">
        <f>+Z12</f>
        <v>1615</v>
      </c>
      <c r="AA15" s="4444">
        <f>+Z15</f>
        <v>1615</v>
      </c>
      <c r="AB15" s="4446">
        <f>+AB12</f>
        <v>378</v>
      </c>
      <c r="AC15" s="4440"/>
      <c r="AD15" s="4440"/>
      <c r="AE15" s="4440"/>
      <c r="AF15" s="4440"/>
      <c r="AG15" s="4440"/>
      <c r="AH15" s="4440"/>
      <c r="AI15" s="4440"/>
      <c r="AJ15" s="4440"/>
      <c r="AK15" s="4440"/>
      <c r="AL15" s="4442">
        <f>+X15+Y15+Z15+AB15</f>
        <v>2700</v>
      </c>
      <c r="AM15" s="3985">
        <v>43466</v>
      </c>
      <c r="AN15" s="3985">
        <v>43829</v>
      </c>
      <c r="AO15" s="2972" t="s">
        <v>1868</v>
      </c>
    </row>
    <row r="16" spans="1:49" ht="60" customHeight="1" x14ac:dyDescent="0.2">
      <c r="A16" s="2050"/>
      <c r="B16" s="2038"/>
      <c r="C16" s="2037"/>
      <c r="D16" s="2038"/>
      <c r="E16" s="4441"/>
      <c r="F16" s="4441"/>
      <c r="G16" s="4416"/>
      <c r="H16" s="3532"/>
      <c r="I16" s="4416"/>
      <c r="J16" s="4416"/>
      <c r="K16" s="4416"/>
      <c r="L16" s="4439"/>
      <c r="M16" s="3531"/>
      <c r="N16" s="3147"/>
      <c r="O16" s="4436"/>
      <c r="P16" s="3531"/>
      <c r="Q16" s="3531"/>
      <c r="R16" s="3532"/>
      <c r="S16" s="4436"/>
      <c r="T16" s="4449"/>
      <c r="U16" s="4451"/>
      <c r="V16" s="4445"/>
      <c r="W16" s="4445"/>
      <c r="X16" s="4445"/>
      <c r="Y16" s="4445"/>
      <c r="Z16" s="4445"/>
      <c r="AA16" s="4445"/>
      <c r="AB16" s="4447"/>
      <c r="AC16" s="4441"/>
      <c r="AD16" s="4441"/>
      <c r="AE16" s="4441"/>
      <c r="AF16" s="4441"/>
      <c r="AG16" s="4441"/>
      <c r="AH16" s="4441"/>
      <c r="AI16" s="4441"/>
      <c r="AJ16" s="4441"/>
      <c r="AK16" s="4441"/>
      <c r="AL16" s="4443"/>
      <c r="AM16" s="3986"/>
      <c r="AN16" s="3986"/>
      <c r="AO16" s="2973"/>
    </row>
    <row r="17" spans="1:41" ht="120" customHeight="1" x14ac:dyDescent="0.2">
      <c r="A17" s="2050"/>
      <c r="B17" s="2038"/>
      <c r="C17" s="2037"/>
      <c r="D17" s="2038"/>
      <c r="E17" s="4441"/>
      <c r="F17" s="4441"/>
      <c r="G17" s="2051">
        <v>57</v>
      </c>
      <c r="H17" s="2052" t="s">
        <v>419</v>
      </c>
      <c r="I17" s="2051" t="s">
        <v>420</v>
      </c>
      <c r="J17" s="2051">
        <v>12</v>
      </c>
      <c r="K17" s="2051" t="s">
        <v>1861</v>
      </c>
      <c r="L17" s="4439"/>
      <c r="M17" s="3531"/>
      <c r="N17" s="2053" t="e">
        <f>+S17/O17</f>
        <v>#REF!</v>
      </c>
      <c r="O17" s="2054" t="e">
        <f>+S17</f>
        <v>#REF!</v>
      </c>
      <c r="P17" s="3531"/>
      <c r="Q17" s="3531"/>
      <c r="R17" s="2052" t="s">
        <v>1874</v>
      </c>
      <c r="S17" s="2054" t="e">
        <f>+#REF!</f>
        <v>#REF!</v>
      </c>
      <c r="T17" s="2055" t="s">
        <v>339</v>
      </c>
      <c r="U17" s="2056" t="s">
        <v>1873</v>
      </c>
      <c r="V17" s="4445"/>
      <c r="W17" s="4445"/>
      <c r="X17" s="4445"/>
      <c r="Y17" s="4445"/>
      <c r="Z17" s="4445"/>
      <c r="AA17" s="4445"/>
      <c r="AB17" s="4447"/>
      <c r="AC17" s="4441"/>
      <c r="AD17" s="4441"/>
      <c r="AE17" s="4441"/>
      <c r="AF17" s="4441"/>
      <c r="AG17" s="4441"/>
      <c r="AH17" s="4441"/>
      <c r="AI17" s="4441"/>
      <c r="AJ17" s="4441"/>
      <c r="AK17" s="4441"/>
      <c r="AL17" s="4443"/>
      <c r="AM17" s="3986"/>
      <c r="AN17" s="3986"/>
      <c r="AO17" s="2973"/>
    </row>
    <row r="18" spans="1:41" ht="60" customHeight="1" x14ac:dyDescent="0.2">
      <c r="A18" s="2050"/>
      <c r="B18" s="2038"/>
      <c r="C18" s="2037"/>
      <c r="D18" s="2038"/>
      <c r="E18" s="4441"/>
      <c r="F18" s="4441"/>
      <c r="G18" s="4415">
        <v>60</v>
      </c>
      <c r="H18" s="3530" t="s">
        <v>1875</v>
      </c>
      <c r="I18" s="4415" t="s">
        <v>1876</v>
      </c>
      <c r="J18" s="4415">
        <v>12</v>
      </c>
      <c r="K18" s="4415" t="s">
        <v>1861</v>
      </c>
      <c r="L18" s="4439"/>
      <c r="M18" s="3531"/>
      <c r="N18" s="4433" t="e">
        <f>+S18/O18</f>
        <v>#REF!</v>
      </c>
      <c r="O18" s="4435" t="e">
        <f>+S18+S19</f>
        <v>#REF!</v>
      </c>
      <c r="P18" s="3531"/>
      <c r="Q18" s="3531"/>
      <c r="R18" s="4437" t="s">
        <v>1877</v>
      </c>
      <c r="S18" s="2039" t="e">
        <f>+#REF!</f>
        <v>#REF!</v>
      </c>
      <c r="T18" s="2057" t="s">
        <v>1878</v>
      </c>
      <c r="U18" s="2058" t="s">
        <v>1867</v>
      </c>
      <c r="V18" s="4452"/>
      <c r="W18" s="4445"/>
      <c r="X18" s="4445"/>
      <c r="Y18" s="4445"/>
      <c r="Z18" s="4445"/>
      <c r="AA18" s="4445"/>
      <c r="AB18" s="4447"/>
      <c r="AC18" s="4441"/>
      <c r="AD18" s="4441"/>
      <c r="AE18" s="4441"/>
      <c r="AF18" s="4441"/>
      <c r="AG18" s="4441"/>
      <c r="AH18" s="4441"/>
      <c r="AI18" s="4441"/>
      <c r="AJ18" s="4441"/>
      <c r="AK18" s="4441"/>
      <c r="AL18" s="4443"/>
      <c r="AM18" s="3986"/>
      <c r="AN18" s="3986"/>
      <c r="AO18" s="2973"/>
    </row>
    <row r="19" spans="1:41" ht="60" customHeight="1" x14ac:dyDescent="0.2">
      <c r="A19" s="2050"/>
      <c r="B19" s="2059"/>
      <c r="C19" s="2050"/>
      <c r="D19" s="2060"/>
      <c r="E19" s="4441"/>
      <c r="F19" s="4441"/>
      <c r="G19" s="4416"/>
      <c r="H19" s="3532"/>
      <c r="I19" s="4416"/>
      <c r="J19" s="4416"/>
      <c r="K19" s="4416"/>
      <c r="L19" s="4439"/>
      <c r="M19" s="3531"/>
      <c r="N19" s="4434"/>
      <c r="O19" s="4436"/>
      <c r="P19" s="3531"/>
      <c r="Q19" s="3531"/>
      <c r="R19" s="4438"/>
      <c r="S19" s="2039" t="e">
        <f>+#REF!</f>
        <v>#REF!</v>
      </c>
      <c r="T19" s="2040">
        <v>159</v>
      </c>
      <c r="U19" s="2041" t="s">
        <v>1869</v>
      </c>
      <c r="V19" s="4452"/>
      <c r="W19" s="4445"/>
      <c r="X19" s="4445"/>
      <c r="Y19" s="4445"/>
      <c r="Z19" s="4445"/>
      <c r="AA19" s="4445"/>
      <c r="AB19" s="4447"/>
      <c r="AC19" s="4441"/>
      <c r="AD19" s="4441"/>
      <c r="AE19" s="4441"/>
      <c r="AF19" s="4441"/>
      <c r="AG19" s="4441"/>
      <c r="AH19" s="4441"/>
      <c r="AI19" s="4441"/>
      <c r="AJ19" s="4441"/>
      <c r="AK19" s="4441"/>
      <c r="AL19" s="4443"/>
      <c r="AM19" s="3986"/>
      <c r="AN19" s="3986"/>
      <c r="AO19" s="2973"/>
    </row>
    <row r="20" spans="1:41" ht="60" customHeight="1" x14ac:dyDescent="0.2">
      <c r="A20" s="2050"/>
      <c r="B20" s="2059"/>
      <c r="C20" s="2050"/>
      <c r="D20" s="2060"/>
      <c r="E20" s="4441"/>
      <c r="F20" s="4441"/>
      <c r="G20" s="4415">
        <v>63</v>
      </c>
      <c r="H20" s="3530" t="s">
        <v>453</v>
      </c>
      <c r="I20" s="4415" t="s">
        <v>454</v>
      </c>
      <c r="J20" s="4415">
        <v>250</v>
      </c>
      <c r="K20" s="4415" t="s">
        <v>1879</v>
      </c>
      <c r="L20" s="4439"/>
      <c r="M20" s="3531"/>
      <c r="N20" s="4433" t="e">
        <f>+SUM(S20:S21)/O20</f>
        <v>#REF!</v>
      </c>
      <c r="O20" s="4435" t="e">
        <f>+S20+S21</f>
        <v>#REF!</v>
      </c>
      <c r="P20" s="3531"/>
      <c r="Q20" s="3531"/>
      <c r="R20" s="3530" t="s">
        <v>1880</v>
      </c>
      <c r="S20" s="2061" t="e">
        <f>+#REF!</f>
        <v>#REF!</v>
      </c>
      <c r="T20" s="2062" t="s">
        <v>339</v>
      </c>
      <c r="U20" s="2063" t="s">
        <v>1873</v>
      </c>
      <c r="V20" s="4445"/>
      <c r="W20" s="4445"/>
      <c r="X20" s="4445"/>
      <c r="Y20" s="4445"/>
      <c r="Z20" s="4445"/>
      <c r="AA20" s="4445"/>
      <c r="AB20" s="4447"/>
      <c r="AC20" s="4441"/>
      <c r="AD20" s="4441"/>
      <c r="AE20" s="4441"/>
      <c r="AF20" s="4441"/>
      <c r="AG20" s="4441"/>
      <c r="AH20" s="4441"/>
      <c r="AI20" s="4441"/>
      <c r="AJ20" s="4441"/>
      <c r="AK20" s="4441"/>
      <c r="AL20" s="4443"/>
      <c r="AM20" s="3986"/>
      <c r="AN20" s="3986"/>
      <c r="AO20" s="2973"/>
    </row>
    <row r="21" spans="1:41" ht="60" customHeight="1" x14ac:dyDescent="0.2">
      <c r="A21" s="2050"/>
      <c r="B21" s="2059"/>
      <c r="C21" s="2050"/>
      <c r="D21" s="2060"/>
      <c r="E21" s="4441"/>
      <c r="F21" s="4441"/>
      <c r="G21" s="4439"/>
      <c r="H21" s="3531"/>
      <c r="I21" s="4439"/>
      <c r="J21" s="4439"/>
      <c r="K21" s="4439"/>
      <c r="L21" s="4439"/>
      <c r="M21" s="3531"/>
      <c r="N21" s="4453"/>
      <c r="O21" s="4454"/>
      <c r="P21" s="3531"/>
      <c r="Q21" s="3531"/>
      <c r="R21" s="3531"/>
      <c r="S21" s="2064" t="e">
        <f>+#REF!</f>
        <v>#REF!</v>
      </c>
      <c r="T21" s="2057" t="s">
        <v>1878</v>
      </c>
      <c r="U21" s="2058" t="s">
        <v>1867</v>
      </c>
      <c r="V21" s="4445"/>
      <c r="W21" s="4445"/>
      <c r="X21" s="4445"/>
      <c r="Y21" s="4445"/>
      <c r="Z21" s="4445"/>
      <c r="AA21" s="4445"/>
      <c r="AB21" s="4447"/>
      <c r="AC21" s="4441"/>
      <c r="AD21" s="4441"/>
      <c r="AE21" s="4441"/>
      <c r="AF21" s="4441"/>
      <c r="AG21" s="4441"/>
      <c r="AH21" s="4441"/>
      <c r="AI21" s="4441"/>
      <c r="AJ21" s="4441"/>
      <c r="AK21" s="4441"/>
      <c r="AL21" s="4443"/>
      <c r="AM21" s="3986"/>
      <c r="AN21" s="3986"/>
      <c r="AO21" s="2973"/>
    </row>
    <row r="22" spans="1:41" ht="28.5" customHeight="1" x14ac:dyDescent="0.2">
      <c r="A22" s="4431" t="s">
        <v>467</v>
      </c>
      <c r="B22" s="4431"/>
      <c r="C22" s="4431"/>
      <c r="D22" s="4431"/>
      <c r="E22" s="4431"/>
      <c r="F22" s="4431"/>
      <c r="G22" s="4431"/>
      <c r="H22" s="4431"/>
      <c r="I22" s="4431"/>
      <c r="J22" s="4431"/>
      <c r="K22" s="4431"/>
      <c r="L22" s="4431"/>
      <c r="M22" s="4431"/>
      <c r="N22" s="4431"/>
      <c r="O22" s="2065" t="e">
        <f>SUM(O12:O21)</f>
        <v>#REF!</v>
      </c>
      <c r="P22" s="2066"/>
      <c r="Q22" s="2067"/>
      <c r="R22" s="2067"/>
      <c r="S22" s="2065" t="e">
        <f>SUM(S12:S21)</f>
        <v>#REF!</v>
      </c>
      <c r="T22" s="2068"/>
      <c r="U22" s="2068"/>
      <c r="V22" s="2069"/>
      <c r="W22" s="2069"/>
      <c r="X22" s="2069"/>
      <c r="Y22" s="2069"/>
      <c r="Z22" s="2069"/>
      <c r="AA22" s="2069"/>
      <c r="AB22" s="2069"/>
      <c r="AC22" s="2069"/>
      <c r="AD22" s="2069"/>
      <c r="AE22" s="2069"/>
      <c r="AF22" s="2069"/>
      <c r="AG22" s="2069"/>
      <c r="AH22" s="2069"/>
      <c r="AI22" s="2069"/>
      <c r="AJ22" s="2069"/>
      <c r="AK22" s="2069"/>
      <c r="AL22" s="2069"/>
      <c r="AM22" s="2070"/>
      <c r="AN22" s="2071"/>
      <c r="AO22" s="2072"/>
    </row>
    <row r="23" spans="1:41" x14ac:dyDescent="0.2">
      <c r="E23" s="590"/>
      <c r="G23" s="590"/>
      <c r="N23" s="1710"/>
      <c r="R23" s="1387"/>
      <c r="S23" s="1387"/>
      <c r="T23" s="1710"/>
      <c r="U23" s="1710"/>
      <c r="AM23" s="2074"/>
      <c r="AN23" s="2075"/>
    </row>
    <row r="24" spans="1:41" x14ac:dyDescent="0.2">
      <c r="E24" s="590"/>
      <c r="G24" s="590"/>
      <c r="N24" s="1710"/>
      <c r="R24" s="1387"/>
      <c r="S24" s="1387"/>
      <c r="T24" s="1710"/>
      <c r="U24" s="1710"/>
      <c r="AM24" s="2074"/>
      <c r="AN24" s="2075"/>
    </row>
    <row r="25" spans="1:41" x14ac:dyDescent="0.2">
      <c r="E25" s="590"/>
      <c r="G25" s="590"/>
      <c r="N25" s="1710"/>
      <c r="R25" s="1387"/>
      <c r="S25" s="1387"/>
      <c r="T25" s="1710"/>
      <c r="U25" s="1710"/>
      <c r="AM25" s="2074"/>
      <c r="AN25" s="2075"/>
    </row>
    <row r="26" spans="1:41" x14ac:dyDescent="0.2">
      <c r="E26" s="590"/>
      <c r="G26" s="590"/>
      <c r="N26" s="1710"/>
      <c r="R26" s="1387"/>
      <c r="S26" s="1387"/>
      <c r="T26" s="1710"/>
      <c r="U26" s="1710"/>
      <c r="AM26" s="2074"/>
      <c r="AN26" s="2075"/>
    </row>
    <row r="27" spans="1:41" x14ac:dyDescent="0.2">
      <c r="E27" s="590"/>
      <c r="G27" s="590"/>
      <c r="N27" s="1710"/>
      <c r="R27" s="1387"/>
      <c r="S27" s="1387"/>
      <c r="T27" s="1710"/>
      <c r="U27" s="1710"/>
      <c r="AM27" s="2074"/>
      <c r="AN27" s="2075"/>
    </row>
    <row r="28" spans="1:41" x14ac:dyDescent="0.2">
      <c r="E28" s="590"/>
      <c r="G28" s="590"/>
      <c r="N28" s="1710"/>
      <c r="R28" s="1387"/>
      <c r="S28" s="1387"/>
      <c r="T28" s="1710"/>
      <c r="U28" s="1710"/>
      <c r="AM28" s="2074"/>
      <c r="AN28" s="2075"/>
    </row>
    <row r="29" spans="1:41" x14ac:dyDescent="0.2">
      <c r="E29" s="590"/>
      <c r="G29" s="590"/>
      <c r="N29" s="1710"/>
      <c r="R29" s="1387"/>
      <c r="S29" s="1387"/>
      <c r="T29" s="1710"/>
      <c r="U29" s="1710"/>
      <c r="AM29" s="2074"/>
      <c r="AN29" s="2075"/>
    </row>
    <row r="30" spans="1:41" x14ac:dyDescent="0.2">
      <c r="E30" s="590"/>
      <c r="G30" s="590"/>
      <c r="N30" s="1710"/>
      <c r="R30" s="1387"/>
      <c r="S30" s="1387"/>
      <c r="T30" s="1710"/>
      <c r="U30" s="1710"/>
      <c r="AM30" s="2074"/>
      <c r="AN30" s="2075"/>
    </row>
    <row r="31" spans="1:41" x14ac:dyDescent="0.2">
      <c r="E31" s="590"/>
      <c r="G31" s="590"/>
      <c r="N31" s="1710"/>
      <c r="R31" s="1387"/>
      <c r="S31" s="1387"/>
      <c r="T31" s="1710"/>
      <c r="U31" s="1710"/>
      <c r="AM31" s="2074"/>
      <c r="AN31" s="2075"/>
    </row>
    <row r="32" spans="1:41" x14ac:dyDescent="0.2">
      <c r="E32" s="590"/>
      <c r="G32" s="590"/>
      <c r="N32" s="1710"/>
      <c r="R32" s="1387"/>
      <c r="S32" s="1387"/>
      <c r="T32" s="1710"/>
      <c r="U32" s="1710"/>
      <c r="AM32" s="2074"/>
      <c r="AN32" s="2075"/>
    </row>
    <row r="33" spans="1:41" x14ac:dyDescent="0.2">
      <c r="E33" s="590"/>
      <c r="G33" s="590"/>
      <c r="N33" s="1710"/>
      <c r="R33" s="1387"/>
      <c r="S33" s="1387"/>
      <c r="T33" s="1710"/>
      <c r="U33" s="1710"/>
      <c r="AM33" s="2074"/>
      <c r="AN33" s="2075"/>
    </row>
    <row r="34" spans="1:41" x14ac:dyDescent="0.2">
      <c r="E34" s="590"/>
      <c r="G34" s="590"/>
      <c r="N34" s="1710"/>
      <c r="R34" s="1387"/>
      <c r="S34" s="1387"/>
      <c r="T34" s="1710"/>
      <c r="U34" s="1710"/>
      <c r="AM34" s="2074"/>
      <c r="AN34" s="2075"/>
    </row>
    <row r="35" spans="1:41" x14ac:dyDescent="0.2">
      <c r="E35" s="590"/>
      <c r="G35" s="590"/>
      <c r="N35" s="1710"/>
      <c r="R35" s="1387"/>
      <c r="S35" s="1387"/>
      <c r="T35" s="1710"/>
      <c r="U35" s="1710"/>
      <c r="AM35" s="2074"/>
      <c r="AN35" s="2075"/>
    </row>
    <row r="36" spans="1:41" x14ac:dyDescent="0.2">
      <c r="E36" s="590"/>
      <c r="G36" s="590"/>
      <c r="N36" s="1710"/>
      <c r="R36" s="1387"/>
      <c r="S36" s="1387"/>
      <c r="T36" s="1710"/>
      <c r="U36" s="1710"/>
      <c r="AM36" s="2074"/>
      <c r="AN36" s="2075"/>
    </row>
    <row r="37" spans="1:41" x14ac:dyDescent="0.2">
      <c r="E37" s="590"/>
      <c r="G37" s="590"/>
      <c r="M37" s="1710"/>
      <c r="Q37" s="1387"/>
      <c r="R37" s="1387"/>
      <c r="S37" s="1387"/>
      <c r="AG37" s="2076"/>
      <c r="AH37" s="2077"/>
      <c r="AI37" s="2078"/>
    </row>
    <row r="38" spans="1:41" ht="15" x14ac:dyDescent="0.25">
      <c r="A38" s="593" t="s">
        <v>1881</v>
      </c>
      <c r="E38" s="590"/>
      <c r="G38" s="590"/>
      <c r="M38" s="1710"/>
      <c r="Q38" s="1387"/>
      <c r="R38" s="1387"/>
      <c r="S38" s="1387"/>
      <c r="AG38" s="2076"/>
      <c r="AH38" s="2077"/>
      <c r="AI38" s="2078"/>
    </row>
    <row r="39" spans="1:41" ht="15" x14ac:dyDescent="0.25">
      <c r="A39" s="593" t="s">
        <v>1882</v>
      </c>
      <c r="E39" s="590"/>
      <c r="G39" s="590"/>
      <c r="M39" s="1710"/>
      <c r="Q39" s="1387"/>
      <c r="R39" s="1387"/>
      <c r="S39" s="1387"/>
      <c r="AG39" s="2076"/>
      <c r="AH39" s="2077"/>
      <c r="AI39" s="2078"/>
    </row>
    <row r="40" spans="1:41" x14ac:dyDescent="0.2">
      <c r="E40" s="590"/>
      <c r="G40" s="590"/>
      <c r="M40" s="1710"/>
      <c r="Q40" s="1387"/>
      <c r="R40" s="1387"/>
      <c r="S40" s="1387"/>
      <c r="AG40" s="2076"/>
      <c r="AH40" s="2077"/>
      <c r="AI40" s="2078"/>
    </row>
    <row r="41" spans="1:41" x14ac:dyDescent="0.2">
      <c r="E41" s="590"/>
      <c r="G41" s="590"/>
      <c r="M41" s="1710"/>
      <c r="Q41" s="1387"/>
      <c r="R41" s="1387"/>
      <c r="S41" s="1387"/>
      <c r="AG41" s="2076"/>
      <c r="AH41" s="2077"/>
      <c r="AI41" s="2078"/>
    </row>
    <row r="42" spans="1:41" x14ac:dyDescent="0.2">
      <c r="A42" s="2079" t="s">
        <v>1883</v>
      </c>
      <c r="E42" s="590"/>
      <c r="G42" s="590"/>
      <c r="M42" s="1710"/>
      <c r="Q42" s="1387"/>
      <c r="R42" s="1387"/>
      <c r="S42" s="1387"/>
      <c r="AG42" s="2076"/>
      <c r="AH42" s="2077"/>
      <c r="AI42" s="2078"/>
    </row>
    <row r="43" spans="1:41" x14ac:dyDescent="0.2">
      <c r="A43" s="2079" t="s">
        <v>1884</v>
      </c>
      <c r="E43" s="590"/>
      <c r="G43" s="590"/>
      <c r="M43" s="1710"/>
      <c r="Q43" s="1387"/>
      <c r="R43" s="1387"/>
      <c r="S43" s="1387"/>
      <c r="AG43" s="2076"/>
      <c r="AH43" s="2077"/>
      <c r="AI43" s="2078"/>
    </row>
    <row r="44" spans="1:41" x14ac:dyDescent="0.2">
      <c r="A44" s="4432"/>
      <c r="B44" s="4432"/>
      <c r="C44" s="4432"/>
      <c r="D44" s="4432"/>
      <c r="E44" s="4432"/>
      <c r="F44" s="4432"/>
      <c r="G44" s="4432"/>
      <c r="H44" s="4432"/>
      <c r="I44" s="4432"/>
      <c r="J44" s="4432"/>
      <c r="K44" s="4432"/>
      <c r="L44" s="4432"/>
      <c r="M44" s="4432"/>
      <c r="N44" s="4432"/>
      <c r="O44" s="4432"/>
      <c r="P44" s="4432"/>
      <c r="Q44" s="4432"/>
      <c r="R44" s="4432"/>
      <c r="S44" s="4432"/>
      <c r="T44" s="4432"/>
      <c r="U44" s="4432"/>
      <c r="V44" s="4432"/>
      <c r="W44" s="4432"/>
      <c r="X44" s="4432"/>
      <c r="Y44" s="4432"/>
      <c r="Z44" s="4432"/>
      <c r="AA44" s="4432"/>
      <c r="AB44" s="4432"/>
      <c r="AC44" s="4432"/>
      <c r="AD44" s="4432"/>
      <c r="AE44" s="4432"/>
      <c r="AF44" s="4432"/>
      <c r="AG44" s="4432"/>
      <c r="AH44" s="4432"/>
      <c r="AI44" s="4432"/>
      <c r="AJ44" s="4432"/>
      <c r="AK44" s="4432"/>
      <c r="AL44" s="4432"/>
      <c r="AM44" s="4432"/>
      <c r="AN44" s="4432"/>
      <c r="AO44" s="4432"/>
    </row>
  </sheetData>
  <sheetProtection password="A60F" sheet="1" objects="1" scenarios="1"/>
  <mergeCells count="129">
    <mergeCell ref="B7:B8"/>
    <mergeCell ref="C7:C8"/>
    <mergeCell ref="D7:D8"/>
    <mergeCell ref="E7:E8"/>
    <mergeCell ref="F7:F8"/>
    <mergeCell ref="G7:G8"/>
    <mergeCell ref="A1:AM4"/>
    <mergeCell ref="A5:J6"/>
    <mergeCell ref="K5:AL5"/>
    <mergeCell ref="AM5:AO5"/>
    <mergeCell ref="K6:U6"/>
    <mergeCell ref="V6:AL6"/>
    <mergeCell ref="AM6:AM8"/>
    <mergeCell ref="AN6:AN8"/>
    <mergeCell ref="AO6:AO8"/>
    <mergeCell ref="A7:A8"/>
    <mergeCell ref="P7:P8"/>
    <mergeCell ref="Q7:Q8"/>
    <mergeCell ref="R7:R8"/>
    <mergeCell ref="S7:S8"/>
    <mergeCell ref="H7:H8"/>
    <mergeCell ref="I7:I8"/>
    <mergeCell ref="J7:J8"/>
    <mergeCell ref="K7:K8"/>
    <mergeCell ref="L7:L8"/>
    <mergeCell ref="M7:M8"/>
    <mergeCell ref="J12:J13"/>
    <mergeCell ref="K12:K13"/>
    <mergeCell ref="L12:L13"/>
    <mergeCell ref="M12:M13"/>
    <mergeCell ref="N12:N13"/>
    <mergeCell ref="O12:O13"/>
    <mergeCell ref="AL7:AL8"/>
    <mergeCell ref="Z8:AA8"/>
    <mergeCell ref="B9:D9"/>
    <mergeCell ref="D10:AO10"/>
    <mergeCell ref="F11:AO11"/>
    <mergeCell ref="E12:E13"/>
    <mergeCell ref="F12:F13"/>
    <mergeCell ref="G12:G13"/>
    <mergeCell ref="H12:H13"/>
    <mergeCell ref="I12:I13"/>
    <mergeCell ref="T7:T8"/>
    <mergeCell ref="U7:U8"/>
    <mergeCell ref="V7:W7"/>
    <mergeCell ref="X7:AA7"/>
    <mergeCell ref="AC7:AH7"/>
    <mergeCell ref="AI7:AK7"/>
    <mergeCell ref="N7:N8"/>
    <mergeCell ref="O7:O8"/>
    <mergeCell ref="AK12:AK13"/>
    <mergeCell ref="AL12:AL13"/>
    <mergeCell ref="AM12:AM13"/>
    <mergeCell ref="AN12:AN13"/>
    <mergeCell ref="AO12:AO13"/>
    <mergeCell ref="F14:J14"/>
    <mergeCell ref="AE12:AE13"/>
    <mergeCell ref="AF12:AF13"/>
    <mergeCell ref="AG12:AG13"/>
    <mergeCell ref="AH12:AH13"/>
    <mergeCell ref="AI12:AI13"/>
    <mergeCell ref="AJ12:AJ13"/>
    <mergeCell ref="Y12:Y13"/>
    <mergeCell ref="Z12:Z13"/>
    <mergeCell ref="AA12:AA13"/>
    <mergeCell ref="AB12:AB13"/>
    <mergeCell ref="AC12:AC13"/>
    <mergeCell ref="AD12:AD13"/>
    <mergeCell ref="P12:P13"/>
    <mergeCell ref="Q12:Q13"/>
    <mergeCell ref="R12:R13"/>
    <mergeCell ref="V12:V13"/>
    <mergeCell ref="W12:W13"/>
    <mergeCell ref="X12:X13"/>
    <mergeCell ref="E15:E21"/>
    <mergeCell ref="F15:F21"/>
    <mergeCell ref="G15:G16"/>
    <mergeCell ref="H15:H16"/>
    <mergeCell ref="I15:I16"/>
    <mergeCell ref="J15:J16"/>
    <mergeCell ref="H20:H21"/>
    <mergeCell ref="I20:I21"/>
    <mergeCell ref="J20:J21"/>
    <mergeCell ref="K15:K16"/>
    <mergeCell ref="L15:L21"/>
    <mergeCell ref="M15:M21"/>
    <mergeCell ref="N15:N16"/>
    <mergeCell ref="O15:O16"/>
    <mergeCell ref="P15:P21"/>
    <mergeCell ref="K20:K21"/>
    <mergeCell ref="N20:N21"/>
    <mergeCell ref="O20:O21"/>
    <mergeCell ref="W15:W21"/>
    <mergeCell ref="X15:X21"/>
    <mergeCell ref="Y15:Y21"/>
    <mergeCell ref="Z15:Z21"/>
    <mergeCell ref="AA15:AA21"/>
    <mergeCell ref="AB15:AB21"/>
    <mergeCell ref="Q15:Q21"/>
    <mergeCell ref="R15:R16"/>
    <mergeCell ref="S15:S16"/>
    <mergeCell ref="T15:T16"/>
    <mergeCell ref="U15:U16"/>
    <mergeCell ref="V15:V21"/>
    <mergeCell ref="R20:R21"/>
    <mergeCell ref="A22:N22"/>
    <mergeCell ref="A44:AO44"/>
    <mergeCell ref="AO15:AO21"/>
    <mergeCell ref="G18:G19"/>
    <mergeCell ref="H18:H19"/>
    <mergeCell ref="I18:I19"/>
    <mergeCell ref="J18:J19"/>
    <mergeCell ref="K18:K19"/>
    <mergeCell ref="N18:N19"/>
    <mergeCell ref="O18:O19"/>
    <mergeCell ref="R18:R19"/>
    <mergeCell ref="G20:G21"/>
    <mergeCell ref="AI15:AI21"/>
    <mergeCell ref="AJ15:AJ21"/>
    <mergeCell ref="AK15:AK21"/>
    <mergeCell ref="AL15:AL21"/>
    <mergeCell ref="AM15:AM21"/>
    <mergeCell ref="AN15:AN21"/>
    <mergeCell ref="AC15:AC21"/>
    <mergeCell ref="AD15:AD21"/>
    <mergeCell ref="AE15:AE21"/>
    <mergeCell ref="AF15:AF21"/>
    <mergeCell ref="AG15:AG21"/>
    <mergeCell ref="AH15:AH21"/>
  </mergeCells>
  <pageMargins left="0.39370078740157483" right="0.39370078740157483" top="0.59055118110236227" bottom="0.39370078740157483" header="0.31496062992125984" footer="0.31496062992125984"/>
  <pageSetup paperSize="196"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Q27"/>
  <sheetViews>
    <sheetView showGridLines="0" tabSelected="1" zoomScale="70" zoomScaleNormal="70" workbookViewId="0">
      <selection activeCell="M16" sqref="M16:M17"/>
    </sheetView>
  </sheetViews>
  <sheetFormatPr baseColWidth="10" defaultColWidth="11.42578125" defaultRowHeight="27" customHeight="1" x14ac:dyDescent="0.2"/>
  <cols>
    <col min="1" max="1" width="11.7109375" style="1377" customWidth="1"/>
    <col min="2" max="2" width="4" style="399" customWidth="1"/>
    <col min="3" max="3" width="12.85546875" style="399" customWidth="1"/>
    <col min="4" max="4" width="14.7109375" style="399" customWidth="1"/>
    <col min="5" max="5" width="10" style="399" customWidth="1"/>
    <col min="6" max="6" width="6.28515625" style="399" customWidth="1"/>
    <col min="7" max="7" width="12.28515625" style="399" customWidth="1"/>
    <col min="8" max="8" width="8.5703125" style="399" customWidth="1"/>
    <col min="9" max="9" width="13.7109375" style="399" customWidth="1"/>
    <col min="10" max="10" width="11.5703125" style="399" customWidth="1"/>
    <col min="11" max="11" width="25" style="1378" customWidth="1"/>
    <col min="12" max="12" width="20.28515625" style="1347" customWidth="1"/>
    <col min="13" max="13" width="14.85546875" style="1347" customWidth="1"/>
    <col min="14" max="14" width="22.140625" style="1347" customWidth="1"/>
    <col min="15" max="15" width="19.7109375" style="1379" customWidth="1"/>
    <col min="16" max="16" width="23.28515625" style="1378" customWidth="1"/>
    <col min="17" max="17" width="16.5703125" style="1380" customWidth="1"/>
    <col min="18" max="18" width="24.85546875" style="1381" bestFit="1" customWidth="1"/>
    <col min="19" max="19" width="29" style="1378" customWidth="1"/>
    <col min="20" max="20" width="44" style="1378" customWidth="1"/>
    <col min="21" max="21" width="34" style="1378" customWidth="1"/>
    <col min="22" max="22" width="24.85546875" style="1382" bestFit="1" customWidth="1"/>
    <col min="23" max="23" width="11.7109375" style="1383" customWidth="1"/>
    <col min="24" max="24" width="23.7109375" style="1384" customWidth="1"/>
    <col min="25" max="25" width="8.7109375" style="399" customWidth="1"/>
    <col min="26" max="26" width="8" style="399" customWidth="1"/>
    <col min="27" max="27" width="10.5703125" style="399" customWidth="1"/>
    <col min="28" max="28" width="7.28515625" style="399" customWidth="1"/>
    <col min="29" max="29" width="8.42578125" style="399" customWidth="1"/>
    <col min="30" max="30" width="9.5703125" style="399" customWidth="1"/>
    <col min="31" max="31" width="6.28515625" style="399" customWidth="1"/>
    <col min="32" max="32" width="5.85546875" style="399" customWidth="1"/>
    <col min="33" max="34" width="4.42578125" style="399" customWidth="1"/>
    <col min="35" max="35" width="5" style="399" customWidth="1"/>
    <col min="36" max="36" width="5.85546875" style="399" customWidth="1"/>
    <col min="37" max="37" width="6.140625" style="399" customWidth="1"/>
    <col min="38" max="38" width="10.140625" style="399" customWidth="1"/>
    <col min="39" max="39" width="5.28515625" style="399" customWidth="1"/>
    <col min="40" max="40" width="8.140625" style="399" customWidth="1"/>
    <col min="41" max="41" width="16.42578125" style="1385" customWidth="1"/>
    <col min="42" max="42" width="18.42578125" style="1386" customWidth="1"/>
    <col min="43" max="43" width="20.85546875" style="1387" customWidth="1"/>
    <col min="44" max="16384" width="11.42578125" style="399"/>
  </cols>
  <sheetData>
    <row r="1" spans="1:43" ht="25.5" customHeight="1" x14ac:dyDescent="0.25">
      <c r="A1" s="4509" t="s">
        <v>1173</v>
      </c>
      <c r="B1" s="4509"/>
      <c r="C1" s="4509"/>
      <c r="D1" s="4509"/>
      <c r="E1" s="4509"/>
      <c r="F1" s="4509"/>
      <c r="G1" s="4509"/>
      <c r="H1" s="4509"/>
      <c r="I1" s="4509"/>
      <c r="J1" s="4509"/>
      <c r="K1" s="4509"/>
      <c r="L1" s="4509"/>
      <c r="M1" s="4509"/>
      <c r="N1" s="4509"/>
      <c r="O1" s="4509"/>
      <c r="P1" s="4509"/>
      <c r="Q1" s="4509"/>
      <c r="R1" s="4509"/>
      <c r="S1" s="4509"/>
      <c r="T1" s="4509"/>
      <c r="U1" s="4509"/>
      <c r="V1" s="4509"/>
      <c r="W1" s="4509"/>
      <c r="X1" s="4509"/>
      <c r="Y1" s="4509"/>
      <c r="Z1" s="4509"/>
      <c r="AA1" s="4509"/>
      <c r="AB1" s="4509"/>
      <c r="AC1" s="4509"/>
      <c r="AD1" s="4509"/>
      <c r="AE1" s="4509"/>
      <c r="AF1" s="4509"/>
      <c r="AG1" s="4509"/>
      <c r="AH1" s="4509"/>
      <c r="AI1" s="4509"/>
      <c r="AJ1" s="4509"/>
      <c r="AK1" s="4509"/>
      <c r="AL1" s="4509"/>
      <c r="AM1" s="4509"/>
      <c r="AN1" s="4509"/>
      <c r="AO1" s="4509"/>
      <c r="AP1" s="398" t="s">
        <v>1</v>
      </c>
      <c r="AQ1" s="398" t="s">
        <v>2</v>
      </c>
    </row>
    <row r="2" spans="1:43" ht="25.5" customHeight="1" x14ac:dyDescent="0.25">
      <c r="A2" s="4509"/>
      <c r="B2" s="4509"/>
      <c r="C2" s="4509"/>
      <c r="D2" s="4509"/>
      <c r="E2" s="4509"/>
      <c r="F2" s="4509"/>
      <c r="G2" s="4509"/>
      <c r="H2" s="4509"/>
      <c r="I2" s="4509"/>
      <c r="J2" s="4509"/>
      <c r="K2" s="4509"/>
      <c r="L2" s="4509"/>
      <c r="M2" s="4509"/>
      <c r="N2" s="4509"/>
      <c r="O2" s="4509"/>
      <c r="P2" s="4509"/>
      <c r="Q2" s="4509"/>
      <c r="R2" s="4509"/>
      <c r="S2" s="4509"/>
      <c r="T2" s="4509"/>
      <c r="U2" s="4509"/>
      <c r="V2" s="4509"/>
      <c r="W2" s="4509"/>
      <c r="X2" s="4509"/>
      <c r="Y2" s="4509"/>
      <c r="Z2" s="4509"/>
      <c r="AA2" s="4509"/>
      <c r="AB2" s="4509"/>
      <c r="AC2" s="4509"/>
      <c r="AD2" s="4509"/>
      <c r="AE2" s="4509"/>
      <c r="AF2" s="4509"/>
      <c r="AG2" s="4509"/>
      <c r="AH2" s="4509"/>
      <c r="AI2" s="4509"/>
      <c r="AJ2" s="4509"/>
      <c r="AK2" s="4509"/>
      <c r="AL2" s="4509"/>
      <c r="AM2" s="4509"/>
      <c r="AN2" s="4509"/>
      <c r="AO2" s="4509"/>
      <c r="AP2" s="398" t="s">
        <v>3</v>
      </c>
      <c r="AQ2" s="401">
        <v>6</v>
      </c>
    </row>
    <row r="3" spans="1:43" ht="25.5" customHeight="1" x14ac:dyDescent="0.25">
      <c r="A3" s="4509"/>
      <c r="B3" s="4509"/>
      <c r="C3" s="4509"/>
      <c r="D3" s="4509"/>
      <c r="E3" s="4509"/>
      <c r="F3" s="4509"/>
      <c r="G3" s="4509"/>
      <c r="H3" s="4509"/>
      <c r="I3" s="4509"/>
      <c r="J3" s="4509"/>
      <c r="K3" s="4509"/>
      <c r="L3" s="4509"/>
      <c r="M3" s="4509"/>
      <c r="N3" s="4509"/>
      <c r="O3" s="4509"/>
      <c r="P3" s="4509"/>
      <c r="Q3" s="4509"/>
      <c r="R3" s="4509"/>
      <c r="S3" s="4509"/>
      <c r="T3" s="4509"/>
      <c r="U3" s="4509"/>
      <c r="V3" s="4509"/>
      <c r="W3" s="4509"/>
      <c r="X3" s="4509"/>
      <c r="Y3" s="4509"/>
      <c r="Z3" s="4509"/>
      <c r="AA3" s="4509"/>
      <c r="AB3" s="4509"/>
      <c r="AC3" s="4509"/>
      <c r="AD3" s="4509"/>
      <c r="AE3" s="4509"/>
      <c r="AF3" s="4509"/>
      <c r="AG3" s="4509"/>
      <c r="AH3" s="4509"/>
      <c r="AI3" s="4509"/>
      <c r="AJ3" s="4509"/>
      <c r="AK3" s="4509"/>
      <c r="AL3" s="4509"/>
      <c r="AM3" s="4509"/>
      <c r="AN3" s="4509"/>
      <c r="AO3" s="4509"/>
      <c r="AP3" s="398" t="s">
        <v>5</v>
      </c>
      <c r="AQ3" s="402" t="s">
        <v>6</v>
      </c>
    </row>
    <row r="4" spans="1:43" ht="18" customHeight="1" x14ac:dyDescent="0.2">
      <c r="A4" s="4510"/>
      <c r="B4" s="4510"/>
      <c r="C4" s="4510"/>
      <c r="D4" s="4510"/>
      <c r="E4" s="4510"/>
      <c r="F4" s="4510"/>
      <c r="G4" s="4510"/>
      <c r="H4" s="4510"/>
      <c r="I4" s="4510"/>
      <c r="J4" s="4510"/>
      <c r="K4" s="4510"/>
      <c r="L4" s="4510"/>
      <c r="M4" s="4510"/>
      <c r="N4" s="4510"/>
      <c r="O4" s="4510"/>
      <c r="P4" s="4510"/>
      <c r="Q4" s="4510"/>
      <c r="R4" s="4510"/>
      <c r="S4" s="4510"/>
      <c r="T4" s="4510"/>
      <c r="U4" s="4510"/>
      <c r="V4" s="4510"/>
      <c r="W4" s="4510"/>
      <c r="X4" s="4510"/>
      <c r="Y4" s="4510"/>
      <c r="Z4" s="4510"/>
      <c r="AA4" s="4510"/>
      <c r="AB4" s="4510"/>
      <c r="AC4" s="4510"/>
      <c r="AD4" s="4510"/>
      <c r="AE4" s="4510"/>
      <c r="AF4" s="4510"/>
      <c r="AG4" s="4510"/>
      <c r="AH4" s="4510"/>
      <c r="AI4" s="4510"/>
      <c r="AJ4" s="4510"/>
      <c r="AK4" s="4510"/>
      <c r="AL4" s="4510"/>
      <c r="AM4" s="4510"/>
      <c r="AN4" s="4510"/>
      <c r="AO4" s="4510"/>
      <c r="AP4" s="403" t="s">
        <v>7</v>
      </c>
      <c r="AQ4" s="404" t="s">
        <v>323</v>
      </c>
    </row>
    <row r="5" spans="1:43" ht="15" x14ac:dyDescent="0.2">
      <c r="A5" s="4339" t="s">
        <v>9</v>
      </c>
      <c r="B5" s="4339"/>
      <c r="C5" s="4339"/>
      <c r="D5" s="4339"/>
      <c r="E5" s="4339"/>
      <c r="F5" s="4339"/>
      <c r="G5" s="4339"/>
      <c r="H5" s="4339"/>
      <c r="I5" s="4339"/>
      <c r="J5" s="4339"/>
      <c r="K5" s="4339"/>
      <c r="L5" s="4339"/>
      <c r="M5" s="4339"/>
      <c r="N5" s="4481" t="s">
        <v>10</v>
      </c>
      <c r="O5" s="4481"/>
      <c r="P5" s="4481"/>
      <c r="Q5" s="4481"/>
      <c r="R5" s="4481"/>
      <c r="S5" s="4481"/>
      <c r="T5" s="4481"/>
      <c r="U5" s="4481"/>
      <c r="V5" s="4481"/>
      <c r="W5" s="4481"/>
      <c r="X5" s="4481"/>
      <c r="Y5" s="4481"/>
      <c r="Z5" s="4481"/>
      <c r="AA5" s="4481"/>
      <c r="AB5" s="4481"/>
      <c r="AC5" s="4481"/>
      <c r="AD5" s="4481"/>
      <c r="AE5" s="4481"/>
      <c r="AF5" s="4481"/>
      <c r="AG5" s="4481"/>
      <c r="AH5" s="4481"/>
      <c r="AI5" s="4481"/>
      <c r="AJ5" s="4481"/>
      <c r="AK5" s="4481"/>
      <c r="AL5" s="4481"/>
      <c r="AM5" s="4481"/>
      <c r="AN5" s="4481"/>
      <c r="AO5" s="4481"/>
      <c r="AP5" s="4481"/>
      <c r="AQ5" s="4481"/>
    </row>
    <row r="6" spans="1:43" ht="15" x14ac:dyDescent="0.2">
      <c r="A6" s="4347"/>
      <c r="B6" s="4347"/>
      <c r="C6" s="4347"/>
      <c r="D6" s="4347"/>
      <c r="E6" s="4347"/>
      <c r="F6" s="4347"/>
      <c r="G6" s="4347"/>
      <c r="H6" s="4347"/>
      <c r="I6" s="4347"/>
      <c r="J6" s="4347"/>
      <c r="K6" s="4347"/>
      <c r="L6" s="4347"/>
      <c r="M6" s="4347"/>
      <c r="N6" s="1318"/>
      <c r="O6" s="1319"/>
      <c r="P6" s="1319"/>
      <c r="Q6" s="1319"/>
      <c r="R6" s="1319"/>
      <c r="S6" s="1319"/>
      <c r="T6" s="1319"/>
      <c r="U6" s="1319"/>
      <c r="V6" s="1319"/>
      <c r="W6" s="1319"/>
      <c r="X6" s="1319"/>
      <c r="Y6" s="4346" t="s">
        <v>11</v>
      </c>
      <c r="Z6" s="4347"/>
      <c r="AA6" s="4347"/>
      <c r="AB6" s="4347"/>
      <c r="AC6" s="4347"/>
      <c r="AD6" s="4347"/>
      <c r="AE6" s="4347"/>
      <c r="AF6" s="4347"/>
      <c r="AG6" s="4347"/>
      <c r="AH6" s="4347"/>
      <c r="AI6" s="4347"/>
      <c r="AJ6" s="4347"/>
      <c r="AK6" s="4347"/>
      <c r="AL6" s="4347"/>
      <c r="AM6" s="4511"/>
      <c r="AN6" s="1320"/>
      <c r="AO6" s="1319"/>
      <c r="AP6" s="1319"/>
      <c r="AQ6" s="1321"/>
    </row>
    <row r="7" spans="1:43" ht="15" customHeight="1" x14ac:dyDescent="0.2">
      <c r="A7" s="2756" t="s">
        <v>12</v>
      </c>
      <c r="B7" s="2757" t="s">
        <v>13</v>
      </c>
      <c r="C7" s="2757"/>
      <c r="D7" s="2757" t="s">
        <v>12</v>
      </c>
      <c r="E7" s="2757" t="s">
        <v>14</v>
      </c>
      <c r="F7" s="2757"/>
      <c r="G7" s="2757" t="s">
        <v>12</v>
      </c>
      <c r="H7" s="2757" t="s">
        <v>15</v>
      </c>
      <c r="I7" s="2757"/>
      <c r="J7" s="2757" t="s">
        <v>12</v>
      </c>
      <c r="K7" s="2757" t="s">
        <v>16</v>
      </c>
      <c r="L7" s="2757" t="s">
        <v>17</v>
      </c>
      <c r="M7" s="1322" t="s">
        <v>18</v>
      </c>
      <c r="N7" s="2757" t="s">
        <v>19</v>
      </c>
      <c r="O7" s="2757" t="s">
        <v>20</v>
      </c>
      <c r="P7" s="2757" t="s">
        <v>10</v>
      </c>
      <c r="Q7" s="2765" t="s">
        <v>21</v>
      </c>
      <c r="R7" s="2766" t="s">
        <v>22</v>
      </c>
      <c r="S7" s="2757" t="s">
        <v>23</v>
      </c>
      <c r="T7" s="2757" t="s">
        <v>24</v>
      </c>
      <c r="U7" s="2757" t="s">
        <v>25</v>
      </c>
      <c r="V7" s="1323" t="s">
        <v>22</v>
      </c>
      <c r="W7" s="1324"/>
      <c r="X7" s="2757" t="s">
        <v>26</v>
      </c>
      <c r="Y7" s="2977" t="s">
        <v>27</v>
      </c>
      <c r="Z7" s="2978"/>
      <c r="AA7" s="2981" t="s">
        <v>28</v>
      </c>
      <c r="AB7" s="2982"/>
      <c r="AC7" s="2982"/>
      <c r="AD7" s="2982"/>
      <c r="AE7" s="2979" t="s">
        <v>29</v>
      </c>
      <c r="AF7" s="2980"/>
      <c r="AG7" s="2980"/>
      <c r="AH7" s="2980"/>
      <c r="AI7" s="2980"/>
      <c r="AJ7" s="2980"/>
      <c r="AK7" s="2981" t="s">
        <v>30</v>
      </c>
      <c r="AL7" s="2982"/>
      <c r="AM7" s="2982"/>
      <c r="AN7" s="2983" t="s">
        <v>31</v>
      </c>
      <c r="AO7" s="4505" t="s">
        <v>32</v>
      </c>
      <c r="AP7" s="4505" t="s">
        <v>33</v>
      </c>
      <c r="AQ7" s="4506" t="s">
        <v>34</v>
      </c>
    </row>
    <row r="8" spans="1:43" ht="116.25" customHeight="1" x14ac:dyDescent="0.2">
      <c r="A8" s="2756"/>
      <c r="B8" s="2757"/>
      <c r="C8" s="2757"/>
      <c r="D8" s="2757"/>
      <c r="E8" s="2757"/>
      <c r="F8" s="2757"/>
      <c r="G8" s="2757"/>
      <c r="H8" s="2757"/>
      <c r="I8" s="2757"/>
      <c r="J8" s="2757"/>
      <c r="K8" s="2757"/>
      <c r="L8" s="2757"/>
      <c r="M8" s="1322" t="s">
        <v>326</v>
      </c>
      <c r="N8" s="2757"/>
      <c r="O8" s="2757"/>
      <c r="P8" s="2757"/>
      <c r="Q8" s="2765"/>
      <c r="R8" s="2766"/>
      <c r="S8" s="2757"/>
      <c r="T8" s="2757"/>
      <c r="U8" s="2757"/>
      <c r="V8" s="410" t="s">
        <v>327</v>
      </c>
      <c r="W8" s="1324" t="s">
        <v>12</v>
      </c>
      <c r="X8" s="2757"/>
      <c r="Y8" s="1325" t="s">
        <v>35</v>
      </c>
      <c r="Z8" s="1326" t="s">
        <v>36</v>
      </c>
      <c r="AA8" s="1325" t="s">
        <v>37</v>
      </c>
      <c r="AB8" s="1325" t="s">
        <v>118</v>
      </c>
      <c r="AC8" s="1325" t="s">
        <v>325</v>
      </c>
      <c r="AD8" s="1325" t="s">
        <v>120</v>
      </c>
      <c r="AE8" s="1325" t="s">
        <v>41</v>
      </c>
      <c r="AF8" s="1325" t="s">
        <v>42</v>
      </c>
      <c r="AG8" s="1325" t="s">
        <v>43</v>
      </c>
      <c r="AH8" s="1325" t="s">
        <v>44</v>
      </c>
      <c r="AI8" s="1325" t="s">
        <v>45</v>
      </c>
      <c r="AJ8" s="1325" t="s">
        <v>46</v>
      </c>
      <c r="AK8" s="1325" t="s">
        <v>47</v>
      </c>
      <c r="AL8" s="1325" t="s">
        <v>48</v>
      </c>
      <c r="AM8" s="1325" t="s">
        <v>49</v>
      </c>
      <c r="AN8" s="2984"/>
      <c r="AO8" s="4505"/>
      <c r="AP8" s="4505"/>
      <c r="AQ8" s="4506"/>
    </row>
    <row r="9" spans="1:43" s="573" customFormat="1" ht="15.75" x14ac:dyDescent="0.2">
      <c r="A9" s="1327">
        <v>4</v>
      </c>
      <c r="B9" s="1328" t="s">
        <v>1174</v>
      </c>
      <c r="C9" s="1329"/>
      <c r="D9" s="1329"/>
      <c r="E9" s="1329"/>
      <c r="F9" s="1329"/>
      <c r="G9" s="1329"/>
      <c r="H9" s="1329"/>
      <c r="I9" s="1329"/>
      <c r="J9" s="1329"/>
      <c r="K9" s="1330"/>
      <c r="L9" s="1329"/>
      <c r="M9" s="1329"/>
      <c r="N9" s="1329"/>
      <c r="O9" s="1329"/>
      <c r="P9" s="1331"/>
      <c r="Q9" s="1330"/>
      <c r="R9" s="1332"/>
      <c r="S9" s="1333"/>
      <c r="T9" s="1330"/>
      <c r="U9" s="1330"/>
      <c r="V9" s="1330"/>
      <c r="W9" s="1334"/>
      <c r="X9" s="1334"/>
      <c r="Y9" s="1334"/>
      <c r="Z9" s="1335"/>
      <c r="AA9" s="1331"/>
      <c r="AB9" s="1329"/>
      <c r="AC9" s="1329"/>
      <c r="AD9" s="1329"/>
      <c r="AE9" s="1329"/>
      <c r="AF9" s="1329"/>
      <c r="AG9" s="1329"/>
      <c r="AH9" s="1329"/>
      <c r="AI9" s="1329"/>
      <c r="AJ9" s="1329"/>
      <c r="AK9" s="1329"/>
      <c r="AL9" s="1329"/>
      <c r="AM9" s="1329"/>
      <c r="AN9" s="1329"/>
      <c r="AO9" s="1329"/>
      <c r="AP9" s="1329"/>
      <c r="AQ9" s="1329"/>
    </row>
    <row r="10" spans="1:43" s="1347" customFormat="1" ht="21" customHeight="1" x14ac:dyDescent="0.2">
      <c r="A10" s="1336"/>
      <c r="B10" s="1337"/>
      <c r="C10" s="1337"/>
      <c r="D10" s="1338">
        <v>23</v>
      </c>
      <c r="E10" s="1143" t="s">
        <v>1175</v>
      </c>
      <c r="F10" s="1143"/>
      <c r="G10" s="1143"/>
      <c r="H10" s="1143"/>
      <c r="I10" s="1143"/>
      <c r="J10" s="1143"/>
      <c r="K10" s="1339"/>
      <c r="L10" s="1143"/>
      <c r="M10" s="1143"/>
      <c r="N10" s="1143"/>
      <c r="O10" s="1340"/>
      <c r="P10" s="1339"/>
      <c r="Q10" s="1341"/>
      <c r="R10" s="1342"/>
      <c r="S10" s="1339"/>
      <c r="T10" s="1339"/>
      <c r="U10" s="1339"/>
      <c r="V10" s="1343"/>
      <c r="W10" s="1344"/>
      <c r="X10" s="1340"/>
      <c r="Y10" s="1143"/>
      <c r="Z10" s="1143"/>
      <c r="AA10" s="1143"/>
      <c r="AB10" s="1143"/>
      <c r="AC10" s="1143"/>
      <c r="AD10" s="1143"/>
      <c r="AE10" s="1143"/>
      <c r="AF10" s="1143"/>
      <c r="AG10" s="1143"/>
      <c r="AH10" s="1143"/>
      <c r="AI10" s="1143"/>
      <c r="AJ10" s="1143"/>
      <c r="AK10" s="1143"/>
      <c r="AL10" s="1143"/>
      <c r="AM10" s="1143"/>
      <c r="AN10" s="1143"/>
      <c r="AO10" s="1345"/>
      <c r="AP10" s="1345"/>
      <c r="AQ10" s="1346"/>
    </row>
    <row r="11" spans="1:43" s="1347" customFormat="1" ht="17.25" customHeight="1" x14ac:dyDescent="0.2">
      <c r="A11" s="1348"/>
      <c r="B11" s="1349"/>
      <c r="C11" s="1349"/>
      <c r="D11" s="1350"/>
      <c r="E11" s="1349"/>
      <c r="F11" s="1349"/>
      <c r="G11" s="1351">
        <v>77</v>
      </c>
      <c r="H11" s="1165" t="s">
        <v>1176</v>
      </c>
      <c r="I11" s="1125"/>
      <c r="J11" s="1125"/>
      <c r="K11" s="1125"/>
      <c r="L11" s="1165"/>
      <c r="M11" s="1165"/>
      <c r="N11" s="1165"/>
      <c r="O11" s="1352"/>
      <c r="P11" s="1125"/>
      <c r="Q11" s="1353"/>
      <c r="R11" s="1354"/>
      <c r="S11" s="1125"/>
      <c r="T11" s="1125"/>
      <c r="U11" s="1125"/>
      <c r="V11" s="1355"/>
      <c r="W11" s="1356"/>
      <c r="X11" s="1352"/>
      <c r="Y11" s="1165"/>
      <c r="Z11" s="1165"/>
      <c r="AA11" s="1165"/>
      <c r="AB11" s="1165"/>
      <c r="AC11" s="1165"/>
      <c r="AD11" s="1165"/>
      <c r="AE11" s="1165"/>
      <c r="AF11" s="1165"/>
      <c r="AG11" s="1165"/>
      <c r="AH11" s="1165"/>
      <c r="AI11" s="1165"/>
      <c r="AJ11" s="1165"/>
      <c r="AK11" s="1165"/>
      <c r="AL11" s="1165"/>
      <c r="AM11" s="1165"/>
      <c r="AN11" s="1165"/>
      <c r="AO11" s="1357"/>
      <c r="AP11" s="1357"/>
      <c r="AQ11" s="1358"/>
    </row>
    <row r="12" spans="1:43" s="1347" customFormat="1" ht="49.5" customHeight="1" x14ac:dyDescent="0.2">
      <c r="A12" s="1359"/>
      <c r="B12" s="1360"/>
      <c r="C12" s="1360"/>
      <c r="D12" s="428"/>
      <c r="E12" s="1360"/>
      <c r="F12" s="1360"/>
      <c r="G12" s="420"/>
      <c r="H12" s="1360"/>
      <c r="I12" s="1360"/>
      <c r="J12" s="2883">
        <v>223</v>
      </c>
      <c r="K12" s="2600" t="s">
        <v>1177</v>
      </c>
      <c r="L12" s="2882" t="s">
        <v>1178</v>
      </c>
      <c r="M12" s="2498">
        <v>1</v>
      </c>
      <c r="N12" s="2737">
        <v>2301010423</v>
      </c>
      <c r="O12" s="2875" t="s">
        <v>1179</v>
      </c>
      <c r="P12" s="2600" t="s">
        <v>1180</v>
      </c>
      <c r="Q12" s="4507">
        <f>SUM(V12:V13)/R$12</f>
        <v>0.94892915980230641</v>
      </c>
      <c r="R12" s="4504">
        <f>SUM(V12:V17)</f>
        <v>607000000</v>
      </c>
      <c r="S12" s="2882" t="s">
        <v>1181</v>
      </c>
      <c r="T12" s="2873" t="s">
        <v>1182</v>
      </c>
      <c r="U12" s="4500" t="s">
        <v>1183</v>
      </c>
      <c r="V12" s="1361">
        <v>476000000</v>
      </c>
      <c r="W12" s="368">
        <v>20</v>
      </c>
      <c r="X12" s="1362" t="s">
        <v>1184</v>
      </c>
      <c r="Y12" s="2947">
        <v>57041</v>
      </c>
      <c r="Z12" s="2947">
        <v>57731</v>
      </c>
      <c r="AA12" s="2947">
        <v>27907</v>
      </c>
      <c r="AB12" s="2947">
        <v>8963</v>
      </c>
      <c r="AC12" s="2947">
        <v>60564</v>
      </c>
      <c r="AD12" s="2947">
        <v>17338</v>
      </c>
      <c r="AE12" s="2947"/>
      <c r="AF12" s="2947"/>
      <c r="AG12" s="2947"/>
      <c r="AH12" s="1363"/>
      <c r="AI12" s="1363"/>
      <c r="AJ12" s="1363"/>
      <c r="AK12" s="2947"/>
      <c r="AL12" s="2947">
        <v>2944</v>
      </c>
      <c r="AM12" s="2947"/>
      <c r="AN12" s="4502">
        <f>Y12+Z12</f>
        <v>114772</v>
      </c>
      <c r="AO12" s="4493">
        <v>43466</v>
      </c>
      <c r="AP12" s="4493">
        <v>43830</v>
      </c>
      <c r="AQ12" s="4496" t="s">
        <v>1185</v>
      </c>
    </row>
    <row r="13" spans="1:43" s="1347" customFormat="1" ht="39.75" customHeight="1" x14ac:dyDescent="0.2">
      <c r="A13" s="1359"/>
      <c r="B13" s="1360"/>
      <c r="C13" s="1360"/>
      <c r="D13" s="428"/>
      <c r="E13" s="1360"/>
      <c r="F13" s="1360"/>
      <c r="G13" s="428"/>
      <c r="H13" s="1360"/>
      <c r="I13" s="1360"/>
      <c r="J13" s="2883"/>
      <c r="K13" s="2600"/>
      <c r="L13" s="2882"/>
      <c r="M13" s="2498"/>
      <c r="N13" s="2738"/>
      <c r="O13" s="2942"/>
      <c r="P13" s="2600"/>
      <c r="Q13" s="4508"/>
      <c r="R13" s="4504"/>
      <c r="S13" s="2882"/>
      <c r="T13" s="2920"/>
      <c r="U13" s="4501"/>
      <c r="V13" s="1361">
        <v>100000000</v>
      </c>
      <c r="W13" s="368">
        <v>23</v>
      </c>
      <c r="X13" s="1362" t="s">
        <v>1186</v>
      </c>
      <c r="Y13" s="2948"/>
      <c r="Z13" s="2948"/>
      <c r="AA13" s="2948"/>
      <c r="AB13" s="2948"/>
      <c r="AC13" s="2948"/>
      <c r="AD13" s="2948"/>
      <c r="AE13" s="2948"/>
      <c r="AF13" s="2948"/>
      <c r="AG13" s="2948"/>
      <c r="AH13" s="1364"/>
      <c r="AI13" s="1364"/>
      <c r="AJ13" s="1364"/>
      <c r="AK13" s="2948"/>
      <c r="AL13" s="2948"/>
      <c r="AM13" s="2948"/>
      <c r="AN13" s="4503"/>
      <c r="AO13" s="4494"/>
      <c r="AP13" s="4494"/>
      <c r="AQ13" s="4497"/>
    </row>
    <row r="14" spans="1:43" s="1347" customFormat="1" ht="30" x14ac:dyDescent="0.2">
      <c r="A14" s="1359"/>
      <c r="B14" s="1360"/>
      <c r="C14" s="1360"/>
      <c r="D14" s="428"/>
      <c r="E14" s="1360"/>
      <c r="F14" s="1360"/>
      <c r="G14" s="428"/>
      <c r="H14" s="1360"/>
      <c r="I14" s="1360"/>
      <c r="J14" s="2883">
        <v>224</v>
      </c>
      <c r="K14" s="2600" t="s">
        <v>1187</v>
      </c>
      <c r="L14" s="2882" t="s">
        <v>1188</v>
      </c>
      <c r="M14" s="2738">
        <v>1</v>
      </c>
      <c r="N14" s="2738"/>
      <c r="O14" s="2942"/>
      <c r="P14" s="2600"/>
      <c r="Q14" s="4488">
        <f>SUM(V14:V15)/R12</f>
        <v>3.459637561779242E-2</v>
      </c>
      <c r="R14" s="4504"/>
      <c r="S14" s="2882"/>
      <c r="T14" s="2920"/>
      <c r="U14" s="4500" t="s">
        <v>1189</v>
      </c>
      <c r="V14" s="1365">
        <v>14800000</v>
      </c>
      <c r="W14" s="368">
        <v>20</v>
      </c>
      <c r="X14" s="1362" t="s">
        <v>1184</v>
      </c>
      <c r="Y14" s="2948"/>
      <c r="Z14" s="2948"/>
      <c r="AA14" s="2948"/>
      <c r="AB14" s="2948"/>
      <c r="AC14" s="2948"/>
      <c r="AD14" s="2948"/>
      <c r="AE14" s="2948"/>
      <c r="AF14" s="2948"/>
      <c r="AG14" s="2948"/>
      <c r="AH14" s="1364"/>
      <c r="AI14" s="1364"/>
      <c r="AJ14" s="1364"/>
      <c r="AK14" s="2948"/>
      <c r="AL14" s="2948"/>
      <c r="AM14" s="2948"/>
      <c r="AN14" s="4503"/>
      <c r="AO14" s="4494"/>
      <c r="AP14" s="4494"/>
      <c r="AQ14" s="4497"/>
    </row>
    <row r="15" spans="1:43" s="1347" customFormat="1" ht="15" x14ac:dyDescent="0.2">
      <c r="A15" s="1359"/>
      <c r="B15" s="1360"/>
      <c r="C15" s="1360"/>
      <c r="D15" s="428"/>
      <c r="E15" s="1360"/>
      <c r="F15" s="1360"/>
      <c r="G15" s="428"/>
      <c r="H15" s="1360"/>
      <c r="I15" s="1360"/>
      <c r="J15" s="2883"/>
      <c r="K15" s="2600"/>
      <c r="L15" s="2882"/>
      <c r="M15" s="2738"/>
      <c r="N15" s="2738"/>
      <c r="O15" s="2942"/>
      <c r="P15" s="2600"/>
      <c r="Q15" s="4499"/>
      <c r="R15" s="4504"/>
      <c r="S15" s="2882"/>
      <c r="T15" s="2920"/>
      <c r="U15" s="4501"/>
      <c r="V15" s="1365">
        <v>6200000</v>
      </c>
      <c r="W15" s="368">
        <v>23</v>
      </c>
      <c r="X15" s="1362" t="s">
        <v>1186</v>
      </c>
      <c r="Y15" s="2948"/>
      <c r="Z15" s="2948"/>
      <c r="AA15" s="2948"/>
      <c r="AB15" s="2948"/>
      <c r="AC15" s="2948"/>
      <c r="AD15" s="2948"/>
      <c r="AE15" s="2948"/>
      <c r="AF15" s="2948"/>
      <c r="AG15" s="2948"/>
      <c r="AH15" s="1364"/>
      <c r="AI15" s="1364"/>
      <c r="AJ15" s="1364"/>
      <c r="AK15" s="2948"/>
      <c r="AL15" s="2948"/>
      <c r="AM15" s="2948"/>
      <c r="AN15" s="4503"/>
      <c r="AO15" s="4494"/>
      <c r="AP15" s="4494"/>
      <c r="AQ15" s="4497"/>
    </row>
    <row r="16" spans="1:43" s="1347" customFormat="1" ht="39.75" customHeight="1" x14ac:dyDescent="0.2">
      <c r="A16" s="1359"/>
      <c r="B16" s="1360"/>
      <c r="C16" s="1360"/>
      <c r="D16" s="428"/>
      <c r="E16" s="1360"/>
      <c r="F16" s="1360"/>
      <c r="G16" s="428"/>
      <c r="H16" s="1360"/>
      <c r="I16" s="1360"/>
      <c r="J16" s="2883">
        <v>225</v>
      </c>
      <c r="K16" s="2600" t="s">
        <v>1190</v>
      </c>
      <c r="L16" s="2882" t="s">
        <v>1191</v>
      </c>
      <c r="M16" s="2737">
        <v>1</v>
      </c>
      <c r="N16" s="2738"/>
      <c r="O16" s="2942"/>
      <c r="P16" s="2600"/>
      <c r="Q16" s="4488">
        <f>(V16+V17)/R12</f>
        <v>1.6474464579901153E-2</v>
      </c>
      <c r="R16" s="4504"/>
      <c r="S16" s="2882"/>
      <c r="T16" s="2873" t="s">
        <v>1192</v>
      </c>
      <c r="U16" s="4490" t="s">
        <v>1193</v>
      </c>
      <c r="V16" s="1365">
        <v>9200000</v>
      </c>
      <c r="W16" s="368">
        <v>20</v>
      </c>
      <c r="X16" s="1362" t="s">
        <v>1184</v>
      </c>
      <c r="Y16" s="2948"/>
      <c r="Z16" s="2948"/>
      <c r="AA16" s="2948"/>
      <c r="AB16" s="2948"/>
      <c r="AC16" s="2948"/>
      <c r="AD16" s="2948"/>
      <c r="AE16" s="2948"/>
      <c r="AF16" s="2948"/>
      <c r="AG16" s="2948"/>
      <c r="AH16" s="1364"/>
      <c r="AI16" s="1364"/>
      <c r="AJ16" s="1364"/>
      <c r="AK16" s="2948"/>
      <c r="AL16" s="2948"/>
      <c r="AM16" s="2948"/>
      <c r="AN16" s="4503"/>
      <c r="AO16" s="4494"/>
      <c r="AP16" s="4494"/>
      <c r="AQ16" s="4497"/>
    </row>
    <row r="17" spans="1:43" s="1347" customFormat="1" ht="45" customHeight="1" x14ac:dyDescent="0.2">
      <c r="A17" s="1366"/>
      <c r="B17" s="445"/>
      <c r="C17" s="445"/>
      <c r="D17" s="444"/>
      <c r="E17" s="445"/>
      <c r="F17" s="445"/>
      <c r="G17" s="444"/>
      <c r="H17" s="445"/>
      <c r="I17" s="445"/>
      <c r="J17" s="2883"/>
      <c r="K17" s="2600"/>
      <c r="L17" s="2882"/>
      <c r="M17" s="2640"/>
      <c r="N17" s="2640"/>
      <c r="O17" s="2876"/>
      <c r="P17" s="2600"/>
      <c r="Q17" s="4489"/>
      <c r="R17" s="4504"/>
      <c r="S17" s="2882"/>
      <c r="T17" s="2874"/>
      <c r="U17" s="4491"/>
      <c r="V17" s="1365">
        <v>800000</v>
      </c>
      <c r="W17" s="1367">
        <v>23</v>
      </c>
      <c r="X17" s="1362" t="s">
        <v>1186</v>
      </c>
      <c r="Y17" s="2949"/>
      <c r="Z17" s="2949"/>
      <c r="AA17" s="2949"/>
      <c r="AB17" s="2949"/>
      <c r="AC17" s="2949"/>
      <c r="AD17" s="2949"/>
      <c r="AE17" s="2949"/>
      <c r="AF17" s="2949"/>
      <c r="AG17" s="2949"/>
      <c r="AH17" s="1368"/>
      <c r="AI17" s="1368"/>
      <c r="AJ17" s="1368"/>
      <c r="AK17" s="2949"/>
      <c r="AL17" s="2949"/>
      <c r="AM17" s="2949"/>
      <c r="AN17" s="4005"/>
      <c r="AO17" s="4495"/>
      <c r="AP17" s="4495"/>
      <c r="AQ17" s="4498"/>
    </row>
    <row r="18" spans="1:43" ht="15" x14ac:dyDescent="0.25">
      <c r="A18" s="4492" t="s">
        <v>467</v>
      </c>
      <c r="B18" s="4492"/>
      <c r="C18" s="4492"/>
      <c r="D18" s="4492"/>
      <c r="E18" s="4492"/>
      <c r="F18" s="4492"/>
      <c r="G18" s="4492"/>
      <c r="H18" s="4492"/>
      <c r="I18" s="4492"/>
      <c r="J18" s="4492"/>
      <c r="K18" s="4492"/>
      <c r="L18" s="4492"/>
      <c r="M18" s="4492"/>
      <c r="N18" s="4492"/>
      <c r="O18" s="4492"/>
      <c r="P18" s="4492"/>
      <c r="Q18" s="4492"/>
      <c r="R18" s="1369">
        <f>SUM(R12)</f>
        <v>607000000</v>
      </c>
      <c r="S18" s="1370"/>
      <c r="T18" s="1370"/>
      <c r="U18" s="1370"/>
      <c r="V18" s="1371">
        <f>SUM(V12:V17)</f>
        <v>607000000</v>
      </c>
      <c r="W18" s="370"/>
      <c r="X18" s="1372"/>
      <c r="Y18" s="1373"/>
      <c r="Z18" s="1373"/>
      <c r="AA18" s="1373"/>
      <c r="AB18" s="1373"/>
      <c r="AC18" s="1373"/>
      <c r="AD18" s="1373"/>
      <c r="AE18" s="1373"/>
      <c r="AF18" s="1373"/>
      <c r="AG18" s="1373"/>
      <c r="AH18" s="1373"/>
      <c r="AI18" s="1373"/>
      <c r="AJ18" s="1373"/>
      <c r="AK18" s="1373"/>
      <c r="AL18" s="1373"/>
      <c r="AM18" s="1373"/>
      <c r="AN18" s="1373"/>
      <c r="AO18" s="1374"/>
      <c r="AP18" s="1375"/>
      <c r="AQ18" s="1376"/>
    </row>
    <row r="19" spans="1:43" ht="14.25" x14ac:dyDescent="0.2"/>
    <row r="20" spans="1:43" ht="14.25" x14ac:dyDescent="0.2"/>
    <row r="21" spans="1:43" ht="14.25" x14ac:dyDescent="0.2"/>
    <row r="22" spans="1:43" ht="14.25" x14ac:dyDescent="0.2"/>
    <row r="23" spans="1:43" ht="14.25" x14ac:dyDescent="0.2">
      <c r="X23" s="1388">
        <v>7.9000000000000001E-2</v>
      </c>
    </row>
    <row r="24" spans="1:43" ht="14.25" x14ac:dyDescent="0.2"/>
    <row r="25" spans="1:43" ht="14.25" x14ac:dyDescent="0.2"/>
    <row r="26" spans="1:43" ht="15" x14ac:dyDescent="0.25">
      <c r="E26" s="593" t="s">
        <v>1194</v>
      </c>
    </row>
    <row r="27" spans="1:43" ht="14.25" x14ac:dyDescent="0.2">
      <c r="E27" s="399" t="s">
        <v>1195</v>
      </c>
    </row>
  </sheetData>
  <sheetProtection password="A60F" sheet="1" objects="1" scenarios="1"/>
  <mergeCells count="72">
    <mergeCell ref="P7:P8"/>
    <mergeCell ref="A1:AO4"/>
    <mergeCell ref="A5:M6"/>
    <mergeCell ref="N5:AQ5"/>
    <mergeCell ref="Y6:AM6"/>
    <mergeCell ref="A7:A8"/>
    <mergeCell ref="B7:C8"/>
    <mergeCell ref="D7:D8"/>
    <mergeCell ref="E7:F8"/>
    <mergeCell ref="G7:G8"/>
    <mergeCell ref="H7:I8"/>
    <mergeCell ref="J7:J8"/>
    <mergeCell ref="K7:K8"/>
    <mergeCell ref="L7:L8"/>
    <mergeCell ref="N7:N8"/>
    <mergeCell ref="O7:O8"/>
    <mergeCell ref="AN7:AN8"/>
    <mergeCell ref="AO7:AO8"/>
    <mergeCell ref="Q7:Q8"/>
    <mergeCell ref="R7:R8"/>
    <mergeCell ref="S7:S8"/>
    <mergeCell ref="T7:T8"/>
    <mergeCell ref="U7:U8"/>
    <mergeCell ref="X7:X8"/>
    <mergeCell ref="Y12:Y17"/>
    <mergeCell ref="Z12:Z17"/>
    <mergeCell ref="AP7:AP8"/>
    <mergeCell ref="AQ7:AQ8"/>
    <mergeCell ref="J12:J13"/>
    <mergeCell ref="K12:K13"/>
    <mergeCell ref="L12:L13"/>
    <mergeCell ref="M12:M13"/>
    <mergeCell ref="N12:N17"/>
    <mergeCell ref="O12:O17"/>
    <mergeCell ref="P12:P17"/>
    <mergeCell ref="Q12:Q13"/>
    <mergeCell ref="Y7:Z7"/>
    <mergeCell ref="AA7:AD7"/>
    <mergeCell ref="AE7:AJ7"/>
    <mergeCell ref="AK7:AM7"/>
    <mergeCell ref="AO12:AO17"/>
    <mergeCell ref="AA12:AA17"/>
    <mergeCell ref="AB12:AB17"/>
    <mergeCell ref="AC12:AC17"/>
    <mergeCell ref="AD12:AD17"/>
    <mergeCell ref="AE12:AE17"/>
    <mergeCell ref="AF12:AF17"/>
    <mergeCell ref="A18:Q18"/>
    <mergeCell ref="AP12:AP17"/>
    <mergeCell ref="AQ12:AQ17"/>
    <mergeCell ref="J14:J15"/>
    <mergeCell ref="K14:K15"/>
    <mergeCell ref="L14:L15"/>
    <mergeCell ref="M14:M15"/>
    <mergeCell ref="Q14:Q15"/>
    <mergeCell ref="U14:U15"/>
    <mergeCell ref="J16:J17"/>
    <mergeCell ref="K16:K17"/>
    <mergeCell ref="AG12:AG17"/>
    <mergeCell ref="AK12:AK17"/>
    <mergeCell ref="AL12:AL17"/>
    <mergeCell ref="AM12:AM17"/>
    <mergeCell ref="AN12:AN17"/>
    <mergeCell ref="L16:L17"/>
    <mergeCell ref="M16:M17"/>
    <mergeCell ref="Q16:Q17"/>
    <mergeCell ref="T16:T17"/>
    <mergeCell ref="U16:U17"/>
    <mergeCell ref="R12:R17"/>
    <mergeCell ref="S12:S17"/>
    <mergeCell ref="T12:T15"/>
    <mergeCell ref="U12:U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3"/>
  <sheetViews>
    <sheetView showGridLines="0" topLeftCell="I1" zoomScale="60" zoomScaleNormal="60" workbookViewId="0">
      <selection activeCell="K11" sqref="K11:K32"/>
    </sheetView>
  </sheetViews>
  <sheetFormatPr baseColWidth="10" defaultColWidth="10" defaultRowHeight="15" x14ac:dyDescent="0.2"/>
  <cols>
    <col min="1" max="1" width="18" style="1917" customWidth="1"/>
    <col min="2" max="3" width="10" style="1753"/>
    <col min="4" max="4" width="17.140625" style="1753" customWidth="1"/>
    <col min="5" max="6" width="10" style="1753"/>
    <col min="7" max="7" width="17.140625" style="1753" customWidth="1"/>
    <col min="8" max="8" width="10" style="1753"/>
    <col min="9" max="9" width="14.140625" style="1753" customWidth="1"/>
    <col min="10" max="10" width="19.28515625" style="1919" customWidth="1"/>
    <col min="11" max="11" width="48.28515625" style="1696" customWidth="1"/>
    <col min="12" max="12" width="33.7109375" style="1694" customWidth="1"/>
    <col min="13" max="13" width="23.28515625" style="1694" customWidth="1"/>
    <col min="14" max="14" width="37.28515625" style="1695" customWidth="1"/>
    <col min="15" max="15" width="26" style="1695" customWidth="1"/>
    <col min="16" max="16" width="30.85546875" style="1696" customWidth="1"/>
    <col min="17" max="17" width="17.28515625" style="1920" customWidth="1"/>
    <col min="18" max="18" width="25.5703125" style="1921" customWidth="1"/>
    <col min="19" max="19" width="46.85546875" style="1696" customWidth="1"/>
    <col min="20" max="20" width="53.85546875" style="1696" customWidth="1"/>
    <col min="21" max="21" width="58.85546875" style="1696" customWidth="1"/>
    <col min="22" max="22" width="29" style="1927" customWidth="1"/>
    <col min="23" max="23" width="14" style="1923" customWidth="1"/>
    <col min="24" max="24" width="22.7109375" style="1700" customWidth="1"/>
    <col min="25" max="25" width="12.85546875" style="573" customWidth="1"/>
    <col min="26" max="26" width="16.85546875" style="573" customWidth="1"/>
    <col min="27" max="39" width="12.85546875" style="573" customWidth="1"/>
    <col min="40" max="40" width="15.140625" style="573" customWidth="1"/>
    <col min="41" max="41" width="17.85546875" style="1701" customWidth="1"/>
    <col min="42" max="42" width="20.7109375" style="1702" customWidth="1"/>
    <col min="43" max="43" width="26.140625" style="1791" customWidth="1"/>
    <col min="44" max="16384" width="10" style="573"/>
  </cols>
  <sheetData>
    <row r="1" spans="1:60" ht="25.5" customHeight="1" x14ac:dyDescent="0.2">
      <c r="A1" s="2774" t="s">
        <v>1594</v>
      </c>
      <c r="B1" s="2774"/>
      <c r="C1" s="2774"/>
      <c r="D1" s="2774"/>
      <c r="E1" s="2774"/>
      <c r="F1" s="2774"/>
      <c r="G1" s="2774"/>
      <c r="H1" s="2774"/>
      <c r="I1" s="2774"/>
      <c r="J1" s="2774"/>
      <c r="K1" s="2774"/>
      <c r="L1" s="2774"/>
      <c r="M1" s="2774"/>
      <c r="N1" s="2774"/>
      <c r="O1" s="2774"/>
      <c r="P1" s="2774"/>
      <c r="Q1" s="2774"/>
      <c r="R1" s="2774"/>
      <c r="S1" s="2774"/>
      <c r="T1" s="2774"/>
      <c r="U1" s="2774"/>
      <c r="V1" s="2774"/>
      <c r="W1" s="2774"/>
      <c r="X1" s="2774"/>
      <c r="Y1" s="2774"/>
      <c r="Z1" s="2774"/>
      <c r="AA1" s="2774"/>
      <c r="AB1" s="2774"/>
      <c r="AC1" s="2774"/>
      <c r="AD1" s="2774"/>
      <c r="AE1" s="2774"/>
      <c r="AF1" s="2774"/>
      <c r="AG1" s="2774"/>
      <c r="AH1" s="2774"/>
      <c r="AI1" s="2774"/>
      <c r="AJ1" s="2774"/>
      <c r="AK1" s="2774"/>
      <c r="AL1" s="2774"/>
      <c r="AM1" s="2774"/>
      <c r="AN1" s="2774"/>
      <c r="AO1" s="2774"/>
      <c r="AQ1" s="1705" t="s">
        <v>2</v>
      </c>
      <c r="AR1" s="1479"/>
      <c r="AS1" s="1479"/>
      <c r="AT1" s="1479"/>
      <c r="AU1" s="1479"/>
      <c r="AV1" s="1479"/>
      <c r="AW1" s="1479"/>
      <c r="AX1" s="1479"/>
      <c r="AY1" s="1479"/>
      <c r="AZ1" s="1479"/>
      <c r="BA1" s="1479"/>
      <c r="BB1" s="1479"/>
      <c r="BC1" s="1479"/>
      <c r="BD1" s="1479"/>
      <c r="BE1" s="1479"/>
      <c r="BF1" s="1479"/>
      <c r="BG1" s="1479"/>
      <c r="BH1" s="1479"/>
    </row>
    <row r="2" spans="1:60" ht="25.5" customHeight="1" x14ac:dyDescent="0.2">
      <c r="A2" s="2774"/>
      <c r="B2" s="2774"/>
      <c r="C2" s="2774"/>
      <c r="D2" s="2774"/>
      <c r="E2" s="2774"/>
      <c r="F2" s="2774"/>
      <c r="G2" s="2774"/>
      <c r="H2" s="2774"/>
      <c r="I2" s="2774"/>
      <c r="J2" s="2774"/>
      <c r="K2" s="2774"/>
      <c r="L2" s="2774"/>
      <c r="M2" s="2774"/>
      <c r="N2" s="2774"/>
      <c r="O2" s="2774"/>
      <c r="P2" s="2774"/>
      <c r="Q2" s="2774"/>
      <c r="R2" s="2774"/>
      <c r="S2" s="2774"/>
      <c r="T2" s="2774"/>
      <c r="U2" s="2774"/>
      <c r="V2" s="2774"/>
      <c r="W2" s="2774"/>
      <c r="X2" s="2774"/>
      <c r="Y2" s="2774"/>
      <c r="Z2" s="2774"/>
      <c r="AA2" s="2774"/>
      <c r="AB2" s="2774"/>
      <c r="AC2" s="2774"/>
      <c r="AD2" s="2774"/>
      <c r="AE2" s="2774"/>
      <c r="AF2" s="2774"/>
      <c r="AG2" s="2774"/>
      <c r="AH2" s="2774"/>
      <c r="AI2" s="2774"/>
      <c r="AJ2" s="2774"/>
      <c r="AK2" s="2774"/>
      <c r="AL2" s="2774"/>
      <c r="AM2" s="2774"/>
      <c r="AN2" s="2774"/>
      <c r="AO2" s="2774"/>
      <c r="AQ2" s="1705" t="s">
        <v>117</v>
      </c>
      <c r="AR2" s="1479"/>
      <c r="AS2" s="1479"/>
      <c r="AT2" s="1479"/>
      <c r="AU2" s="1479"/>
      <c r="AV2" s="1479"/>
      <c r="AW2" s="1479"/>
      <c r="AX2" s="1479"/>
      <c r="AY2" s="1479"/>
      <c r="AZ2" s="1479"/>
      <c r="BA2" s="1479"/>
      <c r="BB2" s="1479"/>
      <c r="BC2" s="1479"/>
      <c r="BD2" s="1479"/>
      <c r="BE2" s="1479"/>
      <c r="BF2" s="1479"/>
      <c r="BG2" s="1479"/>
      <c r="BH2" s="1479"/>
    </row>
    <row r="3" spans="1:60" ht="25.5" customHeight="1" x14ac:dyDescent="0.2">
      <c r="A3" s="2774"/>
      <c r="B3" s="2774"/>
      <c r="C3" s="2774"/>
      <c r="D3" s="2774"/>
      <c r="E3" s="2774"/>
      <c r="F3" s="2774"/>
      <c r="G3" s="2774"/>
      <c r="H3" s="2774"/>
      <c r="I3" s="2774"/>
      <c r="J3" s="2774"/>
      <c r="K3" s="2774"/>
      <c r="L3" s="2774"/>
      <c r="M3" s="2774"/>
      <c r="N3" s="2774"/>
      <c r="O3" s="2774"/>
      <c r="P3" s="2774"/>
      <c r="Q3" s="2774"/>
      <c r="R3" s="2774"/>
      <c r="S3" s="2774"/>
      <c r="T3" s="2774"/>
      <c r="U3" s="2774"/>
      <c r="V3" s="2774"/>
      <c r="W3" s="2774"/>
      <c r="X3" s="2774"/>
      <c r="Y3" s="2774"/>
      <c r="Z3" s="2774"/>
      <c r="AA3" s="2774"/>
      <c r="AB3" s="2774"/>
      <c r="AC3" s="2774"/>
      <c r="AD3" s="2774"/>
      <c r="AE3" s="2774"/>
      <c r="AF3" s="2774"/>
      <c r="AG3" s="2774"/>
      <c r="AH3" s="2774"/>
      <c r="AI3" s="2774"/>
      <c r="AJ3" s="2774"/>
      <c r="AK3" s="2774"/>
      <c r="AL3" s="2774"/>
      <c r="AM3" s="2774"/>
      <c r="AN3" s="2774"/>
      <c r="AO3" s="2774"/>
      <c r="AQ3" s="1706" t="s">
        <v>6</v>
      </c>
      <c r="AR3" s="1479"/>
      <c r="AS3" s="1479"/>
      <c r="AT3" s="1479"/>
      <c r="AU3" s="1479"/>
      <c r="AV3" s="1479"/>
      <c r="AW3" s="1479"/>
      <c r="AX3" s="1479"/>
      <c r="AY3" s="1479"/>
      <c r="AZ3" s="1479"/>
      <c r="BA3" s="1479"/>
      <c r="BB3" s="1479"/>
      <c r="BC3" s="1479"/>
      <c r="BD3" s="1479"/>
      <c r="BE3" s="1479"/>
      <c r="BF3" s="1479"/>
      <c r="BG3" s="1479"/>
      <c r="BH3" s="1479"/>
    </row>
    <row r="4" spans="1:60" ht="25.5" customHeight="1" x14ac:dyDescent="0.2">
      <c r="A4" s="2775"/>
      <c r="B4" s="2775"/>
      <c r="C4" s="2775"/>
      <c r="D4" s="2775"/>
      <c r="E4" s="2775"/>
      <c r="F4" s="2775"/>
      <c r="G4" s="2775"/>
      <c r="H4" s="2775"/>
      <c r="I4" s="2775"/>
      <c r="J4" s="2775"/>
      <c r="K4" s="2775"/>
      <c r="L4" s="2775"/>
      <c r="M4" s="2775"/>
      <c r="N4" s="2775"/>
      <c r="O4" s="2775"/>
      <c r="P4" s="2775"/>
      <c r="Q4" s="2775"/>
      <c r="R4" s="2775"/>
      <c r="S4" s="2775"/>
      <c r="T4" s="2775"/>
      <c r="U4" s="2775"/>
      <c r="V4" s="2775"/>
      <c r="W4" s="2775"/>
      <c r="X4" s="2775"/>
      <c r="Y4" s="2775"/>
      <c r="Z4" s="2775"/>
      <c r="AA4" s="2775"/>
      <c r="AB4" s="2775"/>
      <c r="AC4" s="2775"/>
      <c r="AD4" s="2775"/>
      <c r="AE4" s="2775"/>
      <c r="AF4" s="2775"/>
      <c r="AG4" s="2775"/>
      <c r="AH4" s="2775"/>
      <c r="AI4" s="2775"/>
      <c r="AJ4" s="2775"/>
      <c r="AK4" s="2775"/>
      <c r="AL4" s="2775"/>
      <c r="AM4" s="2775"/>
      <c r="AN4" s="2775"/>
      <c r="AO4" s="2775"/>
      <c r="AQ4" s="1707" t="s">
        <v>8</v>
      </c>
      <c r="AR4" s="1479"/>
      <c r="AS4" s="1479"/>
      <c r="AT4" s="1479"/>
      <c r="AU4" s="1479"/>
      <c r="AV4" s="1479"/>
      <c r="AW4" s="1479"/>
      <c r="AX4" s="1479"/>
      <c r="AY4" s="1479"/>
      <c r="AZ4" s="1479"/>
      <c r="BA4" s="1479"/>
      <c r="BB4" s="1479"/>
      <c r="BC4" s="1479"/>
      <c r="BD4" s="1479"/>
      <c r="BE4" s="1479"/>
      <c r="BF4" s="1479"/>
      <c r="BG4" s="1479"/>
      <c r="BH4" s="1479"/>
    </row>
    <row r="5" spans="1:60" ht="15.75" customHeight="1" thickBot="1" x14ac:dyDescent="0.25">
      <c r="A5" s="2776" t="s">
        <v>9</v>
      </c>
      <c r="B5" s="2776"/>
      <c r="C5" s="2776"/>
      <c r="D5" s="2776"/>
      <c r="E5" s="2776"/>
      <c r="F5" s="2776"/>
      <c r="G5" s="2776"/>
      <c r="H5" s="2776"/>
      <c r="I5" s="2776"/>
      <c r="J5" s="2776"/>
      <c r="K5" s="2776"/>
      <c r="L5" s="2776"/>
      <c r="M5" s="2776"/>
      <c r="N5" s="2777" t="s">
        <v>10</v>
      </c>
      <c r="O5" s="2777"/>
      <c r="P5" s="2777"/>
      <c r="Q5" s="2777"/>
      <c r="R5" s="2777"/>
      <c r="S5" s="2777"/>
      <c r="T5" s="2777"/>
      <c r="U5" s="2777"/>
      <c r="V5" s="2777"/>
      <c r="W5" s="2777"/>
      <c r="X5" s="2777"/>
      <c r="Y5" s="2777"/>
      <c r="Z5" s="2777"/>
      <c r="AA5" s="2777"/>
      <c r="AB5" s="2777"/>
      <c r="AC5" s="2777"/>
      <c r="AD5" s="2777"/>
      <c r="AE5" s="2777"/>
      <c r="AF5" s="2777"/>
      <c r="AG5" s="2777"/>
      <c r="AH5" s="2777"/>
      <c r="AI5" s="2777"/>
      <c r="AJ5" s="2777"/>
      <c r="AK5" s="2777"/>
      <c r="AL5" s="2777"/>
      <c r="AM5" s="2777"/>
      <c r="AN5" s="2777"/>
      <c r="AO5" s="2778"/>
      <c r="AP5" s="2778"/>
      <c r="AQ5" s="2778"/>
      <c r="AR5" s="1479"/>
      <c r="AS5" s="1479"/>
      <c r="AT5" s="1479"/>
      <c r="AU5" s="1479"/>
      <c r="AV5" s="1479"/>
      <c r="AW5" s="1479"/>
      <c r="AX5" s="1479"/>
      <c r="AY5" s="1479"/>
      <c r="AZ5" s="1479"/>
      <c r="BA5" s="1479"/>
      <c r="BB5" s="1479"/>
      <c r="BC5" s="1479"/>
      <c r="BD5" s="1479"/>
      <c r="BE5" s="1479"/>
      <c r="BF5" s="1479"/>
      <c r="BG5" s="1479"/>
      <c r="BH5" s="1479"/>
    </row>
    <row r="6" spans="1:60" s="399" customFormat="1" ht="27.75" customHeight="1" x14ac:dyDescent="0.2">
      <c r="A6" s="2756" t="s">
        <v>12</v>
      </c>
      <c r="B6" s="2757" t="s">
        <v>13</v>
      </c>
      <c r="C6" s="2757"/>
      <c r="D6" s="2757" t="s">
        <v>12</v>
      </c>
      <c r="E6" s="2757" t="s">
        <v>14</v>
      </c>
      <c r="F6" s="2757"/>
      <c r="G6" s="2757" t="s">
        <v>12</v>
      </c>
      <c r="H6" s="2757" t="s">
        <v>15</v>
      </c>
      <c r="I6" s="2757"/>
      <c r="J6" s="2757" t="s">
        <v>12</v>
      </c>
      <c r="K6" s="2757" t="s">
        <v>16</v>
      </c>
      <c r="L6" s="2770" t="s">
        <v>17</v>
      </c>
      <c r="M6" s="2772" t="s">
        <v>18</v>
      </c>
      <c r="N6" s="2757" t="s">
        <v>19</v>
      </c>
      <c r="O6" s="2757" t="s">
        <v>20</v>
      </c>
      <c r="P6" s="2757" t="s">
        <v>10</v>
      </c>
      <c r="Q6" s="2765" t="s">
        <v>21</v>
      </c>
      <c r="R6" s="2766" t="s">
        <v>22</v>
      </c>
      <c r="S6" s="2757" t="s">
        <v>23</v>
      </c>
      <c r="T6" s="2757" t="s">
        <v>24</v>
      </c>
      <c r="U6" s="2767" t="s">
        <v>25</v>
      </c>
      <c r="V6" s="2768" t="s">
        <v>22</v>
      </c>
      <c r="W6" s="2756" t="s">
        <v>12</v>
      </c>
      <c r="X6" s="2757" t="s">
        <v>26</v>
      </c>
      <c r="Y6" s="2758" t="s">
        <v>27</v>
      </c>
      <c r="Z6" s="2758"/>
      <c r="AA6" s="2759" t="s">
        <v>28</v>
      </c>
      <c r="AB6" s="2760"/>
      <c r="AC6" s="2760"/>
      <c r="AD6" s="2760"/>
      <c r="AE6" s="2761" t="s">
        <v>29</v>
      </c>
      <c r="AF6" s="2762"/>
      <c r="AG6" s="2762"/>
      <c r="AH6" s="2762"/>
      <c r="AI6" s="2762"/>
      <c r="AJ6" s="2762"/>
      <c r="AK6" s="2763" t="s">
        <v>30</v>
      </c>
      <c r="AL6" s="2764"/>
      <c r="AM6" s="2764"/>
      <c r="AN6" s="2748" t="s">
        <v>31</v>
      </c>
      <c r="AO6" s="2750" t="s">
        <v>32</v>
      </c>
      <c r="AP6" s="2750" t="s">
        <v>33</v>
      </c>
      <c r="AQ6" s="2752" t="s">
        <v>34</v>
      </c>
      <c r="AR6" s="1347"/>
      <c r="AS6" s="1347"/>
      <c r="AT6" s="1347"/>
      <c r="AU6" s="1347"/>
      <c r="AV6" s="1347"/>
      <c r="AW6" s="1347"/>
      <c r="AX6" s="1347"/>
      <c r="AY6" s="1347"/>
      <c r="AZ6" s="1347"/>
      <c r="BA6" s="1347"/>
      <c r="BB6" s="1347"/>
      <c r="BC6" s="1347"/>
      <c r="BD6" s="1347"/>
      <c r="BE6" s="1347"/>
      <c r="BF6" s="1347"/>
      <c r="BG6" s="1347"/>
      <c r="BH6" s="1347"/>
    </row>
    <row r="7" spans="1:60" s="1710" customFormat="1" ht="134.25" customHeight="1" x14ac:dyDescent="0.25">
      <c r="A7" s="2756"/>
      <c r="B7" s="2757"/>
      <c r="C7" s="2757"/>
      <c r="D7" s="2757"/>
      <c r="E7" s="2757"/>
      <c r="F7" s="2757"/>
      <c r="G7" s="2757"/>
      <c r="H7" s="2757"/>
      <c r="I7" s="2757"/>
      <c r="J7" s="2757"/>
      <c r="K7" s="2757"/>
      <c r="L7" s="2771"/>
      <c r="M7" s="2773"/>
      <c r="N7" s="2757"/>
      <c r="O7" s="2757"/>
      <c r="P7" s="2757"/>
      <c r="Q7" s="2765"/>
      <c r="R7" s="2766"/>
      <c r="S7" s="2757"/>
      <c r="T7" s="2757"/>
      <c r="U7" s="2767"/>
      <c r="V7" s="2769"/>
      <c r="W7" s="2756"/>
      <c r="X7" s="2757"/>
      <c r="Y7" s="1708" t="s">
        <v>35</v>
      </c>
      <c r="Z7" s="1709" t="s">
        <v>36</v>
      </c>
      <c r="AA7" s="1708" t="s">
        <v>37</v>
      </c>
      <c r="AB7" s="1708" t="s">
        <v>118</v>
      </c>
      <c r="AC7" s="1708" t="s">
        <v>473</v>
      </c>
      <c r="AD7" s="1708" t="s">
        <v>120</v>
      </c>
      <c r="AE7" s="1708" t="s">
        <v>41</v>
      </c>
      <c r="AF7" s="1708" t="s">
        <v>42</v>
      </c>
      <c r="AG7" s="1708" t="s">
        <v>43</v>
      </c>
      <c r="AH7" s="1708" t="s">
        <v>44</v>
      </c>
      <c r="AI7" s="1708" t="s">
        <v>45</v>
      </c>
      <c r="AJ7" s="1708" t="s">
        <v>1595</v>
      </c>
      <c r="AK7" s="1708" t="s">
        <v>47</v>
      </c>
      <c r="AL7" s="1708" t="s">
        <v>48</v>
      </c>
      <c r="AM7" s="1325" t="s">
        <v>49</v>
      </c>
      <c r="AN7" s="2749"/>
      <c r="AO7" s="2751"/>
      <c r="AP7" s="2751"/>
      <c r="AQ7" s="2753"/>
      <c r="AR7" s="1384"/>
      <c r="AS7" s="1384"/>
      <c r="AT7" s="1384"/>
      <c r="AU7" s="1384"/>
      <c r="AV7" s="1384"/>
      <c r="AW7" s="1384"/>
      <c r="AX7" s="1384"/>
      <c r="AY7" s="1384"/>
      <c r="AZ7" s="1384"/>
      <c r="BA7" s="1384"/>
      <c r="BB7" s="1384"/>
      <c r="BC7" s="1384"/>
      <c r="BD7" s="1384"/>
      <c r="BE7" s="1384"/>
      <c r="BF7" s="1384"/>
      <c r="BG7" s="1384"/>
      <c r="BH7" s="1384"/>
    </row>
    <row r="8" spans="1:60" s="399" customFormat="1" ht="15.75" customHeight="1" x14ac:dyDescent="0.2">
      <c r="A8" s="1711">
        <v>5</v>
      </c>
      <c r="B8" s="2754" t="s">
        <v>50</v>
      </c>
      <c r="C8" s="2754"/>
      <c r="D8" s="2754"/>
      <c r="E8" s="2754"/>
      <c r="F8" s="2754"/>
      <c r="G8" s="2754"/>
      <c r="H8" s="2754"/>
      <c r="I8" s="2754"/>
      <c r="J8" s="2754"/>
      <c r="K8" s="2754"/>
      <c r="L8" s="1712"/>
      <c r="M8" s="1712"/>
      <c r="N8" s="414"/>
      <c r="O8" s="414"/>
      <c r="P8" s="1712"/>
      <c r="Q8" s="1713"/>
      <c r="R8" s="1714"/>
      <c r="S8" s="1712"/>
      <c r="T8" s="1712"/>
      <c r="U8" s="1715"/>
      <c r="V8" s="1716"/>
      <c r="W8" s="1717"/>
      <c r="X8" s="414"/>
      <c r="Y8" s="415"/>
      <c r="Z8" s="415"/>
      <c r="AA8" s="415"/>
      <c r="AB8" s="415"/>
      <c r="AC8" s="415"/>
      <c r="AD8" s="415"/>
      <c r="AE8" s="415"/>
      <c r="AF8" s="415"/>
      <c r="AG8" s="415"/>
      <c r="AH8" s="415"/>
      <c r="AI8" s="415"/>
      <c r="AJ8" s="415"/>
      <c r="AK8" s="415"/>
      <c r="AL8" s="415"/>
      <c r="AM8" s="415"/>
      <c r="AN8" s="415"/>
      <c r="AO8" s="1718"/>
      <c r="AP8" s="1718"/>
      <c r="AQ8" s="1719"/>
      <c r="AR8" s="1347"/>
      <c r="AS8" s="1347"/>
      <c r="AT8" s="1347"/>
      <c r="AU8" s="1347"/>
      <c r="AV8" s="1347"/>
      <c r="AW8" s="1347"/>
      <c r="AX8" s="1347"/>
      <c r="AY8" s="1347"/>
      <c r="AZ8" s="1347"/>
      <c r="BA8" s="1347"/>
      <c r="BB8" s="1347"/>
      <c r="BC8" s="1347"/>
      <c r="BD8" s="1347"/>
      <c r="BE8" s="1347"/>
      <c r="BF8" s="1347"/>
      <c r="BG8" s="1347"/>
      <c r="BH8" s="1347"/>
    </row>
    <row r="9" spans="1:60" s="1479" customFormat="1" ht="23.25" customHeight="1" x14ac:dyDescent="0.2">
      <c r="A9" s="1720"/>
      <c r="B9" s="1721"/>
      <c r="C9" s="1722"/>
      <c r="D9" s="1723">
        <v>26</v>
      </c>
      <c r="E9" s="2755" t="s">
        <v>1596</v>
      </c>
      <c r="F9" s="2755"/>
      <c r="G9" s="2755"/>
      <c r="H9" s="2755"/>
      <c r="I9" s="2755"/>
      <c r="J9" s="2755"/>
      <c r="K9" s="2755"/>
      <c r="L9" s="470"/>
      <c r="M9" s="470"/>
      <c r="N9" s="469"/>
      <c r="O9" s="469"/>
      <c r="P9" s="470"/>
      <c r="Q9" s="1724"/>
      <c r="R9" s="471"/>
      <c r="S9" s="470"/>
      <c r="T9" s="470"/>
      <c r="U9" s="1725"/>
      <c r="V9" s="1726"/>
      <c r="W9" s="1727"/>
      <c r="X9" s="469"/>
      <c r="Y9" s="475"/>
      <c r="Z9" s="475"/>
      <c r="AA9" s="475"/>
      <c r="AB9" s="475"/>
      <c r="AC9" s="475"/>
      <c r="AD9" s="475"/>
      <c r="AE9" s="475"/>
      <c r="AF9" s="475"/>
      <c r="AG9" s="475"/>
      <c r="AH9" s="475"/>
      <c r="AI9" s="475"/>
      <c r="AJ9" s="475"/>
      <c r="AK9" s="475"/>
      <c r="AL9" s="475"/>
      <c r="AM9" s="475"/>
      <c r="AN9" s="475"/>
      <c r="AO9" s="476"/>
      <c r="AP9" s="476"/>
      <c r="AQ9" s="1728"/>
    </row>
    <row r="10" spans="1:60" s="1479" customFormat="1" ht="25.5" customHeight="1" x14ac:dyDescent="0.2">
      <c r="A10" s="1729"/>
      <c r="B10" s="1730"/>
      <c r="C10" s="1730"/>
      <c r="D10" s="1731"/>
      <c r="E10" s="1721"/>
      <c r="F10" s="1722"/>
      <c r="G10" s="1732">
        <v>83</v>
      </c>
      <c r="H10" s="483" t="s">
        <v>1597</v>
      </c>
      <c r="I10" s="483"/>
      <c r="J10" s="483"/>
      <c r="K10" s="483"/>
      <c r="L10" s="484"/>
      <c r="M10" s="484"/>
      <c r="N10" s="485"/>
      <c r="O10" s="485"/>
      <c r="P10" s="484"/>
      <c r="Q10" s="1733"/>
      <c r="R10" s="1734"/>
      <c r="S10" s="484"/>
      <c r="T10" s="484"/>
      <c r="U10" s="1735"/>
      <c r="V10" s="1736"/>
      <c r="W10" s="1737"/>
      <c r="X10" s="485"/>
      <c r="Y10" s="483"/>
      <c r="Z10" s="483"/>
      <c r="AA10" s="483"/>
      <c r="AB10" s="483"/>
      <c r="AC10" s="483"/>
      <c r="AD10" s="483"/>
      <c r="AE10" s="483"/>
      <c r="AF10" s="483"/>
      <c r="AG10" s="483"/>
      <c r="AH10" s="483"/>
      <c r="AI10" s="483"/>
      <c r="AJ10" s="483"/>
      <c r="AK10" s="483"/>
      <c r="AL10" s="483"/>
      <c r="AM10" s="483"/>
      <c r="AN10" s="483"/>
      <c r="AO10" s="492"/>
      <c r="AP10" s="492"/>
      <c r="AQ10" s="1738"/>
    </row>
    <row r="11" spans="1:60" ht="222.75" customHeight="1" x14ac:dyDescent="0.2">
      <c r="A11" s="1739"/>
      <c r="B11" s="1703"/>
      <c r="C11" s="1703"/>
      <c r="D11" s="1740"/>
      <c r="E11" s="1703"/>
      <c r="F11" s="1741"/>
      <c r="G11" s="1742"/>
      <c r="H11" s="1703"/>
      <c r="I11" s="1703"/>
      <c r="J11" s="2498">
        <v>246</v>
      </c>
      <c r="K11" s="2600" t="s">
        <v>1598</v>
      </c>
      <c r="L11" s="2600" t="s">
        <v>1599</v>
      </c>
      <c r="M11" s="2498">
        <v>13</v>
      </c>
      <c r="N11" s="2498" t="s">
        <v>1600</v>
      </c>
      <c r="O11" s="2498" t="s">
        <v>1601</v>
      </c>
      <c r="P11" s="2600" t="s">
        <v>1602</v>
      </c>
      <c r="Q11" s="2747">
        <v>1</v>
      </c>
      <c r="R11" s="2686">
        <f>SUM(V11:V32)</f>
        <v>17500000</v>
      </c>
      <c r="S11" s="2499" t="s">
        <v>1603</v>
      </c>
      <c r="T11" s="1743" t="s">
        <v>1604</v>
      </c>
      <c r="U11" s="318" t="s">
        <v>1605</v>
      </c>
      <c r="V11" s="1744">
        <v>1200000</v>
      </c>
      <c r="W11" s="1745">
        <v>20</v>
      </c>
      <c r="X11" s="1746" t="s">
        <v>1606</v>
      </c>
      <c r="Y11" s="2720">
        <v>294321</v>
      </c>
      <c r="Z11" s="2745">
        <v>283947</v>
      </c>
      <c r="AA11" s="2720">
        <v>135754</v>
      </c>
      <c r="AB11" s="2720">
        <v>44640</v>
      </c>
      <c r="AC11" s="2720">
        <v>308178</v>
      </c>
      <c r="AD11" s="2720">
        <v>89696</v>
      </c>
      <c r="AE11" s="2720">
        <v>2145</v>
      </c>
      <c r="AF11" s="2720">
        <v>12718</v>
      </c>
      <c r="AG11" s="2720">
        <v>26</v>
      </c>
      <c r="AH11" s="2720">
        <v>37</v>
      </c>
      <c r="AI11" s="2720"/>
      <c r="AJ11" s="2720"/>
      <c r="AK11" s="2720">
        <v>54612</v>
      </c>
      <c r="AL11" s="2720">
        <v>21944</v>
      </c>
      <c r="AM11" s="2720">
        <v>1010</v>
      </c>
      <c r="AN11" s="2720">
        <f>+Y11+Z11</f>
        <v>578268</v>
      </c>
      <c r="AO11" s="2595">
        <v>43102</v>
      </c>
      <c r="AP11" s="2595">
        <v>43465</v>
      </c>
      <c r="AQ11" s="2597" t="s">
        <v>1607</v>
      </c>
    </row>
    <row r="12" spans="1:60" ht="56.25" customHeight="1" x14ac:dyDescent="0.2">
      <c r="A12" s="1739"/>
      <c r="B12" s="1703"/>
      <c r="C12" s="1703"/>
      <c r="D12" s="1740"/>
      <c r="E12" s="1703"/>
      <c r="F12" s="1741"/>
      <c r="G12" s="1740"/>
      <c r="H12" s="1703"/>
      <c r="I12" s="1703"/>
      <c r="J12" s="2498"/>
      <c r="K12" s="2600"/>
      <c r="L12" s="2600"/>
      <c r="M12" s="2498"/>
      <c r="N12" s="2498"/>
      <c r="O12" s="2498"/>
      <c r="P12" s="2600"/>
      <c r="Q12" s="2747"/>
      <c r="R12" s="2686"/>
      <c r="S12" s="2632"/>
      <c r="T12" s="2746" t="s">
        <v>1608</v>
      </c>
      <c r="U12" s="1747" t="s">
        <v>1609</v>
      </c>
      <c r="V12" s="1744">
        <v>360000</v>
      </c>
      <c r="W12" s="1745">
        <v>20</v>
      </c>
      <c r="X12" s="1746" t="s">
        <v>1606</v>
      </c>
      <c r="Y12" s="2720"/>
      <c r="Z12" s="2745"/>
      <c r="AA12" s="2720"/>
      <c r="AB12" s="2720"/>
      <c r="AC12" s="2720"/>
      <c r="AD12" s="2720"/>
      <c r="AE12" s="2720"/>
      <c r="AF12" s="2720"/>
      <c r="AG12" s="2720"/>
      <c r="AH12" s="2720"/>
      <c r="AI12" s="2720"/>
      <c r="AJ12" s="2720"/>
      <c r="AK12" s="2720"/>
      <c r="AL12" s="2720"/>
      <c r="AM12" s="2720"/>
      <c r="AN12" s="2720"/>
      <c r="AO12" s="2595"/>
      <c r="AP12" s="2595"/>
      <c r="AQ12" s="2597"/>
    </row>
    <row r="13" spans="1:60" ht="69.75" customHeight="1" x14ac:dyDescent="0.2">
      <c r="A13" s="1739"/>
      <c r="B13" s="1703"/>
      <c r="C13" s="1703"/>
      <c r="D13" s="1740"/>
      <c r="E13" s="1703"/>
      <c r="F13" s="1741"/>
      <c r="G13" s="1740"/>
      <c r="H13" s="1703"/>
      <c r="I13" s="1703"/>
      <c r="J13" s="2498"/>
      <c r="K13" s="2600"/>
      <c r="L13" s="2600"/>
      <c r="M13" s="2498"/>
      <c r="N13" s="2498"/>
      <c r="O13" s="2498"/>
      <c r="P13" s="2600"/>
      <c r="Q13" s="2747"/>
      <c r="R13" s="2686"/>
      <c r="S13" s="2632"/>
      <c r="T13" s="2746"/>
      <c r="U13" s="1747" t="s">
        <v>1610</v>
      </c>
      <c r="V13" s="1744">
        <v>300000</v>
      </c>
      <c r="W13" s="1745">
        <v>20</v>
      </c>
      <c r="X13" s="1746" t="s">
        <v>1606</v>
      </c>
      <c r="Y13" s="2720"/>
      <c r="Z13" s="2745"/>
      <c r="AA13" s="2720"/>
      <c r="AB13" s="2720"/>
      <c r="AC13" s="2720"/>
      <c r="AD13" s="2720"/>
      <c r="AE13" s="2720"/>
      <c r="AF13" s="2720"/>
      <c r="AG13" s="2720"/>
      <c r="AH13" s="2720"/>
      <c r="AI13" s="2720"/>
      <c r="AJ13" s="2720"/>
      <c r="AK13" s="2720"/>
      <c r="AL13" s="2720"/>
      <c r="AM13" s="2720"/>
      <c r="AN13" s="2720"/>
      <c r="AO13" s="2595"/>
      <c r="AP13" s="2595"/>
      <c r="AQ13" s="2597"/>
    </row>
    <row r="14" spans="1:60" ht="129.75" customHeight="1" x14ac:dyDescent="0.2">
      <c r="A14" s="1739"/>
      <c r="B14" s="1703"/>
      <c r="C14" s="1703"/>
      <c r="D14" s="1740"/>
      <c r="E14" s="1703"/>
      <c r="F14" s="1741"/>
      <c r="G14" s="1740"/>
      <c r="H14" s="1703"/>
      <c r="I14" s="1703"/>
      <c r="J14" s="2498"/>
      <c r="K14" s="2600"/>
      <c r="L14" s="2600"/>
      <c r="M14" s="2498"/>
      <c r="N14" s="2498"/>
      <c r="O14" s="2498"/>
      <c r="P14" s="2600"/>
      <c r="Q14" s="2747"/>
      <c r="R14" s="2686"/>
      <c r="S14" s="2632"/>
      <c r="T14" s="2746"/>
      <c r="U14" s="1747" t="s">
        <v>1611</v>
      </c>
      <c r="V14" s="1744">
        <v>360000</v>
      </c>
      <c r="W14" s="1745">
        <v>20</v>
      </c>
      <c r="X14" s="1746" t="s">
        <v>1606</v>
      </c>
      <c r="Y14" s="2720"/>
      <c r="Z14" s="2745"/>
      <c r="AA14" s="2720"/>
      <c r="AB14" s="2720"/>
      <c r="AC14" s="2720"/>
      <c r="AD14" s="2720"/>
      <c r="AE14" s="2720"/>
      <c r="AF14" s="2720"/>
      <c r="AG14" s="2720"/>
      <c r="AH14" s="2720"/>
      <c r="AI14" s="2720"/>
      <c r="AJ14" s="2720"/>
      <c r="AK14" s="2720"/>
      <c r="AL14" s="2720"/>
      <c r="AM14" s="2720"/>
      <c r="AN14" s="2720"/>
      <c r="AO14" s="2595"/>
      <c r="AP14" s="2595"/>
      <c r="AQ14" s="2597"/>
    </row>
    <row r="15" spans="1:60" ht="67.5" customHeight="1" x14ac:dyDescent="0.2">
      <c r="A15" s="1739"/>
      <c r="B15" s="1703"/>
      <c r="C15" s="1703"/>
      <c r="D15" s="1740"/>
      <c r="E15" s="1703"/>
      <c r="F15" s="1741"/>
      <c r="G15" s="1740"/>
      <c r="H15" s="1703"/>
      <c r="I15" s="1703"/>
      <c r="J15" s="2498"/>
      <c r="K15" s="2600"/>
      <c r="L15" s="2600"/>
      <c r="M15" s="2498"/>
      <c r="N15" s="2498"/>
      <c r="O15" s="2498"/>
      <c r="P15" s="2600"/>
      <c r="Q15" s="2747"/>
      <c r="R15" s="2686"/>
      <c r="S15" s="2632"/>
      <c r="T15" s="2746"/>
      <c r="U15" s="1747" t="s">
        <v>1612</v>
      </c>
      <c r="V15" s="1744">
        <v>360000</v>
      </c>
      <c r="W15" s="1745">
        <v>20</v>
      </c>
      <c r="X15" s="1746" t="s">
        <v>1606</v>
      </c>
      <c r="Y15" s="2720"/>
      <c r="Z15" s="2745"/>
      <c r="AA15" s="2720"/>
      <c r="AB15" s="2720"/>
      <c r="AC15" s="2720"/>
      <c r="AD15" s="2720"/>
      <c r="AE15" s="2720"/>
      <c r="AF15" s="2720"/>
      <c r="AG15" s="2720"/>
      <c r="AH15" s="2720"/>
      <c r="AI15" s="2720"/>
      <c r="AJ15" s="2720"/>
      <c r="AK15" s="2720"/>
      <c r="AL15" s="2720"/>
      <c r="AM15" s="2720"/>
      <c r="AN15" s="2720"/>
      <c r="AO15" s="2595"/>
      <c r="AP15" s="2595"/>
      <c r="AQ15" s="2597"/>
    </row>
    <row r="16" spans="1:60" ht="208.5" customHeight="1" x14ac:dyDescent="0.2">
      <c r="A16" s="1739"/>
      <c r="B16" s="1703"/>
      <c r="C16" s="1703"/>
      <c r="D16" s="1740"/>
      <c r="E16" s="1703"/>
      <c r="F16" s="1741"/>
      <c r="G16" s="1740"/>
      <c r="H16" s="1703"/>
      <c r="I16" s="1703"/>
      <c r="J16" s="2498"/>
      <c r="K16" s="2600"/>
      <c r="L16" s="2600"/>
      <c r="M16" s="2498"/>
      <c r="N16" s="2498"/>
      <c r="O16" s="2498"/>
      <c r="P16" s="2600"/>
      <c r="Q16" s="2747"/>
      <c r="R16" s="2686"/>
      <c r="S16" s="2632"/>
      <c r="T16" s="2746"/>
      <c r="U16" s="1747" t="s">
        <v>1613</v>
      </c>
      <c r="V16" s="1744">
        <v>360000</v>
      </c>
      <c r="W16" s="1745">
        <v>20</v>
      </c>
      <c r="X16" s="1746" t="s">
        <v>1606</v>
      </c>
      <c r="Y16" s="2720"/>
      <c r="Z16" s="2745"/>
      <c r="AA16" s="2720"/>
      <c r="AB16" s="2720"/>
      <c r="AC16" s="2720"/>
      <c r="AD16" s="2720"/>
      <c r="AE16" s="2720"/>
      <c r="AF16" s="2720"/>
      <c r="AG16" s="2720"/>
      <c r="AH16" s="2720"/>
      <c r="AI16" s="2720"/>
      <c r="AJ16" s="2720"/>
      <c r="AK16" s="2720"/>
      <c r="AL16" s="2720"/>
      <c r="AM16" s="2720"/>
      <c r="AN16" s="2720"/>
      <c r="AO16" s="2595"/>
      <c r="AP16" s="2595"/>
      <c r="AQ16" s="2597"/>
    </row>
    <row r="17" spans="1:43" ht="36" customHeight="1" x14ac:dyDescent="0.2">
      <c r="A17" s="1739"/>
      <c r="B17" s="1703"/>
      <c r="C17" s="1703"/>
      <c r="D17" s="1740"/>
      <c r="E17" s="1703"/>
      <c r="F17" s="1741"/>
      <c r="G17" s="1740"/>
      <c r="H17" s="1703"/>
      <c r="I17" s="1703"/>
      <c r="J17" s="2498"/>
      <c r="K17" s="2600"/>
      <c r="L17" s="2600"/>
      <c r="M17" s="2498"/>
      <c r="N17" s="2498"/>
      <c r="O17" s="2498"/>
      <c r="P17" s="2600"/>
      <c r="Q17" s="2747"/>
      <c r="R17" s="2686"/>
      <c r="S17" s="2632"/>
      <c r="T17" s="2746"/>
      <c r="U17" s="1747" t="s">
        <v>1614</v>
      </c>
      <c r="V17" s="1744">
        <v>360000</v>
      </c>
      <c r="W17" s="1745">
        <v>20</v>
      </c>
      <c r="X17" s="1746" t="s">
        <v>1606</v>
      </c>
      <c r="Y17" s="2720"/>
      <c r="Z17" s="2745"/>
      <c r="AA17" s="2720"/>
      <c r="AB17" s="2720"/>
      <c r="AC17" s="2720"/>
      <c r="AD17" s="2720"/>
      <c r="AE17" s="2720"/>
      <c r="AF17" s="2720"/>
      <c r="AG17" s="2720"/>
      <c r="AH17" s="2720"/>
      <c r="AI17" s="2720"/>
      <c r="AJ17" s="2720"/>
      <c r="AK17" s="2720"/>
      <c r="AL17" s="2720"/>
      <c r="AM17" s="2720"/>
      <c r="AN17" s="2720"/>
      <c r="AO17" s="2595"/>
      <c r="AP17" s="2595"/>
      <c r="AQ17" s="2597"/>
    </row>
    <row r="18" spans="1:43" ht="36" customHeight="1" x14ac:dyDescent="0.2">
      <c r="A18" s="1739"/>
      <c r="B18" s="1703"/>
      <c r="C18" s="1703"/>
      <c r="D18" s="1740"/>
      <c r="E18" s="1703"/>
      <c r="F18" s="1741"/>
      <c r="G18" s="1740"/>
      <c r="H18" s="1703"/>
      <c r="I18" s="1703"/>
      <c r="J18" s="2498"/>
      <c r="K18" s="2600"/>
      <c r="L18" s="2600"/>
      <c r="M18" s="2498"/>
      <c r="N18" s="2498"/>
      <c r="O18" s="2498"/>
      <c r="P18" s="2600"/>
      <c r="Q18" s="2747"/>
      <c r="R18" s="2686"/>
      <c r="S18" s="2632"/>
      <c r="T18" s="2746"/>
      <c r="U18" s="1747" t="s">
        <v>1615</v>
      </c>
      <c r="V18" s="1744">
        <v>360000</v>
      </c>
      <c r="W18" s="1745">
        <v>20</v>
      </c>
      <c r="X18" s="1746" t="s">
        <v>1606</v>
      </c>
      <c r="Y18" s="2720"/>
      <c r="Z18" s="2745"/>
      <c r="AA18" s="2720"/>
      <c r="AB18" s="2720"/>
      <c r="AC18" s="2720"/>
      <c r="AD18" s="2720"/>
      <c r="AE18" s="2720"/>
      <c r="AF18" s="2720"/>
      <c r="AG18" s="2720"/>
      <c r="AH18" s="2720"/>
      <c r="AI18" s="2720"/>
      <c r="AJ18" s="2720"/>
      <c r="AK18" s="2720"/>
      <c r="AL18" s="2720"/>
      <c r="AM18" s="2720"/>
      <c r="AN18" s="2720"/>
      <c r="AO18" s="2595"/>
      <c r="AP18" s="2595"/>
      <c r="AQ18" s="2597"/>
    </row>
    <row r="19" spans="1:43" ht="32.25" customHeight="1" x14ac:dyDescent="0.2">
      <c r="A19" s="1739"/>
      <c r="B19" s="1703"/>
      <c r="C19" s="1703"/>
      <c r="D19" s="1740"/>
      <c r="E19" s="1703"/>
      <c r="F19" s="1741"/>
      <c r="G19" s="1740"/>
      <c r="H19" s="1703"/>
      <c r="I19" s="1703"/>
      <c r="J19" s="2498"/>
      <c r="K19" s="2600"/>
      <c r="L19" s="2600"/>
      <c r="M19" s="2498"/>
      <c r="N19" s="2498"/>
      <c r="O19" s="2498"/>
      <c r="P19" s="2600"/>
      <c r="Q19" s="2747"/>
      <c r="R19" s="2686"/>
      <c r="S19" s="2632"/>
      <c r="T19" s="2746"/>
      <c r="U19" s="1747" t="s">
        <v>1616</v>
      </c>
      <c r="V19" s="1744">
        <v>360000</v>
      </c>
      <c r="W19" s="1745">
        <v>20</v>
      </c>
      <c r="X19" s="1746" t="s">
        <v>1606</v>
      </c>
      <c r="Y19" s="2720"/>
      <c r="Z19" s="2745"/>
      <c r="AA19" s="2720"/>
      <c r="AB19" s="2720"/>
      <c r="AC19" s="2720"/>
      <c r="AD19" s="2720"/>
      <c r="AE19" s="2720"/>
      <c r="AF19" s="2720"/>
      <c r="AG19" s="2720"/>
      <c r="AH19" s="2720"/>
      <c r="AI19" s="2720"/>
      <c r="AJ19" s="2720"/>
      <c r="AK19" s="2720"/>
      <c r="AL19" s="2720"/>
      <c r="AM19" s="2720"/>
      <c r="AN19" s="2720"/>
      <c r="AO19" s="2595"/>
      <c r="AP19" s="2595"/>
      <c r="AQ19" s="2597"/>
    </row>
    <row r="20" spans="1:43" ht="50.25" customHeight="1" x14ac:dyDescent="0.2">
      <c r="A20" s="1739"/>
      <c r="B20" s="1703"/>
      <c r="C20" s="1703"/>
      <c r="D20" s="1740"/>
      <c r="E20" s="1703"/>
      <c r="F20" s="1741"/>
      <c r="G20" s="1740"/>
      <c r="H20" s="1703"/>
      <c r="I20" s="1703"/>
      <c r="J20" s="2498"/>
      <c r="K20" s="2600"/>
      <c r="L20" s="2600"/>
      <c r="M20" s="2498"/>
      <c r="N20" s="2498"/>
      <c r="O20" s="2498"/>
      <c r="P20" s="2600"/>
      <c r="Q20" s="2747"/>
      <c r="R20" s="2686"/>
      <c r="S20" s="2632"/>
      <c r="T20" s="2746"/>
      <c r="U20" s="1747" t="s">
        <v>1617</v>
      </c>
      <c r="V20" s="1744">
        <v>360000</v>
      </c>
      <c r="W20" s="1745">
        <v>20</v>
      </c>
      <c r="X20" s="1746" t="s">
        <v>1606</v>
      </c>
      <c r="Y20" s="2720"/>
      <c r="Z20" s="2745"/>
      <c r="AA20" s="2720"/>
      <c r="AB20" s="2720"/>
      <c r="AC20" s="2720"/>
      <c r="AD20" s="2720"/>
      <c r="AE20" s="2720"/>
      <c r="AF20" s="2720"/>
      <c r="AG20" s="2720"/>
      <c r="AH20" s="2720"/>
      <c r="AI20" s="2720"/>
      <c r="AJ20" s="2720"/>
      <c r="AK20" s="2720"/>
      <c r="AL20" s="2720"/>
      <c r="AM20" s="2720"/>
      <c r="AN20" s="2720"/>
      <c r="AO20" s="2595"/>
      <c r="AP20" s="2595"/>
      <c r="AQ20" s="2597"/>
    </row>
    <row r="21" spans="1:43" ht="85.5" x14ac:dyDescent="0.2">
      <c r="A21" s="1739"/>
      <c r="B21" s="1703"/>
      <c r="C21" s="1703"/>
      <c r="D21" s="1740"/>
      <c r="E21" s="1703"/>
      <c r="F21" s="1741"/>
      <c r="G21" s="1740"/>
      <c r="H21" s="1703"/>
      <c r="I21" s="1703"/>
      <c r="J21" s="2498"/>
      <c r="K21" s="2600"/>
      <c r="L21" s="2600"/>
      <c r="M21" s="2498"/>
      <c r="N21" s="2498"/>
      <c r="O21" s="2498"/>
      <c r="P21" s="2600"/>
      <c r="Q21" s="2747"/>
      <c r="R21" s="2686"/>
      <c r="S21" s="2632"/>
      <c r="T21" s="2746"/>
      <c r="U21" s="1747" t="s">
        <v>1618</v>
      </c>
      <c r="V21" s="1744">
        <v>360000</v>
      </c>
      <c r="W21" s="1745">
        <v>20</v>
      </c>
      <c r="X21" s="1746" t="s">
        <v>1606</v>
      </c>
      <c r="Y21" s="2720"/>
      <c r="Z21" s="2745"/>
      <c r="AA21" s="2720"/>
      <c r="AB21" s="2720"/>
      <c r="AC21" s="2720"/>
      <c r="AD21" s="2720"/>
      <c r="AE21" s="2720"/>
      <c r="AF21" s="2720"/>
      <c r="AG21" s="2720"/>
      <c r="AH21" s="2720"/>
      <c r="AI21" s="2720"/>
      <c r="AJ21" s="2720"/>
      <c r="AK21" s="2720"/>
      <c r="AL21" s="2720"/>
      <c r="AM21" s="2720"/>
      <c r="AN21" s="2720"/>
      <c r="AO21" s="2595"/>
      <c r="AP21" s="2595"/>
      <c r="AQ21" s="2597"/>
    </row>
    <row r="22" spans="1:43" ht="51" customHeight="1" x14ac:dyDescent="0.2">
      <c r="A22" s="1739"/>
      <c r="B22" s="1703"/>
      <c r="C22" s="1703"/>
      <c r="D22" s="1740"/>
      <c r="E22" s="1703"/>
      <c r="F22" s="1741"/>
      <c r="G22" s="1740"/>
      <c r="H22" s="1703"/>
      <c r="I22" s="1703"/>
      <c r="J22" s="2498"/>
      <c r="K22" s="2600"/>
      <c r="L22" s="2600"/>
      <c r="M22" s="2498"/>
      <c r="N22" s="2498"/>
      <c r="O22" s="2498"/>
      <c r="P22" s="2600"/>
      <c r="Q22" s="2747"/>
      <c r="R22" s="2686"/>
      <c r="S22" s="2632"/>
      <c r="T22" s="2746"/>
      <c r="U22" s="1747" t="s">
        <v>1619</v>
      </c>
      <c r="V22" s="1748">
        <v>360000</v>
      </c>
      <c r="W22" s="1745">
        <v>20</v>
      </c>
      <c r="X22" s="1746" t="s">
        <v>1606</v>
      </c>
      <c r="Y22" s="2720"/>
      <c r="Z22" s="2745"/>
      <c r="AA22" s="2720"/>
      <c r="AB22" s="2720"/>
      <c r="AC22" s="2720"/>
      <c r="AD22" s="2720"/>
      <c r="AE22" s="2720"/>
      <c r="AF22" s="2720"/>
      <c r="AG22" s="2720"/>
      <c r="AH22" s="2720"/>
      <c r="AI22" s="2720"/>
      <c r="AJ22" s="2720"/>
      <c r="AK22" s="2720"/>
      <c r="AL22" s="2720"/>
      <c r="AM22" s="2720"/>
      <c r="AN22" s="2720"/>
      <c r="AO22" s="2595"/>
      <c r="AP22" s="2595"/>
      <c r="AQ22" s="2597"/>
    </row>
    <row r="23" spans="1:43" ht="39" customHeight="1" x14ac:dyDescent="0.2">
      <c r="A23" s="1739"/>
      <c r="B23" s="1703"/>
      <c r="C23" s="1703"/>
      <c r="D23" s="1740"/>
      <c r="E23" s="1703"/>
      <c r="F23" s="1741"/>
      <c r="G23" s="1740"/>
      <c r="H23" s="1703"/>
      <c r="I23" s="1703"/>
      <c r="J23" s="2498"/>
      <c r="K23" s="2600"/>
      <c r="L23" s="2600"/>
      <c r="M23" s="2498"/>
      <c r="N23" s="2498"/>
      <c r="O23" s="2498"/>
      <c r="P23" s="2600"/>
      <c r="Q23" s="2747"/>
      <c r="R23" s="2686"/>
      <c r="S23" s="2632"/>
      <c r="T23" s="2746"/>
      <c r="U23" s="1747" t="s">
        <v>1620</v>
      </c>
      <c r="V23" s="1748">
        <v>360000</v>
      </c>
      <c r="W23" s="1745">
        <v>20</v>
      </c>
      <c r="X23" s="1746" t="s">
        <v>1606</v>
      </c>
      <c r="Y23" s="2720"/>
      <c r="Z23" s="2745"/>
      <c r="AA23" s="2720"/>
      <c r="AB23" s="2720"/>
      <c r="AC23" s="2720"/>
      <c r="AD23" s="2720"/>
      <c r="AE23" s="2720"/>
      <c r="AF23" s="2720"/>
      <c r="AG23" s="2720"/>
      <c r="AH23" s="2720"/>
      <c r="AI23" s="2720"/>
      <c r="AJ23" s="2720"/>
      <c r="AK23" s="2720"/>
      <c r="AL23" s="2720"/>
      <c r="AM23" s="2720"/>
      <c r="AN23" s="2720"/>
      <c r="AO23" s="2595"/>
      <c r="AP23" s="2595"/>
      <c r="AQ23" s="2597"/>
    </row>
    <row r="24" spans="1:43" ht="39" customHeight="1" x14ac:dyDescent="0.2">
      <c r="A24" s="1739"/>
      <c r="B24" s="1703"/>
      <c r="C24" s="1703"/>
      <c r="D24" s="1740"/>
      <c r="E24" s="1703"/>
      <c r="F24" s="1741"/>
      <c r="G24" s="1740"/>
      <c r="H24" s="1703"/>
      <c r="I24" s="1703"/>
      <c r="J24" s="2498"/>
      <c r="K24" s="2600"/>
      <c r="L24" s="2600"/>
      <c r="M24" s="2498"/>
      <c r="N24" s="2498"/>
      <c r="O24" s="2498"/>
      <c r="P24" s="2600"/>
      <c r="Q24" s="2747"/>
      <c r="R24" s="2686"/>
      <c r="S24" s="2632"/>
      <c r="T24" s="2746"/>
      <c r="U24" s="1747" t="s">
        <v>1621</v>
      </c>
      <c r="V24" s="1748">
        <v>360000</v>
      </c>
      <c r="W24" s="1745">
        <v>20</v>
      </c>
      <c r="X24" s="1746" t="s">
        <v>1606</v>
      </c>
      <c r="Y24" s="2720"/>
      <c r="Z24" s="2745"/>
      <c r="AA24" s="2720"/>
      <c r="AB24" s="2720"/>
      <c r="AC24" s="2720"/>
      <c r="AD24" s="2720"/>
      <c r="AE24" s="2720"/>
      <c r="AF24" s="2720"/>
      <c r="AG24" s="2720"/>
      <c r="AH24" s="2720"/>
      <c r="AI24" s="2720"/>
      <c r="AJ24" s="2720"/>
      <c r="AK24" s="2720"/>
      <c r="AL24" s="2720"/>
      <c r="AM24" s="2720"/>
      <c r="AN24" s="2720"/>
      <c r="AO24" s="2595"/>
      <c r="AP24" s="2595"/>
      <c r="AQ24" s="2597"/>
    </row>
    <row r="25" spans="1:43" ht="52.5" customHeight="1" x14ac:dyDescent="0.2">
      <c r="A25" s="1739"/>
      <c r="B25" s="1703"/>
      <c r="C25" s="1703"/>
      <c r="D25" s="1740"/>
      <c r="E25" s="1703"/>
      <c r="F25" s="1741"/>
      <c r="G25" s="1740"/>
      <c r="H25" s="1703"/>
      <c r="I25" s="1703"/>
      <c r="J25" s="2498"/>
      <c r="K25" s="2600"/>
      <c r="L25" s="2600"/>
      <c r="M25" s="2498"/>
      <c r="N25" s="2498"/>
      <c r="O25" s="2498"/>
      <c r="P25" s="2600"/>
      <c r="Q25" s="2747"/>
      <c r="R25" s="2686"/>
      <c r="S25" s="2632"/>
      <c r="T25" s="2746"/>
      <c r="U25" s="1747" t="s">
        <v>1622</v>
      </c>
      <c r="V25" s="1748">
        <v>360000</v>
      </c>
      <c r="W25" s="1745">
        <v>20</v>
      </c>
      <c r="X25" s="1746" t="s">
        <v>1606</v>
      </c>
      <c r="Y25" s="2720"/>
      <c r="Z25" s="2745"/>
      <c r="AA25" s="2720"/>
      <c r="AB25" s="2720"/>
      <c r="AC25" s="2720"/>
      <c r="AD25" s="2720"/>
      <c r="AE25" s="2720"/>
      <c r="AF25" s="2720"/>
      <c r="AG25" s="2720"/>
      <c r="AH25" s="2720"/>
      <c r="AI25" s="2720"/>
      <c r="AJ25" s="2720"/>
      <c r="AK25" s="2720"/>
      <c r="AL25" s="2720"/>
      <c r="AM25" s="2720"/>
      <c r="AN25" s="2720"/>
      <c r="AO25" s="2595"/>
      <c r="AP25" s="2595"/>
      <c r="AQ25" s="2597"/>
    </row>
    <row r="26" spans="1:43" ht="43.5" customHeight="1" x14ac:dyDescent="0.2">
      <c r="A26" s="1739"/>
      <c r="B26" s="1703"/>
      <c r="C26" s="1703"/>
      <c r="D26" s="1740"/>
      <c r="E26" s="1703"/>
      <c r="F26" s="1741"/>
      <c r="G26" s="1740"/>
      <c r="H26" s="1703"/>
      <c r="I26" s="1703"/>
      <c r="J26" s="2498"/>
      <c r="K26" s="2600"/>
      <c r="L26" s="2600"/>
      <c r="M26" s="2498"/>
      <c r="N26" s="2498"/>
      <c r="O26" s="2498"/>
      <c r="P26" s="2600"/>
      <c r="Q26" s="2747"/>
      <c r="R26" s="2686"/>
      <c r="S26" s="2632"/>
      <c r="T26" s="2746"/>
      <c r="U26" s="1747" t="s">
        <v>1623</v>
      </c>
      <c r="V26" s="1748">
        <v>360000</v>
      </c>
      <c r="W26" s="1745">
        <v>20</v>
      </c>
      <c r="X26" s="1746" t="s">
        <v>1606</v>
      </c>
      <c r="Y26" s="2720"/>
      <c r="Z26" s="2745"/>
      <c r="AA26" s="2720"/>
      <c r="AB26" s="2720"/>
      <c r="AC26" s="2720"/>
      <c r="AD26" s="2720"/>
      <c r="AE26" s="2720"/>
      <c r="AF26" s="2720"/>
      <c r="AG26" s="2720"/>
      <c r="AH26" s="2720"/>
      <c r="AI26" s="2720"/>
      <c r="AJ26" s="2720"/>
      <c r="AK26" s="2720"/>
      <c r="AL26" s="2720"/>
      <c r="AM26" s="2720"/>
      <c r="AN26" s="2720"/>
      <c r="AO26" s="2595"/>
      <c r="AP26" s="2595"/>
      <c r="AQ26" s="2597"/>
    </row>
    <row r="27" spans="1:43" ht="85.5" x14ac:dyDescent="0.2">
      <c r="A27" s="1739"/>
      <c r="B27" s="1703"/>
      <c r="C27" s="1703"/>
      <c r="D27" s="1740"/>
      <c r="E27" s="1703"/>
      <c r="F27" s="1741"/>
      <c r="G27" s="1740"/>
      <c r="H27" s="1703"/>
      <c r="I27" s="1703"/>
      <c r="J27" s="2498"/>
      <c r="K27" s="2600"/>
      <c r="L27" s="2600"/>
      <c r="M27" s="2498"/>
      <c r="N27" s="2498"/>
      <c r="O27" s="2498"/>
      <c r="P27" s="2600"/>
      <c r="Q27" s="2747"/>
      <c r="R27" s="2686"/>
      <c r="S27" s="2632"/>
      <c r="T27" s="2746"/>
      <c r="U27" s="1747" t="s">
        <v>1624</v>
      </c>
      <c r="V27" s="1748">
        <v>360000</v>
      </c>
      <c r="W27" s="1745">
        <v>20</v>
      </c>
      <c r="X27" s="1746" t="s">
        <v>1606</v>
      </c>
      <c r="Y27" s="2720"/>
      <c r="Z27" s="2745"/>
      <c r="AA27" s="2720"/>
      <c r="AB27" s="2720"/>
      <c r="AC27" s="2720"/>
      <c r="AD27" s="2720"/>
      <c r="AE27" s="2720"/>
      <c r="AF27" s="2720"/>
      <c r="AG27" s="2720"/>
      <c r="AH27" s="2720"/>
      <c r="AI27" s="2720"/>
      <c r="AJ27" s="2720"/>
      <c r="AK27" s="2720"/>
      <c r="AL27" s="2720"/>
      <c r="AM27" s="2720"/>
      <c r="AN27" s="2720"/>
      <c r="AO27" s="2595"/>
      <c r="AP27" s="2595"/>
      <c r="AQ27" s="2597"/>
    </row>
    <row r="28" spans="1:43" ht="108" customHeight="1" x14ac:dyDescent="0.2">
      <c r="A28" s="1739"/>
      <c r="B28" s="1703"/>
      <c r="C28" s="1703"/>
      <c r="D28" s="1740"/>
      <c r="E28" s="1703"/>
      <c r="F28" s="1741"/>
      <c r="G28" s="1740"/>
      <c r="H28" s="1703"/>
      <c r="I28" s="1703"/>
      <c r="J28" s="2498"/>
      <c r="K28" s="2600"/>
      <c r="L28" s="2600"/>
      <c r="M28" s="2498"/>
      <c r="N28" s="2498"/>
      <c r="O28" s="2498"/>
      <c r="P28" s="2600"/>
      <c r="Q28" s="2747"/>
      <c r="R28" s="2686"/>
      <c r="S28" s="2632"/>
      <c r="T28" s="2746"/>
      <c r="U28" s="1747" t="s">
        <v>1625</v>
      </c>
      <c r="V28" s="1748">
        <v>360000</v>
      </c>
      <c r="W28" s="1745">
        <v>20</v>
      </c>
      <c r="X28" s="1746" t="s">
        <v>1606</v>
      </c>
      <c r="Y28" s="2720"/>
      <c r="Z28" s="2745"/>
      <c r="AA28" s="2720"/>
      <c r="AB28" s="2720"/>
      <c r="AC28" s="2720"/>
      <c r="AD28" s="2720"/>
      <c r="AE28" s="2720"/>
      <c r="AF28" s="2720"/>
      <c r="AG28" s="2720"/>
      <c r="AH28" s="2720"/>
      <c r="AI28" s="2720"/>
      <c r="AJ28" s="2720"/>
      <c r="AK28" s="2720"/>
      <c r="AL28" s="2720"/>
      <c r="AM28" s="2720"/>
      <c r="AN28" s="2720"/>
      <c r="AO28" s="2595"/>
      <c r="AP28" s="2595"/>
      <c r="AQ28" s="2597"/>
    </row>
    <row r="29" spans="1:43" ht="56.25" customHeight="1" x14ac:dyDescent="0.2">
      <c r="A29" s="1739"/>
      <c r="B29" s="1703"/>
      <c r="C29" s="1703"/>
      <c r="D29" s="1740"/>
      <c r="E29" s="1703"/>
      <c r="F29" s="1741"/>
      <c r="G29" s="1740"/>
      <c r="H29" s="1703"/>
      <c r="I29" s="1703"/>
      <c r="J29" s="2498"/>
      <c r="K29" s="2600"/>
      <c r="L29" s="2600"/>
      <c r="M29" s="2498"/>
      <c r="N29" s="2498"/>
      <c r="O29" s="2498"/>
      <c r="P29" s="2600"/>
      <c r="Q29" s="2747"/>
      <c r="R29" s="2686"/>
      <c r="S29" s="2632"/>
      <c r="T29" s="2746"/>
      <c r="U29" s="1747" t="s">
        <v>1626</v>
      </c>
      <c r="V29" s="1749">
        <v>5400000</v>
      </c>
      <c r="W29" s="1745">
        <v>20</v>
      </c>
      <c r="X29" s="1746" t="s">
        <v>1606</v>
      </c>
      <c r="Y29" s="2720"/>
      <c r="Z29" s="2745"/>
      <c r="AA29" s="2720"/>
      <c r="AB29" s="2720"/>
      <c r="AC29" s="2720"/>
      <c r="AD29" s="2720"/>
      <c r="AE29" s="2720"/>
      <c r="AF29" s="2720"/>
      <c r="AG29" s="2720"/>
      <c r="AH29" s="2720"/>
      <c r="AI29" s="2720"/>
      <c r="AJ29" s="2720"/>
      <c r="AK29" s="2720"/>
      <c r="AL29" s="2720"/>
      <c r="AM29" s="2720"/>
      <c r="AN29" s="2720"/>
      <c r="AO29" s="2595"/>
      <c r="AP29" s="2595"/>
      <c r="AQ29" s="2597"/>
    </row>
    <row r="30" spans="1:43" ht="174" customHeight="1" x14ac:dyDescent="0.2">
      <c r="A30" s="1739"/>
      <c r="B30" s="1703"/>
      <c r="C30" s="1703"/>
      <c r="D30" s="1740"/>
      <c r="E30" s="1703"/>
      <c r="F30" s="1741"/>
      <c r="G30" s="1740"/>
      <c r="H30" s="1703"/>
      <c r="I30" s="1703"/>
      <c r="J30" s="2498"/>
      <c r="K30" s="2600"/>
      <c r="L30" s="2600"/>
      <c r="M30" s="2498"/>
      <c r="N30" s="2498"/>
      <c r="O30" s="2498"/>
      <c r="P30" s="2600"/>
      <c r="Q30" s="2747"/>
      <c r="R30" s="2686"/>
      <c r="S30" s="2632"/>
      <c r="T30" s="2746"/>
      <c r="U30" s="1747" t="s">
        <v>1627</v>
      </c>
      <c r="V30" s="1749">
        <v>3600000</v>
      </c>
      <c r="W30" s="1745">
        <v>20</v>
      </c>
      <c r="X30" s="1746" t="s">
        <v>1606</v>
      </c>
      <c r="Y30" s="2720"/>
      <c r="Z30" s="2745"/>
      <c r="AA30" s="2720"/>
      <c r="AB30" s="2720"/>
      <c r="AC30" s="2720"/>
      <c r="AD30" s="2720"/>
      <c r="AE30" s="2720"/>
      <c r="AF30" s="2720"/>
      <c r="AG30" s="2720"/>
      <c r="AH30" s="2720"/>
      <c r="AI30" s="2720"/>
      <c r="AJ30" s="2720"/>
      <c r="AK30" s="2720"/>
      <c r="AL30" s="2720"/>
      <c r="AM30" s="2720"/>
      <c r="AN30" s="2720"/>
      <c r="AO30" s="2595"/>
      <c r="AP30" s="2595"/>
      <c r="AQ30" s="2597"/>
    </row>
    <row r="31" spans="1:43" ht="40.5" customHeight="1" x14ac:dyDescent="0.2">
      <c r="A31" s="1739"/>
      <c r="B31" s="1703"/>
      <c r="C31" s="1703"/>
      <c r="D31" s="1740"/>
      <c r="E31" s="1703"/>
      <c r="F31" s="1741"/>
      <c r="G31" s="1740"/>
      <c r="H31" s="1703"/>
      <c r="I31" s="1703"/>
      <c r="J31" s="2498"/>
      <c r="K31" s="2600"/>
      <c r="L31" s="2600"/>
      <c r="M31" s="2498"/>
      <c r="N31" s="2498"/>
      <c r="O31" s="2498"/>
      <c r="P31" s="2600"/>
      <c r="Q31" s="2747"/>
      <c r="R31" s="2686"/>
      <c r="S31" s="2632"/>
      <c r="T31" s="2746"/>
      <c r="U31" s="1747" t="s">
        <v>1628</v>
      </c>
      <c r="V31" s="1749">
        <v>1200000</v>
      </c>
      <c r="W31" s="1745">
        <v>20</v>
      </c>
      <c r="X31" s="1746" t="s">
        <v>1606</v>
      </c>
      <c r="Y31" s="2720"/>
      <c r="Z31" s="2745"/>
      <c r="AA31" s="2720"/>
      <c r="AB31" s="2720"/>
      <c r="AC31" s="2720"/>
      <c r="AD31" s="2720"/>
      <c r="AE31" s="2720"/>
      <c r="AF31" s="2720"/>
      <c r="AG31" s="2720"/>
      <c r="AH31" s="2720"/>
      <c r="AI31" s="2720"/>
      <c r="AJ31" s="2720"/>
      <c r="AK31" s="2720"/>
      <c r="AL31" s="2720"/>
      <c r="AM31" s="2720"/>
      <c r="AN31" s="2720"/>
      <c r="AO31" s="2595"/>
      <c r="AP31" s="2595"/>
      <c r="AQ31" s="2597"/>
    </row>
    <row r="32" spans="1:43" ht="35.25" customHeight="1" x14ac:dyDescent="0.2">
      <c r="A32" s="1739"/>
      <c r="B32" s="1703"/>
      <c r="C32" s="1703"/>
      <c r="D32" s="1740"/>
      <c r="E32" s="1703"/>
      <c r="F32" s="1741"/>
      <c r="G32" s="1750"/>
      <c r="H32" s="1703"/>
      <c r="I32" s="1703"/>
      <c r="J32" s="2498"/>
      <c r="K32" s="2600"/>
      <c r="L32" s="2600"/>
      <c r="M32" s="2498"/>
      <c r="N32" s="2498"/>
      <c r="O32" s="2498"/>
      <c r="P32" s="2600"/>
      <c r="Q32" s="2747"/>
      <c r="R32" s="2686"/>
      <c r="S32" s="2500"/>
      <c r="T32" s="2746"/>
      <c r="U32" s="1747" t="s">
        <v>1629</v>
      </c>
      <c r="V32" s="1749">
        <v>40000</v>
      </c>
      <c r="W32" s="1745">
        <v>20</v>
      </c>
      <c r="X32" s="1746" t="s">
        <v>1606</v>
      </c>
      <c r="Y32" s="2720"/>
      <c r="Z32" s="2745"/>
      <c r="AA32" s="2720"/>
      <c r="AB32" s="2720"/>
      <c r="AC32" s="2720"/>
      <c r="AD32" s="2720"/>
      <c r="AE32" s="2720"/>
      <c r="AF32" s="2720"/>
      <c r="AG32" s="2720"/>
      <c r="AH32" s="2720"/>
      <c r="AI32" s="2720"/>
      <c r="AJ32" s="2720"/>
      <c r="AK32" s="2720"/>
      <c r="AL32" s="2720"/>
      <c r="AM32" s="2720"/>
      <c r="AN32" s="2720"/>
      <c r="AO32" s="2595"/>
      <c r="AP32" s="2595"/>
      <c r="AQ32" s="2597"/>
    </row>
    <row r="33" spans="1:43" ht="24.75" customHeight="1" x14ac:dyDescent="0.2">
      <c r="A33" s="1751"/>
      <c r="B33" s="1694"/>
      <c r="C33" s="1694"/>
      <c r="D33" s="1752"/>
      <c r="E33" s="1694"/>
      <c r="G33" s="1732">
        <v>84</v>
      </c>
      <c r="H33" s="2742" t="s">
        <v>1630</v>
      </c>
      <c r="I33" s="2742"/>
      <c r="J33" s="2742"/>
      <c r="K33" s="2742"/>
      <c r="L33" s="484"/>
      <c r="M33" s="485"/>
      <c r="N33" s="485"/>
      <c r="O33" s="485"/>
      <c r="P33" s="484"/>
      <c r="Q33" s="1733"/>
      <c r="R33" s="1754"/>
      <c r="S33" s="1755"/>
      <c r="T33" s="1755"/>
      <c r="U33" s="1756"/>
      <c r="V33" s="1757"/>
      <c r="W33" s="1758"/>
      <c r="X33" s="1759"/>
      <c r="Y33" s="1760"/>
      <c r="Z33" s="1761"/>
      <c r="AA33" s="1760"/>
      <c r="AB33" s="1760"/>
      <c r="AC33" s="1760"/>
      <c r="AD33" s="1760"/>
      <c r="AE33" s="1760"/>
      <c r="AF33" s="1760"/>
      <c r="AG33" s="1760"/>
      <c r="AH33" s="1760"/>
      <c r="AI33" s="1760"/>
      <c r="AJ33" s="1760"/>
      <c r="AK33" s="1760"/>
      <c r="AL33" s="1760"/>
      <c r="AM33" s="1760"/>
      <c r="AN33" s="1760"/>
      <c r="AO33" s="1762"/>
      <c r="AP33" s="1763"/>
      <c r="AQ33" s="1764"/>
    </row>
    <row r="34" spans="1:43" ht="48.75" customHeight="1" x14ac:dyDescent="0.2">
      <c r="A34" s="1765"/>
      <c r="D34" s="1766"/>
      <c r="G34" s="1766"/>
      <c r="J34" s="2498">
        <v>248</v>
      </c>
      <c r="K34" s="2600" t="s">
        <v>1631</v>
      </c>
      <c r="L34" s="2600" t="s">
        <v>1632</v>
      </c>
      <c r="M34" s="2743">
        <v>12</v>
      </c>
      <c r="N34" s="2498" t="s">
        <v>1633</v>
      </c>
      <c r="O34" s="2498" t="s">
        <v>1634</v>
      </c>
      <c r="P34" s="2600" t="s">
        <v>1635</v>
      </c>
      <c r="Q34" s="2629">
        <v>1</v>
      </c>
      <c r="R34" s="2740">
        <f>SUM(V34:V49)</f>
        <v>58500000</v>
      </c>
      <c r="S34" s="2638" t="s">
        <v>1636</v>
      </c>
      <c r="T34" s="2499" t="s">
        <v>1637</v>
      </c>
      <c r="U34" s="93" t="s">
        <v>1638</v>
      </c>
      <c r="V34" s="1744">
        <v>500000</v>
      </c>
      <c r="W34" s="1745">
        <v>20</v>
      </c>
      <c r="X34" s="1746" t="s">
        <v>1606</v>
      </c>
      <c r="Y34" s="2720">
        <v>294321</v>
      </c>
      <c r="Z34" s="2745">
        <v>283947</v>
      </c>
      <c r="AA34" s="2720">
        <v>135754</v>
      </c>
      <c r="AB34" s="2720">
        <v>44640</v>
      </c>
      <c r="AC34" s="2720">
        <v>308178</v>
      </c>
      <c r="AD34" s="2720">
        <v>89696</v>
      </c>
      <c r="AE34" s="2720">
        <v>2145</v>
      </c>
      <c r="AF34" s="2720">
        <v>12718</v>
      </c>
      <c r="AG34" s="2720">
        <v>26</v>
      </c>
      <c r="AH34" s="2720">
        <v>37</v>
      </c>
      <c r="AI34" s="2720"/>
      <c r="AJ34" s="2720"/>
      <c r="AK34" s="2720">
        <v>54612</v>
      </c>
      <c r="AL34" s="2720">
        <v>16982</v>
      </c>
      <c r="AM34" s="2720">
        <v>1010</v>
      </c>
      <c r="AN34" s="2720">
        <f>Y34+Z34</f>
        <v>578268</v>
      </c>
      <c r="AO34" s="2595">
        <v>43102</v>
      </c>
      <c r="AP34" s="2595">
        <v>43465</v>
      </c>
      <c r="AQ34" s="2597" t="s">
        <v>1607</v>
      </c>
    </row>
    <row r="35" spans="1:43" ht="48.75" customHeight="1" x14ac:dyDescent="0.2">
      <c r="A35" s="1765"/>
      <c r="D35" s="1766"/>
      <c r="G35" s="1766"/>
      <c r="J35" s="2498"/>
      <c r="K35" s="2600"/>
      <c r="L35" s="2600"/>
      <c r="M35" s="2743"/>
      <c r="N35" s="2498"/>
      <c r="O35" s="2498"/>
      <c r="P35" s="2600"/>
      <c r="Q35" s="2629"/>
      <c r="R35" s="2740"/>
      <c r="S35" s="2638"/>
      <c r="T35" s="2632"/>
      <c r="U35" s="93" t="s">
        <v>1639</v>
      </c>
      <c r="V35" s="1767">
        <v>500000</v>
      </c>
      <c r="W35" s="1745">
        <v>88</v>
      </c>
      <c r="X35" s="1746" t="s">
        <v>589</v>
      </c>
      <c r="Y35" s="2720"/>
      <c r="Z35" s="2745"/>
      <c r="AA35" s="2720"/>
      <c r="AB35" s="2720"/>
      <c r="AC35" s="2720"/>
      <c r="AD35" s="2720"/>
      <c r="AE35" s="2720"/>
      <c r="AF35" s="2720"/>
      <c r="AG35" s="2720"/>
      <c r="AH35" s="2720"/>
      <c r="AI35" s="2720"/>
      <c r="AJ35" s="2720"/>
      <c r="AK35" s="2720"/>
      <c r="AL35" s="2720"/>
      <c r="AM35" s="2720"/>
      <c r="AN35" s="2720"/>
      <c r="AO35" s="2595"/>
      <c r="AP35" s="2595"/>
      <c r="AQ35" s="2597"/>
    </row>
    <row r="36" spans="1:43" ht="48.75" customHeight="1" x14ac:dyDescent="0.2">
      <c r="A36" s="1765"/>
      <c r="D36" s="1766"/>
      <c r="G36" s="1766"/>
      <c r="J36" s="2498"/>
      <c r="K36" s="2600"/>
      <c r="L36" s="2600"/>
      <c r="M36" s="2743"/>
      <c r="N36" s="2498"/>
      <c r="O36" s="2498"/>
      <c r="P36" s="2600"/>
      <c r="Q36" s="2629"/>
      <c r="R36" s="2740"/>
      <c r="S36" s="2638"/>
      <c r="T36" s="2632"/>
      <c r="U36" s="93" t="s">
        <v>1640</v>
      </c>
      <c r="V36" s="1767">
        <v>500000</v>
      </c>
      <c r="W36" s="1745">
        <v>20</v>
      </c>
      <c r="X36" s="1746" t="s">
        <v>1606</v>
      </c>
      <c r="Y36" s="2720"/>
      <c r="Z36" s="2745"/>
      <c r="AA36" s="2720"/>
      <c r="AB36" s="2720"/>
      <c r="AC36" s="2720"/>
      <c r="AD36" s="2720"/>
      <c r="AE36" s="2720"/>
      <c r="AF36" s="2720"/>
      <c r="AG36" s="2720"/>
      <c r="AH36" s="2720"/>
      <c r="AI36" s="2720"/>
      <c r="AJ36" s="2720"/>
      <c r="AK36" s="2720"/>
      <c r="AL36" s="2720"/>
      <c r="AM36" s="2720"/>
      <c r="AN36" s="2720"/>
      <c r="AO36" s="2595"/>
      <c r="AP36" s="2595"/>
      <c r="AQ36" s="2597"/>
    </row>
    <row r="37" spans="1:43" ht="48.75" customHeight="1" x14ac:dyDescent="0.2">
      <c r="A37" s="1765"/>
      <c r="D37" s="1766"/>
      <c r="G37" s="1766"/>
      <c r="J37" s="2498"/>
      <c r="K37" s="2600"/>
      <c r="L37" s="2600"/>
      <c r="M37" s="2743"/>
      <c r="N37" s="2498"/>
      <c r="O37" s="2498"/>
      <c r="P37" s="2600"/>
      <c r="Q37" s="2629"/>
      <c r="R37" s="2740"/>
      <c r="S37" s="2638"/>
      <c r="T37" s="2632"/>
      <c r="U37" s="93" t="s">
        <v>1641</v>
      </c>
      <c r="V37" s="1767">
        <v>1000000</v>
      </c>
      <c r="W37" s="1745">
        <v>88</v>
      </c>
      <c r="X37" s="1746" t="s">
        <v>589</v>
      </c>
      <c r="Y37" s="2720"/>
      <c r="Z37" s="2745"/>
      <c r="AA37" s="2720"/>
      <c r="AB37" s="2720"/>
      <c r="AC37" s="2720"/>
      <c r="AD37" s="2720"/>
      <c r="AE37" s="2720"/>
      <c r="AF37" s="2720"/>
      <c r="AG37" s="2720"/>
      <c r="AH37" s="2720"/>
      <c r="AI37" s="2720"/>
      <c r="AJ37" s="2720"/>
      <c r="AK37" s="2720"/>
      <c r="AL37" s="2720"/>
      <c r="AM37" s="2720"/>
      <c r="AN37" s="2720"/>
      <c r="AO37" s="2595"/>
      <c r="AP37" s="2595"/>
      <c r="AQ37" s="2597"/>
    </row>
    <row r="38" spans="1:43" ht="48.75" customHeight="1" x14ac:dyDescent="0.2">
      <c r="A38" s="1765"/>
      <c r="D38" s="1766"/>
      <c r="G38" s="1766"/>
      <c r="J38" s="2498"/>
      <c r="K38" s="2600"/>
      <c r="L38" s="2600"/>
      <c r="M38" s="2743"/>
      <c r="N38" s="2498"/>
      <c r="O38" s="2498"/>
      <c r="P38" s="2600"/>
      <c r="Q38" s="2629"/>
      <c r="R38" s="2740"/>
      <c r="S38" s="2638"/>
      <c r="T38" s="2632"/>
      <c r="U38" s="93" t="s">
        <v>1642</v>
      </c>
      <c r="V38" s="1767">
        <v>1000000</v>
      </c>
      <c r="W38" s="1745">
        <v>20</v>
      </c>
      <c r="X38" s="1746" t="s">
        <v>1606</v>
      </c>
      <c r="Y38" s="2720"/>
      <c r="Z38" s="2745"/>
      <c r="AA38" s="2720"/>
      <c r="AB38" s="2720"/>
      <c r="AC38" s="2720"/>
      <c r="AD38" s="2720"/>
      <c r="AE38" s="2720"/>
      <c r="AF38" s="2720"/>
      <c r="AG38" s="2720"/>
      <c r="AH38" s="2720"/>
      <c r="AI38" s="2720"/>
      <c r="AJ38" s="2720"/>
      <c r="AK38" s="2720"/>
      <c r="AL38" s="2720"/>
      <c r="AM38" s="2720"/>
      <c r="AN38" s="2720"/>
      <c r="AO38" s="2595"/>
      <c r="AP38" s="2595"/>
      <c r="AQ38" s="2597"/>
    </row>
    <row r="39" spans="1:43" ht="48.75" customHeight="1" x14ac:dyDescent="0.2">
      <c r="A39" s="1765"/>
      <c r="D39" s="1766"/>
      <c r="G39" s="1766"/>
      <c r="J39" s="2498"/>
      <c r="K39" s="2600"/>
      <c r="L39" s="2600"/>
      <c r="M39" s="2743"/>
      <c r="N39" s="2498"/>
      <c r="O39" s="2498"/>
      <c r="P39" s="2600"/>
      <c r="Q39" s="2629"/>
      <c r="R39" s="2740"/>
      <c r="S39" s="2638"/>
      <c r="T39" s="2632"/>
      <c r="U39" s="93" t="s">
        <v>1643</v>
      </c>
      <c r="V39" s="1767">
        <v>1500000</v>
      </c>
      <c r="W39" s="1745">
        <v>88</v>
      </c>
      <c r="X39" s="1746" t="s">
        <v>589</v>
      </c>
      <c r="Y39" s="2720"/>
      <c r="Z39" s="2745"/>
      <c r="AA39" s="2720"/>
      <c r="AB39" s="2720"/>
      <c r="AC39" s="2720"/>
      <c r="AD39" s="2720"/>
      <c r="AE39" s="2720"/>
      <c r="AF39" s="2720"/>
      <c r="AG39" s="2720"/>
      <c r="AH39" s="2720"/>
      <c r="AI39" s="2720"/>
      <c r="AJ39" s="2720"/>
      <c r="AK39" s="2720"/>
      <c r="AL39" s="2720"/>
      <c r="AM39" s="2720"/>
      <c r="AN39" s="2720"/>
      <c r="AO39" s="2595"/>
      <c r="AP39" s="2595"/>
      <c r="AQ39" s="2597"/>
    </row>
    <row r="40" spans="1:43" ht="48.75" customHeight="1" x14ac:dyDescent="0.2">
      <c r="A40" s="1765"/>
      <c r="D40" s="1766"/>
      <c r="G40" s="1766"/>
      <c r="J40" s="2498"/>
      <c r="K40" s="2600"/>
      <c r="L40" s="2600"/>
      <c r="M40" s="2743"/>
      <c r="N40" s="2498"/>
      <c r="O40" s="2498"/>
      <c r="P40" s="2600"/>
      <c r="Q40" s="2629"/>
      <c r="R40" s="2740"/>
      <c r="S40" s="2638"/>
      <c r="T40" s="2632"/>
      <c r="U40" s="93" t="s">
        <v>1644</v>
      </c>
      <c r="V40" s="1767">
        <v>500000</v>
      </c>
      <c r="W40" s="1745">
        <v>20</v>
      </c>
      <c r="X40" s="1746" t="s">
        <v>1606</v>
      </c>
      <c r="Y40" s="2720"/>
      <c r="Z40" s="2745"/>
      <c r="AA40" s="2720"/>
      <c r="AB40" s="2720"/>
      <c r="AC40" s="2720"/>
      <c r="AD40" s="2720"/>
      <c r="AE40" s="2720"/>
      <c r="AF40" s="2720"/>
      <c r="AG40" s="2720"/>
      <c r="AH40" s="2720"/>
      <c r="AI40" s="2720"/>
      <c r="AJ40" s="2720"/>
      <c r="AK40" s="2720"/>
      <c r="AL40" s="2720"/>
      <c r="AM40" s="2720"/>
      <c r="AN40" s="2720"/>
      <c r="AO40" s="2595"/>
      <c r="AP40" s="2595"/>
      <c r="AQ40" s="2597"/>
    </row>
    <row r="41" spans="1:43" ht="48.75" customHeight="1" x14ac:dyDescent="0.2">
      <c r="A41" s="1765"/>
      <c r="D41" s="1766"/>
      <c r="G41" s="1766"/>
      <c r="J41" s="2498"/>
      <c r="K41" s="2600"/>
      <c r="L41" s="2600"/>
      <c r="M41" s="2743"/>
      <c r="N41" s="2498"/>
      <c r="O41" s="2498"/>
      <c r="P41" s="2600"/>
      <c r="Q41" s="2629"/>
      <c r="R41" s="2740"/>
      <c r="S41" s="2638"/>
      <c r="T41" s="2632"/>
      <c r="U41" s="93" t="s">
        <v>1645</v>
      </c>
      <c r="V41" s="1767">
        <v>1000000</v>
      </c>
      <c r="W41" s="1745">
        <v>88</v>
      </c>
      <c r="X41" s="1746" t="s">
        <v>589</v>
      </c>
      <c r="Y41" s="2720"/>
      <c r="Z41" s="2745"/>
      <c r="AA41" s="2720"/>
      <c r="AB41" s="2720"/>
      <c r="AC41" s="2720"/>
      <c r="AD41" s="2720"/>
      <c r="AE41" s="2720"/>
      <c r="AF41" s="2720"/>
      <c r="AG41" s="2720"/>
      <c r="AH41" s="2720"/>
      <c r="AI41" s="2720"/>
      <c r="AJ41" s="2720"/>
      <c r="AK41" s="2720"/>
      <c r="AL41" s="2720"/>
      <c r="AM41" s="2720"/>
      <c r="AN41" s="2720"/>
      <c r="AO41" s="2595"/>
      <c r="AP41" s="2595"/>
      <c r="AQ41" s="2597"/>
    </row>
    <row r="42" spans="1:43" ht="48.75" customHeight="1" x14ac:dyDescent="0.2">
      <c r="A42" s="1765"/>
      <c r="D42" s="1766"/>
      <c r="G42" s="1766"/>
      <c r="J42" s="2498"/>
      <c r="K42" s="2600"/>
      <c r="L42" s="2600"/>
      <c r="M42" s="2743"/>
      <c r="N42" s="2498"/>
      <c r="O42" s="2498"/>
      <c r="P42" s="2600"/>
      <c r="Q42" s="2629"/>
      <c r="R42" s="2740"/>
      <c r="S42" s="2638"/>
      <c r="T42" s="2632"/>
      <c r="U42" s="93" t="s">
        <v>1646</v>
      </c>
      <c r="V42" s="1767">
        <v>500000</v>
      </c>
      <c r="W42" s="1745">
        <v>20</v>
      </c>
      <c r="X42" s="1746" t="s">
        <v>1606</v>
      </c>
      <c r="Y42" s="2720"/>
      <c r="Z42" s="2745"/>
      <c r="AA42" s="2720"/>
      <c r="AB42" s="2720"/>
      <c r="AC42" s="2720"/>
      <c r="AD42" s="2720"/>
      <c r="AE42" s="2720"/>
      <c r="AF42" s="2720"/>
      <c r="AG42" s="2720"/>
      <c r="AH42" s="2720"/>
      <c r="AI42" s="2720"/>
      <c r="AJ42" s="2720"/>
      <c r="AK42" s="2720"/>
      <c r="AL42" s="2720"/>
      <c r="AM42" s="2720"/>
      <c r="AN42" s="2720"/>
      <c r="AO42" s="2595"/>
      <c r="AP42" s="2595"/>
      <c r="AQ42" s="2597"/>
    </row>
    <row r="43" spans="1:43" ht="48.75" customHeight="1" x14ac:dyDescent="0.2">
      <c r="A43" s="1765"/>
      <c r="D43" s="1766"/>
      <c r="G43" s="1766"/>
      <c r="J43" s="2498"/>
      <c r="K43" s="2600"/>
      <c r="L43" s="2600"/>
      <c r="M43" s="2743"/>
      <c r="N43" s="2498"/>
      <c r="O43" s="2498"/>
      <c r="P43" s="2600"/>
      <c r="Q43" s="2629"/>
      <c r="R43" s="2740"/>
      <c r="S43" s="2638"/>
      <c r="T43" s="2500"/>
      <c r="U43" s="93" t="s">
        <v>1647</v>
      </c>
      <c r="V43" s="1767">
        <v>500000</v>
      </c>
      <c r="W43" s="1745">
        <v>88</v>
      </c>
      <c r="X43" s="1746" t="s">
        <v>589</v>
      </c>
      <c r="Y43" s="2720"/>
      <c r="Z43" s="2745"/>
      <c r="AA43" s="2720"/>
      <c r="AB43" s="2720"/>
      <c r="AC43" s="2720"/>
      <c r="AD43" s="2720"/>
      <c r="AE43" s="2720"/>
      <c r="AF43" s="2720"/>
      <c r="AG43" s="2720"/>
      <c r="AH43" s="2720"/>
      <c r="AI43" s="2720"/>
      <c r="AJ43" s="2720"/>
      <c r="AK43" s="2720"/>
      <c r="AL43" s="2720"/>
      <c r="AM43" s="2720"/>
      <c r="AN43" s="2720"/>
      <c r="AO43" s="2595"/>
      <c r="AP43" s="2595"/>
      <c r="AQ43" s="2597"/>
    </row>
    <row r="44" spans="1:43" ht="78" customHeight="1" x14ac:dyDescent="0.2">
      <c r="A44" s="1765"/>
      <c r="D44" s="1766"/>
      <c r="G44" s="1766"/>
      <c r="J44" s="2498"/>
      <c r="K44" s="2600"/>
      <c r="L44" s="2600"/>
      <c r="M44" s="2743"/>
      <c r="N44" s="2498"/>
      <c r="O44" s="2498"/>
      <c r="P44" s="2600"/>
      <c r="Q44" s="2629"/>
      <c r="R44" s="2740"/>
      <c r="S44" s="2638"/>
      <c r="T44" s="2499" t="s">
        <v>1648</v>
      </c>
      <c r="U44" s="93" t="s">
        <v>1649</v>
      </c>
      <c r="V44" s="1767">
        <v>15000000</v>
      </c>
      <c r="W44" s="1745">
        <v>20</v>
      </c>
      <c r="X44" s="1746" t="s">
        <v>1606</v>
      </c>
      <c r="Y44" s="2720"/>
      <c r="Z44" s="2745"/>
      <c r="AA44" s="2720"/>
      <c r="AB44" s="2720"/>
      <c r="AC44" s="2720"/>
      <c r="AD44" s="2720"/>
      <c r="AE44" s="2720"/>
      <c r="AF44" s="2720"/>
      <c r="AG44" s="2720"/>
      <c r="AH44" s="2720"/>
      <c r="AI44" s="2720"/>
      <c r="AJ44" s="2720"/>
      <c r="AK44" s="2720"/>
      <c r="AL44" s="2720"/>
      <c r="AM44" s="2720"/>
      <c r="AN44" s="2720"/>
      <c r="AO44" s="2595"/>
      <c r="AP44" s="2595"/>
      <c r="AQ44" s="2597"/>
    </row>
    <row r="45" spans="1:43" ht="56.25" customHeight="1" x14ac:dyDescent="0.2">
      <c r="A45" s="1765"/>
      <c r="D45" s="1766"/>
      <c r="G45" s="1766"/>
      <c r="J45" s="2498"/>
      <c r="K45" s="2600"/>
      <c r="L45" s="2600"/>
      <c r="M45" s="2743"/>
      <c r="N45" s="2498"/>
      <c r="O45" s="2498"/>
      <c r="P45" s="2600"/>
      <c r="Q45" s="2629"/>
      <c r="R45" s="2740"/>
      <c r="S45" s="2638"/>
      <c r="T45" s="2500"/>
      <c r="U45" s="93" t="s">
        <v>1650</v>
      </c>
      <c r="V45" s="1767">
        <v>15000000</v>
      </c>
      <c r="W45" s="1745">
        <v>88</v>
      </c>
      <c r="X45" s="1746" t="s">
        <v>589</v>
      </c>
      <c r="Y45" s="2720"/>
      <c r="Z45" s="2745"/>
      <c r="AA45" s="2720"/>
      <c r="AB45" s="2720"/>
      <c r="AC45" s="2720"/>
      <c r="AD45" s="2720"/>
      <c r="AE45" s="2720"/>
      <c r="AF45" s="2720"/>
      <c r="AG45" s="2720"/>
      <c r="AH45" s="2720"/>
      <c r="AI45" s="2720"/>
      <c r="AJ45" s="2720"/>
      <c r="AK45" s="2720"/>
      <c r="AL45" s="2720"/>
      <c r="AM45" s="2720"/>
      <c r="AN45" s="2720"/>
      <c r="AO45" s="2595"/>
      <c r="AP45" s="2595"/>
      <c r="AQ45" s="2597"/>
    </row>
    <row r="46" spans="1:43" ht="42" customHeight="1" x14ac:dyDescent="0.2">
      <c r="A46" s="1765"/>
      <c r="D46" s="1766"/>
      <c r="G46" s="1766"/>
      <c r="J46" s="2498"/>
      <c r="K46" s="2600"/>
      <c r="L46" s="2600"/>
      <c r="M46" s="2743"/>
      <c r="N46" s="2498"/>
      <c r="O46" s="2498"/>
      <c r="P46" s="2600"/>
      <c r="Q46" s="2629"/>
      <c r="R46" s="2740"/>
      <c r="S46" s="2638"/>
      <c r="T46" s="2600" t="s">
        <v>1651</v>
      </c>
      <c r="U46" s="93" t="s">
        <v>1652</v>
      </c>
      <c r="V46" s="1767">
        <v>3500000</v>
      </c>
      <c r="W46" s="1745">
        <v>20</v>
      </c>
      <c r="X46" s="1746" t="s">
        <v>1606</v>
      </c>
      <c r="Y46" s="2720"/>
      <c r="Z46" s="2745"/>
      <c r="AA46" s="2720"/>
      <c r="AB46" s="2720"/>
      <c r="AC46" s="2720"/>
      <c r="AD46" s="2720"/>
      <c r="AE46" s="2720"/>
      <c r="AF46" s="2720"/>
      <c r="AG46" s="2720"/>
      <c r="AH46" s="2720"/>
      <c r="AI46" s="2720"/>
      <c r="AJ46" s="2720"/>
      <c r="AK46" s="2720"/>
      <c r="AL46" s="2720"/>
      <c r="AM46" s="2720"/>
      <c r="AN46" s="2720"/>
      <c r="AO46" s="2595"/>
      <c r="AP46" s="2595"/>
      <c r="AQ46" s="2597"/>
    </row>
    <row r="47" spans="1:43" ht="33.75" customHeight="1" x14ac:dyDescent="0.2">
      <c r="A47" s="1765"/>
      <c r="D47" s="1766"/>
      <c r="G47" s="1766"/>
      <c r="J47" s="2498"/>
      <c r="K47" s="2600"/>
      <c r="L47" s="2600"/>
      <c r="M47" s="2743"/>
      <c r="N47" s="2498"/>
      <c r="O47" s="2498"/>
      <c r="P47" s="2600"/>
      <c r="Q47" s="2629"/>
      <c r="R47" s="2740"/>
      <c r="S47" s="2638"/>
      <c r="T47" s="2600"/>
      <c r="U47" s="93" t="s">
        <v>1653</v>
      </c>
      <c r="V47" s="1767">
        <v>3500000</v>
      </c>
      <c r="W47" s="1745">
        <v>88</v>
      </c>
      <c r="X47" s="1746" t="s">
        <v>589</v>
      </c>
      <c r="Y47" s="2720"/>
      <c r="Z47" s="2745"/>
      <c r="AA47" s="2720"/>
      <c r="AB47" s="2720"/>
      <c r="AC47" s="2720"/>
      <c r="AD47" s="2720"/>
      <c r="AE47" s="2720"/>
      <c r="AF47" s="2720"/>
      <c r="AG47" s="2720"/>
      <c r="AH47" s="2720"/>
      <c r="AI47" s="2720"/>
      <c r="AJ47" s="2720"/>
      <c r="AK47" s="2720"/>
      <c r="AL47" s="2720"/>
      <c r="AM47" s="2720"/>
      <c r="AN47" s="2720"/>
      <c r="AO47" s="2595"/>
      <c r="AP47" s="2595"/>
      <c r="AQ47" s="2597"/>
    </row>
    <row r="48" spans="1:43" ht="26.25" customHeight="1" x14ac:dyDescent="0.2">
      <c r="A48" s="1765"/>
      <c r="D48" s="1766"/>
      <c r="G48" s="1766"/>
      <c r="J48" s="2498"/>
      <c r="K48" s="2600"/>
      <c r="L48" s="2600"/>
      <c r="M48" s="2743"/>
      <c r="N48" s="2498"/>
      <c r="O48" s="2498"/>
      <c r="P48" s="2600"/>
      <c r="Q48" s="2629"/>
      <c r="R48" s="2740"/>
      <c r="S48" s="2638"/>
      <c r="T48" s="2600"/>
      <c r="U48" s="93" t="s">
        <v>1654</v>
      </c>
      <c r="V48" s="1768">
        <v>7000000</v>
      </c>
      <c r="W48" s="1769">
        <v>20</v>
      </c>
      <c r="X48" s="1770" t="s">
        <v>1606</v>
      </c>
      <c r="Y48" s="2720"/>
      <c r="Z48" s="2745"/>
      <c r="AA48" s="2720"/>
      <c r="AB48" s="2720"/>
      <c r="AC48" s="2720"/>
      <c r="AD48" s="2720"/>
      <c r="AE48" s="2720"/>
      <c r="AF48" s="2720"/>
      <c r="AG48" s="2720"/>
      <c r="AH48" s="2720"/>
      <c r="AI48" s="2720"/>
      <c r="AJ48" s="2720"/>
      <c r="AK48" s="2720"/>
      <c r="AL48" s="2720"/>
      <c r="AM48" s="2720"/>
      <c r="AN48" s="2720"/>
      <c r="AO48" s="2595"/>
      <c r="AP48" s="2595"/>
      <c r="AQ48" s="2597"/>
    </row>
    <row r="49" spans="1:43" ht="30.75" customHeight="1" x14ac:dyDescent="0.2">
      <c r="A49" s="1765"/>
      <c r="D49" s="1766"/>
      <c r="G49" s="1771"/>
      <c r="J49" s="2498"/>
      <c r="K49" s="2600"/>
      <c r="L49" s="2600"/>
      <c r="M49" s="2743"/>
      <c r="N49" s="2498"/>
      <c r="O49" s="2498"/>
      <c r="P49" s="2600"/>
      <c r="Q49" s="2629"/>
      <c r="R49" s="2740"/>
      <c r="S49" s="2638"/>
      <c r="T49" s="2600"/>
      <c r="U49" s="570" t="s">
        <v>1655</v>
      </c>
      <c r="V49" s="1767">
        <v>7000000</v>
      </c>
      <c r="W49" s="1772">
        <v>88</v>
      </c>
      <c r="X49" s="1773" t="s">
        <v>589</v>
      </c>
      <c r="Y49" s="2744"/>
      <c r="Z49" s="2745"/>
      <c r="AA49" s="2720"/>
      <c r="AB49" s="2720"/>
      <c r="AC49" s="2720"/>
      <c r="AD49" s="2720"/>
      <c r="AE49" s="2720"/>
      <c r="AF49" s="2720"/>
      <c r="AG49" s="2720"/>
      <c r="AH49" s="2720"/>
      <c r="AI49" s="2720"/>
      <c r="AJ49" s="2720"/>
      <c r="AK49" s="2720"/>
      <c r="AL49" s="2720"/>
      <c r="AM49" s="2720"/>
      <c r="AN49" s="2720"/>
      <c r="AO49" s="2595"/>
      <c r="AP49" s="2595"/>
      <c r="AQ49" s="2597"/>
    </row>
    <row r="50" spans="1:43" ht="30" customHeight="1" x14ac:dyDescent="0.2">
      <c r="A50" s="1751"/>
      <c r="B50" s="1694"/>
      <c r="C50" s="1694"/>
      <c r="D50" s="1774">
        <v>27</v>
      </c>
      <c r="E50" s="2741" t="s">
        <v>1656</v>
      </c>
      <c r="F50" s="2741"/>
      <c r="G50" s="2741"/>
      <c r="H50" s="2741"/>
      <c r="I50" s="2741"/>
      <c r="J50" s="2741"/>
      <c r="K50" s="2741"/>
      <c r="L50" s="1775"/>
      <c r="M50" s="1776"/>
      <c r="N50" s="1776"/>
      <c r="O50" s="1776"/>
      <c r="P50" s="1775"/>
      <c r="Q50" s="1777"/>
      <c r="R50" s="1778"/>
      <c r="S50" s="1779"/>
      <c r="T50" s="1779"/>
      <c r="U50" s="1780"/>
      <c r="V50" s="1781"/>
      <c r="W50" s="1782"/>
      <c r="X50" s="1783"/>
      <c r="Y50" s="1784"/>
      <c r="Z50" s="1785"/>
      <c r="AA50" s="1784"/>
      <c r="AB50" s="1784"/>
      <c r="AC50" s="1784"/>
      <c r="AD50" s="1784"/>
      <c r="AE50" s="1784"/>
      <c r="AF50" s="1784"/>
      <c r="AG50" s="1784"/>
      <c r="AH50" s="1784"/>
      <c r="AI50" s="1784"/>
      <c r="AJ50" s="1784"/>
      <c r="AK50" s="1784"/>
      <c r="AL50" s="1784"/>
      <c r="AM50" s="1784"/>
      <c r="AN50" s="1784"/>
      <c r="AO50" s="1786"/>
      <c r="AP50" s="1787"/>
      <c r="AQ50" s="1788"/>
    </row>
    <row r="51" spans="1:43" ht="28.5" customHeight="1" x14ac:dyDescent="0.2">
      <c r="A51" s="1751"/>
      <c r="B51" s="1694"/>
      <c r="C51" s="1789"/>
      <c r="D51" s="1752"/>
      <c r="E51" s="1694"/>
      <c r="F51" s="1789"/>
      <c r="G51" s="1732">
        <v>85</v>
      </c>
      <c r="H51" s="2742" t="s">
        <v>1657</v>
      </c>
      <c r="I51" s="2742"/>
      <c r="J51" s="2742"/>
      <c r="K51" s="2742"/>
      <c r="L51" s="484"/>
      <c r="M51" s="485"/>
      <c r="N51" s="485"/>
      <c r="O51" s="485"/>
      <c r="P51" s="484"/>
      <c r="Q51" s="1733"/>
      <c r="R51" s="487"/>
      <c r="S51" s="1755"/>
      <c r="T51" s="1755"/>
      <c r="U51" s="1756"/>
      <c r="V51" s="1736"/>
      <c r="W51" s="1758"/>
      <c r="X51" s="1759"/>
      <c r="Y51" s="1760"/>
      <c r="Z51" s="1761"/>
      <c r="AA51" s="1760"/>
      <c r="AB51" s="1760"/>
      <c r="AC51" s="1760"/>
      <c r="AD51" s="1760"/>
      <c r="AE51" s="1760"/>
      <c r="AF51" s="1760"/>
      <c r="AG51" s="1760"/>
      <c r="AH51" s="1760"/>
      <c r="AI51" s="1760"/>
      <c r="AJ51" s="1760"/>
      <c r="AK51" s="1760"/>
      <c r="AL51" s="1760"/>
      <c r="AM51" s="1760"/>
      <c r="AN51" s="1760"/>
      <c r="AO51" s="1762"/>
      <c r="AP51" s="1763"/>
      <c r="AQ51" s="1764"/>
    </row>
    <row r="52" spans="1:43" ht="90.75" customHeight="1" x14ac:dyDescent="0.2">
      <c r="A52" s="1790"/>
      <c r="B52" s="1791"/>
      <c r="C52" s="1792"/>
      <c r="D52" s="1793"/>
      <c r="E52" s="1791"/>
      <c r="F52" s="1791"/>
      <c r="G52" s="1794"/>
      <c r="H52" s="1791"/>
      <c r="I52" s="1791"/>
      <c r="J52" s="2498">
        <v>249</v>
      </c>
      <c r="K52" s="2600" t="s">
        <v>1658</v>
      </c>
      <c r="L52" s="2638" t="s">
        <v>1659</v>
      </c>
      <c r="M52" s="2743">
        <v>1</v>
      </c>
      <c r="N52" s="2498" t="s">
        <v>1660</v>
      </c>
      <c r="O52" s="2498" t="s">
        <v>1661</v>
      </c>
      <c r="P52" s="2600" t="s">
        <v>1662</v>
      </c>
      <c r="Q52" s="2629">
        <v>1</v>
      </c>
      <c r="R52" s="2740">
        <f>SUM(V52:V62)</f>
        <v>120000000</v>
      </c>
      <c r="S52" s="2600" t="s">
        <v>1663</v>
      </c>
      <c r="T52" s="2600" t="s">
        <v>1664</v>
      </c>
      <c r="U52" s="1795" t="s">
        <v>1665</v>
      </c>
      <c r="V52" s="1744">
        <v>7354100</v>
      </c>
      <c r="W52" s="1745">
        <v>20</v>
      </c>
      <c r="X52" s="568" t="s">
        <v>62</v>
      </c>
      <c r="Y52" s="2739">
        <v>294321</v>
      </c>
      <c r="Z52" s="2699">
        <v>283947</v>
      </c>
      <c r="AA52" s="2593">
        <v>135754</v>
      </c>
      <c r="AB52" s="2593">
        <v>44640</v>
      </c>
      <c r="AC52" s="2593">
        <v>308178</v>
      </c>
      <c r="AD52" s="2593">
        <v>89696</v>
      </c>
      <c r="AE52" s="2593">
        <v>2145</v>
      </c>
      <c r="AF52" s="2593">
        <v>12718</v>
      </c>
      <c r="AG52" s="2593">
        <v>26</v>
      </c>
      <c r="AH52" s="2593">
        <v>37</v>
      </c>
      <c r="AI52" s="2593"/>
      <c r="AJ52" s="2593"/>
      <c r="AK52" s="2720">
        <v>54612</v>
      </c>
      <c r="AL52" s="2720">
        <v>16982</v>
      </c>
      <c r="AM52" s="2593">
        <v>1010</v>
      </c>
      <c r="AN52" s="2593">
        <f>Y52+Z52</f>
        <v>578268</v>
      </c>
      <c r="AO52" s="2595">
        <v>43102</v>
      </c>
      <c r="AP52" s="2595">
        <v>43465</v>
      </c>
      <c r="AQ52" s="2498" t="s">
        <v>1607</v>
      </c>
    </row>
    <row r="53" spans="1:43" ht="158.25" customHeight="1" x14ac:dyDescent="0.2">
      <c r="A53" s="1790"/>
      <c r="B53" s="1791"/>
      <c r="C53" s="1792"/>
      <c r="D53" s="1793"/>
      <c r="E53" s="1791"/>
      <c r="F53" s="1791"/>
      <c r="G53" s="1793"/>
      <c r="H53" s="1791"/>
      <c r="I53" s="1791"/>
      <c r="J53" s="2498"/>
      <c r="K53" s="2600"/>
      <c r="L53" s="2638"/>
      <c r="M53" s="2743"/>
      <c r="N53" s="2498"/>
      <c r="O53" s="2498"/>
      <c r="P53" s="2600"/>
      <c r="Q53" s="2629"/>
      <c r="R53" s="2740"/>
      <c r="S53" s="2600"/>
      <c r="T53" s="2600"/>
      <c r="U53" s="1795" t="s">
        <v>1666</v>
      </c>
      <c r="V53" s="1744">
        <v>11613500</v>
      </c>
      <c r="W53" s="1745">
        <v>20</v>
      </c>
      <c r="X53" s="568" t="s">
        <v>62</v>
      </c>
      <c r="Y53" s="2739"/>
      <c r="Z53" s="2699"/>
      <c r="AA53" s="2593"/>
      <c r="AB53" s="2593"/>
      <c r="AC53" s="2593"/>
      <c r="AD53" s="2593"/>
      <c r="AE53" s="2593"/>
      <c r="AF53" s="2593"/>
      <c r="AG53" s="2593"/>
      <c r="AH53" s="2593"/>
      <c r="AI53" s="2593"/>
      <c r="AJ53" s="2593"/>
      <c r="AK53" s="2720"/>
      <c r="AL53" s="2720"/>
      <c r="AM53" s="2593"/>
      <c r="AN53" s="2593"/>
      <c r="AO53" s="2595"/>
      <c r="AP53" s="2595"/>
      <c r="AQ53" s="2498"/>
    </row>
    <row r="54" spans="1:43" ht="183" customHeight="1" x14ac:dyDescent="0.2">
      <c r="A54" s="1790"/>
      <c r="B54" s="1791"/>
      <c r="C54" s="1792"/>
      <c r="D54" s="1793"/>
      <c r="E54" s="1791"/>
      <c r="F54" s="1791"/>
      <c r="G54" s="1793"/>
      <c r="H54" s="1791"/>
      <c r="I54" s="1791"/>
      <c r="J54" s="2498"/>
      <c r="K54" s="2600"/>
      <c r="L54" s="2638"/>
      <c r="M54" s="2743"/>
      <c r="N54" s="2498"/>
      <c r="O54" s="2498"/>
      <c r="P54" s="2600"/>
      <c r="Q54" s="2629"/>
      <c r="R54" s="2740"/>
      <c r="S54" s="2600"/>
      <c r="T54" s="2600"/>
      <c r="U54" s="1795" t="s">
        <v>1667</v>
      </c>
      <c r="V54" s="1744">
        <v>17700000</v>
      </c>
      <c r="W54" s="1745">
        <v>20</v>
      </c>
      <c r="X54" s="568" t="s">
        <v>62</v>
      </c>
      <c r="Y54" s="2739"/>
      <c r="Z54" s="2699"/>
      <c r="AA54" s="2593"/>
      <c r="AB54" s="2593"/>
      <c r="AC54" s="2593"/>
      <c r="AD54" s="2593"/>
      <c r="AE54" s="2593"/>
      <c r="AF54" s="2593"/>
      <c r="AG54" s="2593"/>
      <c r="AH54" s="2593"/>
      <c r="AI54" s="2593"/>
      <c r="AJ54" s="2593"/>
      <c r="AK54" s="2720"/>
      <c r="AL54" s="2720"/>
      <c r="AM54" s="2593"/>
      <c r="AN54" s="2593"/>
      <c r="AO54" s="2595"/>
      <c r="AP54" s="2595"/>
      <c r="AQ54" s="2498"/>
    </row>
    <row r="55" spans="1:43" ht="114.75" customHeight="1" x14ac:dyDescent="0.2">
      <c r="A55" s="1790"/>
      <c r="B55" s="1791"/>
      <c r="C55" s="1792"/>
      <c r="D55" s="1793"/>
      <c r="E55" s="1791"/>
      <c r="F55" s="1791"/>
      <c r="G55" s="1793"/>
      <c r="H55" s="1791"/>
      <c r="I55" s="1791"/>
      <c r="J55" s="2498"/>
      <c r="K55" s="2600"/>
      <c r="L55" s="2638"/>
      <c r="M55" s="2743"/>
      <c r="N55" s="2498"/>
      <c r="O55" s="2498"/>
      <c r="P55" s="2600"/>
      <c r="Q55" s="2629"/>
      <c r="R55" s="2740"/>
      <c r="S55" s="2600"/>
      <c r="T55" s="2600"/>
      <c r="U55" s="1795" t="s">
        <v>1668</v>
      </c>
      <c r="V55" s="1744">
        <v>10000000</v>
      </c>
      <c r="W55" s="1745">
        <v>20</v>
      </c>
      <c r="X55" s="568" t="s">
        <v>62</v>
      </c>
      <c r="Y55" s="2739"/>
      <c r="Z55" s="2699"/>
      <c r="AA55" s="2593"/>
      <c r="AB55" s="2593"/>
      <c r="AC55" s="2593"/>
      <c r="AD55" s="2593"/>
      <c r="AE55" s="2593"/>
      <c r="AF55" s="2593"/>
      <c r="AG55" s="2593"/>
      <c r="AH55" s="2593"/>
      <c r="AI55" s="2593"/>
      <c r="AJ55" s="2593"/>
      <c r="AK55" s="2720"/>
      <c r="AL55" s="2720"/>
      <c r="AM55" s="2593"/>
      <c r="AN55" s="2593"/>
      <c r="AO55" s="2595"/>
      <c r="AP55" s="2595"/>
      <c r="AQ55" s="2498"/>
    </row>
    <row r="56" spans="1:43" ht="42.75" customHeight="1" x14ac:dyDescent="0.2">
      <c r="A56" s="1790"/>
      <c r="B56" s="1791"/>
      <c r="C56" s="1792"/>
      <c r="D56" s="1793"/>
      <c r="E56" s="1791"/>
      <c r="F56" s="1791"/>
      <c r="G56" s="1793"/>
      <c r="H56" s="1791"/>
      <c r="I56" s="1791"/>
      <c r="J56" s="2498"/>
      <c r="K56" s="2600"/>
      <c r="L56" s="2638"/>
      <c r="M56" s="2743"/>
      <c r="N56" s="2498"/>
      <c r="O56" s="2498"/>
      <c r="P56" s="2600"/>
      <c r="Q56" s="2629"/>
      <c r="R56" s="2740"/>
      <c r="S56" s="2600"/>
      <c r="T56" s="2499" t="s">
        <v>1669</v>
      </c>
      <c r="U56" s="1795" t="s">
        <v>1670</v>
      </c>
      <c r="V56" s="1744">
        <f>17718900-7000000</f>
        <v>10718900</v>
      </c>
      <c r="W56" s="1745">
        <v>20</v>
      </c>
      <c r="X56" s="568" t="s">
        <v>62</v>
      </c>
      <c r="Y56" s="2739"/>
      <c r="Z56" s="2699"/>
      <c r="AA56" s="2593"/>
      <c r="AB56" s="2593"/>
      <c r="AC56" s="2593"/>
      <c r="AD56" s="2593"/>
      <c r="AE56" s="2593"/>
      <c r="AF56" s="2593"/>
      <c r="AG56" s="2593"/>
      <c r="AH56" s="2593"/>
      <c r="AI56" s="2593"/>
      <c r="AJ56" s="2593"/>
      <c r="AK56" s="2720"/>
      <c r="AL56" s="2720"/>
      <c r="AM56" s="2593"/>
      <c r="AN56" s="2593"/>
      <c r="AO56" s="2595"/>
      <c r="AP56" s="2595"/>
      <c r="AQ56" s="2498"/>
    </row>
    <row r="57" spans="1:43" ht="28.5" customHeight="1" x14ac:dyDescent="0.2">
      <c r="A57" s="1790"/>
      <c r="B57" s="1791"/>
      <c r="C57" s="1792"/>
      <c r="D57" s="1793"/>
      <c r="E57" s="1791"/>
      <c r="F57" s="1791"/>
      <c r="G57" s="1793"/>
      <c r="H57" s="1791"/>
      <c r="I57" s="1791"/>
      <c r="J57" s="2498"/>
      <c r="K57" s="2600"/>
      <c r="L57" s="2638"/>
      <c r="M57" s="2743"/>
      <c r="N57" s="2498"/>
      <c r="O57" s="2498"/>
      <c r="P57" s="2600"/>
      <c r="Q57" s="2629"/>
      <c r="R57" s="2740"/>
      <c r="S57" s="2600"/>
      <c r="T57" s="2632"/>
      <c r="U57" s="1795" t="s">
        <v>1671</v>
      </c>
      <c r="V57" s="1767">
        <f>0+12000000</f>
        <v>12000000</v>
      </c>
      <c r="W57" s="1745">
        <v>20</v>
      </c>
      <c r="X57" s="568" t="s">
        <v>62</v>
      </c>
      <c r="Y57" s="2739"/>
      <c r="Z57" s="2699"/>
      <c r="AA57" s="2593"/>
      <c r="AB57" s="2593"/>
      <c r="AC57" s="2593"/>
      <c r="AD57" s="2593"/>
      <c r="AE57" s="2593"/>
      <c r="AF57" s="2593"/>
      <c r="AG57" s="2593"/>
      <c r="AH57" s="2593"/>
      <c r="AI57" s="2593"/>
      <c r="AJ57" s="2593"/>
      <c r="AK57" s="2720"/>
      <c r="AL57" s="2720"/>
      <c r="AM57" s="2593"/>
      <c r="AN57" s="2593"/>
      <c r="AO57" s="2595"/>
      <c r="AP57" s="2595"/>
      <c r="AQ57" s="2498"/>
    </row>
    <row r="58" spans="1:43" ht="36.75" customHeight="1" x14ac:dyDescent="0.2">
      <c r="A58" s="1790"/>
      <c r="B58" s="1791"/>
      <c r="C58" s="1792"/>
      <c r="D58" s="1793"/>
      <c r="E58" s="1791"/>
      <c r="F58" s="1791"/>
      <c r="G58" s="1793"/>
      <c r="H58" s="1791"/>
      <c r="I58" s="1791"/>
      <c r="J58" s="2498"/>
      <c r="K58" s="2600"/>
      <c r="L58" s="2638"/>
      <c r="M58" s="2743"/>
      <c r="N58" s="2498"/>
      <c r="O58" s="2498"/>
      <c r="P58" s="2600"/>
      <c r="Q58" s="2629"/>
      <c r="R58" s="2740"/>
      <c r="S58" s="2600"/>
      <c r="T58" s="2632"/>
      <c r="U58" s="318" t="s">
        <v>1672</v>
      </c>
      <c r="V58" s="1767">
        <f>15613500-5306750</f>
        <v>10306750</v>
      </c>
      <c r="W58" s="1745">
        <v>20</v>
      </c>
      <c r="X58" s="568" t="s">
        <v>62</v>
      </c>
      <c r="Y58" s="2739"/>
      <c r="Z58" s="2699"/>
      <c r="AA58" s="2593"/>
      <c r="AB58" s="2593"/>
      <c r="AC58" s="2593"/>
      <c r="AD58" s="2593"/>
      <c r="AE58" s="2593"/>
      <c r="AF58" s="2593"/>
      <c r="AG58" s="2593"/>
      <c r="AH58" s="2593"/>
      <c r="AI58" s="2593"/>
      <c r="AJ58" s="2593"/>
      <c r="AK58" s="2720"/>
      <c r="AL58" s="2720"/>
      <c r="AM58" s="2593"/>
      <c r="AN58" s="2593"/>
      <c r="AO58" s="2595"/>
      <c r="AP58" s="2595"/>
      <c r="AQ58" s="2498"/>
    </row>
    <row r="59" spans="1:43" ht="25.5" customHeight="1" x14ac:dyDescent="0.2">
      <c r="A59" s="1790"/>
      <c r="B59" s="1791"/>
      <c r="C59" s="1792"/>
      <c r="D59" s="1793"/>
      <c r="E59" s="1791"/>
      <c r="F59" s="1791"/>
      <c r="G59" s="1793"/>
      <c r="H59" s="1791"/>
      <c r="I59" s="1791"/>
      <c r="J59" s="2498"/>
      <c r="K59" s="2600"/>
      <c r="L59" s="2638"/>
      <c r="M59" s="2743"/>
      <c r="N59" s="2498"/>
      <c r="O59" s="2498"/>
      <c r="P59" s="2600"/>
      <c r="Q59" s="2629"/>
      <c r="R59" s="2740"/>
      <c r="S59" s="2600"/>
      <c r="T59" s="2632"/>
      <c r="U59" s="318" t="s">
        <v>1673</v>
      </c>
      <c r="V59" s="1767">
        <f>0+4000000+5806750</f>
        <v>9806750</v>
      </c>
      <c r="W59" s="1745">
        <v>20</v>
      </c>
      <c r="X59" s="568" t="s">
        <v>62</v>
      </c>
      <c r="Y59" s="2739"/>
      <c r="Z59" s="2699"/>
      <c r="AA59" s="2593"/>
      <c r="AB59" s="2593"/>
      <c r="AC59" s="2593"/>
      <c r="AD59" s="2593"/>
      <c r="AE59" s="2593"/>
      <c r="AF59" s="2593"/>
      <c r="AG59" s="2593"/>
      <c r="AH59" s="2593"/>
      <c r="AI59" s="2593"/>
      <c r="AJ59" s="2593"/>
      <c r="AK59" s="2720"/>
      <c r="AL59" s="2720"/>
      <c r="AM59" s="2593"/>
      <c r="AN59" s="2593"/>
      <c r="AO59" s="2595"/>
      <c r="AP59" s="2595"/>
      <c r="AQ59" s="2498"/>
    </row>
    <row r="60" spans="1:43" ht="27.75" customHeight="1" x14ac:dyDescent="0.2">
      <c r="A60" s="1790"/>
      <c r="B60" s="1791"/>
      <c r="C60" s="1792"/>
      <c r="D60" s="1793"/>
      <c r="E60" s="1791"/>
      <c r="F60" s="1791"/>
      <c r="G60" s="1793"/>
      <c r="H60" s="1791"/>
      <c r="I60" s="1791"/>
      <c r="J60" s="2498"/>
      <c r="K60" s="2600"/>
      <c r="L60" s="2638"/>
      <c r="M60" s="2743"/>
      <c r="N60" s="2498"/>
      <c r="O60" s="2498"/>
      <c r="P60" s="2600"/>
      <c r="Q60" s="2629"/>
      <c r="R60" s="2740"/>
      <c r="S60" s="2600"/>
      <c r="T60" s="2632"/>
      <c r="U60" s="318" t="s">
        <v>1674</v>
      </c>
      <c r="V60" s="1767">
        <f>0+500000</f>
        <v>500000</v>
      </c>
      <c r="W60" s="1745">
        <v>20</v>
      </c>
      <c r="X60" s="568" t="s">
        <v>62</v>
      </c>
      <c r="Y60" s="2739"/>
      <c r="Z60" s="2699"/>
      <c r="AA60" s="2593"/>
      <c r="AB60" s="2593"/>
      <c r="AC60" s="2593"/>
      <c r="AD60" s="2593"/>
      <c r="AE60" s="2593"/>
      <c r="AF60" s="2593"/>
      <c r="AG60" s="2593"/>
      <c r="AH60" s="2593"/>
      <c r="AI60" s="2593"/>
      <c r="AJ60" s="2593"/>
      <c r="AK60" s="2720"/>
      <c r="AL60" s="2720"/>
      <c r="AM60" s="2593"/>
      <c r="AN60" s="2593"/>
      <c r="AO60" s="2595"/>
      <c r="AP60" s="2595"/>
      <c r="AQ60" s="2498"/>
    </row>
    <row r="61" spans="1:43" ht="49.5" customHeight="1" x14ac:dyDescent="0.2">
      <c r="A61" s="1790"/>
      <c r="B61" s="1791"/>
      <c r="C61" s="1792"/>
      <c r="D61" s="1793"/>
      <c r="E61" s="1791"/>
      <c r="F61" s="1791"/>
      <c r="G61" s="1793"/>
      <c r="H61" s="1791"/>
      <c r="I61" s="1791"/>
      <c r="J61" s="2498"/>
      <c r="K61" s="2600"/>
      <c r="L61" s="2638"/>
      <c r="M61" s="2743"/>
      <c r="N61" s="2498"/>
      <c r="O61" s="2498"/>
      <c r="P61" s="2600"/>
      <c r="Q61" s="2629"/>
      <c r="R61" s="2740"/>
      <c r="S61" s="2600"/>
      <c r="T61" s="2600" t="s">
        <v>1675</v>
      </c>
      <c r="U61" s="1796" t="s">
        <v>1676</v>
      </c>
      <c r="V61" s="1767">
        <f>20000000-5000000</f>
        <v>15000000</v>
      </c>
      <c r="W61" s="1745">
        <v>20</v>
      </c>
      <c r="X61" s="568" t="s">
        <v>62</v>
      </c>
      <c r="Y61" s="2739"/>
      <c r="Z61" s="2699"/>
      <c r="AA61" s="2593"/>
      <c r="AB61" s="2593"/>
      <c r="AC61" s="2593"/>
      <c r="AD61" s="2593"/>
      <c r="AE61" s="2593"/>
      <c r="AF61" s="2593"/>
      <c r="AG61" s="2593"/>
      <c r="AH61" s="2593"/>
      <c r="AI61" s="2593"/>
      <c r="AJ61" s="2593"/>
      <c r="AK61" s="2720"/>
      <c r="AL61" s="2720"/>
      <c r="AM61" s="2593"/>
      <c r="AN61" s="2593"/>
      <c r="AO61" s="2595"/>
      <c r="AP61" s="2595"/>
      <c r="AQ61" s="2498"/>
    </row>
    <row r="62" spans="1:43" ht="46.5" customHeight="1" x14ac:dyDescent="0.2">
      <c r="A62" s="1790"/>
      <c r="B62" s="1791"/>
      <c r="C62" s="1792"/>
      <c r="D62" s="1793"/>
      <c r="E62" s="1791"/>
      <c r="F62" s="1791"/>
      <c r="G62" s="1793"/>
      <c r="H62" s="1791"/>
      <c r="I62" s="1791"/>
      <c r="J62" s="2498"/>
      <c r="K62" s="2600"/>
      <c r="L62" s="2638"/>
      <c r="M62" s="2743"/>
      <c r="N62" s="2498"/>
      <c r="O62" s="2498"/>
      <c r="P62" s="2600"/>
      <c r="Q62" s="2629"/>
      <c r="R62" s="2740"/>
      <c r="S62" s="2600"/>
      <c r="T62" s="2600"/>
      <c r="U62" s="1796" t="s">
        <v>1677</v>
      </c>
      <c r="V62" s="1767">
        <f>20000000-5000000</f>
        <v>15000000</v>
      </c>
      <c r="W62" s="1745">
        <v>20</v>
      </c>
      <c r="X62" s="568" t="s">
        <v>62</v>
      </c>
      <c r="Y62" s="2739"/>
      <c r="Z62" s="2699"/>
      <c r="AA62" s="2593"/>
      <c r="AB62" s="2593"/>
      <c r="AC62" s="2593"/>
      <c r="AD62" s="2593"/>
      <c r="AE62" s="2593"/>
      <c r="AF62" s="2593"/>
      <c r="AG62" s="2593"/>
      <c r="AH62" s="2593"/>
      <c r="AI62" s="2593"/>
      <c r="AJ62" s="2593"/>
      <c r="AK62" s="2720"/>
      <c r="AL62" s="2720"/>
      <c r="AM62" s="2593"/>
      <c r="AN62" s="2593"/>
      <c r="AO62" s="2595"/>
      <c r="AP62" s="2595"/>
      <c r="AQ62" s="2498"/>
    </row>
    <row r="63" spans="1:43" ht="30" customHeight="1" x14ac:dyDescent="0.2">
      <c r="A63" s="1751"/>
      <c r="B63" s="1694"/>
      <c r="C63" s="1789"/>
      <c r="D63" s="1797">
        <v>28</v>
      </c>
      <c r="E63" s="1798"/>
      <c r="F63" s="2735" t="s">
        <v>1678</v>
      </c>
      <c r="G63" s="2735"/>
      <c r="H63" s="2735"/>
      <c r="I63" s="2735"/>
      <c r="J63" s="2735"/>
      <c r="K63" s="2735"/>
      <c r="L63" s="1799"/>
      <c r="M63" s="1800"/>
      <c r="N63" s="1800"/>
      <c r="O63" s="1800"/>
      <c r="P63" s="1799"/>
      <c r="Q63" s="1801"/>
      <c r="R63" s="1802"/>
      <c r="S63" s="1803"/>
      <c r="T63" s="1803"/>
      <c r="U63" s="1804"/>
      <c r="V63" s="1805"/>
      <c r="W63" s="1806"/>
      <c r="X63" s="1807"/>
      <c r="Y63" s="1808"/>
      <c r="Z63" s="1809"/>
      <c r="AA63" s="1808"/>
      <c r="AB63" s="1808"/>
      <c r="AC63" s="1808"/>
      <c r="AD63" s="1808"/>
      <c r="AE63" s="1808"/>
      <c r="AF63" s="1808"/>
      <c r="AG63" s="1808"/>
      <c r="AH63" s="1808"/>
      <c r="AI63" s="1808"/>
      <c r="AJ63" s="1808"/>
      <c r="AK63" s="1808"/>
      <c r="AL63" s="1808"/>
      <c r="AM63" s="1808"/>
      <c r="AN63" s="1808"/>
      <c r="AO63" s="1810"/>
      <c r="AP63" s="1811"/>
      <c r="AQ63" s="1812"/>
    </row>
    <row r="64" spans="1:43" ht="23.25" customHeight="1" x14ac:dyDescent="0.2">
      <c r="A64" s="1751"/>
      <c r="B64" s="1694"/>
      <c r="C64" s="1694"/>
      <c r="D64" s="1813"/>
      <c r="E64" s="1814"/>
      <c r="F64" s="1815"/>
      <c r="G64" s="1732">
        <v>87</v>
      </c>
      <c r="H64" s="483" t="s">
        <v>1679</v>
      </c>
      <c r="I64" s="483"/>
      <c r="J64" s="483"/>
      <c r="K64" s="483"/>
      <c r="L64" s="484"/>
      <c r="M64" s="485"/>
      <c r="N64" s="486"/>
      <c r="O64" s="486"/>
      <c r="P64" s="484"/>
      <c r="Q64" s="1733"/>
      <c r="R64" s="487"/>
      <c r="S64" s="1755"/>
      <c r="T64" s="1755"/>
      <c r="U64" s="1756"/>
      <c r="V64" s="1736"/>
      <c r="W64" s="1816"/>
      <c r="X64" s="1817"/>
      <c r="Y64" s="1760"/>
      <c r="Z64" s="1761"/>
      <c r="AA64" s="1760"/>
      <c r="AB64" s="1818"/>
      <c r="AC64" s="1818"/>
      <c r="AD64" s="1818"/>
      <c r="AE64" s="1818"/>
      <c r="AF64" s="1818"/>
      <c r="AG64" s="1760"/>
      <c r="AH64" s="1760"/>
      <c r="AI64" s="1760"/>
      <c r="AJ64" s="1760"/>
      <c r="AK64" s="1760"/>
      <c r="AL64" s="1760"/>
      <c r="AM64" s="1760"/>
      <c r="AN64" s="1760"/>
      <c r="AO64" s="1762"/>
      <c r="AP64" s="1763"/>
      <c r="AQ64" s="1764"/>
    </row>
    <row r="65" spans="1:43" ht="37.5" customHeight="1" x14ac:dyDescent="0.2">
      <c r="A65" s="1765"/>
      <c r="D65" s="1766"/>
      <c r="G65" s="1819"/>
      <c r="H65" s="1820"/>
      <c r="I65" s="1820"/>
      <c r="J65" s="2597">
        <v>257</v>
      </c>
      <c r="K65" s="2600" t="s">
        <v>1680</v>
      </c>
      <c r="L65" s="2600" t="s">
        <v>629</v>
      </c>
      <c r="M65" s="2736">
        <v>1</v>
      </c>
      <c r="N65" s="2737" t="s">
        <v>1681</v>
      </c>
      <c r="O65" s="2737" t="s">
        <v>1682</v>
      </c>
      <c r="P65" s="2694" t="s">
        <v>1683</v>
      </c>
      <c r="Q65" s="2629">
        <f>SUM(V65:V73)/R65</f>
        <v>0.5551270815074496</v>
      </c>
      <c r="R65" s="2725">
        <f>SUM(V65:V80)</f>
        <v>399350000</v>
      </c>
      <c r="S65" s="2499" t="s">
        <v>1684</v>
      </c>
      <c r="T65" s="2600" t="s">
        <v>1685</v>
      </c>
      <c r="U65" s="1821" t="s">
        <v>1686</v>
      </c>
      <c r="V65" s="1767">
        <f>23200000-1208000</f>
        <v>21992000</v>
      </c>
      <c r="W65" s="1822">
        <v>20</v>
      </c>
      <c r="X65" s="1770" t="s">
        <v>1687</v>
      </c>
      <c r="Y65" s="2727">
        <v>294321</v>
      </c>
      <c r="Z65" s="2715">
        <v>283947</v>
      </c>
      <c r="AA65" s="2721">
        <v>135754</v>
      </c>
      <c r="AB65" s="2719">
        <v>44640</v>
      </c>
      <c r="AC65" s="2719">
        <v>308178</v>
      </c>
      <c r="AD65" s="2719">
        <v>89696</v>
      </c>
      <c r="AE65" s="2719">
        <v>2145</v>
      </c>
      <c r="AF65" s="2719">
        <v>12718</v>
      </c>
      <c r="AG65" s="2715">
        <v>26</v>
      </c>
      <c r="AH65" s="2715">
        <v>37</v>
      </c>
      <c r="AI65" s="2715"/>
      <c r="AJ65" s="2715"/>
      <c r="AK65" s="2720">
        <v>54612</v>
      </c>
      <c r="AL65" s="2715">
        <v>16982</v>
      </c>
      <c r="AM65" s="2715">
        <v>1010</v>
      </c>
      <c r="AN65" s="2715">
        <f>Y65+Z65</f>
        <v>578268</v>
      </c>
      <c r="AO65" s="2596">
        <v>43102</v>
      </c>
      <c r="AP65" s="2596">
        <v>43465</v>
      </c>
      <c r="AQ65" s="2598" t="s">
        <v>1607</v>
      </c>
    </row>
    <row r="66" spans="1:43" ht="39.75" customHeight="1" x14ac:dyDescent="0.2">
      <c r="A66" s="1765"/>
      <c r="D66" s="1766"/>
      <c r="G66" s="1766"/>
      <c r="J66" s="2597"/>
      <c r="K66" s="2600"/>
      <c r="L66" s="2600"/>
      <c r="M66" s="2736"/>
      <c r="N66" s="2738"/>
      <c r="O66" s="2738"/>
      <c r="P66" s="2724"/>
      <c r="Q66" s="2629"/>
      <c r="R66" s="2726"/>
      <c r="S66" s="2632"/>
      <c r="T66" s="2600"/>
      <c r="U66" s="1821" t="s">
        <v>1688</v>
      </c>
      <c r="V66" s="1767">
        <f>68400000-68400000</f>
        <v>0</v>
      </c>
      <c r="W66" s="1822">
        <v>20</v>
      </c>
      <c r="X66" s="1770" t="s">
        <v>1687</v>
      </c>
      <c r="Y66" s="2728"/>
      <c r="Z66" s="2716"/>
      <c r="AA66" s="2722"/>
      <c r="AB66" s="2719"/>
      <c r="AC66" s="2719"/>
      <c r="AD66" s="2719"/>
      <c r="AE66" s="2719"/>
      <c r="AF66" s="2719"/>
      <c r="AG66" s="2716"/>
      <c r="AH66" s="2716"/>
      <c r="AI66" s="2716"/>
      <c r="AJ66" s="2716"/>
      <c r="AK66" s="2720"/>
      <c r="AL66" s="2716"/>
      <c r="AM66" s="2716"/>
      <c r="AN66" s="2716"/>
      <c r="AO66" s="2718"/>
      <c r="AP66" s="2718"/>
      <c r="AQ66" s="2714"/>
    </row>
    <row r="67" spans="1:43" ht="32.25" customHeight="1" x14ac:dyDescent="0.2">
      <c r="A67" s="1765"/>
      <c r="D67" s="1766"/>
      <c r="G67" s="1766"/>
      <c r="J67" s="2597"/>
      <c r="K67" s="2600"/>
      <c r="L67" s="2600"/>
      <c r="M67" s="2736"/>
      <c r="N67" s="2738"/>
      <c r="O67" s="2738"/>
      <c r="P67" s="2724"/>
      <c r="Q67" s="2629"/>
      <c r="R67" s="2726"/>
      <c r="S67" s="2632"/>
      <c r="T67" s="2600"/>
      <c r="U67" s="2731" t="s">
        <v>1689</v>
      </c>
      <c r="V67" s="1767">
        <f>0+69608000</f>
        <v>69608000</v>
      </c>
      <c r="W67" s="1822">
        <v>20</v>
      </c>
      <c r="X67" s="1770" t="s">
        <v>1687</v>
      </c>
      <c r="Y67" s="2728"/>
      <c r="Z67" s="2716"/>
      <c r="AA67" s="2722"/>
      <c r="AB67" s="2719"/>
      <c r="AC67" s="2719"/>
      <c r="AD67" s="2719"/>
      <c r="AE67" s="2719"/>
      <c r="AF67" s="2719"/>
      <c r="AG67" s="2716"/>
      <c r="AH67" s="2716"/>
      <c r="AI67" s="2716"/>
      <c r="AJ67" s="2716"/>
      <c r="AK67" s="2720"/>
      <c r="AL67" s="2716"/>
      <c r="AM67" s="2716"/>
      <c r="AN67" s="2716"/>
      <c r="AO67" s="2718"/>
      <c r="AP67" s="2718"/>
      <c r="AQ67" s="2714"/>
    </row>
    <row r="68" spans="1:43" ht="30.75" customHeight="1" x14ac:dyDescent="0.2">
      <c r="A68" s="1765"/>
      <c r="D68" s="1766"/>
      <c r="G68" s="1766"/>
      <c r="J68" s="2597"/>
      <c r="K68" s="2600"/>
      <c r="L68" s="2600"/>
      <c r="M68" s="2736"/>
      <c r="N68" s="2738"/>
      <c r="O68" s="2738"/>
      <c r="P68" s="2724"/>
      <c r="Q68" s="2629"/>
      <c r="R68" s="2726"/>
      <c r="S68" s="2632"/>
      <c r="T68" s="2600"/>
      <c r="U68" s="2732"/>
      <c r="V68" s="1768">
        <f>0+25833800+21050000</f>
        <v>46883800</v>
      </c>
      <c r="W68" s="1822">
        <v>88</v>
      </c>
      <c r="X68" s="1770" t="s">
        <v>1690</v>
      </c>
      <c r="Y68" s="2728"/>
      <c r="Z68" s="2716"/>
      <c r="AA68" s="2722"/>
      <c r="AB68" s="2719"/>
      <c r="AC68" s="2719"/>
      <c r="AD68" s="2719"/>
      <c r="AE68" s="2719"/>
      <c r="AF68" s="2719"/>
      <c r="AG68" s="2716"/>
      <c r="AH68" s="2716"/>
      <c r="AI68" s="2716"/>
      <c r="AJ68" s="2716"/>
      <c r="AK68" s="2720"/>
      <c r="AL68" s="2716"/>
      <c r="AM68" s="2716"/>
      <c r="AN68" s="2716"/>
      <c r="AO68" s="2718"/>
      <c r="AP68" s="2718"/>
      <c r="AQ68" s="2714"/>
    </row>
    <row r="69" spans="1:43" ht="27.75" customHeight="1" x14ac:dyDescent="0.2">
      <c r="A69" s="1765"/>
      <c r="D69" s="1766"/>
      <c r="G69" s="1766"/>
      <c r="J69" s="2597"/>
      <c r="K69" s="2600"/>
      <c r="L69" s="2600"/>
      <c r="M69" s="2736"/>
      <c r="N69" s="2738"/>
      <c r="O69" s="2738"/>
      <c r="P69" s="2724"/>
      <c r="Q69" s="2629"/>
      <c r="R69" s="2726"/>
      <c r="S69" s="2632"/>
      <c r="T69" s="2643"/>
      <c r="U69" s="2733" t="s">
        <v>1691</v>
      </c>
      <c r="V69" s="1823">
        <f>68400000-6360000</f>
        <v>62040000</v>
      </c>
      <c r="W69" s="1822">
        <v>20</v>
      </c>
      <c r="X69" s="1770" t="s">
        <v>1687</v>
      </c>
      <c r="Y69" s="2728"/>
      <c r="Z69" s="2716"/>
      <c r="AA69" s="2722"/>
      <c r="AB69" s="2719"/>
      <c r="AC69" s="2719"/>
      <c r="AD69" s="2719"/>
      <c r="AE69" s="2719"/>
      <c r="AF69" s="2719"/>
      <c r="AG69" s="2716"/>
      <c r="AH69" s="2716"/>
      <c r="AI69" s="2716"/>
      <c r="AJ69" s="2716"/>
      <c r="AK69" s="2720"/>
      <c r="AL69" s="2716"/>
      <c r="AM69" s="2716"/>
      <c r="AN69" s="2716"/>
      <c r="AO69" s="2718"/>
      <c r="AP69" s="2718"/>
      <c r="AQ69" s="2714"/>
    </row>
    <row r="70" spans="1:43" ht="32.25" customHeight="1" x14ac:dyDescent="0.2">
      <c r="A70" s="1765"/>
      <c r="D70" s="1766"/>
      <c r="G70" s="1766"/>
      <c r="J70" s="2597"/>
      <c r="K70" s="2600"/>
      <c r="L70" s="2600"/>
      <c r="M70" s="2736"/>
      <c r="N70" s="2738"/>
      <c r="O70" s="2738"/>
      <c r="P70" s="2724"/>
      <c r="Q70" s="2629"/>
      <c r="R70" s="2726"/>
      <c r="S70" s="2632"/>
      <c r="T70" s="2643"/>
      <c r="U70" s="2733"/>
      <c r="V70" s="1824">
        <f>0+4584800</f>
        <v>4584800</v>
      </c>
      <c r="W70" s="1825">
        <v>88</v>
      </c>
      <c r="X70" s="1826" t="s">
        <v>1690</v>
      </c>
      <c r="Y70" s="2729"/>
      <c r="Z70" s="2716"/>
      <c r="AA70" s="2722"/>
      <c r="AB70" s="2719"/>
      <c r="AC70" s="2719"/>
      <c r="AD70" s="2719"/>
      <c r="AE70" s="2719"/>
      <c r="AF70" s="2719"/>
      <c r="AG70" s="2716"/>
      <c r="AH70" s="2716"/>
      <c r="AI70" s="2716"/>
      <c r="AJ70" s="2716"/>
      <c r="AK70" s="2720"/>
      <c r="AL70" s="2716"/>
      <c r="AM70" s="2716"/>
      <c r="AN70" s="2716"/>
      <c r="AO70" s="2718"/>
      <c r="AP70" s="2718"/>
      <c r="AQ70" s="2714"/>
    </row>
    <row r="71" spans="1:43" ht="24" customHeight="1" x14ac:dyDescent="0.2">
      <c r="A71" s="1765"/>
      <c r="D71" s="1766"/>
      <c r="G71" s="1766"/>
      <c r="J71" s="2597"/>
      <c r="K71" s="2600"/>
      <c r="L71" s="2600"/>
      <c r="M71" s="2736"/>
      <c r="N71" s="2738"/>
      <c r="O71" s="2738"/>
      <c r="P71" s="2724"/>
      <c r="Q71" s="2629"/>
      <c r="R71" s="2726"/>
      <c r="S71" s="2632"/>
      <c r="T71" s="2643"/>
      <c r="U71" s="1827" t="s">
        <v>1692</v>
      </c>
      <c r="V71" s="1828">
        <f>0+6360000</f>
        <v>6360000</v>
      </c>
      <c r="W71" s="1829">
        <v>20</v>
      </c>
      <c r="X71" s="1830" t="s">
        <v>1687</v>
      </c>
      <c r="Y71" s="2729"/>
      <c r="Z71" s="2716"/>
      <c r="AA71" s="2722"/>
      <c r="AB71" s="2719"/>
      <c r="AC71" s="2719"/>
      <c r="AD71" s="2719"/>
      <c r="AE71" s="2719"/>
      <c r="AF71" s="2719"/>
      <c r="AG71" s="2716"/>
      <c r="AH71" s="2716"/>
      <c r="AI71" s="2716"/>
      <c r="AJ71" s="2716"/>
      <c r="AK71" s="2720"/>
      <c r="AL71" s="2716"/>
      <c r="AM71" s="2716"/>
      <c r="AN71" s="2716"/>
      <c r="AO71" s="2718"/>
      <c r="AP71" s="2718"/>
      <c r="AQ71" s="2714"/>
    </row>
    <row r="72" spans="1:43" ht="30.75" customHeight="1" x14ac:dyDescent="0.2">
      <c r="A72" s="1765"/>
      <c r="D72" s="1766"/>
      <c r="G72" s="1766"/>
      <c r="J72" s="2597"/>
      <c r="K72" s="2600"/>
      <c r="L72" s="2600"/>
      <c r="M72" s="2736"/>
      <c r="N72" s="2738"/>
      <c r="O72" s="2738"/>
      <c r="P72" s="2724"/>
      <c r="Q72" s="2629"/>
      <c r="R72" s="2726"/>
      <c r="S72" s="2632"/>
      <c r="T72" s="2643"/>
      <c r="U72" s="1831" t="s">
        <v>1693</v>
      </c>
      <c r="V72" s="1832">
        <f>0+3000000</f>
        <v>3000000</v>
      </c>
      <c r="W72" s="1825">
        <v>88</v>
      </c>
      <c r="X72" s="1826" t="s">
        <v>1690</v>
      </c>
      <c r="Y72" s="2729"/>
      <c r="Z72" s="2716"/>
      <c r="AA72" s="2722"/>
      <c r="AB72" s="2719"/>
      <c r="AC72" s="2719"/>
      <c r="AD72" s="2719"/>
      <c r="AE72" s="2719"/>
      <c r="AF72" s="2719"/>
      <c r="AG72" s="2716"/>
      <c r="AH72" s="2716"/>
      <c r="AI72" s="2716"/>
      <c r="AJ72" s="2716"/>
      <c r="AK72" s="2720"/>
      <c r="AL72" s="2716"/>
      <c r="AM72" s="2716"/>
      <c r="AN72" s="2716"/>
      <c r="AO72" s="2718"/>
      <c r="AP72" s="2718"/>
      <c r="AQ72" s="2714"/>
    </row>
    <row r="73" spans="1:43" ht="30.75" customHeight="1" x14ac:dyDescent="0.2">
      <c r="A73" s="1765"/>
      <c r="D73" s="1766"/>
      <c r="G73" s="1766"/>
      <c r="I73" s="1833"/>
      <c r="J73" s="2597"/>
      <c r="K73" s="2600"/>
      <c r="L73" s="2600"/>
      <c r="M73" s="2736"/>
      <c r="N73" s="2738"/>
      <c r="O73" s="2738"/>
      <c r="P73" s="2724"/>
      <c r="Q73" s="2629"/>
      <c r="R73" s="2726"/>
      <c r="S73" s="2632"/>
      <c r="T73" s="2643"/>
      <c r="U73" s="1834" t="s">
        <v>1694</v>
      </c>
      <c r="V73" s="1835">
        <f>0+7221400</f>
        <v>7221400</v>
      </c>
      <c r="W73" s="1825">
        <v>88</v>
      </c>
      <c r="X73" s="1826" t="s">
        <v>1690</v>
      </c>
      <c r="Y73" s="2729"/>
      <c r="Z73" s="2716"/>
      <c r="AA73" s="2722"/>
      <c r="AB73" s="2719"/>
      <c r="AC73" s="2719"/>
      <c r="AD73" s="2719"/>
      <c r="AE73" s="2719"/>
      <c r="AF73" s="2719"/>
      <c r="AG73" s="2716"/>
      <c r="AH73" s="2716"/>
      <c r="AI73" s="2716"/>
      <c r="AJ73" s="2716"/>
      <c r="AK73" s="2720"/>
      <c r="AL73" s="2716"/>
      <c r="AM73" s="2716"/>
      <c r="AN73" s="2716"/>
      <c r="AO73" s="2718"/>
      <c r="AP73" s="2718"/>
      <c r="AQ73" s="2714"/>
    </row>
    <row r="74" spans="1:43" ht="82.5" customHeight="1" x14ac:dyDescent="0.2">
      <c r="A74" s="1765"/>
      <c r="D74" s="1766"/>
      <c r="G74" s="1766"/>
      <c r="I74" s="1833"/>
      <c r="J74" s="1822">
        <v>258</v>
      </c>
      <c r="K74" s="67" t="s">
        <v>1695</v>
      </c>
      <c r="L74" s="67" t="s">
        <v>1696</v>
      </c>
      <c r="M74" s="1769">
        <v>1</v>
      </c>
      <c r="N74" s="2738"/>
      <c r="O74" s="2738"/>
      <c r="P74" s="2724"/>
      <c r="Q74" s="1836">
        <f>(V74)/R65</f>
        <v>7.4621259546763491E-2</v>
      </c>
      <c r="R74" s="2726"/>
      <c r="S74" s="2632"/>
      <c r="T74" s="67" t="s">
        <v>1697</v>
      </c>
      <c r="U74" s="1837" t="s">
        <v>1698</v>
      </c>
      <c r="V74" s="1838">
        <v>29800000</v>
      </c>
      <c r="W74" s="1839" t="s">
        <v>61</v>
      </c>
      <c r="X74" s="1840" t="s">
        <v>1687</v>
      </c>
      <c r="Y74" s="2728"/>
      <c r="Z74" s="2716"/>
      <c r="AA74" s="2722"/>
      <c r="AB74" s="2719"/>
      <c r="AC74" s="2719"/>
      <c r="AD74" s="2719"/>
      <c r="AE74" s="2719"/>
      <c r="AF74" s="2719"/>
      <c r="AG74" s="2716"/>
      <c r="AH74" s="2716"/>
      <c r="AI74" s="2716"/>
      <c r="AJ74" s="2716"/>
      <c r="AK74" s="2720"/>
      <c r="AL74" s="2716"/>
      <c r="AM74" s="2716"/>
      <c r="AN74" s="2716"/>
      <c r="AO74" s="2718"/>
      <c r="AP74" s="2718"/>
      <c r="AQ74" s="2714"/>
    </row>
    <row r="75" spans="1:43" ht="61.5" customHeight="1" x14ac:dyDescent="0.2">
      <c r="A75" s="1765"/>
      <c r="D75" s="1766"/>
      <c r="G75" s="1766"/>
      <c r="J75" s="1841">
        <v>259</v>
      </c>
      <c r="K75" s="93" t="s">
        <v>1699</v>
      </c>
      <c r="L75" s="93" t="s">
        <v>1700</v>
      </c>
      <c r="M75" s="1842">
        <v>1</v>
      </c>
      <c r="N75" s="2738"/>
      <c r="O75" s="2738"/>
      <c r="P75" s="2724"/>
      <c r="Q75" s="1843">
        <f>V75/R65</f>
        <v>2.1284587454613747E-2</v>
      </c>
      <c r="R75" s="2726"/>
      <c r="S75" s="2632"/>
      <c r="T75" s="93" t="s">
        <v>1701</v>
      </c>
      <c r="U75" s="318" t="s">
        <v>1702</v>
      </c>
      <c r="V75" s="1744">
        <v>8500000</v>
      </c>
      <c r="W75" s="1822">
        <v>20</v>
      </c>
      <c r="X75" s="1770" t="s">
        <v>1687</v>
      </c>
      <c r="Y75" s="2728"/>
      <c r="Z75" s="2716"/>
      <c r="AA75" s="2722"/>
      <c r="AB75" s="2719"/>
      <c r="AC75" s="2719"/>
      <c r="AD75" s="2719"/>
      <c r="AE75" s="2719"/>
      <c r="AF75" s="2719"/>
      <c r="AG75" s="2716"/>
      <c r="AH75" s="2716"/>
      <c r="AI75" s="2716"/>
      <c r="AJ75" s="2716"/>
      <c r="AK75" s="2720"/>
      <c r="AL75" s="2716"/>
      <c r="AM75" s="2716"/>
      <c r="AN75" s="2716"/>
      <c r="AO75" s="2718"/>
      <c r="AP75" s="2718"/>
      <c r="AQ75" s="2714"/>
    </row>
    <row r="76" spans="1:43" ht="50.25" customHeight="1" x14ac:dyDescent="0.2">
      <c r="A76" s="1765"/>
      <c r="D76" s="1766"/>
      <c r="G76" s="1766"/>
      <c r="J76" s="1841">
        <v>263</v>
      </c>
      <c r="K76" s="93" t="s">
        <v>1703</v>
      </c>
      <c r="L76" s="93" t="s">
        <v>1704</v>
      </c>
      <c r="M76" s="1842">
        <v>1</v>
      </c>
      <c r="N76" s="2738"/>
      <c r="O76" s="2738"/>
      <c r="P76" s="2724"/>
      <c r="Q76" s="1843">
        <f>V76/R65</f>
        <v>0.20032552898459999</v>
      </c>
      <c r="R76" s="2726"/>
      <c r="S76" s="2632"/>
      <c r="T76" s="93" t="s">
        <v>1705</v>
      </c>
      <c r="U76" s="319" t="s">
        <v>1706</v>
      </c>
      <c r="V76" s="1744">
        <v>80000000</v>
      </c>
      <c r="W76" s="1822">
        <v>20</v>
      </c>
      <c r="X76" s="1770" t="s">
        <v>1687</v>
      </c>
      <c r="Y76" s="2728"/>
      <c r="Z76" s="2716"/>
      <c r="AA76" s="2722"/>
      <c r="AB76" s="2719"/>
      <c r="AC76" s="2719"/>
      <c r="AD76" s="2719"/>
      <c r="AE76" s="2719"/>
      <c r="AF76" s="2719"/>
      <c r="AG76" s="2716"/>
      <c r="AH76" s="2716"/>
      <c r="AI76" s="2716"/>
      <c r="AJ76" s="2716"/>
      <c r="AK76" s="2720"/>
      <c r="AL76" s="2716"/>
      <c r="AM76" s="2716"/>
      <c r="AN76" s="2716"/>
      <c r="AO76" s="2718"/>
      <c r="AP76" s="2718"/>
      <c r="AQ76" s="2714"/>
    </row>
    <row r="77" spans="1:43" ht="27.75" customHeight="1" x14ac:dyDescent="0.2">
      <c r="A77" s="1765"/>
      <c r="D77" s="1766"/>
      <c r="G77" s="1766"/>
      <c r="J77" s="2598">
        <v>261</v>
      </c>
      <c r="K77" s="2499" t="s">
        <v>1707</v>
      </c>
      <c r="L77" s="2499" t="s">
        <v>1708</v>
      </c>
      <c r="M77" s="2594">
        <v>2</v>
      </c>
      <c r="N77" s="2738"/>
      <c r="O77" s="2738"/>
      <c r="P77" s="2724"/>
      <c r="Q77" s="2572">
        <f>SUM(V77:V80)/R65</f>
        <v>0.14864154250657319</v>
      </c>
      <c r="R77" s="2726"/>
      <c r="S77" s="2632"/>
      <c r="T77" s="2499" t="s">
        <v>1709</v>
      </c>
      <c r="U77" s="2586" t="s">
        <v>1710</v>
      </c>
      <c r="V77" s="1844">
        <v>26400000</v>
      </c>
      <c r="W77" s="1845">
        <v>20</v>
      </c>
      <c r="X77" s="1770" t="s">
        <v>1687</v>
      </c>
      <c r="Y77" s="2728"/>
      <c r="Z77" s="2716"/>
      <c r="AA77" s="2722"/>
      <c r="AB77" s="2719"/>
      <c r="AC77" s="2719"/>
      <c r="AD77" s="2719"/>
      <c r="AE77" s="2719"/>
      <c r="AF77" s="2719"/>
      <c r="AG77" s="2716"/>
      <c r="AH77" s="2716"/>
      <c r="AI77" s="2716"/>
      <c r="AJ77" s="2716"/>
      <c r="AK77" s="2720"/>
      <c r="AL77" s="2716"/>
      <c r="AM77" s="2716"/>
      <c r="AN77" s="2716"/>
      <c r="AO77" s="2718"/>
      <c r="AP77" s="2718"/>
      <c r="AQ77" s="2714"/>
    </row>
    <row r="78" spans="1:43" ht="29.25" customHeight="1" x14ac:dyDescent="0.2">
      <c r="A78" s="1765"/>
      <c r="D78" s="1766"/>
      <c r="G78" s="1766"/>
      <c r="J78" s="2714"/>
      <c r="K78" s="2632"/>
      <c r="L78" s="2632"/>
      <c r="M78" s="2601"/>
      <c r="N78" s="2738"/>
      <c r="O78" s="2738"/>
      <c r="P78" s="2724"/>
      <c r="Q78" s="2581"/>
      <c r="R78" s="2726"/>
      <c r="S78" s="2632"/>
      <c r="T78" s="2632"/>
      <c r="U78" s="2590"/>
      <c r="V78" s="1846">
        <f>0+8760000</f>
        <v>8760000</v>
      </c>
      <c r="W78" s="1847">
        <v>88</v>
      </c>
      <c r="X78" s="1826" t="s">
        <v>1690</v>
      </c>
      <c r="Y78" s="2728"/>
      <c r="Z78" s="2716"/>
      <c r="AA78" s="2722"/>
      <c r="AB78" s="2719"/>
      <c r="AC78" s="2719"/>
      <c r="AD78" s="2719"/>
      <c r="AE78" s="2719"/>
      <c r="AF78" s="2719"/>
      <c r="AG78" s="2716"/>
      <c r="AH78" s="2716"/>
      <c r="AI78" s="2716"/>
      <c r="AJ78" s="2716"/>
      <c r="AK78" s="2720"/>
      <c r="AL78" s="2716"/>
      <c r="AM78" s="2716"/>
      <c r="AN78" s="2716"/>
      <c r="AO78" s="2718"/>
      <c r="AP78" s="2718"/>
      <c r="AQ78" s="2714"/>
    </row>
    <row r="79" spans="1:43" ht="24" customHeight="1" x14ac:dyDescent="0.2">
      <c r="A79" s="1765"/>
      <c r="D79" s="1766"/>
      <c r="G79" s="1766"/>
      <c r="J79" s="2714"/>
      <c r="K79" s="2632"/>
      <c r="L79" s="2632"/>
      <c r="M79" s="2601"/>
      <c r="N79" s="2738"/>
      <c r="O79" s="2738"/>
      <c r="P79" s="2724"/>
      <c r="Q79" s="2581"/>
      <c r="R79" s="2726"/>
      <c r="S79" s="2632"/>
      <c r="T79" s="2632"/>
      <c r="U79" s="2586" t="s">
        <v>1711</v>
      </c>
      <c r="V79" s="1848">
        <v>13600000</v>
      </c>
      <c r="W79" s="1822">
        <v>20</v>
      </c>
      <c r="X79" s="1770" t="s">
        <v>1687</v>
      </c>
      <c r="Y79" s="2728"/>
      <c r="Z79" s="2716"/>
      <c r="AA79" s="2722"/>
      <c r="AB79" s="2719"/>
      <c r="AC79" s="2719"/>
      <c r="AD79" s="2719"/>
      <c r="AE79" s="2719"/>
      <c r="AF79" s="2719"/>
      <c r="AG79" s="2716"/>
      <c r="AH79" s="2716"/>
      <c r="AI79" s="2716"/>
      <c r="AJ79" s="2716"/>
      <c r="AK79" s="2720"/>
      <c r="AL79" s="2716"/>
      <c r="AM79" s="2716"/>
      <c r="AN79" s="2716"/>
      <c r="AO79" s="2718"/>
      <c r="AP79" s="2718"/>
      <c r="AQ79" s="2714"/>
    </row>
    <row r="80" spans="1:43" ht="35.25" customHeight="1" x14ac:dyDescent="0.2">
      <c r="A80" s="1765"/>
      <c r="D80" s="1766"/>
      <c r="G80" s="1766"/>
      <c r="J80" s="2714"/>
      <c r="K80" s="2632"/>
      <c r="L80" s="2632"/>
      <c r="M80" s="2601"/>
      <c r="N80" s="2738"/>
      <c r="O80" s="2738"/>
      <c r="P80" s="2724"/>
      <c r="Q80" s="2581"/>
      <c r="R80" s="2726"/>
      <c r="S80" s="2500"/>
      <c r="T80" s="2500"/>
      <c r="U80" s="2734"/>
      <c r="V80" s="1849">
        <f>0+10600000</f>
        <v>10600000</v>
      </c>
      <c r="W80" s="1825">
        <v>88</v>
      </c>
      <c r="X80" s="1826" t="s">
        <v>1690</v>
      </c>
      <c r="Y80" s="2730"/>
      <c r="Z80" s="2717"/>
      <c r="AA80" s="2723"/>
      <c r="AB80" s="2719"/>
      <c r="AC80" s="2719"/>
      <c r="AD80" s="2719"/>
      <c r="AE80" s="2719"/>
      <c r="AF80" s="2719"/>
      <c r="AG80" s="2717"/>
      <c r="AH80" s="2717"/>
      <c r="AI80" s="2717"/>
      <c r="AJ80" s="2717"/>
      <c r="AK80" s="2720"/>
      <c r="AL80" s="2717"/>
      <c r="AM80" s="2717"/>
      <c r="AN80" s="2717"/>
      <c r="AO80" s="2641"/>
      <c r="AP80" s="2641"/>
      <c r="AQ80" s="2642"/>
    </row>
    <row r="81" spans="1:43" ht="51" customHeight="1" x14ac:dyDescent="0.2">
      <c r="A81" s="1739"/>
      <c r="D81" s="1740"/>
      <c r="E81" s="2712"/>
      <c r="F81" s="2712"/>
      <c r="G81" s="2713"/>
      <c r="H81" s="2712"/>
      <c r="I81" s="2712"/>
      <c r="J81" s="2672">
        <v>262</v>
      </c>
      <c r="K81" s="2666" t="s">
        <v>1712</v>
      </c>
      <c r="L81" s="2666" t="s">
        <v>1713</v>
      </c>
      <c r="M81" s="2703">
        <v>1</v>
      </c>
      <c r="N81" s="2670" t="s">
        <v>1714</v>
      </c>
      <c r="O81" s="2672" t="s">
        <v>1715</v>
      </c>
      <c r="P81" s="2666" t="s">
        <v>1716</v>
      </c>
      <c r="Q81" s="2708">
        <v>1</v>
      </c>
      <c r="R81" s="2710">
        <f>SUM(V81:V90)</f>
        <v>82600000</v>
      </c>
      <c r="S81" s="2660" t="s">
        <v>1717</v>
      </c>
      <c r="T81" s="2695" t="s">
        <v>1718</v>
      </c>
      <c r="U81" s="2690" t="s">
        <v>1719</v>
      </c>
      <c r="V81" s="1850">
        <v>6000000</v>
      </c>
      <c r="W81" s="1839" t="s">
        <v>61</v>
      </c>
      <c r="X81" s="1851" t="s">
        <v>1720</v>
      </c>
      <c r="Y81" s="2593">
        <v>294321</v>
      </c>
      <c r="Z81" s="2699">
        <v>283947</v>
      </c>
      <c r="AA81" s="2593">
        <v>135754</v>
      </c>
      <c r="AB81" s="2625">
        <v>44640</v>
      </c>
      <c r="AC81" s="2625">
        <v>308178</v>
      </c>
      <c r="AD81" s="2625">
        <v>89696</v>
      </c>
      <c r="AE81" s="2625">
        <v>2145</v>
      </c>
      <c r="AF81" s="2625">
        <v>12718</v>
      </c>
      <c r="AG81" s="2593">
        <v>26</v>
      </c>
      <c r="AH81" s="2605">
        <v>37</v>
      </c>
      <c r="AI81" s="2593"/>
      <c r="AJ81" s="2593"/>
      <c r="AK81" s="2593">
        <v>54612</v>
      </c>
      <c r="AL81" s="2593">
        <v>16982</v>
      </c>
      <c r="AM81" s="2593">
        <v>1010</v>
      </c>
      <c r="AN81" s="2593">
        <f>Y81+Z81</f>
        <v>578268</v>
      </c>
      <c r="AO81" s="2595">
        <v>43102</v>
      </c>
      <c r="AP81" s="2595">
        <v>43465</v>
      </c>
      <c r="AQ81" s="2597" t="s">
        <v>1721</v>
      </c>
    </row>
    <row r="82" spans="1:43" ht="51" customHeight="1" x14ac:dyDescent="0.2">
      <c r="A82" s="1739"/>
      <c r="D82" s="1740"/>
      <c r="E82" s="2712"/>
      <c r="F82" s="2712"/>
      <c r="G82" s="2713"/>
      <c r="H82" s="2712"/>
      <c r="I82" s="2712"/>
      <c r="J82" s="2672"/>
      <c r="K82" s="2666"/>
      <c r="L82" s="2666"/>
      <c r="M82" s="2703"/>
      <c r="N82" s="2670"/>
      <c r="O82" s="2672"/>
      <c r="P82" s="2666"/>
      <c r="Q82" s="2708"/>
      <c r="R82" s="2710"/>
      <c r="S82" s="2660"/>
      <c r="T82" s="2696"/>
      <c r="U82" s="2698"/>
      <c r="V82" s="1846">
        <f>0+4500000</f>
        <v>4500000</v>
      </c>
      <c r="W82" s="1852">
        <v>88</v>
      </c>
      <c r="X82" s="1853" t="s">
        <v>1722</v>
      </c>
      <c r="Y82" s="2593"/>
      <c r="Z82" s="2699"/>
      <c r="AA82" s="2593"/>
      <c r="AB82" s="2625"/>
      <c r="AC82" s="2625"/>
      <c r="AD82" s="2625"/>
      <c r="AE82" s="2625"/>
      <c r="AF82" s="2625"/>
      <c r="AG82" s="2593"/>
      <c r="AH82" s="2605"/>
      <c r="AI82" s="2593"/>
      <c r="AJ82" s="2593"/>
      <c r="AK82" s="2593"/>
      <c r="AL82" s="2593"/>
      <c r="AM82" s="2593"/>
      <c r="AN82" s="2593"/>
      <c r="AO82" s="2595"/>
      <c r="AP82" s="2595"/>
      <c r="AQ82" s="2597"/>
    </row>
    <row r="83" spans="1:43" ht="39.75" customHeight="1" x14ac:dyDescent="0.2">
      <c r="A83" s="1739"/>
      <c r="D83" s="1740"/>
      <c r="E83" s="2712"/>
      <c r="F83" s="2712"/>
      <c r="G83" s="2713"/>
      <c r="H83" s="2712"/>
      <c r="I83" s="2712"/>
      <c r="J83" s="2672"/>
      <c r="K83" s="2666"/>
      <c r="L83" s="2666"/>
      <c r="M83" s="2703"/>
      <c r="N83" s="2670"/>
      <c r="O83" s="2672"/>
      <c r="P83" s="2666"/>
      <c r="Q83" s="2708"/>
      <c r="R83" s="2710"/>
      <c r="S83" s="2660"/>
      <c r="T83" s="2696"/>
      <c r="U83" s="2688" t="s">
        <v>1723</v>
      </c>
      <c r="V83" s="1846">
        <v>3600000</v>
      </c>
      <c r="W83" s="1852" t="s">
        <v>61</v>
      </c>
      <c r="X83" s="1854" t="s">
        <v>1720</v>
      </c>
      <c r="Y83" s="2593"/>
      <c r="Z83" s="2699"/>
      <c r="AA83" s="2593"/>
      <c r="AB83" s="2625"/>
      <c r="AC83" s="2625"/>
      <c r="AD83" s="2625"/>
      <c r="AE83" s="2625"/>
      <c r="AF83" s="2625"/>
      <c r="AG83" s="2593"/>
      <c r="AH83" s="2605"/>
      <c r="AI83" s="2593"/>
      <c r="AJ83" s="2593"/>
      <c r="AK83" s="2593"/>
      <c r="AL83" s="2593"/>
      <c r="AM83" s="2593"/>
      <c r="AN83" s="2593"/>
      <c r="AO83" s="2595"/>
      <c r="AP83" s="2595"/>
      <c r="AQ83" s="2597"/>
    </row>
    <row r="84" spans="1:43" ht="36" customHeight="1" x14ac:dyDescent="0.2">
      <c r="A84" s="1739"/>
      <c r="D84" s="1740"/>
      <c r="E84" s="2712"/>
      <c r="F84" s="2712"/>
      <c r="G84" s="2713"/>
      <c r="H84" s="2712"/>
      <c r="I84" s="2712"/>
      <c r="J84" s="2672"/>
      <c r="K84" s="2666"/>
      <c r="L84" s="2666"/>
      <c r="M84" s="2703"/>
      <c r="N84" s="2670"/>
      <c r="O84" s="2672"/>
      <c r="P84" s="2666"/>
      <c r="Q84" s="2708"/>
      <c r="R84" s="2710"/>
      <c r="S84" s="2660"/>
      <c r="T84" s="2696"/>
      <c r="U84" s="2689"/>
      <c r="V84" s="1846">
        <f>0+9300000</f>
        <v>9300000</v>
      </c>
      <c r="W84" s="1852">
        <v>88</v>
      </c>
      <c r="X84" s="1853" t="s">
        <v>1724</v>
      </c>
      <c r="Y84" s="2593"/>
      <c r="Z84" s="2699"/>
      <c r="AA84" s="2593"/>
      <c r="AB84" s="2625"/>
      <c r="AC84" s="2625"/>
      <c r="AD84" s="2625"/>
      <c r="AE84" s="2625"/>
      <c r="AF84" s="2625"/>
      <c r="AG84" s="2593"/>
      <c r="AH84" s="2605"/>
      <c r="AI84" s="2593"/>
      <c r="AJ84" s="2593"/>
      <c r="AK84" s="2593"/>
      <c r="AL84" s="2593"/>
      <c r="AM84" s="2593"/>
      <c r="AN84" s="2593"/>
      <c r="AO84" s="2595"/>
      <c r="AP84" s="2595"/>
      <c r="AQ84" s="2597"/>
    </row>
    <row r="85" spans="1:43" ht="42.75" customHeight="1" x14ac:dyDescent="0.2">
      <c r="A85" s="1739"/>
      <c r="D85" s="1740"/>
      <c r="E85" s="2712"/>
      <c r="F85" s="2712"/>
      <c r="G85" s="2713"/>
      <c r="H85" s="2712"/>
      <c r="I85" s="2712"/>
      <c r="J85" s="2672"/>
      <c r="K85" s="2666"/>
      <c r="L85" s="2666"/>
      <c r="M85" s="2703"/>
      <c r="N85" s="2670"/>
      <c r="O85" s="2672"/>
      <c r="P85" s="2666"/>
      <c r="Q85" s="2708"/>
      <c r="R85" s="2710"/>
      <c r="S85" s="2660"/>
      <c r="T85" s="2696"/>
      <c r="U85" s="2690" t="s">
        <v>1725</v>
      </c>
      <c r="V85" s="1846">
        <f>960000+2000000</f>
        <v>2960000</v>
      </c>
      <c r="W85" s="1852">
        <v>20</v>
      </c>
      <c r="X85" s="1854" t="s">
        <v>1720</v>
      </c>
      <c r="Y85" s="2593"/>
      <c r="Z85" s="2699"/>
      <c r="AA85" s="2593"/>
      <c r="AB85" s="2593"/>
      <c r="AC85" s="2593"/>
      <c r="AD85" s="2593"/>
      <c r="AE85" s="2593"/>
      <c r="AF85" s="2593"/>
      <c r="AG85" s="2593"/>
      <c r="AH85" s="2605"/>
      <c r="AI85" s="2593"/>
      <c r="AJ85" s="2593"/>
      <c r="AK85" s="2593"/>
      <c r="AL85" s="2593"/>
      <c r="AM85" s="2593"/>
      <c r="AN85" s="2593"/>
      <c r="AO85" s="2595"/>
      <c r="AP85" s="2595"/>
      <c r="AQ85" s="2597"/>
    </row>
    <row r="86" spans="1:43" ht="52.5" customHeight="1" x14ac:dyDescent="0.2">
      <c r="A86" s="1739"/>
      <c r="D86" s="1740"/>
      <c r="E86" s="2712"/>
      <c r="F86" s="2712"/>
      <c r="G86" s="2713"/>
      <c r="H86" s="2712"/>
      <c r="I86" s="2712"/>
      <c r="J86" s="2672"/>
      <c r="K86" s="2666"/>
      <c r="L86" s="2666"/>
      <c r="M86" s="2703"/>
      <c r="N86" s="2670"/>
      <c r="O86" s="2672"/>
      <c r="P86" s="2666"/>
      <c r="Q86" s="2708"/>
      <c r="R86" s="2710"/>
      <c r="S86" s="2660"/>
      <c r="T86" s="2697"/>
      <c r="U86" s="2691"/>
      <c r="V86" s="1855">
        <f>0+3888666.63</f>
        <v>3888666.63</v>
      </c>
      <c r="W86" s="1852">
        <v>88</v>
      </c>
      <c r="X86" s="1856" t="s">
        <v>1722</v>
      </c>
      <c r="Y86" s="2593"/>
      <c r="Z86" s="2699"/>
      <c r="AA86" s="2593"/>
      <c r="AB86" s="2593"/>
      <c r="AC86" s="2593"/>
      <c r="AD86" s="2593"/>
      <c r="AE86" s="2593"/>
      <c r="AF86" s="2593"/>
      <c r="AG86" s="2593"/>
      <c r="AH86" s="2605"/>
      <c r="AI86" s="2593"/>
      <c r="AJ86" s="2593"/>
      <c r="AK86" s="2593"/>
      <c r="AL86" s="2593"/>
      <c r="AM86" s="2593"/>
      <c r="AN86" s="2593"/>
      <c r="AO86" s="2595"/>
      <c r="AP86" s="2595"/>
      <c r="AQ86" s="2597"/>
    </row>
    <row r="87" spans="1:43" ht="63" customHeight="1" x14ac:dyDescent="0.2">
      <c r="A87" s="1739"/>
      <c r="D87" s="1740"/>
      <c r="E87" s="2712"/>
      <c r="F87" s="2712"/>
      <c r="G87" s="2713"/>
      <c r="H87" s="2712"/>
      <c r="I87" s="2712"/>
      <c r="J87" s="2672"/>
      <c r="K87" s="2666"/>
      <c r="L87" s="2666"/>
      <c r="M87" s="2703"/>
      <c r="N87" s="2670"/>
      <c r="O87" s="2672"/>
      <c r="P87" s="2666"/>
      <c r="Q87" s="2708"/>
      <c r="R87" s="2710"/>
      <c r="S87" s="2660"/>
      <c r="T87" s="2701" t="s">
        <v>1726</v>
      </c>
      <c r="U87" s="2692" t="s">
        <v>1727</v>
      </c>
      <c r="V87" s="1824">
        <f>19440000+10350000</f>
        <v>29790000</v>
      </c>
      <c r="W87" s="1857" t="s">
        <v>61</v>
      </c>
      <c r="X87" s="1858" t="s">
        <v>1720</v>
      </c>
      <c r="Y87" s="2605"/>
      <c r="Z87" s="2699"/>
      <c r="AA87" s="2593"/>
      <c r="AB87" s="2593"/>
      <c r="AC87" s="2593"/>
      <c r="AD87" s="2593"/>
      <c r="AE87" s="2593"/>
      <c r="AF87" s="2593"/>
      <c r="AG87" s="2593"/>
      <c r="AH87" s="2605"/>
      <c r="AI87" s="2593"/>
      <c r="AJ87" s="2593"/>
      <c r="AK87" s="2593"/>
      <c r="AL87" s="2593"/>
      <c r="AM87" s="2593"/>
      <c r="AN87" s="2593"/>
      <c r="AO87" s="2595"/>
      <c r="AP87" s="2595"/>
      <c r="AQ87" s="2597"/>
    </row>
    <row r="88" spans="1:43" ht="63" customHeight="1" x14ac:dyDescent="0.2">
      <c r="A88" s="1739"/>
      <c r="D88" s="1740"/>
      <c r="E88" s="2712"/>
      <c r="F88" s="2712"/>
      <c r="G88" s="2713"/>
      <c r="H88" s="2712"/>
      <c r="I88" s="2712"/>
      <c r="J88" s="2672"/>
      <c r="K88" s="2666"/>
      <c r="L88" s="2666"/>
      <c r="M88" s="2703"/>
      <c r="N88" s="2670"/>
      <c r="O88" s="2672"/>
      <c r="P88" s="2666"/>
      <c r="Q88" s="2708"/>
      <c r="R88" s="2710"/>
      <c r="S88" s="2660"/>
      <c r="T88" s="2702"/>
      <c r="U88" s="2692"/>
      <c r="V88" s="1824">
        <v>15395000</v>
      </c>
      <c r="W88" s="1859">
        <v>88</v>
      </c>
      <c r="X88" s="1853" t="s">
        <v>1724</v>
      </c>
      <c r="Y88" s="2605"/>
      <c r="Z88" s="2699"/>
      <c r="AA88" s="2593"/>
      <c r="AB88" s="2593"/>
      <c r="AC88" s="2593"/>
      <c r="AD88" s="2593"/>
      <c r="AE88" s="2593"/>
      <c r="AF88" s="2593"/>
      <c r="AG88" s="2593"/>
      <c r="AH88" s="2605"/>
      <c r="AI88" s="2593"/>
      <c r="AJ88" s="2593"/>
      <c r="AK88" s="2593"/>
      <c r="AL88" s="2593"/>
      <c r="AM88" s="2593"/>
      <c r="AN88" s="2593"/>
      <c r="AO88" s="2595"/>
      <c r="AP88" s="2595"/>
      <c r="AQ88" s="2597"/>
    </row>
    <row r="89" spans="1:43" ht="45" customHeight="1" x14ac:dyDescent="0.2">
      <c r="A89" s="1739"/>
      <c r="D89" s="1740"/>
      <c r="E89" s="2712"/>
      <c r="F89" s="2712"/>
      <c r="G89" s="2713"/>
      <c r="H89" s="2712"/>
      <c r="I89" s="2712"/>
      <c r="J89" s="2672"/>
      <c r="K89" s="2666"/>
      <c r="L89" s="2666"/>
      <c r="M89" s="2703"/>
      <c r="N89" s="2670"/>
      <c r="O89" s="2672"/>
      <c r="P89" s="2666"/>
      <c r="Q89" s="2708"/>
      <c r="R89" s="2710"/>
      <c r="S89" s="2660"/>
      <c r="T89" s="2702"/>
      <c r="U89" s="1860" t="s">
        <v>1728</v>
      </c>
      <c r="V89" s="1824">
        <f>0+7296333.33-5145000</f>
        <v>2151333.33</v>
      </c>
      <c r="W89" s="1857">
        <v>88</v>
      </c>
      <c r="X89" s="1856" t="s">
        <v>1724</v>
      </c>
      <c r="Y89" s="2605"/>
      <c r="Z89" s="2699"/>
      <c r="AA89" s="2593"/>
      <c r="AB89" s="2593"/>
      <c r="AC89" s="2593"/>
      <c r="AD89" s="2593"/>
      <c r="AE89" s="2593"/>
      <c r="AF89" s="2593"/>
      <c r="AG89" s="2593"/>
      <c r="AH89" s="2605"/>
      <c r="AI89" s="2593"/>
      <c r="AJ89" s="2593"/>
      <c r="AK89" s="2593"/>
      <c r="AL89" s="2593"/>
      <c r="AM89" s="2593"/>
      <c r="AN89" s="2593"/>
      <c r="AO89" s="2595"/>
      <c r="AP89" s="2595"/>
      <c r="AQ89" s="2597"/>
    </row>
    <row r="90" spans="1:43" ht="45" customHeight="1" x14ac:dyDescent="0.2">
      <c r="A90" s="1739"/>
      <c r="D90" s="1740"/>
      <c r="E90" s="2712"/>
      <c r="F90" s="2712"/>
      <c r="G90" s="2713"/>
      <c r="H90" s="2712"/>
      <c r="I90" s="2712"/>
      <c r="J90" s="2706"/>
      <c r="K90" s="2707"/>
      <c r="L90" s="2707"/>
      <c r="M90" s="2704"/>
      <c r="N90" s="2705"/>
      <c r="O90" s="2706"/>
      <c r="P90" s="2707"/>
      <c r="Q90" s="2709"/>
      <c r="R90" s="2711"/>
      <c r="S90" s="2694"/>
      <c r="T90" s="2702"/>
      <c r="U90" s="1861" t="s">
        <v>1729</v>
      </c>
      <c r="V90" s="1862">
        <f>0+5015000.04</f>
        <v>5015000.04</v>
      </c>
      <c r="W90" s="1863">
        <v>88</v>
      </c>
      <c r="X90" s="1856" t="s">
        <v>1724</v>
      </c>
      <c r="Y90" s="2693"/>
      <c r="Z90" s="2700"/>
      <c r="AA90" s="2594"/>
      <c r="AB90" s="2594"/>
      <c r="AC90" s="2594"/>
      <c r="AD90" s="2594"/>
      <c r="AE90" s="2594"/>
      <c r="AF90" s="2594"/>
      <c r="AG90" s="2594"/>
      <c r="AH90" s="2693"/>
      <c r="AI90" s="2594"/>
      <c r="AJ90" s="2594"/>
      <c r="AK90" s="2594"/>
      <c r="AL90" s="2594"/>
      <c r="AM90" s="2594"/>
      <c r="AN90" s="2594"/>
      <c r="AO90" s="2596"/>
      <c r="AP90" s="2596"/>
      <c r="AQ90" s="2598"/>
    </row>
    <row r="91" spans="1:43" s="1871" customFormat="1" ht="43.5" customHeight="1" x14ac:dyDescent="0.2">
      <c r="A91" s="1864"/>
      <c r="B91" s="1865"/>
      <c r="C91" s="1866"/>
      <c r="D91" s="1867"/>
      <c r="E91" s="1867"/>
      <c r="F91" s="1741"/>
      <c r="G91" s="1867"/>
      <c r="H91" s="1867"/>
      <c r="I91" s="1741"/>
      <c r="J91" s="2610">
        <v>264</v>
      </c>
      <c r="K91" s="2600" t="s">
        <v>1730</v>
      </c>
      <c r="L91" s="2600" t="s">
        <v>1731</v>
      </c>
      <c r="M91" s="2498">
        <v>1</v>
      </c>
      <c r="N91" s="2612" t="s">
        <v>1732</v>
      </c>
      <c r="O91" s="2498" t="s">
        <v>1733</v>
      </c>
      <c r="P91" s="2600" t="s">
        <v>1734</v>
      </c>
      <c r="Q91" s="2685">
        <v>1</v>
      </c>
      <c r="R91" s="2686">
        <f>SUM(V91:V95)</f>
        <v>37650000</v>
      </c>
      <c r="S91" s="2600" t="s">
        <v>1735</v>
      </c>
      <c r="T91" s="2600" t="s">
        <v>1736</v>
      </c>
      <c r="U91" s="2687" t="s">
        <v>1737</v>
      </c>
      <c r="V91" s="1868">
        <v>10000000</v>
      </c>
      <c r="W91" s="1869">
        <v>20</v>
      </c>
      <c r="X91" s="1870" t="s">
        <v>1687</v>
      </c>
      <c r="Y91" s="2593">
        <v>294321</v>
      </c>
      <c r="Z91" s="2606">
        <v>283947</v>
      </c>
      <c r="AA91" s="2593">
        <v>135754</v>
      </c>
      <c r="AB91" s="2593">
        <v>44640</v>
      </c>
      <c r="AC91" s="2593">
        <v>308178</v>
      </c>
      <c r="AD91" s="2593">
        <v>89696</v>
      </c>
      <c r="AE91" s="2593">
        <v>2145</v>
      </c>
      <c r="AF91" s="2593">
        <v>12718</v>
      </c>
      <c r="AG91" s="2593">
        <v>26</v>
      </c>
      <c r="AH91" s="2593">
        <v>37</v>
      </c>
      <c r="AI91" s="2593"/>
      <c r="AJ91" s="2593"/>
      <c r="AK91" s="2593">
        <v>54612</v>
      </c>
      <c r="AL91" s="2593">
        <v>16982</v>
      </c>
      <c r="AM91" s="2593">
        <v>1010</v>
      </c>
      <c r="AN91" s="2593">
        <f>+Y91+Z91</f>
        <v>578268</v>
      </c>
      <c r="AO91" s="2595">
        <v>43102</v>
      </c>
      <c r="AP91" s="2595">
        <v>43465</v>
      </c>
      <c r="AQ91" s="2597" t="s">
        <v>1607</v>
      </c>
    </row>
    <row r="92" spans="1:43" s="1871" customFormat="1" ht="36.75" customHeight="1" x14ac:dyDescent="0.2">
      <c r="A92" s="1864"/>
      <c r="B92" s="1865"/>
      <c r="C92" s="1866"/>
      <c r="D92" s="1867"/>
      <c r="E92" s="1867"/>
      <c r="F92" s="1741"/>
      <c r="G92" s="1867"/>
      <c r="H92" s="1867"/>
      <c r="I92" s="1741"/>
      <c r="J92" s="2610"/>
      <c r="K92" s="2600"/>
      <c r="L92" s="2600"/>
      <c r="M92" s="2498"/>
      <c r="N92" s="2612"/>
      <c r="O92" s="2498"/>
      <c r="P92" s="2600"/>
      <c r="Q92" s="2685"/>
      <c r="R92" s="2686"/>
      <c r="S92" s="2600"/>
      <c r="T92" s="2600"/>
      <c r="U92" s="2687"/>
      <c r="V92" s="1872">
        <f>0+15000000-15000000</f>
        <v>0</v>
      </c>
      <c r="W92" s="1869">
        <v>88</v>
      </c>
      <c r="X92" s="1870" t="s">
        <v>500</v>
      </c>
      <c r="Y92" s="2593"/>
      <c r="Z92" s="2606"/>
      <c r="AA92" s="2593"/>
      <c r="AB92" s="2593"/>
      <c r="AC92" s="2593"/>
      <c r="AD92" s="2593"/>
      <c r="AE92" s="2593"/>
      <c r="AF92" s="2593"/>
      <c r="AG92" s="2593"/>
      <c r="AH92" s="2593"/>
      <c r="AI92" s="2593"/>
      <c r="AJ92" s="2593"/>
      <c r="AK92" s="2593"/>
      <c r="AL92" s="2593"/>
      <c r="AM92" s="2593"/>
      <c r="AN92" s="2593"/>
      <c r="AO92" s="2595"/>
      <c r="AP92" s="2595"/>
      <c r="AQ92" s="2597"/>
    </row>
    <row r="93" spans="1:43" s="1871" customFormat="1" ht="37.5" customHeight="1" x14ac:dyDescent="0.2">
      <c r="A93" s="1864"/>
      <c r="B93" s="1865"/>
      <c r="C93" s="1866"/>
      <c r="D93" s="1867"/>
      <c r="E93" s="1867"/>
      <c r="F93" s="1741"/>
      <c r="G93" s="1867"/>
      <c r="H93" s="1867"/>
      <c r="I93" s="1741"/>
      <c r="J93" s="2610"/>
      <c r="K93" s="2600"/>
      <c r="L93" s="2600"/>
      <c r="M93" s="2498"/>
      <c r="N93" s="2612"/>
      <c r="O93" s="2498"/>
      <c r="P93" s="2600"/>
      <c r="Q93" s="2685"/>
      <c r="R93" s="2686"/>
      <c r="S93" s="2600"/>
      <c r="T93" s="2600"/>
      <c r="U93" s="2677" t="s">
        <v>1738</v>
      </c>
      <c r="V93" s="1872">
        <v>10000000</v>
      </c>
      <c r="W93" s="1869">
        <v>20</v>
      </c>
      <c r="X93" s="1870" t="s">
        <v>1687</v>
      </c>
      <c r="Y93" s="2593"/>
      <c r="Z93" s="2606"/>
      <c r="AA93" s="2593"/>
      <c r="AB93" s="2593"/>
      <c r="AC93" s="2593"/>
      <c r="AD93" s="2593"/>
      <c r="AE93" s="2593"/>
      <c r="AF93" s="2593"/>
      <c r="AG93" s="2593"/>
      <c r="AH93" s="2593"/>
      <c r="AI93" s="2593"/>
      <c r="AJ93" s="2593"/>
      <c r="AK93" s="2593"/>
      <c r="AL93" s="2593"/>
      <c r="AM93" s="2593"/>
      <c r="AN93" s="2593"/>
      <c r="AO93" s="2595"/>
      <c r="AP93" s="2595"/>
      <c r="AQ93" s="2597"/>
    </row>
    <row r="94" spans="1:43" s="1871" customFormat="1" ht="37.5" customHeight="1" x14ac:dyDescent="0.2">
      <c r="A94" s="1864"/>
      <c r="B94" s="1865"/>
      <c r="C94" s="1866"/>
      <c r="D94" s="1867"/>
      <c r="E94" s="1867"/>
      <c r="F94" s="1741"/>
      <c r="G94" s="1867"/>
      <c r="H94" s="1867"/>
      <c r="I94" s="1741"/>
      <c r="J94" s="2610"/>
      <c r="K94" s="2600"/>
      <c r="L94" s="2600"/>
      <c r="M94" s="2498"/>
      <c r="N94" s="2612"/>
      <c r="O94" s="2498"/>
      <c r="P94" s="2600"/>
      <c r="Q94" s="2685"/>
      <c r="R94" s="2686"/>
      <c r="S94" s="2600"/>
      <c r="T94" s="2600"/>
      <c r="U94" s="2677"/>
      <c r="V94" s="1872">
        <f>0+15000000-15000000</f>
        <v>0</v>
      </c>
      <c r="W94" s="1869">
        <v>88</v>
      </c>
      <c r="X94" s="1870" t="s">
        <v>500</v>
      </c>
      <c r="Y94" s="2593"/>
      <c r="Z94" s="2606"/>
      <c r="AA94" s="2593"/>
      <c r="AB94" s="2593"/>
      <c r="AC94" s="2593"/>
      <c r="AD94" s="2593"/>
      <c r="AE94" s="2593"/>
      <c r="AF94" s="2593"/>
      <c r="AG94" s="2593"/>
      <c r="AH94" s="2593"/>
      <c r="AI94" s="2593"/>
      <c r="AJ94" s="2593"/>
      <c r="AK94" s="2593"/>
      <c r="AL94" s="2593"/>
      <c r="AM94" s="2593"/>
      <c r="AN94" s="2593"/>
      <c r="AO94" s="2595"/>
      <c r="AP94" s="2595"/>
      <c r="AQ94" s="2597"/>
    </row>
    <row r="95" spans="1:43" s="1871" customFormat="1" ht="37.5" customHeight="1" x14ac:dyDescent="0.2">
      <c r="A95" s="1864"/>
      <c r="B95" s="1865"/>
      <c r="C95" s="1866"/>
      <c r="D95" s="1867"/>
      <c r="E95" s="1867"/>
      <c r="F95" s="1741"/>
      <c r="G95" s="1867"/>
      <c r="H95" s="1867"/>
      <c r="I95" s="1741"/>
      <c r="J95" s="2610"/>
      <c r="K95" s="2600"/>
      <c r="L95" s="2600"/>
      <c r="M95" s="2498"/>
      <c r="N95" s="2612"/>
      <c r="O95" s="2498"/>
      <c r="P95" s="2600"/>
      <c r="Q95" s="2685"/>
      <c r="R95" s="2686"/>
      <c r="S95" s="2600"/>
      <c r="T95" s="2600"/>
      <c r="U95" s="1873" t="s">
        <v>1739</v>
      </c>
      <c r="V95" s="1872">
        <f>30000000-12350000</f>
        <v>17650000</v>
      </c>
      <c r="W95" s="1869">
        <v>20</v>
      </c>
      <c r="X95" s="1870" t="s">
        <v>1687</v>
      </c>
      <c r="Y95" s="2593"/>
      <c r="Z95" s="2606"/>
      <c r="AA95" s="2593"/>
      <c r="AB95" s="2593"/>
      <c r="AC95" s="2593"/>
      <c r="AD95" s="2593"/>
      <c r="AE95" s="2593"/>
      <c r="AF95" s="2593"/>
      <c r="AG95" s="2593"/>
      <c r="AH95" s="2593"/>
      <c r="AI95" s="2593"/>
      <c r="AJ95" s="2593"/>
      <c r="AK95" s="2593"/>
      <c r="AL95" s="2593"/>
      <c r="AM95" s="2593"/>
      <c r="AN95" s="2593"/>
      <c r="AO95" s="2595"/>
      <c r="AP95" s="2595"/>
      <c r="AQ95" s="2597"/>
    </row>
    <row r="96" spans="1:43" ht="69" customHeight="1" x14ac:dyDescent="0.2">
      <c r="A96" s="2678"/>
      <c r="B96" s="2679"/>
      <c r="C96" s="2680"/>
      <c r="D96" s="2681"/>
      <c r="E96" s="2679"/>
      <c r="F96" s="2680"/>
      <c r="G96" s="2681"/>
      <c r="H96" s="2681"/>
      <c r="I96" s="2682"/>
      <c r="J96" s="2683">
        <v>265</v>
      </c>
      <c r="K96" s="2665" t="s">
        <v>1740</v>
      </c>
      <c r="L96" s="2665" t="s">
        <v>1741</v>
      </c>
      <c r="M96" s="2667">
        <v>1</v>
      </c>
      <c r="N96" s="2669" t="s">
        <v>1742</v>
      </c>
      <c r="O96" s="2671" t="s">
        <v>1743</v>
      </c>
      <c r="P96" s="2673" t="s">
        <v>1744</v>
      </c>
      <c r="Q96" s="2675">
        <v>1</v>
      </c>
      <c r="R96" s="2657">
        <f>SUM(V96:V115)</f>
        <v>493700000</v>
      </c>
      <c r="S96" s="2659" t="s">
        <v>1745</v>
      </c>
      <c r="T96" s="2632" t="s">
        <v>1746</v>
      </c>
      <c r="U96" s="2586" t="s">
        <v>1747</v>
      </c>
      <c r="V96" s="2661">
        <f>55440000+11340000</f>
        <v>66780000</v>
      </c>
      <c r="W96" s="2598" t="s">
        <v>893</v>
      </c>
      <c r="X96" s="2598" t="s">
        <v>62</v>
      </c>
      <c r="Y96" s="2647">
        <v>294321</v>
      </c>
      <c r="Z96" s="2653">
        <v>283947</v>
      </c>
      <c r="AA96" s="2647">
        <v>135754</v>
      </c>
      <c r="AB96" s="2647">
        <v>44640</v>
      </c>
      <c r="AC96" s="2647">
        <v>308178</v>
      </c>
      <c r="AD96" s="2647">
        <v>89696</v>
      </c>
      <c r="AE96" s="2647" t="e">
        <f>#REF!</f>
        <v>#REF!</v>
      </c>
      <c r="AF96" s="2647">
        <v>12718</v>
      </c>
      <c r="AG96" s="2647">
        <v>26</v>
      </c>
      <c r="AH96" s="2647">
        <v>37</v>
      </c>
      <c r="AI96" s="2647"/>
      <c r="AJ96" s="2647"/>
      <c r="AK96" s="2647">
        <v>54612</v>
      </c>
      <c r="AL96" s="2647">
        <v>16982</v>
      </c>
      <c r="AM96" s="2647">
        <v>1010</v>
      </c>
      <c r="AN96" s="2649">
        <v>578268</v>
      </c>
      <c r="AO96" s="2641">
        <v>43102</v>
      </c>
      <c r="AP96" s="2641">
        <v>43465</v>
      </c>
      <c r="AQ96" s="2642" t="s">
        <v>1721</v>
      </c>
    </row>
    <row r="97" spans="1:43" ht="104.25" customHeight="1" x14ac:dyDescent="0.2">
      <c r="A97" s="2678"/>
      <c r="B97" s="2679"/>
      <c r="C97" s="2680"/>
      <c r="D97" s="2681"/>
      <c r="E97" s="2679"/>
      <c r="F97" s="2680"/>
      <c r="G97" s="2681"/>
      <c r="H97" s="2681"/>
      <c r="I97" s="2682"/>
      <c r="J97" s="2684"/>
      <c r="K97" s="2666"/>
      <c r="L97" s="2666"/>
      <c r="M97" s="2668"/>
      <c r="N97" s="2670"/>
      <c r="O97" s="2672"/>
      <c r="P97" s="2674"/>
      <c r="Q97" s="2676"/>
      <c r="R97" s="2658"/>
      <c r="S97" s="2660"/>
      <c r="T97" s="2632"/>
      <c r="U97" s="2590"/>
      <c r="V97" s="2662"/>
      <c r="W97" s="2642"/>
      <c r="X97" s="2642"/>
      <c r="Y97" s="2647"/>
      <c r="Z97" s="2653"/>
      <c r="AA97" s="2647"/>
      <c r="AB97" s="2647"/>
      <c r="AC97" s="2647"/>
      <c r="AD97" s="2647"/>
      <c r="AE97" s="2647"/>
      <c r="AF97" s="2647"/>
      <c r="AG97" s="2647"/>
      <c r="AH97" s="2647"/>
      <c r="AI97" s="2647"/>
      <c r="AJ97" s="2647"/>
      <c r="AK97" s="2647"/>
      <c r="AL97" s="2647"/>
      <c r="AM97" s="2647"/>
      <c r="AN97" s="2649"/>
      <c r="AO97" s="2595"/>
      <c r="AP97" s="2595"/>
      <c r="AQ97" s="2597"/>
    </row>
    <row r="98" spans="1:43" ht="62.25" customHeight="1" x14ac:dyDescent="0.2">
      <c r="A98" s="2678"/>
      <c r="B98" s="2679"/>
      <c r="C98" s="2680"/>
      <c r="D98" s="2681"/>
      <c r="E98" s="2679"/>
      <c r="F98" s="2680"/>
      <c r="G98" s="2681"/>
      <c r="H98" s="2681"/>
      <c r="I98" s="2682"/>
      <c r="J98" s="2684"/>
      <c r="K98" s="2666"/>
      <c r="L98" s="2666"/>
      <c r="M98" s="2668"/>
      <c r="N98" s="2670"/>
      <c r="O98" s="2672"/>
      <c r="P98" s="2674"/>
      <c r="Q98" s="2676"/>
      <c r="R98" s="2658"/>
      <c r="S98" s="2660"/>
      <c r="T98" s="2632"/>
      <c r="U98" s="318" t="s">
        <v>1748</v>
      </c>
      <c r="V98" s="1767">
        <f>92400000-80640000</f>
        <v>11760000</v>
      </c>
      <c r="W98" s="1822">
        <v>20</v>
      </c>
      <c r="X98" s="1746" t="s">
        <v>62</v>
      </c>
      <c r="Y98" s="2647"/>
      <c r="Z98" s="2653"/>
      <c r="AA98" s="2647"/>
      <c r="AB98" s="2647"/>
      <c r="AC98" s="2647"/>
      <c r="AD98" s="2647"/>
      <c r="AE98" s="2647"/>
      <c r="AF98" s="2647"/>
      <c r="AG98" s="2647"/>
      <c r="AH98" s="2647"/>
      <c r="AI98" s="2647"/>
      <c r="AJ98" s="2647"/>
      <c r="AK98" s="2647"/>
      <c r="AL98" s="2647"/>
      <c r="AM98" s="2647"/>
      <c r="AN98" s="2649"/>
      <c r="AO98" s="2595"/>
      <c r="AP98" s="2595"/>
      <c r="AQ98" s="2597"/>
    </row>
    <row r="99" spans="1:43" ht="35.25" customHeight="1" x14ac:dyDescent="0.2">
      <c r="A99" s="2678"/>
      <c r="B99" s="2679"/>
      <c r="C99" s="2680"/>
      <c r="D99" s="2681"/>
      <c r="E99" s="2679"/>
      <c r="F99" s="2680"/>
      <c r="G99" s="2681"/>
      <c r="H99" s="2681"/>
      <c r="I99" s="2682"/>
      <c r="J99" s="2684"/>
      <c r="K99" s="2666"/>
      <c r="L99" s="2666"/>
      <c r="M99" s="2668"/>
      <c r="N99" s="2670"/>
      <c r="O99" s="2672"/>
      <c r="P99" s="2674"/>
      <c r="Q99" s="2676"/>
      <c r="R99" s="2658"/>
      <c r="S99" s="2660"/>
      <c r="T99" s="2632"/>
      <c r="U99" s="2586" t="s">
        <v>1749</v>
      </c>
      <c r="V99" s="1767">
        <f>5760000+20170000</f>
        <v>25930000</v>
      </c>
      <c r="W99" s="1822">
        <v>20</v>
      </c>
      <c r="X99" s="1746" t="s">
        <v>62</v>
      </c>
      <c r="Y99" s="2647"/>
      <c r="Z99" s="2653"/>
      <c r="AA99" s="2647"/>
      <c r="AB99" s="2647"/>
      <c r="AC99" s="2647"/>
      <c r="AD99" s="2647"/>
      <c r="AE99" s="2647"/>
      <c r="AF99" s="2647"/>
      <c r="AG99" s="2647"/>
      <c r="AH99" s="2647"/>
      <c r="AI99" s="2647"/>
      <c r="AJ99" s="2647"/>
      <c r="AK99" s="2647"/>
      <c r="AL99" s="2647"/>
      <c r="AM99" s="2647"/>
      <c r="AN99" s="2649"/>
      <c r="AO99" s="2595"/>
      <c r="AP99" s="2595"/>
      <c r="AQ99" s="2597"/>
    </row>
    <row r="100" spans="1:43" ht="36.75" customHeight="1" x14ac:dyDescent="0.2">
      <c r="A100" s="2678"/>
      <c r="B100" s="2679"/>
      <c r="C100" s="2680"/>
      <c r="D100" s="2681"/>
      <c r="E100" s="2679"/>
      <c r="F100" s="2680"/>
      <c r="G100" s="2681"/>
      <c r="H100" s="2681"/>
      <c r="I100" s="2682"/>
      <c r="J100" s="2684"/>
      <c r="K100" s="2666"/>
      <c r="L100" s="2666"/>
      <c r="M100" s="2668"/>
      <c r="N100" s="2670"/>
      <c r="O100" s="2672"/>
      <c r="P100" s="2674"/>
      <c r="Q100" s="2676"/>
      <c r="R100" s="2658"/>
      <c r="S100" s="2660"/>
      <c r="T100" s="2632"/>
      <c r="U100" s="2590"/>
      <c r="V100" s="1767">
        <f>0+20000</f>
        <v>20000</v>
      </c>
      <c r="W100" s="1822">
        <v>88</v>
      </c>
      <c r="X100" s="1746" t="s">
        <v>500</v>
      </c>
      <c r="Y100" s="2647"/>
      <c r="Z100" s="2653"/>
      <c r="AA100" s="2647"/>
      <c r="AB100" s="2647"/>
      <c r="AC100" s="2647"/>
      <c r="AD100" s="2647"/>
      <c r="AE100" s="2647"/>
      <c r="AF100" s="2647"/>
      <c r="AG100" s="2647"/>
      <c r="AH100" s="2647"/>
      <c r="AI100" s="2647"/>
      <c r="AJ100" s="2647"/>
      <c r="AK100" s="2647"/>
      <c r="AL100" s="2647"/>
      <c r="AM100" s="2647"/>
      <c r="AN100" s="2649"/>
      <c r="AO100" s="2595"/>
      <c r="AP100" s="2595"/>
      <c r="AQ100" s="2597"/>
    </row>
    <row r="101" spans="1:43" ht="39.75" customHeight="1" x14ac:dyDescent="0.2">
      <c r="A101" s="2678"/>
      <c r="B101" s="2679"/>
      <c r="C101" s="2680"/>
      <c r="D101" s="2681"/>
      <c r="E101" s="2679"/>
      <c r="F101" s="2680"/>
      <c r="G101" s="2681"/>
      <c r="H101" s="2681"/>
      <c r="I101" s="2682"/>
      <c r="J101" s="2684"/>
      <c r="K101" s="2666"/>
      <c r="L101" s="2666"/>
      <c r="M101" s="2668"/>
      <c r="N101" s="2670"/>
      <c r="O101" s="2672"/>
      <c r="P101" s="2674"/>
      <c r="Q101" s="2676"/>
      <c r="R101" s="2658"/>
      <c r="S101" s="2660"/>
      <c r="T101" s="2600" t="s">
        <v>1750</v>
      </c>
      <c r="U101" s="318" t="s">
        <v>1751</v>
      </c>
      <c r="V101" s="1767">
        <f>8500000+850000</f>
        <v>9350000</v>
      </c>
      <c r="W101" s="1822">
        <v>20</v>
      </c>
      <c r="X101" s="1746" t="s">
        <v>62</v>
      </c>
      <c r="Y101" s="2647"/>
      <c r="Z101" s="2653"/>
      <c r="AA101" s="2647"/>
      <c r="AB101" s="2647"/>
      <c r="AC101" s="2647"/>
      <c r="AD101" s="2647"/>
      <c r="AE101" s="2647"/>
      <c r="AF101" s="2647"/>
      <c r="AG101" s="2647"/>
      <c r="AH101" s="2647"/>
      <c r="AI101" s="2647"/>
      <c r="AJ101" s="2647"/>
      <c r="AK101" s="2647"/>
      <c r="AL101" s="2647"/>
      <c r="AM101" s="2647"/>
      <c r="AN101" s="2649"/>
      <c r="AO101" s="2595"/>
      <c r="AP101" s="2595"/>
      <c r="AQ101" s="2597"/>
    </row>
    <row r="102" spans="1:43" ht="28.5" customHeight="1" x14ac:dyDescent="0.2">
      <c r="A102" s="2678"/>
      <c r="B102" s="2679"/>
      <c r="C102" s="2680"/>
      <c r="D102" s="2681"/>
      <c r="E102" s="2679"/>
      <c r="F102" s="2680"/>
      <c r="G102" s="2681"/>
      <c r="H102" s="2681"/>
      <c r="I102" s="2682"/>
      <c r="J102" s="2684"/>
      <c r="K102" s="2666"/>
      <c r="L102" s="2666"/>
      <c r="M102" s="2668"/>
      <c r="N102" s="2670"/>
      <c r="O102" s="2672"/>
      <c r="P102" s="2674"/>
      <c r="Q102" s="2676"/>
      <c r="R102" s="2658"/>
      <c r="S102" s="2660"/>
      <c r="T102" s="2600"/>
      <c r="U102" s="318" t="s">
        <v>1752</v>
      </c>
      <c r="V102" s="1767">
        <f>6500000+650000</f>
        <v>7150000</v>
      </c>
      <c r="W102" s="1822">
        <v>20</v>
      </c>
      <c r="X102" s="1746" t="s">
        <v>62</v>
      </c>
      <c r="Y102" s="2647"/>
      <c r="Z102" s="2653"/>
      <c r="AA102" s="2647"/>
      <c r="AB102" s="2647"/>
      <c r="AC102" s="2647"/>
      <c r="AD102" s="2647"/>
      <c r="AE102" s="2647"/>
      <c r="AF102" s="2647"/>
      <c r="AG102" s="2647"/>
      <c r="AH102" s="2647"/>
      <c r="AI102" s="2647"/>
      <c r="AJ102" s="2647"/>
      <c r="AK102" s="2647"/>
      <c r="AL102" s="2647"/>
      <c r="AM102" s="2647"/>
      <c r="AN102" s="2649"/>
      <c r="AO102" s="2595"/>
      <c r="AP102" s="2595"/>
      <c r="AQ102" s="2597"/>
    </row>
    <row r="103" spans="1:43" ht="30.75" customHeight="1" x14ac:dyDescent="0.2">
      <c r="A103" s="2678"/>
      <c r="B103" s="2679"/>
      <c r="C103" s="2680"/>
      <c r="D103" s="2681"/>
      <c r="E103" s="2679"/>
      <c r="F103" s="2680"/>
      <c r="G103" s="2681"/>
      <c r="H103" s="2681"/>
      <c r="I103" s="2682"/>
      <c r="J103" s="2684"/>
      <c r="K103" s="2666"/>
      <c r="L103" s="2666"/>
      <c r="M103" s="2668"/>
      <c r="N103" s="2670"/>
      <c r="O103" s="2672"/>
      <c r="P103" s="2674"/>
      <c r="Q103" s="2676"/>
      <c r="R103" s="2658"/>
      <c r="S103" s="2660"/>
      <c r="T103" s="2600"/>
      <c r="U103" s="318" t="s">
        <v>1753</v>
      </c>
      <c r="V103" s="1767">
        <v>18000000</v>
      </c>
      <c r="W103" s="1822">
        <v>20</v>
      </c>
      <c r="X103" s="1746" t="s">
        <v>62</v>
      </c>
      <c r="Y103" s="2647"/>
      <c r="Z103" s="2653"/>
      <c r="AA103" s="2647"/>
      <c r="AB103" s="2647"/>
      <c r="AC103" s="2647"/>
      <c r="AD103" s="2647"/>
      <c r="AE103" s="2647"/>
      <c r="AF103" s="2647"/>
      <c r="AG103" s="2647"/>
      <c r="AH103" s="2647"/>
      <c r="AI103" s="2647"/>
      <c r="AJ103" s="2647"/>
      <c r="AK103" s="2647"/>
      <c r="AL103" s="2647"/>
      <c r="AM103" s="2647"/>
      <c r="AN103" s="2649"/>
      <c r="AO103" s="2595"/>
      <c r="AP103" s="2595"/>
      <c r="AQ103" s="2597"/>
    </row>
    <row r="104" spans="1:43" ht="72" customHeight="1" x14ac:dyDescent="0.2">
      <c r="A104" s="2678"/>
      <c r="B104" s="2679"/>
      <c r="C104" s="2680"/>
      <c r="D104" s="2681"/>
      <c r="E104" s="2679"/>
      <c r="F104" s="2680"/>
      <c r="G104" s="2681"/>
      <c r="H104" s="2681"/>
      <c r="I104" s="2682"/>
      <c r="J104" s="2684"/>
      <c r="K104" s="2666"/>
      <c r="L104" s="2666"/>
      <c r="M104" s="2668"/>
      <c r="N104" s="2670"/>
      <c r="O104" s="2672"/>
      <c r="P104" s="2674"/>
      <c r="Q104" s="2676"/>
      <c r="R104" s="2658"/>
      <c r="S104" s="2660"/>
      <c r="T104" s="2600" t="s">
        <v>1754</v>
      </c>
      <c r="U104" s="2586" t="s">
        <v>1755</v>
      </c>
      <c r="V104" s="1767">
        <v>127050000</v>
      </c>
      <c r="W104" s="1822">
        <v>20</v>
      </c>
      <c r="X104" s="1746" t="s">
        <v>62</v>
      </c>
      <c r="Y104" s="2647"/>
      <c r="Z104" s="2653"/>
      <c r="AA104" s="2647"/>
      <c r="AB104" s="2647"/>
      <c r="AC104" s="2647"/>
      <c r="AD104" s="2647"/>
      <c r="AE104" s="2647"/>
      <c r="AF104" s="2647"/>
      <c r="AG104" s="2647"/>
      <c r="AH104" s="2647"/>
      <c r="AI104" s="2647"/>
      <c r="AJ104" s="2647"/>
      <c r="AK104" s="2647"/>
      <c r="AL104" s="2647"/>
      <c r="AM104" s="2647"/>
      <c r="AN104" s="2649"/>
      <c r="AO104" s="2595"/>
      <c r="AP104" s="2595"/>
      <c r="AQ104" s="2597"/>
    </row>
    <row r="105" spans="1:43" ht="71.25" customHeight="1" x14ac:dyDescent="0.2">
      <c r="A105" s="2678"/>
      <c r="B105" s="2679"/>
      <c r="C105" s="2680"/>
      <c r="D105" s="2681"/>
      <c r="E105" s="2679"/>
      <c r="F105" s="2680"/>
      <c r="G105" s="2681"/>
      <c r="H105" s="2681"/>
      <c r="I105" s="2682"/>
      <c r="J105" s="2684"/>
      <c r="K105" s="2666"/>
      <c r="L105" s="2666"/>
      <c r="M105" s="2668"/>
      <c r="N105" s="2670"/>
      <c r="O105" s="2672"/>
      <c r="P105" s="2674"/>
      <c r="Q105" s="2676"/>
      <c r="R105" s="2658"/>
      <c r="S105" s="2660"/>
      <c r="T105" s="2600"/>
      <c r="U105" s="2590"/>
      <c r="V105" s="1767">
        <v>59290000</v>
      </c>
      <c r="W105" s="1822">
        <v>88</v>
      </c>
      <c r="X105" s="1746" t="s">
        <v>1756</v>
      </c>
      <c r="Y105" s="2647"/>
      <c r="Z105" s="2653"/>
      <c r="AA105" s="2647"/>
      <c r="AB105" s="2647"/>
      <c r="AC105" s="2647"/>
      <c r="AD105" s="2647"/>
      <c r="AE105" s="2647"/>
      <c r="AF105" s="2647"/>
      <c r="AG105" s="2647"/>
      <c r="AH105" s="2647"/>
      <c r="AI105" s="2647"/>
      <c r="AJ105" s="2647"/>
      <c r="AK105" s="2647"/>
      <c r="AL105" s="2647"/>
      <c r="AM105" s="2647"/>
      <c r="AN105" s="2649"/>
      <c r="AO105" s="2595"/>
      <c r="AP105" s="2595"/>
      <c r="AQ105" s="2597"/>
    </row>
    <row r="106" spans="1:43" ht="66" customHeight="1" x14ac:dyDescent="0.2">
      <c r="A106" s="2678"/>
      <c r="B106" s="2679"/>
      <c r="C106" s="2680"/>
      <c r="D106" s="2681"/>
      <c r="E106" s="2679"/>
      <c r="F106" s="2680"/>
      <c r="G106" s="2681"/>
      <c r="H106" s="2681"/>
      <c r="I106" s="2682"/>
      <c r="J106" s="2684"/>
      <c r="K106" s="2666"/>
      <c r="L106" s="2666"/>
      <c r="M106" s="2668"/>
      <c r="N106" s="2670"/>
      <c r="O106" s="2672"/>
      <c r="P106" s="2674"/>
      <c r="Q106" s="2676"/>
      <c r="R106" s="2658"/>
      <c r="S106" s="2660"/>
      <c r="T106" s="2600"/>
      <c r="U106" s="1874" t="s">
        <v>1757</v>
      </c>
      <c r="V106" s="1768">
        <f>19800000-5100000+5100000</f>
        <v>19800000</v>
      </c>
      <c r="W106" s="1822" t="s">
        <v>61</v>
      </c>
      <c r="X106" s="1770" t="s">
        <v>62</v>
      </c>
      <c r="Y106" s="2647"/>
      <c r="Z106" s="2653"/>
      <c r="AA106" s="2647"/>
      <c r="AB106" s="2647"/>
      <c r="AC106" s="2647"/>
      <c r="AD106" s="2647"/>
      <c r="AE106" s="2647"/>
      <c r="AF106" s="2647"/>
      <c r="AG106" s="2647"/>
      <c r="AH106" s="2647"/>
      <c r="AI106" s="2647"/>
      <c r="AJ106" s="2647"/>
      <c r="AK106" s="2647"/>
      <c r="AL106" s="2647"/>
      <c r="AM106" s="2647"/>
      <c r="AN106" s="2649"/>
      <c r="AO106" s="2595"/>
      <c r="AP106" s="2595"/>
      <c r="AQ106" s="2597"/>
    </row>
    <row r="107" spans="1:43" ht="64.5" customHeight="1" x14ac:dyDescent="0.2">
      <c r="A107" s="2678"/>
      <c r="B107" s="2679"/>
      <c r="C107" s="2680"/>
      <c r="D107" s="2681"/>
      <c r="E107" s="2679"/>
      <c r="F107" s="2680"/>
      <c r="G107" s="2681"/>
      <c r="H107" s="2681"/>
      <c r="I107" s="2682"/>
      <c r="J107" s="2684"/>
      <c r="K107" s="2666"/>
      <c r="L107" s="2666"/>
      <c r="M107" s="2668"/>
      <c r="N107" s="2670"/>
      <c r="O107" s="2672"/>
      <c r="P107" s="2674"/>
      <c r="Q107" s="2676"/>
      <c r="R107" s="2658"/>
      <c r="S107" s="2660"/>
      <c r="T107" s="2600"/>
      <c r="U107" s="2644" t="s">
        <v>1758</v>
      </c>
      <c r="V107" s="1875">
        <v>4180000</v>
      </c>
      <c r="W107" s="1857">
        <v>20</v>
      </c>
      <c r="X107" s="1876" t="s">
        <v>499</v>
      </c>
      <c r="Y107" s="2651"/>
      <c r="Z107" s="2653"/>
      <c r="AA107" s="2647"/>
      <c r="AB107" s="2647"/>
      <c r="AC107" s="2647"/>
      <c r="AD107" s="2647"/>
      <c r="AE107" s="2647"/>
      <c r="AF107" s="2647"/>
      <c r="AG107" s="2647"/>
      <c r="AH107" s="2647"/>
      <c r="AI107" s="2647"/>
      <c r="AJ107" s="2647"/>
      <c r="AK107" s="2647"/>
      <c r="AL107" s="2647"/>
      <c r="AM107" s="2647"/>
      <c r="AN107" s="2649"/>
      <c r="AO107" s="2595"/>
      <c r="AP107" s="2595"/>
      <c r="AQ107" s="2597"/>
    </row>
    <row r="108" spans="1:43" ht="116.25" customHeight="1" x14ac:dyDescent="0.2">
      <c r="A108" s="2678"/>
      <c r="B108" s="2679"/>
      <c r="C108" s="2680"/>
      <c r="D108" s="2681"/>
      <c r="E108" s="2679"/>
      <c r="F108" s="2680"/>
      <c r="G108" s="2681"/>
      <c r="H108" s="2681"/>
      <c r="I108" s="2682"/>
      <c r="J108" s="2684"/>
      <c r="K108" s="2666"/>
      <c r="L108" s="2666"/>
      <c r="M108" s="2668"/>
      <c r="N108" s="2670"/>
      <c r="O108" s="2672"/>
      <c r="P108" s="2674"/>
      <c r="Q108" s="2676"/>
      <c r="R108" s="2658"/>
      <c r="S108" s="2660"/>
      <c r="T108" s="2600"/>
      <c r="U108" s="2645"/>
      <c r="V108" s="1875">
        <v>90000</v>
      </c>
      <c r="W108" s="1857">
        <v>88</v>
      </c>
      <c r="X108" s="1876" t="s">
        <v>1756</v>
      </c>
      <c r="Y108" s="2651"/>
      <c r="Z108" s="2653"/>
      <c r="AA108" s="2647"/>
      <c r="AB108" s="2647"/>
      <c r="AC108" s="2647"/>
      <c r="AD108" s="2647"/>
      <c r="AE108" s="2647"/>
      <c r="AF108" s="2647"/>
      <c r="AG108" s="2647"/>
      <c r="AH108" s="2647"/>
      <c r="AI108" s="2647"/>
      <c r="AJ108" s="2647"/>
      <c r="AK108" s="2647"/>
      <c r="AL108" s="2647"/>
      <c r="AM108" s="2647"/>
      <c r="AN108" s="2649"/>
      <c r="AO108" s="2595"/>
      <c r="AP108" s="2595"/>
      <c r="AQ108" s="2597"/>
    </row>
    <row r="109" spans="1:43" ht="51" customHeight="1" x14ac:dyDescent="0.2">
      <c r="A109" s="2678"/>
      <c r="B109" s="2679"/>
      <c r="C109" s="2680"/>
      <c r="D109" s="2681"/>
      <c r="E109" s="2679"/>
      <c r="F109" s="2680"/>
      <c r="G109" s="2681"/>
      <c r="H109" s="2681"/>
      <c r="I109" s="2682"/>
      <c r="J109" s="2684"/>
      <c r="K109" s="2666"/>
      <c r="L109" s="2666"/>
      <c r="M109" s="2668"/>
      <c r="N109" s="2670"/>
      <c r="O109" s="2672"/>
      <c r="P109" s="2674"/>
      <c r="Q109" s="2676"/>
      <c r="R109" s="2658"/>
      <c r="S109" s="2660"/>
      <c r="T109" s="2600"/>
      <c r="U109" s="2646" t="s">
        <v>1759</v>
      </c>
      <c r="V109" s="1877">
        <v>103400000</v>
      </c>
      <c r="W109" s="1878">
        <v>20</v>
      </c>
      <c r="X109" s="1879" t="s">
        <v>499</v>
      </c>
      <c r="Y109" s="2651"/>
      <c r="Z109" s="2653"/>
      <c r="AA109" s="2647"/>
      <c r="AB109" s="2647"/>
      <c r="AC109" s="2647"/>
      <c r="AD109" s="2647"/>
      <c r="AE109" s="2647"/>
      <c r="AF109" s="2647"/>
      <c r="AG109" s="2647"/>
      <c r="AH109" s="2647"/>
      <c r="AI109" s="2647"/>
      <c r="AJ109" s="2647"/>
      <c r="AK109" s="2647"/>
      <c r="AL109" s="2647"/>
      <c r="AM109" s="2647"/>
      <c r="AN109" s="2649"/>
      <c r="AO109" s="2595"/>
      <c r="AP109" s="2595"/>
      <c r="AQ109" s="2597"/>
    </row>
    <row r="110" spans="1:43" ht="57.75" customHeight="1" x14ac:dyDescent="0.2">
      <c r="A110" s="2678"/>
      <c r="B110" s="2679"/>
      <c r="C110" s="2680"/>
      <c r="D110" s="2681"/>
      <c r="E110" s="2679"/>
      <c r="F110" s="2680"/>
      <c r="G110" s="2681"/>
      <c r="H110" s="2681"/>
      <c r="I110" s="2682"/>
      <c r="J110" s="2684"/>
      <c r="K110" s="2666"/>
      <c r="L110" s="2666"/>
      <c r="M110" s="2668"/>
      <c r="N110" s="2670"/>
      <c r="O110" s="2672"/>
      <c r="P110" s="2674"/>
      <c r="Q110" s="2676"/>
      <c r="R110" s="2658"/>
      <c r="S110" s="2660"/>
      <c r="T110" s="2600"/>
      <c r="U110" s="2590"/>
      <c r="V110" s="1880">
        <v>32200000</v>
      </c>
      <c r="W110" s="1839">
        <v>88</v>
      </c>
      <c r="X110" s="1851" t="s">
        <v>500</v>
      </c>
      <c r="Y110" s="2647"/>
      <c r="Z110" s="2653"/>
      <c r="AA110" s="2647"/>
      <c r="AB110" s="2647"/>
      <c r="AC110" s="2647"/>
      <c r="AD110" s="2647"/>
      <c r="AE110" s="2647"/>
      <c r="AF110" s="2647"/>
      <c r="AG110" s="2647"/>
      <c r="AH110" s="2647"/>
      <c r="AI110" s="2647"/>
      <c r="AJ110" s="2647"/>
      <c r="AK110" s="2647"/>
      <c r="AL110" s="2647"/>
      <c r="AM110" s="2647"/>
      <c r="AN110" s="2649"/>
      <c r="AO110" s="2595"/>
      <c r="AP110" s="2595"/>
      <c r="AQ110" s="2597"/>
    </row>
    <row r="111" spans="1:43" ht="38.25" customHeight="1" x14ac:dyDescent="0.2">
      <c r="A111" s="2678"/>
      <c r="B111" s="2679"/>
      <c r="C111" s="2680"/>
      <c r="D111" s="2681"/>
      <c r="E111" s="2679"/>
      <c r="F111" s="2680"/>
      <c r="G111" s="2681"/>
      <c r="H111" s="2681"/>
      <c r="I111" s="2682"/>
      <c r="J111" s="2684"/>
      <c r="K111" s="2666"/>
      <c r="L111" s="2666"/>
      <c r="M111" s="2668"/>
      <c r="N111" s="2670"/>
      <c r="O111" s="2672"/>
      <c r="P111" s="2674"/>
      <c r="Q111" s="2676"/>
      <c r="R111" s="2658"/>
      <c r="S111" s="2660"/>
      <c r="T111" s="2600"/>
      <c r="U111" s="2586" t="s">
        <v>1760</v>
      </c>
      <c r="V111" s="1767">
        <v>2100000</v>
      </c>
      <c r="W111" s="1822">
        <v>20</v>
      </c>
      <c r="X111" s="1746" t="s">
        <v>502</v>
      </c>
      <c r="Y111" s="2647"/>
      <c r="Z111" s="2653"/>
      <c r="AA111" s="2647"/>
      <c r="AB111" s="2647"/>
      <c r="AC111" s="2647"/>
      <c r="AD111" s="2647"/>
      <c r="AE111" s="2647"/>
      <c r="AF111" s="2647"/>
      <c r="AG111" s="2647"/>
      <c r="AH111" s="2647"/>
      <c r="AI111" s="2647"/>
      <c r="AJ111" s="2647"/>
      <c r="AK111" s="2647"/>
      <c r="AL111" s="2647"/>
      <c r="AM111" s="2647"/>
      <c r="AN111" s="2649"/>
      <c r="AO111" s="2595"/>
      <c r="AP111" s="2595"/>
      <c r="AQ111" s="2597"/>
    </row>
    <row r="112" spans="1:43" ht="38.25" customHeight="1" x14ac:dyDescent="0.2">
      <c r="A112" s="2678"/>
      <c r="B112" s="2679"/>
      <c r="C112" s="2680"/>
      <c r="D112" s="2681"/>
      <c r="E112" s="2679"/>
      <c r="F112" s="2680"/>
      <c r="G112" s="2681"/>
      <c r="H112" s="2681"/>
      <c r="I112" s="2682"/>
      <c r="J112" s="2684"/>
      <c r="K112" s="2666"/>
      <c r="L112" s="2666"/>
      <c r="M112" s="2668"/>
      <c r="N112" s="2670"/>
      <c r="O112" s="2672"/>
      <c r="P112" s="2674"/>
      <c r="Q112" s="2676"/>
      <c r="R112" s="2658"/>
      <c r="S112" s="2660"/>
      <c r="T112" s="2600"/>
      <c r="U112" s="2566"/>
      <c r="V112" s="1767">
        <v>2100000</v>
      </c>
      <c r="W112" s="1822">
        <v>88</v>
      </c>
      <c r="X112" s="1770" t="s">
        <v>1756</v>
      </c>
      <c r="Y112" s="2647"/>
      <c r="Z112" s="2653"/>
      <c r="AA112" s="2647"/>
      <c r="AB112" s="2647"/>
      <c r="AC112" s="2647"/>
      <c r="AD112" s="2647"/>
      <c r="AE112" s="2647"/>
      <c r="AF112" s="2647"/>
      <c r="AG112" s="2647"/>
      <c r="AH112" s="2647"/>
      <c r="AI112" s="2647"/>
      <c r="AJ112" s="2647"/>
      <c r="AK112" s="2647"/>
      <c r="AL112" s="2647"/>
      <c r="AM112" s="2647"/>
      <c r="AN112" s="2649"/>
      <c r="AO112" s="2595"/>
      <c r="AP112" s="2595"/>
      <c r="AQ112" s="2597"/>
    </row>
    <row r="113" spans="1:43" ht="53.25" customHeight="1" x14ac:dyDescent="0.2">
      <c r="A113" s="2678"/>
      <c r="B113" s="2679"/>
      <c r="C113" s="2680"/>
      <c r="D113" s="2681"/>
      <c r="E113" s="2679"/>
      <c r="F113" s="2680"/>
      <c r="G113" s="2681"/>
      <c r="H113" s="2681"/>
      <c r="I113" s="2682"/>
      <c r="J113" s="2684"/>
      <c r="K113" s="2666"/>
      <c r="L113" s="2666"/>
      <c r="M113" s="2668"/>
      <c r="N113" s="2670"/>
      <c r="O113" s="2672"/>
      <c r="P113" s="2674"/>
      <c r="Q113" s="2676"/>
      <c r="R113" s="2658"/>
      <c r="S113" s="2660"/>
      <c r="T113" s="2643"/>
      <c r="U113" s="2575" t="s">
        <v>1761</v>
      </c>
      <c r="V113" s="2663">
        <f>4500000-2250000</f>
        <v>2250000</v>
      </c>
      <c r="W113" s="2655">
        <v>20</v>
      </c>
      <c r="X113" s="2655" t="s">
        <v>502</v>
      </c>
      <c r="Y113" s="2651"/>
      <c r="Z113" s="2653"/>
      <c r="AA113" s="2647"/>
      <c r="AB113" s="2647"/>
      <c r="AC113" s="2647"/>
      <c r="AD113" s="2647"/>
      <c r="AE113" s="2647"/>
      <c r="AF113" s="2647"/>
      <c r="AG113" s="2647"/>
      <c r="AH113" s="2647"/>
      <c r="AI113" s="2647"/>
      <c r="AJ113" s="2647"/>
      <c r="AK113" s="2647"/>
      <c r="AL113" s="2647"/>
      <c r="AM113" s="2647"/>
      <c r="AN113" s="2649"/>
      <c r="AO113" s="2595"/>
      <c r="AP113" s="2595"/>
      <c r="AQ113" s="2597"/>
    </row>
    <row r="114" spans="1:43" ht="66" customHeight="1" x14ac:dyDescent="0.2">
      <c r="A114" s="2678"/>
      <c r="B114" s="2679"/>
      <c r="C114" s="2680"/>
      <c r="D114" s="2681"/>
      <c r="E114" s="2679"/>
      <c r="F114" s="2680"/>
      <c r="G114" s="2681"/>
      <c r="H114" s="2681"/>
      <c r="I114" s="2682"/>
      <c r="J114" s="2684"/>
      <c r="K114" s="2666"/>
      <c r="L114" s="2666"/>
      <c r="M114" s="2668"/>
      <c r="N114" s="2670"/>
      <c r="O114" s="2672"/>
      <c r="P114" s="2674"/>
      <c r="Q114" s="2676"/>
      <c r="R114" s="2658"/>
      <c r="S114" s="2660"/>
      <c r="T114" s="2643"/>
      <c r="U114" s="2575"/>
      <c r="V114" s="2664"/>
      <c r="W114" s="2656"/>
      <c r="X114" s="2656"/>
      <c r="Y114" s="2651"/>
      <c r="Z114" s="2653"/>
      <c r="AA114" s="2647"/>
      <c r="AB114" s="2647"/>
      <c r="AC114" s="2647"/>
      <c r="AD114" s="2647"/>
      <c r="AE114" s="2647"/>
      <c r="AF114" s="2647"/>
      <c r="AG114" s="2647"/>
      <c r="AH114" s="2647"/>
      <c r="AI114" s="2647"/>
      <c r="AJ114" s="2647"/>
      <c r="AK114" s="2647"/>
      <c r="AL114" s="2647"/>
      <c r="AM114" s="2647"/>
      <c r="AN114" s="2649"/>
      <c r="AO114" s="2595"/>
      <c r="AP114" s="2595"/>
      <c r="AQ114" s="2597"/>
    </row>
    <row r="115" spans="1:43" ht="76.5" customHeight="1" x14ac:dyDescent="0.2">
      <c r="A115" s="2678"/>
      <c r="B115" s="2679"/>
      <c r="C115" s="2680"/>
      <c r="D115" s="2681"/>
      <c r="E115" s="2679"/>
      <c r="F115" s="2680"/>
      <c r="G115" s="2681"/>
      <c r="H115" s="2681"/>
      <c r="I115" s="2682"/>
      <c r="J115" s="2684"/>
      <c r="K115" s="2666"/>
      <c r="L115" s="2666"/>
      <c r="M115" s="2668"/>
      <c r="N115" s="2670"/>
      <c r="O115" s="2672"/>
      <c r="P115" s="2674"/>
      <c r="Q115" s="2676"/>
      <c r="R115" s="2658"/>
      <c r="S115" s="2660"/>
      <c r="T115" s="2600"/>
      <c r="U115" s="1881" t="s">
        <v>1762</v>
      </c>
      <c r="V115" s="1882">
        <f>0+2250000</f>
        <v>2250000</v>
      </c>
      <c r="W115" s="1825">
        <v>20</v>
      </c>
      <c r="X115" s="1826" t="s">
        <v>1687</v>
      </c>
      <c r="Y115" s="2652"/>
      <c r="Z115" s="2654"/>
      <c r="AA115" s="2648"/>
      <c r="AB115" s="2648"/>
      <c r="AC115" s="2648"/>
      <c r="AD115" s="2648"/>
      <c r="AE115" s="2648"/>
      <c r="AF115" s="2648"/>
      <c r="AG115" s="2648"/>
      <c r="AH115" s="2648"/>
      <c r="AI115" s="2648"/>
      <c r="AJ115" s="2648"/>
      <c r="AK115" s="2648"/>
      <c r="AL115" s="2648"/>
      <c r="AM115" s="2648"/>
      <c r="AN115" s="2650"/>
      <c r="AO115" s="2595"/>
      <c r="AP115" s="2595"/>
      <c r="AQ115" s="2597"/>
    </row>
    <row r="116" spans="1:43" ht="81" customHeight="1" x14ac:dyDescent="0.2">
      <c r="A116" s="1765"/>
      <c r="D116" s="1766"/>
      <c r="G116" s="1766"/>
      <c r="H116" s="1865"/>
      <c r="I116" s="1866"/>
      <c r="J116" s="2634">
        <v>266</v>
      </c>
      <c r="K116" s="2500" t="s">
        <v>1763</v>
      </c>
      <c r="L116" s="2637" t="s">
        <v>1764</v>
      </c>
      <c r="M116" s="2625">
        <v>1</v>
      </c>
      <c r="N116" s="2639" t="s">
        <v>1765</v>
      </c>
      <c r="O116" s="2640" t="s">
        <v>1766</v>
      </c>
      <c r="P116" s="2628" t="s">
        <v>1767</v>
      </c>
      <c r="Q116" s="2582">
        <v>1</v>
      </c>
      <c r="R116" s="2630">
        <f>SUM(V116:V127)</f>
        <v>48000000</v>
      </c>
      <c r="S116" s="2600" t="s">
        <v>1768</v>
      </c>
      <c r="T116" s="2499" t="s">
        <v>1769</v>
      </c>
      <c r="U116" s="1883" t="s">
        <v>1770</v>
      </c>
      <c r="V116" s="1884">
        <v>4800000</v>
      </c>
      <c r="W116" s="1839" t="s">
        <v>893</v>
      </c>
      <c r="X116" s="1851" t="s">
        <v>1687</v>
      </c>
      <c r="Y116" s="2594">
        <v>282326</v>
      </c>
      <c r="Z116" s="2607">
        <v>292684</v>
      </c>
      <c r="AA116" s="2594">
        <v>135912</v>
      </c>
      <c r="AB116" s="2594">
        <v>45122</v>
      </c>
      <c r="AC116" s="2594">
        <v>307101</v>
      </c>
      <c r="AD116" s="2594">
        <v>86875</v>
      </c>
      <c r="AE116" s="2594">
        <v>2145</v>
      </c>
      <c r="AF116" s="2594">
        <v>12718</v>
      </c>
      <c r="AG116" s="2594">
        <v>26</v>
      </c>
      <c r="AH116" s="2594">
        <v>37</v>
      </c>
      <c r="AI116" s="2594"/>
      <c r="AJ116" s="2594"/>
      <c r="AK116" s="2594">
        <v>43029</v>
      </c>
      <c r="AL116" s="2622">
        <f>AL96</f>
        <v>16982</v>
      </c>
      <c r="AM116" s="2594">
        <v>60013</v>
      </c>
      <c r="AN116" s="2622">
        <f>Y116+Z116</f>
        <v>575010</v>
      </c>
      <c r="AO116" s="2595">
        <v>43102</v>
      </c>
      <c r="AP116" s="2595">
        <v>43465</v>
      </c>
      <c r="AQ116" s="2597" t="s">
        <v>1721</v>
      </c>
    </row>
    <row r="117" spans="1:43" ht="44.25" customHeight="1" x14ac:dyDescent="0.2">
      <c r="A117" s="1765"/>
      <c r="D117" s="1766"/>
      <c r="G117" s="1766"/>
      <c r="H117" s="1865"/>
      <c r="I117" s="1866"/>
      <c r="J117" s="2635"/>
      <c r="K117" s="2600"/>
      <c r="L117" s="2638"/>
      <c r="M117" s="2593"/>
      <c r="N117" s="2610"/>
      <c r="O117" s="2498"/>
      <c r="P117" s="2614"/>
      <c r="Q117" s="2629"/>
      <c r="R117" s="2631"/>
      <c r="S117" s="2600"/>
      <c r="T117" s="2632"/>
      <c r="U117" s="1883" t="s">
        <v>1771</v>
      </c>
      <c r="V117" s="1885">
        <v>2120000</v>
      </c>
      <c r="W117" s="1822">
        <v>20</v>
      </c>
      <c r="X117" s="1746" t="s">
        <v>1687</v>
      </c>
      <c r="Y117" s="2601"/>
      <c r="Z117" s="2626"/>
      <c r="AA117" s="2601"/>
      <c r="AB117" s="2601"/>
      <c r="AC117" s="2601"/>
      <c r="AD117" s="2601"/>
      <c r="AE117" s="2601"/>
      <c r="AF117" s="2601"/>
      <c r="AG117" s="2601"/>
      <c r="AH117" s="2601"/>
      <c r="AI117" s="2601"/>
      <c r="AJ117" s="2601"/>
      <c r="AK117" s="2601"/>
      <c r="AL117" s="2623"/>
      <c r="AM117" s="2601"/>
      <c r="AN117" s="2623"/>
      <c r="AO117" s="2595"/>
      <c r="AP117" s="2595"/>
      <c r="AQ117" s="2597"/>
    </row>
    <row r="118" spans="1:43" ht="39" customHeight="1" x14ac:dyDescent="0.2">
      <c r="A118" s="1765"/>
      <c r="D118" s="1766"/>
      <c r="G118" s="1766"/>
      <c r="H118" s="1865"/>
      <c r="I118" s="1866"/>
      <c r="J118" s="2635"/>
      <c r="K118" s="2600"/>
      <c r="L118" s="2638"/>
      <c r="M118" s="2593"/>
      <c r="N118" s="2610"/>
      <c r="O118" s="2498"/>
      <c r="P118" s="2614"/>
      <c r="Q118" s="2629"/>
      <c r="R118" s="2631"/>
      <c r="S118" s="2600"/>
      <c r="T118" s="2632"/>
      <c r="U118" s="1886" t="s">
        <v>1772</v>
      </c>
      <c r="V118" s="1885">
        <v>14250000</v>
      </c>
      <c r="W118" s="1822">
        <v>20</v>
      </c>
      <c r="X118" s="1746" t="s">
        <v>1687</v>
      </c>
      <c r="Y118" s="2601"/>
      <c r="Z118" s="2626"/>
      <c r="AA118" s="2601"/>
      <c r="AB118" s="2601"/>
      <c r="AC118" s="2601"/>
      <c r="AD118" s="2601"/>
      <c r="AE118" s="2601"/>
      <c r="AF118" s="2601"/>
      <c r="AG118" s="2601"/>
      <c r="AH118" s="2601"/>
      <c r="AI118" s="2601"/>
      <c r="AJ118" s="2601"/>
      <c r="AK118" s="2601"/>
      <c r="AL118" s="2623"/>
      <c r="AM118" s="2601"/>
      <c r="AN118" s="2623"/>
      <c r="AO118" s="2595"/>
      <c r="AP118" s="2595"/>
      <c r="AQ118" s="2597"/>
    </row>
    <row r="119" spans="1:43" ht="91.5" customHeight="1" x14ac:dyDescent="0.2">
      <c r="A119" s="1765"/>
      <c r="D119" s="1766"/>
      <c r="G119" s="1766"/>
      <c r="H119" s="1865"/>
      <c r="I119" s="1866"/>
      <c r="J119" s="2635"/>
      <c r="K119" s="2600"/>
      <c r="L119" s="2638"/>
      <c r="M119" s="2593"/>
      <c r="N119" s="2610"/>
      <c r="O119" s="2498"/>
      <c r="P119" s="2614"/>
      <c r="Q119" s="2629"/>
      <c r="R119" s="2631"/>
      <c r="S119" s="2600"/>
      <c r="T119" s="2632"/>
      <c r="U119" s="1883" t="s">
        <v>1773</v>
      </c>
      <c r="V119" s="1885">
        <v>2850000</v>
      </c>
      <c r="W119" s="1822" t="s">
        <v>893</v>
      </c>
      <c r="X119" s="1746" t="s">
        <v>1687</v>
      </c>
      <c r="Y119" s="2601"/>
      <c r="Z119" s="2626"/>
      <c r="AA119" s="2601"/>
      <c r="AB119" s="2601"/>
      <c r="AC119" s="2601"/>
      <c r="AD119" s="2601"/>
      <c r="AE119" s="2601"/>
      <c r="AF119" s="2601"/>
      <c r="AG119" s="2601"/>
      <c r="AH119" s="2601"/>
      <c r="AI119" s="2601"/>
      <c r="AJ119" s="2601"/>
      <c r="AK119" s="2601"/>
      <c r="AL119" s="2623"/>
      <c r="AM119" s="2601"/>
      <c r="AN119" s="2623"/>
      <c r="AO119" s="2595"/>
      <c r="AP119" s="2595"/>
      <c r="AQ119" s="2597"/>
    </row>
    <row r="120" spans="1:43" ht="39" customHeight="1" x14ac:dyDescent="0.2">
      <c r="A120" s="1765"/>
      <c r="D120" s="1766"/>
      <c r="G120" s="1766"/>
      <c r="H120" s="1865"/>
      <c r="I120" s="1866"/>
      <c r="J120" s="2635"/>
      <c r="K120" s="2600"/>
      <c r="L120" s="2638"/>
      <c r="M120" s="2593"/>
      <c r="N120" s="2610"/>
      <c r="O120" s="2498"/>
      <c r="P120" s="2614"/>
      <c r="Q120" s="2629"/>
      <c r="R120" s="2631"/>
      <c r="S120" s="2600"/>
      <c r="T120" s="2632"/>
      <c r="U120" s="1883" t="s">
        <v>1774</v>
      </c>
      <c r="V120" s="1885">
        <v>1200000</v>
      </c>
      <c r="W120" s="1822">
        <v>20</v>
      </c>
      <c r="X120" s="1746" t="s">
        <v>1687</v>
      </c>
      <c r="Y120" s="2601"/>
      <c r="Z120" s="2626"/>
      <c r="AA120" s="2601"/>
      <c r="AB120" s="2601"/>
      <c r="AC120" s="2601"/>
      <c r="AD120" s="2601"/>
      <c r="AE120" s="2601"/>
      <c r="AF120" s="2601"/>
      <c r="AG120" s="2601"/>
      <c r="AH120" s="2601"/>
      <c r="AI120" s="2601"/>
      <c r="AJ120" s="2601"/>
      <c r="AK120" s="2601"/>
      <c r="AL120" s="2623"/>
      <c r="AM120" s="2601"/>
      <c r="AN120" s="2623"/>
      <c r="AO120" s="2595"/>
      <c r="AP120" s="2595"/>
      <c r="AQ120" s="2597"/>
    </row>
    <row r="121" spans="1:43" ht="39" customHeight="1" x14ac:dyDescent="0.2">
      <c r="A121" s="1765"/>
      <c r="D121" s="1766"/>
      <c r="G121" s="1766"/>
      <c r="H121" s="1865"/>
      <c r="I121" s="1866"/>
      <c r="J121" s="2635"/>
      <c r="K121" s="2600"/>
      <c r="L121" s="2638"/>
      <c r="M121" s="2593"/>
      <c r="N121" s="2610"/>
      <c r="O121" s="2498"/>
      <c r="P121" s="2614"/>
      <c r="Q121" s="2629"/>
      <c r="R121" s="2631"/>
      <c r="S121" s="2600"/>
      <c r="T121" s="2632"/>
      <c r="U121" s="1883" t="s">
        <v>1775</v>
      </c>
      <c r="V121" s="1885">
        <v>1200000</v>
      </c>
      <c r="W121" s="1822">
        <v>20</v>
      </c>
      <c r="X121" s="1746" t="s">
        <v>1687</v>
      </c>
      <c r="Y121" s="2601"/>
      <c r="Z121" s="2626"/>
      <c r="AA121" s="2601"/>
      <c r="AB121" s="2601"/>
      <c r="AC121" s="2601"/>
      <c r="AD121" s="2601"/>
      <c r="AE121" s="2601"/>
      <c r="AF121" s="2601"/>
      <c r="AG121" s="2601"/>
      <c r="AH121" s="2601"/>
      <c r="AI121" s="2601"/>
      <c r="AJ121" s="2601"/>
      <c r="AK121" s="2601"/>
      <c r="AL121" s="2623"/>
      <c r="AM121" s="2601"/>
      <c r="AN121" s="2623"/>
      <c r="AO121" s="2595"/>
      <c r="AP121" s="2595"/>
      <c r="AQ121" s="2597"/>
    </row>
    <row r="122" spans="1:43" ht="42" customHeight="1" x14ac:dyDescent="0.2">
      <c r="A122" s="1765"/>
      <c r="D122" s="1766"/>
      <c r="G122" s="1766"/>
      <c r="H122" s="1865"/>
      <c r="I122" s="1866"/>
      <c r="J122" s="2635"/>
      <c r="K122" s="2600"/>
      <c r="L122" s="2638"/>
      <c r="M122" s="2593"/>
      <c r="N122" s="2610"/>
      <c r="O122" s="2498"/>
      <c r="P122" s="2614"/>
      <c r="Q122" s="2629"/>
      <c r="R122" s="2631"/>
      <c r="S122" s="2600"/>
      <c r="T122" s="2632"/>
      <c r="U122" s="1883" t="s">
        <v>1776</v>
      </c>
      <c r="V122" s="1885">
        <v>300000</v>
      </c>
      <c r="W122" s="1822">
        <v>20</v>
      </c>
      <c r="X122" s="1746" t="s">
        <v>1687</v>
      </c>
      <c r="Y122" s="2601"/>
      <c r="Z122" s="2626"/>
      <c r="AA122" s="2601"/>
      <c r="AB122" s="2601"/>
      <c r="AC122" s="2601"/>
      <c r="AD122" s="2601"/>
      <c r="AE122" s="2601"/>
      <c r="AF122" s="2601"/>
      <c r="AG122" s="2601"/>
      <c r="AH122" s="2601"/>
      <c r="AI122" s="2601"/>
      <c r="AJ122" s="2601"/>
      <c r="AK122" s="2601"/>
      <c r="AL122" s="2623"/>
      <c r="AM122" s="2601"/>
      <c r="AN122" s="2623"/>
      <c r="AO122" s="2595"/>
      <c r="AP122" s="2595"/>
      <c r="AQ122" s="2597"/>
    </row>
    <row r="123" spans="1:43" ht="42" customHeight="1" x14ac:dyDescent="0.2">
      <c r="A123" s="1765"/>
      <c r="D123" s="1766"/>
      <c r="G123" s="1766"/>
      <c r="H123" s="1865"/>
      <c r="I123" s="1866"/>
      <c r="J123" s="2635"/>
      <c r="K123" s="2600"/>
      <c r="L123" s="2638"/>
      <c r="M123" s="2593"/>
      <c r="N123" s="2610"/>
      <c r="O123" s="2498"/>
      <c r="P123" s="2614"/>
      <c r="Q123" s="2629"/>
      <c r="R123" s="2631"/>
      <c r="S123" s="2600"/>
      <c r="T123" s="2632"/>
      <c r="U123" s="1883" t="s">
        <v>1777</v>
      </c>
      <c r="V123" s="1885">
        <v>3760000</v>
      </c>
      <c r="W123" s="1822">
        <v>20</v>
      </c>
      <c r="X123" s="1746" t="s">
        <v>1687</v>
      </c>
      <c r="Y123" s="2601"/>
      <c r="Z123" s="2626"/>
      <c r="AA123" s="2601"/>
      <c r="AB123" s="2601"/>
      <c r="AC123" s="2601"/>
      <c r="AD123" s="2601"/>
      <c r="AE123" s="2601"/>
      <c r="AF123" s="2601"/>
      <c r="AG123" s="2601"/>
      <c r="AH123" s="2601"/>
      <c r="AI123" s="2601"/>
      <c r="AJ123" s="2601"/>
      <c r="AK123" s="2601"/>
      <c r="AL123" s="2623"/>
      <c r="AM123" s="2601"/>
      <c r="AN123" s="2623"/>
      <c r="AO123" s="2595"/>
      <c r="AP123" s="2595"/>
      <c r="AQ123" s="2597"/>
    </row>
    <row r="124" spans="1:43" ht="42" customHeight="1" x14ac:dyDescent="0.2">
      <c r="A124" s="1765"/>
      <c r="D124" s="1766"/>
      <c r="G124" s="1766"/>
      <c r="H124" s="1865"/>
      <c r="I124" s="1866"/>
      <c r="J124" s="2635"/>
      <c r="K124" s="2600"/>
      <c r="L124" s="2638"/>
      <c r="M124" s="2593"/>
      <c r="N124" s="2610"/>
      <c r="O124" s="2498"/>
      <c r="P124" s="2614"/>
      <c r="Q124" s="2629"/>
      <c r="R124" s="2631"/>
      <c r="S124" s="2600"/>
      <c r="T124" s="2632"/>
      <c r="U124" s="1883" t="s">
        <v>1778</v>
      </c>
      <c r="V124" s="1885">
        <f>3760000</f>
        <v>3760000</v>
      </c>
      <c r="W124" s="1822">
        <v>20</v>
      </c>
      <c r="X124" s="1746" t="s">
        <v>1687</v>
      </c>
      <c r="Y124" s="2601"/>
      <c r="Z124" s="2626"/>
      <c r="AA124" s="2601"/>
      <c r="AB124" s="2601"/>
      <c r="AC124" s="2601"/>
      <c r="AD124" s="2601"/>
      <c r="AE124" s="2601"/>
      <c r="AF124" s="2601"/>
      <c r="AG124" s="2601"/>
      <c r="AH124" s="2601"/>
      <c r="AI124" s="2601"/>
      <c r="AJ124" s="2601"/>
      <c r="AK124" s="2601"/>
      <c r="AL124" s="2623"/>
      <c r="AM124" s="2601"/>
      <c r="AN124" s="2623"/>
      <c r="AO124" s="2595"/>
      <c r="AP124" s="2595"/>
      <c r="AQ124" s="2597"/>
    </row>
    <row r="125" spans="1:43" ht="42" customHeight="1" x14ac:dyDescent="0.2">
      <c r="A125" s="1765"/>
      <c r="D125" s="1766"/>
      <c r="G125" s="1766"/>
      <c r="H125" s="1865"/>
      <c r="I125" s="1866"/>
      <c r="J125" s="2635"/>
      <c r="K125" s="2600"/>
      <c r="L125" s="2638"/>
      <c r="M125" s="2593"/>
      <c r="N125" s="2610"/>
      <c r="O125" s="2498"/>
      <c r="P125" s="2614"/>
      <c r="Q125" s="2629"/>
      <c r="R125" s="2631"/>
      <c r="S125" s="2600"/>
      <c r="T125" s="2632"/>
      <c r="U125" s="1887" t="s">
        <v>1779</v>
      </c>
      <c r="V125" s="1888">
        <f>0+3500000</f>
        <v>3500000</v>
      </c>
      <c r="W125" s="1822">
        <v>88</v>
      </c>
      <c r="X125" s="1770" t="s">
        <v>500</v>
      </c>
      <c r="Y125" s="2601"/>
      <c r="Z125" s="2626"/>
      <c r="AA125" s="2601"/>
      <c r="AB125" s="2601"/>
      <c r="AC125" s="2601"/>
      <c r="AD125" s="2601"/>
      <c r="AE125" s="2601"/>
      <c r="AF125" s="2601"/>
      <c r="AG125" s="2601"/>
      <c r="AH125" s="2601"/>
      <c r="AI125" s="2601"/>
      <c r="AJ125" s="2601"/>
      <c r="AK125" s="2601"/>
      <c r="AL125" s="2623"/>
      <c r="AM125" s="2601"/>
      <c r="AN125" s="2623"/>
      <c r="AO125" s="2595"/>
      <c r="AP125" s="2595"/>
      <c r="AQ125" s="2597"/>
    </row>
    <row r="126" spans="1:43" ht="42" customHeight="1" x14ac:dyDescent="0.2">
      <c r="A126" s="1765"/>
      <c r="D126" s="1766"/>
      <c r="G126" s="1766"/>
      <c r="H126" s="1865"/>
      <c r="I126" s="1866"/>
      <c r="J126" s="2635"/>
      <c r="K126" s="2600"/>
      <c r="L126" s="2638"/>
      <c r="M126" s="2593"/>
      <c r="N126" s="2610"/>
      <c r="O126" s="2498"/>
      <c r="P126" s="2614"/>
      <c r="Q126" s="2629"/>
      <c r="R126" s="2631"/>
      <c r="S126" s="2600"/>
      <c r="T126" s="2500"/>
      <c r="U126" s="1887" t="s">
        <v>1780</v>
      </c>
      <c r="V126" s="1888">
        <f>0+6500000</f>
        <v>6500000</v>
      </c>
      <c r="W126" s="1822">
        <v>88</v>
      </c>
      <c r="X126" s="1770" t="s">
        <v>500</v>
      </c>
      <c r="Y126" s="2601"/>
      <c r="Z126" s="2626"/>
      <c r="AA126" s="2601"/>
      <c r="AB126" s="2601"/>
      <c r="AC126" s="2601"/>
      <c r="AD126" s="2601"/>
      <c r="AE126" s="2601"/>
      <c r="AF126" s="2601"/>
      <c r="AG126" s="2601"/>
      <c r="AH126" s="2601"/>
      <c r="AI126" s="2601"/>
      <c r="AJ126" s="2601"/>
      <c r="AK126" s="2601"/>
      <c r="AL126" s="2623"/>
      <c r="AM126" s="2601"/>
      <c r="AN126" s="2623"/>
      <c r="AO126" s="2595"/>
      <c r="AP126" s="2595"/>
      <c r="AQ126" s="2597"/>
    </row>
    <row r="127" spans="1:43" ht="89.25" customHeight="1" x14ac:dyDescent="0.2">
      <c r="A127" s="1765"/>
      <c r="B127" s="1865"/>
      <c r="C127" s="1866"/>
      <c r="D127" s="1865"/>
      <c r="F127" s="1866"/>
      <c r="G127" s="1865"/>
      <c r="H127" s="1865"/>
      <c r="I127" s="1866"/>
      <c r="J127" s="2636"/>
      <c r="K127" s="2499"/>
      <c r="L127" s="2638"/>
      <c r="M127" s="2593"/>
      <c r="N127" s="2610"/>
      <c r="O127" s="2498"/>
      <c r="P127" s="2614"/>
      <c r="Q127" s="2629"/>
      <c r="R127" s="2631"/>
      <c r="S127" s="2600"/>
      <c r="T127" s="67" t="s">
        <v>1781</v>
      </c>
      <c r="U127" s="1889" t="s">
        <v>1782</v>
      </c>
      <c r="V127" s="1885">
        <f>3760000</f>
        <v>3760000</v>
      </c>
      <c r="W127" s="1841">
        <v>20</v>
      </c>
      <c r="X127" s="1746" t="s">
        <v>1687</v>
      </c>
      <c r="Y127" s="2633"/>
      <c r="Z127" s="2627"/>
      <c r="AA127" s="2625"/>
      <c r="AB127" s="2625"/>
      <c r="AC127" s="2625"/>
      <c r="AD127" s="2625"/>
      <c r="AE127" s="2625"/>
      <c r="AF127" s="2625"/>
      <c r="AG127" s="2625"/>
      <c r="AH127" s="2625"/>
      <c r="AI127" s="2625"/>
      <c r="AJ127" s="2625"/>
      <c r="AK127" s="2625"/>
      <c r="AL127" s="2624"/>
      <c r="AM127" s="2625"/>
      <c r="AN127" s="2624"/>
      <c r="AO127" s="2595"/>
      <c r="AP127" s="2595"/>
      <c r="AQ127" s="2597"/>
    </row>
    <row r="128" spans="1:43" s="1871" customFormat="1" ht="42" customHeight="1" x14ac:dyDescent="0.2">
      <c r="A128" s="2618"/>
      <c r="B128" s="2619"/>
      <c r="C128" s="2620"/>
      <c r="D128" s="1865"/>
      <c r="E128" s="1865"/>
      <c r="F128" s="1866"/>
      <c r="G128" s="1865"/>
      <c r="H128" s="1865"/>
      <c r="I128" s="1866"/>
      <c r="J128" s="2574">
        <v>267</v>
      </c>
      <c r="K128" s="2621" t="s">
        <v>1783</v>
      </c>
      <c r="L128" s="2568" t="s">
        <v>1784</v>
      </c>
      <c r="M128" s="2570">
        <v>1</v>
      </c>
      <c r="N128" s="2610" t="s">
        <v>1785</v>
      </c>
      <c r="O128" s="2612" t="s">
        <v>1786</v>
      </c>
      <c r="P128" s="2614" t="s">
        <v>1787</v>
      </c>
      <c r="Q128" s="2572">
        <f>SUM(V128+V129)/R128</f>
        <v>0.10732699054937611</v>
      </c>
      <c r="R128" s="2616">
        <f>SUM(V128:V148)</f>
        <v>232187634</v>
      </c>
      <c r="S128" s="2600" t="s">
        <v>1788</v>
      </c>
      <c r="T128" s="2602" t="s">
        <v>1789</v>
      </c>
      <c r="U128" s="2604" t="s">
        <v>1790</v>
      </c>
      <c r="V128" s="1767">
        <v>9500000</v>
      </c>
      <c r="W128" s="1841">
        <v>20</v>
      </c>
      <c r="X128" s="1746" t="s">
        <v>62</v>
      </c>
      <c r="Y128" s="2605">
        <v>294321</v>
      </c>
      <c r="Z128" s="2606">
        <v>283947</v>
      </c>
      <c r="AA128" s="2593">
        <v>135754</v>
      </c>
      <c r="AB128" s="2593">
        <v>44640</v>
      </c>
      <c r="AC128" s="2593">
        <v>308178</v>
      </c>
      <c r="AD128" s="2593">
        <v>89696</v>
      </c>
      <c r="AE128" s="2593">
        <v>2145</v>
      </c>
      <c r="AF128" s="2593">
        <v>12718</v>
      </c>
      <c r="AG128" s="2593">
        <v>26</v>
      </c>
      <c r="AH128" s="2593">
        <v>37</v>
      </c>
      <c r="AI128" s="2593"/>
      <c r="AJ128" s="2593"/>
      <c r="AK128" s="2593">
        <v>54612</v>
      </c>
      <c r="AL128" s="2593">
        <v>16982</v>
      </c>
      <c r="AM128" s="2594">
        <v>1010</v>
      </c>
      <c r="AN128" s="2593">
        <f>Y128+Z128</f>
        <v>578268</v>
      </c>
      <c r="AO128" s="2595">
        <v>43102</v>
      </c>
      <c r="AP128" s="2595">
        <v>43465</v>
      </c>
      <c r="AQ128" s="2597" t="s">
        <v>1721</v>
      </c>
    </row>
    <row r="129" spans="1:43" ht="45.75" customHeight="1" x14ac:dyDescent="0.2">
      <c r="A129" s="2618"/>
      <c r="B129" s="2619"/>
      <c r="C129" s="2620"/>
      <c r="D129" s="1865"/>
      <c r="E129" s="1865"/>
      <c r="F129" s="1866"/>
      <c r="G129" s="1865"/>
      <c r="H129" s="1865"/>
      <c r="I129" s="1866"/>
      <c r="J129" s="2574"/>
      <c r="K129" s="2621"/>
      <c r="L129" s="2588"/>
      <c r="M129" s="2580"/>
      <c r="N129" s="2610"/>
      <c r="O129" s="2612"/>
      <c r="P129" s="2614"/>
      <c r="Q129" s="2582"/>
      <c r="R129" s="2616"/>
      <c r="S129" s="2600"/>
      <c r="T129" s="2603"/>
      <c r="U129" s="2604"/>
      <c r="V129" s="1767">
        <f>0+15420000</f>
        <v>15420000</v>
      </c>
      <c r="W129" s="1841">
        <v>88</v>
      </c>
      <c r="X129" s="1746" t="s">
        <v>500</v>
      </c>
      <c r="Y129" s="2605"/>
      <c r="Z129" s="2606"/>
      <c r="AA129" s="2593"/>
      <c r="AB129" s="2593"/>
      <c r="AC129" s="2593"/>
      <c r="AD129" s="2593"/>
      <c r="AE129" s="2593"/>
      <c r="AF129" s="2593"/>
      <c r="AG129" s="2593"/>
      <c r="AH129" s="2593"/>
      <c r="AI129" s="2593"/>
      <c r="AJ129" s="2593"/>
      <c r="AK129" s="2593"/>
      <c r="AL129" s="2593"/>
      <c r="AM129" s="2601"/>
      <c r="AN129" s="2593"/>
      <c r="AO129" s="2595"/>
      <c r="AP129" s="2595"/>
      <c r="AQ129" s="2597"/>
    </row>
    <row r="130" spans="1:43" ht="41.25" customHeight="1" x14ac:dyDescent="0.2">
      <c r="A130" s="1765"/>
      <c r="D130" s="1766"/>
      <c r="G130" s="1766"/>
      <c r="H130" s="1865"/>
      <c r="I130" s="1866"/>
      <c r="J130" s="2564">
        <v>268</v>
      </c>
      <c r="K130" s="2599" t="s">
        <v>1791</v>
      </c>
      <c r="L130" s="2568" t="s">
        <v>1792</v>
      </c>
      <c r="M130" s="2570">
        <v>12</v>
      </c>
      <c r="N130" s="2610"/>
      <c r="O130" s="2612"/>
      <c r="P130" s="2614"/>
      <c r="Q130" s="2572">
        <f>SUM(V130:V132)/R128</f>
        <v>0.13075631753928807</v>
      </c>
      <c r="R130" s="2616"/>
      <c r="S130" s="2600"/>
      <c r="T130" s="2600" t="s">
        <v>1793</v>
      </c>
      <c r="U130" s="2608" t="s">
        <v>1794</v>
      </c>
      <c r="V130" s="1767">
        <v>19720000</v>
      </c>
      <c r="W130" s="1841">
        <v>20</v>
      </c>
      <c r="X130" s="1841" t="s">
        <v>502</v>
      </c>
      <c r="Y130" s="2605"/>
      <c r="Z130" s="2606"/>
      <c r="AA130" s="2593"/>
      <c r="AB130" s="2593"/>
      <c r="AC130" s="2593"/>
      <c r="AD130" s="2593"/>
      <c r="AE130" s="2593"/>
      <c r="AF130" s="2593"/>
      <c r="AG130" s="2593"/>
      <c r="AH130" s="2593"/>
      <c r="AI130" s="2593"/>
      <c r="AJ130" s="2593"/>
      <c r="AK130" s="2593"/>
      <c r="AL130" s="2593"/>
      <c r="AM130" s="2601"/>
      <c r="AN130" s="2593"/>
      <c r="AO130" s="2595"/>
      <c r="AP130" s="2595"/>
      <c r="AQ130" s="2597"/>
    </row>
    <row r="131" spans="1:43" ht="31.5" customHeight="1" x14ac:dyDescent="0.2">
      <c r="A131" s="1765"/>
      <c r="D131" s="1766"/>
      <c r="G131" s="1766"/>
      <c r="H131" s="1865"/>
      <c r="I131" s="1866"/>
      <c r="J131" s="2564"/>
      <c r="K131" s="2599"/>
      <c r="L131" s="2587"/>
      <c r="M131" s="2579"/>
      <c r="N131" s="2610"/>
      <c r="O131" s="2612"/>
      <c r="P131" s="2614"/>
      <c r="Q131" s="2581"/>
      <c r="R131" s="2616"/>
      <c r="S131" s="2600"/>
      <c r="T131" s="2600"/>
      <c r="U131" s="2609"/>
      <c r="V131" s="1767">
        <f>0+9860000</f>
        <v>9860000</v>
      </c>
      <c r="W131" s="1841">
        <v>88</v>
      </c>
      <c r="X131" s="1746" t="s">
        <v>500</v>
      </c>
      <c r="Y131" s="2605"/>
      <c r="Z131" s="2606"/>
      <c r="AA131" s="2593"/>
      <c r="AB131" s="2593"/>
      <c r="AC131" s="2593"/>
      <c r="AD131" s="2593"/>
      <c r="AE131" s="2593"/>
      <c r="AF131" s="2593"/>
      <c r="AG131" s="2593"/>
      <c r="AH131" s="2593"/>
      <c r="AI131" s="2593"/>
      <c r="AJ131" s="2593"/>
      <c r="AK131" s="2593"/>
      <c r="AL131" s="2593"/>
      <c r="AM131" s="2601"/>
      <c r="AN131" s="2593"/>
      <c r="AO131" s="2595"/>
      <c r="AP131" s="2595"/>
      <c r="AQ131" s="2597"/>
    </row>
    <row r="132" spans="1:43" ht="32.25" customHeight="1" x14ac:dyDescent="0.2">
      <c r="A132" s="1765"/>
      <c r="D132" s="1766"/>
      <c r="G132" s="1766"/>
      <c r="H132" s="1865"/>
      <c r="I132" s="1866"/>
      <c r="J132" s="2589"/>
      <c r="K132" s="2590"/>
      <c r="L132" s="2588"/>
      <c r="M132" s="2580"/>
      <c r="N132" s="2610"/>
      <c r="O132" s="2612"/>
      <c r="P132" s="2614"/>
      <c r="Q132" s="2582"/>
      <c r="R132" s="2616"/>
      <c r="S132" s="2600"/>
      <c r="T132" s="2600"/>
      <c r="U132" s="1890" t="s">
        <v>1795</v>
      </c>
      <c r="V132" s="1880">
        <v>780000</v>
      </c>
      <c r="W132" s="1891">
        <v>20</v>
      </c>
      <c r="X132" s="1891" t="s">
        <v>499</v>
      </c>
      <c r="Y132" s="2593"/>
      <c r="Z132" s="2606"/>
      <c r="AA132" s="2593"/>
      <c r="AB132" s="2593"/>
      <c r="AC132" s="2593"/>
      <c r="AD132" s="2593"/>
      <c r="AE132" s="2593"/>
      <c r="AF132" s="2593"/>
      <c r="AG132" s="2593"/>
      <c r="AH132" s="2593"/>
      <c r="AI132" s="2593"/>
      <c r="AJ132" s="2593"/>
      <c r="AK132" s="2593"/>
      <c r="AL132" s="2593"/>
      <c r="AM132" s="2601"/>
      <c r="AN132" s="2593"/>
      <c r="AO132" s="2595"/>
      <c r="AP132" s="2595"/>
      <c r="AQ132" s="2597"/>
    </row>
    <row r="133" spans="1:43" ht="51.75" customHeight="1" x14ac:dyDescent="0.2">
      <c r="A133" s="1765"/>
      <c r="D133" s="1766"/>
      <c r="G133" s="1766"/>
      <c r="H133" s="1865"/>
      <c r="I133" s="1866"/>
      <c r="J133" s="2585">
        <v>269</v>
      </c>
      <c r="K133" s="2586" t="s">
        <v>1796</v>
      </c>
      <c r="L133" s="2568" t="s">
        <v>1797</v>
      </c>
      <c r="M133" s="2570">
        <v>12</v>
      </c>
      <c r="N133" s="2610"/>
      <c r="O133" s="2612"/>
      <c r="P133" s="2614"/>
      <c r="Q133" s="2591">
        <f>SUM(V133:V134)/R128</f>
        <v>9.0444093159586611E-2</v>
      </c>
      <c r="R133" s="2616"/>
      <c r="S133" s="2600"/>
      <c r="T133" s="2600"/>
      <c r="U133" s="1890" t="s">
        <v>1798</v>
      </c>
      <c r="V133" s="1767">
        <v>20300000</v>
      </c>
      <c r="W133" s="1841" t="s">
        <v>61</v>
      </c>
      <c r="X133" s="1841" t="s">
        <v>499</v>
      </c>
      <c r="Y133" s="2593"/>
      <c r="Z133" s="2606"/>
      <c r="AA133" s="2593"/>
      <c r="AB133" s="2593"/>
      <c r="AC133" s="2593"/>
      <c r="AD133" s="2593"/>
      <c r="AE133" s="2593"/>
      <c r="AF133" s="2593"/>
      <c r="AG133" s="2593"/>
      <c r="AH133" s="2593"/>
      <c r="AI133" s="2593"/>
      <c r="AJ133" s="2593"/>
      <c r="AK133" s="2593"/>
      <c r="AL133" s="2593"/>
      <c r="AM133" s="2601"/>
      <c r="AN133" s="2593"/>
      <c r="AO133" s="2595"/>
      <c r="AP133" s="2595"/>
      <c r="AQ133" s="2597"/>
    </row>
    <row r="134" spans="1:43" ht="35.25" customHeight="1" x14ac:dyDescent="0.2">
      <c r="A134" s="1765"/>
      <c r="D134" s="1766"/>
      <c r="G134" s="1766"/>
      <c r="H134" s="1865"/>
      <c r="I134" s="1866"/>
      <c r="J134" s="2589"/>
      <c r="K134" s="2590"/>
      <c r="L134" s="2588"/>
      <c r="M134" s="2580"/>
      <c r="N134" s="2610"/>
      <c r="O134" s="2612"/>
      <c r="P134" s="2614"/>
      <c r="Q134" s="2592"/>
      <c r="R134" s="2616"/>
      <c r="S134" s="2600"/>
      <c r="T134" s="2600"/>
      <c r="U134" s="1890" t="s">
        <v>1795</v>
      </c>
      <c r="V134" s="1767">
        <v>700000</v>
      </c>
      <c r="W134" s="1841">
        <v>20</v>
      </c>
      <c r="X134" s="1841" t="s">
        <v>499</v>
      </c>
      <c r="Y134" s="2593"/>
      <c r="Z134" s="2606"/>
      <c r="AA134" s="2593"/>
      <c r="AB134" s="2593"/>
      <c r="AC134" s="2593"/>
      <c r="AD134" s="2593"/>
      <c r="AE134" s="2593"/>
      <c r="AF134" s="2593"/>
      <c r="AG134" s="2593"/>
      <c r="AH134" s="2593"/>
      <c r="AI134" s="2593"/>
      <c r="AJ134" s="2593"/>
      <c r="AK134" s="2593"/>
      <c r="AL134" s="2593"/>
      <c r="AM134" s="2601"/>
      <c r="AN134" s="2593"/>
      <c r="AO134" s="2595"/>
      <c r="AP134" s="2595"/>
      <c r="AQ134" s="2597"/>
    </row>
    <row r="135" spans="1:43" ht="61.5" customHeight="1" x14ac:dyDescent="0.2">
      <c r="A135" s="1765"/>
      <c r="D135" s="1766"/>
      <c r="G135" s="1766"/>
      <c r="H135" s="1865"/>
      <c r="I135" s="1866"/>
      <c r="J135" s="2585">
        <v>270</v>
      </c>
      <c r="K135" s="2586" t="s">
        <v>1799</v>
      </c>
      <c r="L135" s="2568" t="s">
        <v>1800</v>
      </c>
      <c r="M135" s="2570">
        <v>12</v>
      </c>
      <c r="N135" s="2610"/>
      <c r="O135" s="2612"/>
      <c r="P135" s="2614"/>
      <c r="Q135" s="2591">
        <f>SUM(V135:V136)/R128</f>
        <v>9.0444093159586611E-2</v>
      </c>
      <c r="R135" s="2616"/>
      <c r="S135" s="2600"/>
      <c r="T135" s="2600"/>
      <c r="U135" s="1890" t="s">
        <v>1801</v>
      </c>
      <c r="V135" s="1767">
        <v>20300000</v>
      </c>
      <c r="W135" s="1841">
        <v>20</v>
      </c>
      <c r="X135" s="1841" t="s">
        <v>499</v>
      </c>
      <c r="Y135" s="2593"/>
      <c r="Z135" s="2606"/>
      <c r="AA135" s="2593"/>
      <c r="AB135" s="2593"/>
      <c r="AC135" s="2593"/>
      <c r="AD135" s="2593"/>
      <c r="AE135" s="2593"/>
      <c r="AF135" s="2593"/>
      <c r="AG135" s="2593"/>
      <c r="AH135" s="2593"/>
      <c r="AI135" s="2593"/>
      <c r="AJ135" s="2593"/>
      <c r="AK135" s="2593"/>
      <c r="AL135" s="2593"/>
      <c r="AM135" s="2601"/>
      <c r="AN135" s="2593"/>
      <c r="AO135" s="2595"/>
      <c r="AP135" s="2595"/>
      <c r="AQ135" s="2597"/>
    </row>
    <row r="136" spans="1:43" ht="36.75" customHeight="1" x14ac:dyDescent="0.2">
      <c r="A136" s="1765"/>
      <c r="D136" s="1766"/>
      <c r="G136" s="1766"/>
      <c r="H136" s="1865"/>
      <c r="I136" s="1866"/>
      <c r="J136" s="2589"/>
      <c r="K136" s="2590"/>
      <c r="L136" s="2588"/>
      <c r="M136" s="2580"/>
      <c r="N136" s="2610"/>
      <c r="O136" s="2612"/>
      <c r="P136" s="2614"/>
      <c r="Q136" s="2592"/>
      <c r="R136" s="2616"/>
      <c r="S136" s="2600"/>
      <c r="T136" s="2600"/>
      <c r="U136" s="1890" t="s">
        <v>1795</v>
      </c>
      <c r="V136" s="1767">
        <v>700000</v>
      </c>
      <c r="W136" s="1841">
        <v>20</v>
      </c>
      <c r="X136" s="1841" t="s">
        <v>499</v>
      </c>
      <c r="Y136" s="2593"/>
      <c r="Z136" s="2606"/>
      <c r="AA136" s="2593"/>
      <c r="AB136" s="2593"/>
      <c r="AC136" s="2593"/>
      <c r="AD136" s="2593"/>
      <c r="AE136" s="2593"/>
      <c r="AF136" s="2593"/>
      <c r="AG136" s="2593"/>
      <c r="AH136" s="2593"/>
      <c r="AI136" s="2593"/>
      <c r="AJ136" s="2593"/>
      <c r="AK136" s="2593"/>
      <c r="AL136" s="2593"/>
      <c r="AM136" s="2601"/>
      <c r="AN136" s="2593"/>
      <c r="AO136" s="2595"/>
      <c r="AP136" s="2595"/>
      <c r="AQ136" s="2597"/>
    </row>
    <row r="137" spans="1:43" ht="34.5" customHeight="1" x14ac:dyDescent="0.2">
      <c r="A137" s="1765"/>
      <c r="D137" s="1766"/>
      <c r="G137" s="1766"/>
      <c r="H137" s="1865"/>
      <c r="I137" s="1866"/>
      <c r="J137" s="2585">
        <v>271</v>
      </c>
      <c r="K137" s="2586" t="s">
        <v>1802</v>
      </c>
      <c r="L137" s="2568" t="s">
        <v>1800</v>
      </c>
      <c r="M137" s="2570">
        <v>12</v>
      </c>
      <c r="N137" s="2610"/>
      <c r="O137" s="2612"/>
      <c r="P137" s="2614"/>
      <c r="Q137" s="2572">
        <f>SUM(V137:V139)/R128</f>
        <v>0.17326504132429379</v>
      </c>
      <c r="R137" s="2616"/>
      <c r="S137" s="2600"/>
      <c r="T137" s="2600"/>
      <c r="U137" s="2583" t="s">
        <v>1803</v>
      </c>
      <c r="V137" s="1767">
        <v>37410000</v>
      </c>
      <c r="W137" s="1841">
        <v>20</v>
      </c>
      <c r="X137" s="1841" t="s">
        <v>499</v>
      </c>
      <c r="Y137" s="2593"/>
      <c r="Z137" s="2606"/>
      <c r="AA137" s="2593"/>
      <c r="AB137" s="2593"/>
      <c r="AC137" s="2593"/>
      <c r="AD137" s="2593"/>
      <c r="AE137" s="2593"/>
      <c r="AF137" s="2593"/>
      <c r="AG137" s="2593"/>
      <c r="AH137" s="2593"/>
      <c r="AI137" s="2593"/>
      <c r="AJ137" s="2593"/>
      <c r="AK137" s="2593"/>
      <c r="AL137" s="2593"/>
      <c r="AM137" s="2601"/>
      <c r="AN137" s="2593"/>
      <c r="AO137" s="2595"/>
      <c r="AP137" s="2595"/>
      <c r="AQ137" s="2597"/>
    </row>
    <row r="138" spans="1:43" ht="33" customHeight="1" x14ac:dyDescent="0.2">
      <c r="A138" s="1765"/>
      <c r="D138" s="1766"/>
      <c r="G138" s="1766"/>
      <c r="H138" s="1865"/>
      <c r="I138" s="1866"/>
      <c r="J138" s="2564"/>
      <c r="K138" s="2566"/>
      <c r="L138" s="2587"/>
      <c r="M138" s="2579"/>
      <c r="N138" s="2611"/>
      <c r="O138" s="2613"/>
      <c r="P138" s="2615"/>
      <c r="Q138" s="2581"/>
      <c r="R138" s="2617"/>
      <c r="S138" s="2499"/>
      <c r="T138" s="2499"/>
      <c r="U138" s="2584"/>
      <c r="V138" s="1768">
        <f>0+2030000</f>
        <v>2030000</v>
      </c>
      <c r="W138" s="1841">
        <v>88</v>
      </c>
      <c r="X138" s="1841" t="s">
        <v>589</v>
      </c>
      <c r="Y138" s="2594"/>
      <c r="Z138" s="2607"/>
      <c r="AA138" s="2594"/>
      <c r="AB138" s="2594"/>
      <c r="AC138" s="2594"/>
      <c r="AD138" s="2594"/>
      <c r="AE138" s="2594"/>
      <c r="AF138" s="2594"/>
      <c r="AG138" s="2594"/>
      <c r="AH138" s="2594"/>
      <c r="AI138" s="2594"/>
      <c r="AJ138" s="2594"/>
      <c r="AK138" s="2594"/>
      <c r="AL138" s="2594"/>
      <c r="AM138" s="2601"/>
      <c r="AN138" s="2594"/>
      <c r="AO138" s="2596"/>
      <c r="AP138" s="2596"/>
      <c r="AQ138" s="2598"/>
    </row>
    <row r="139" spans="1:43" ht="37.5" customHeight="1" x14ac:dyDescent="0.2">
      <c r="A139" s="1765"/>
      <c r="D139" s="1766"/>
      <c r="G139" s="1766"/>
      <c r="H139" s="1865"/>
      <c r="I139" s="1866"/>
      <c r="J139" s="2589"/>
      <c r="K139" s="2590"/>
      <c r="L139" s="2588"/>
      <c r="M139" s="2580"/>
      <c r="N139" s="2611"/>
      <c r="O139" s="2613"/>
      <c r="P139" s="2615"/>
      <c r="Q139" s="2582"/>
      <c r="R139" s="2617"/>
      <c r="S139" s="2499"/>
      <c r="T139" s="2499"/>
      <c r="U139" s="1890" t="s">
        <v>1795</v>
      </c>
      <c r="V139" s="1768">
        <v>790000</v>
      </c>
      <c r="W139" s="1841">
        <v>20</v>
      </c>
      <c r="X139" s="1841" t="s">
        <v>499</v>
      </c>
      <c r="Y139" s="2594"/>
      <c r="Z139" s="2607"/>
      <c r="AA139" s="2594"/>
      <c r="AB139" s="2594"/>
      <c r="AC139" s="2594"/>
      <c r="AD139" s="2594"/>
      <c r="AE139" s="2594"/>
      <c r="AF139" s="2594"/>
      <c r="AG139" s="2594"/>
      <c r="AH139" s="2594"/>
      <c r="AI139" s="2594"/>
      <c r="AJ139" s="2594"/>
      <c r="AK139" s="2594"/>
      <c r="AL139" s="2594"/>
      <c r="AM139" s="2601"/>
      <c r="AN139" s="2594"/>
      <c r="AO139" s="2596"/>
      <c r="AP139" s="2596"/>
      <c r="AQ139" s="2598"/>
    </row>
    <row r="140" spans="1:43" ht="36" customHeight="1" x14ac:dyDescent="0.2">
      <c r="A140" s="1765"/>
      <c r="D140" s="1766"/>
      <c r="G140" s="1766"/>
      <c r="H140" s="1865"/>
      <c r="I140" s="1866"/>
      <c r="J140" s="2585">
        <v>272</v>
      </c>
      <c r="K140" s="2586" t="s">
        <v>1804</v>
      </c>
      <c r="L140" s="2568" t="s">
        <v>1800</v>
      </c>
      <c r="M140" s="2570">
        <v>12</v>
      </c>
      <c r="N140" s="2611"/>
      <c r="O140" s="2613"/>
      <c r="P140" s="2615"/>
      <c r="Q140" s="2572">
        <f>SUM(V140:V142)/R128</f>
        <v>0.17326504132429379</v>
      </c>
      <c r="R140" s="2617"/>
      <c r="S140" s="2499"/>
      <c r="T140" s="2499"/>
      <c r="U140" s="2583" t="s">
        <v>1805</v>
      </c>
      <c r="V140" s="1768">
        <v>37410000</v>
      </c>
      <c r="W140" s="1841">
        <v>20</v>
      </c>
      <c r="X140" s="1841" t="s">
        <v>62</v>
      </c>
      <c r="Y140" s="2594"/>
      <c r="Z140" s="2607"/>
      <c r="AA140" s="2594"/>
      <c r="AB140" s="2594"/>
      <c r="AC140" s="2594"/>
      <c r="AD140" s="2594"/>
      <c r="AE140" s="2594"/>
      <c r="AF140" s="2594"/>
      <c r="AG140" s="2594"/>
      <c r="AH140" s="2594"/>
      <c r="AI140" s="2594"/>
      <c r="AJ140" s="2594"/>
      <c r="AK140" s="2594"/>
      <c r="AL140" s="2594"/>
      <c r="AM140" s="2601"/>
      <c r="AN140" s="2594"/>
      <c r="AO140" s="2596"/>
      <c r="AP140" s="2596"/>
      <c r="AQ140" s="2598"/>
    </row>
    <row r="141" spans="1:43" ht="36" customHeight="1" x14ac:dyDescent="0.2">
      <c r="A141" s="1765"/>
      <c r="D141" s="1766"/>
      <c r="G141" s="1766"/>
      <c r="H141" s="1865"/>
      <c r="I141" s="1866"/>
      <c r="J141" s="2564"/>
      <c r="K141" s="2566"/>
      <c r="L141" s="2587"/>
      <c r="M141" s="2579"/>
      <c r="N141" s="2611"/>
      <c r="O141" s="2613"/>
      <c r="P141" s="2615"/>
      <c r="Q141" s="2581"/>
      <c r="R141" s="2617"/>
      <c r="S141" s="2499"/>
      <c r="T141" s="2499"/>
      <c r="U141" s="2584"/>
      <c r="V141" s="1768">
        <f>0+2030000</f>
        <v>2030000</v>
      </c>
      <c r="W141" s="1841">
        <v>88</v>
      </c>
      <c r="X141" s="1841" t="s">
        <v>500</v>
      </c>
      <c r="Y141" s="2594"/>
      <c r="Z141" s="2607"/>
      <c r="AA141" s="2594"/>
      <c r="AB141" s="2594"/>
      <c r="AC141" s="2594"/>
      <c r="AD141" s="2594"/>
      <c r="AE141" s="2594"/>
      <c r="AF141" s="2594"/>
      <c r="AG141" s="2594"/>
      <c r="AH141" s="2594"/>
      <c r="AI141" s="2594"/>
      <c r="AJ141" s="2594"/>
      <c r="AK141" s="2594"/>
      <c r="AL141" s="2594"/>
      <c r="AM141" s="2601"/>
      <c r="AN141" s="2594"/>
      <c r="AO141" s="2596"/>
      <c r="AP141" s="2596"/>
      <c r="AQ141" s="2598"/>
    </row>
    <row r="142" spans="1:43" ht="40.5" customHeight="1" x14ac:dyDescent="0.2">
      <c r="A142" s="1765"/>
      <c r="D142" s="1766"/>
      <c r="G142" s="1766"/>
      <c r="H142" s="1865"/>
      <c r="I142" s="1866"/>
      <c r="J142" s="2564"/>
      <c r="K142" s="2566"/>
      <c r="L142" s="2588"/>
      <c r="M142" s="2580"/>
      <c r="N142" s="2611"/>
      <c r="O142" s="2613"/>
      <c r="P142" s="2615"/>
      <c r="Q142" s="2582"/>
      <c r="R142" s="2617"/>
      <c r="S142" s="2499"/>
      <c r="T142" s="2499"/>
      <c r="U142" s="1890" t="s">
        <v>1795</v>
      </c>
      <c r="V142" s="1768">
        <v>790000</v>
      </c>
      <c r="W142" s="1841">
        <v>20</v>
      </c>
      <c r="X142" s="1841" t="s">
        <v>62</v>
      </c>
      <c r="Y142" s="2594"/>
      <c r="Z142" s="2607"/>
      <c r="AA142" s="2594"/>
      <c r="AB142" s="2594"/>
      <c r="AC142" s="2594"/>
      <c r="AD142" s="2594"/>
      <c r="AE142" s="2594"/>
      <c r="AF142" s="2594"/>
      <c r="AG142" s="2594"/>
      <c r="AH142" s="2594"/>
      <c r="AI142" s="2594"/>
      <c r="AJ142" s="2594"/>
      <c r="AK142" s="2594"/>
      <c r="AL142" s="2594"/>
      <c r="AM142" s="2601"/>
      <c r="AN142" s="2594"/>
      <c r="AO142" s="2596"/>
      <c r="AP142" s="2596"/>
      <c r="AQ142" s="2598"/>
    </row>
    <row r="143" spans="1:43" ht="90" customHeight="1" x14ac:dyDescent="0.2">
      <c r="A143" s="1765"/>
      <c r="D143" s="1766"/>
      <c r="G143" s="1766"/>
      <c r="H143" s="1865"/>
      <c r="I143" s="1866"/>
      <c r="J143" s="1892">
        <v>273</v>
      </c>
      <c r="K143" s="1893" t="s">
        <v>1806</v>
      </c>
      <c r="L143" s="1894" t="s">
        <v>1797</v>
      </c>
      <c r="M143" s="1895">
        <v>12</v>
      </c>
      <c r="N143" s="2611"/>
      <c r="O143" s="2613"/>
      <c r="P143" s="2615"/>
      <c r="Q143" s="1843">
        <f>SUM(V143)/R128</f>
        <v>8.1830370001530744E-3</v>
      </c>
      <c r="R143" s="2617"/>
      <c r="S143" s="2499"/>
      <c r="T143" s="2499"/>
      <c r="U143" s="1890" t="s">
        <v>1795</v>
      </c>
      <c r="V143" s="1768">
        <v>1900000</v>
      </c>
      <c r="W143" s="1841">
        <v>20</v>
      </c>
      <c r="X143" s="1841" t="s">
        <v>62</v>
      </c>
      <c r="Y143" s="2594"/>
      <c r="Z143" s="2607"/>
      <c r="AA143" s="2594"/>
      <c r="AB143" s="2594"/>
      <c r="AC143" s="2594"/>
      <c r="AD143" s="2594"/>
      <c r="AE143" s="2594"/>
      <c r="AF143" s="2594"/>
      <c r="AG143" s="2594"/>
      <c r="AH143" s="2594"/>
      <c r="AI143" s="2594"/>
      <c r="AJ143" s="2594"/>
      <c r="AK143" s="2594"/>
      <c r="AL143" s="2594"/>
      <c r="AM143" s="2601"/>
      <c r="AN143" s="2594"/>
      <c r="AO143" s="2596"/>
      <c r="AP143" s="2596"/>
      <c r="AQ143" s="2598"/>
    </row>
    <row r="144" spans="1:43" ht="35.25" customHeight="1" x14ac:dyDescent="0.2">
      <c r="A144" s="1765"/>
      <c r="D144" s="1766"/>
      <c r="G144" s="1766"/>
      <c r="H144" s="1865"/>
      <c r="I144" s="1866"/>
      <c r="J144" s="2574">
        <v>274</v>
      </c>
      <c r="K144" s="2575" t="s">
        <v>1807</v>
      </c>
      <c r="L144" s="2576" t="s">
        <v>1797</v>
      </c>
      <c r="M144" s="2570">
        <v>12</v>
      </c>
      <c r="N144" s="2611"/>
      <c r="O144" s="2613"/>
      <c r="P144" s="2615"/>
      <c r="Q144" s="2572">
        <f>SUM(V144:V146)/R128</f>
        <v>0.15573611469765009</v>
      </c>
      <c r="R144" s="2617"/>
      <c r="S144" s="2499"/>
      <c r="T144" s="2499"/>
      <c r="U144" s="2583" t="s">
        <v>1808</v>
      </c>
      <c r="V144" s="1768">
        <v>20300000</v>
      </c>
      <c r="W144" s="1841">
        <v>20</v>
      </c>
      <c r="X144" s="1841" t="s">
        <v>62</v>
      </c>
      <c r="Y144" s="2594"/>
      <c r="Z144" s="2607"/>
      <c r="AA144" s="2594"/>
      <c r="AB144" s="2594"/>
      <c r="AC144" s="2594"/>
      <c r="AD144" s="2594"/>
      <c r="AE144" s="2594"/>
      <c r="AF144" s="2594"/>
      <c r="AG144" s="2594"/>
      <c r="AH144" s="2594"/>
      <c r="AI144" s="2594"/>
      <c r="AJ144" s="2594"/>
      <c r="AK144" s="2594"/>
      <c r="AL144" s="2594"/>
      <c r="AM144" s="2601"/>
      <c r="AN144" s="2594"/>
      <c r="AO144" s="2596"/>
      <c r="AP144" s="2596"/>
      <c r="AQ144" s="2598"/>
    </row>
    <row r="145" spans="1:60" ht="28.5" customHeight="1" x14ac:dyDescent="0.2">
      <c r="A145" s="1765"/>
      <c r="D145" s="1766"/>
      <c r="G145" s="1766"/>
      <c r="H145" s="1865"/>
      <c r="I145" s="1866"/>
      <c r="J145" s="2574"/>
      <c r="K145" s="2575"/>
      <c r="L145" s="2577"/>
      <c r="M145" s="2579"/>
      <c r="N145" s="2611"/>
      <c r="O145" s="2613"/>
      <c r="P145" s="2615"/>
      <c r="Q145" s="2581"/>
      <c r="R145" s="2617"/>
      <c r="S145" s="2499"/>
      <c r="T145" s="2499"/>
      <c r="U145" s="2584"/>
      <c r="V145" s="1768">
        <f>0+15660000</f>
        <v>15660000</v>
      </c>
      <c r="W145" s="1841">
        <v>88</v>
      </c>
      <c r="X145" s="1841" t="s">
        <v>589</v>
      </c>
      <c r="Y145" s="2594"/>
      <c r="Z145" s="2607"/>
      <c r="AA145" s="2594"/>
      <c r="AB145" s="2594"/>
      <c r="AC145" s="2594"/>
      <c r="AD145" s="2594"/>
      <c r="AE145" s="2594"/>
      <c r="AF145" s="2594"/>
      <c r="AG145" s="2594"/>
      <c r="AH145" s="2594"/>
      <c r="AI145" s="2594"/>
      <c r="AJ145" s="2594"/>
      <c r="AK145" s="2594"/>
      <c r="AL145" s="2594"/>
      <c r="AM145" s="2601"/>
      <c r="AN145" s="2594"/>
      <c r="AO145" s="2596"/>
      <c r="AP145" s="2596"/>
      <c r="AQ145" s="2598"/>
    </row>
    <row r="146" spans="1:60" ht="35.25" customHeight="1" x14ac:dyDescent="0.2">
      <c r="A146" s="1765"/>
      <c r="D146" s="1766"/>
      <c r="G146" s="1766"/>
      <c r="H146" s="1865"/>
      <c r="I146" s="1866"/>
      <c r="J146" s="2574"/>
      <c r="K146" s="2575"/>
      <c r="L146" s="2578"/>
      <c r="M146" s="2580"/>
      <c r="N146" s="2611"/>
      <c r="O146" s="2613"/>
      <c r="P146" s="2615"/>
      <c r="Q146" s="2582"/>
      <c r="R146" s="2617"/>
      <c r="S146" s="2499"/>
      <c r="T146" s="2499"/>
      <c r="U146" s="1890" t="s">
        <v>1795</v>
      </c>
      <c r="V146" s="1896">
        <v>200000</v>
      </c>
      <c r="W146" s="1841">
        <v>20</v>
      </c>
      <c r="X146" s="1841" t="s">
        <v>62</v>
      </c>
      <c r="Y146" s="2594"/>
      <c r="Z146" s="2607"/>
      <c r="AA146" s="2594"/>
      <c r="AB146" s="2594"/>
      <c r="AC146" s="2594"/>
      <c r="AD146" s="2594"/>
      <c r="AE146" s="2594"/>
      <c r="AF146" s="2594"/>
      <c r="AG146" s="2594"/>
      <c r="AH146" s="2594"/>
      <c r="AI146" s="2594"/>
      <c r="AJ146" s="2594"/>
      <c r="AK146" s="2594"/>
      <c r="AL146" s="2594"/>
      <c r="AM146" s="2601"/>
      <c r="AN146" s="2594"/>
      <c r="AO146" s="2596"/>
      <c r="AP146" s="2596"/>
      <c r="AQ146" s="2598"/>
    </row>
    <row r="147" spans="1:60" ht="48.75" customHeight="1" x14ac:dyDescent="0.2">
      <c r="A147" s="1765"/>
      <c r="D147" s="1766"/>
      <c r="G147" s="1766"/>
      <c r="H147" s="1865"/>
      <c r="I147" s="1866"/>
      <c r="J147" s="2564">
        <v>260</v>
      </c>
      <c r="K147" s="2566" t="s">
        <v>1809</v>
      </c>
      <c r="L147" s="2568" t="s">
        <v>1810</v>
      </c>
      <c r="M147" s="2570">
        <v>12</v>
      </c>
      <c r="N147" s="2611"/>
      <c r="O147" s="2613"/>
      <c r="P147" s="2615"/>
      <c r="Q147" s="2572">
        <f>SUM(V147:V148)/R128</f>
        <v>7.057927124577186E-2</v>
      </c>
      <c r="R147" s="2617"/>
      <c r="S147" s="2499"/>
      <c r="T147" s="2499"/>
      <c r="U147" s="1890" t="s">
        <v>1811</v>
      </c>
      <c r="V147" s="1896">
        <v>15950000</v>
      </c>
      <c r="W147" s="1841">
        <v>20</v>
      </c>
      <c r="X147" s="1841" t="s">
        <v>62</v>
      </c>
      <c r="Y147" s="2594"/>
      <c r="Z147" s="2607"/>
      <c r="AA147" s="2594"/>
      <c r="AB147" s="2594"/>
      <c r="AC147" s="2594"/>
      <c r="AD147" s="2594"/>
      <c r="AE147" s="2594"/>
      <c r="AF147" s="2594"/>
      <c r="AG147" s="2594"/>
      <c r="AH147" s="2594"/>
      <c r="AI147" s="2594"/>
      <c r="AJ147" s="2594"/>
      <c r="AK147" s="2594"/>
      <c r="AL147" s="2594"/>
      <c r="AM147" s="2601"/>
      <c r="AN147" s="2594"/>
      <c r="AO147" s="2596"/>
      <c r="AP147" s="2596"/>
      <c r="AQ147" s="2598"/>
    </row>
    <row r="148" spans="1:60" ht="39" customHeight="1" thickBot="1" x14ac:dyDescent="0.25">
      <c r="A148" s="1765"/>
      <c r="D148" s="1766"/>
      <c r="G148" s="1897"/>
      <c r="H148" s="1898"/>
      <c r="I148" s="1899"/>
      <c r="J148" s="2565"/>
      <c r="K148" s="2567"/>
      <c r="L148" s="2569"/>
      <c r="M148" s="2571"/>
      <c r="N148" s="2611"/>
      <c r="O148" s="2613"/>
      <c r="P148" s="2615"/>
      <c r="Q148" s="2573"/>
      <c r="R148" s="2617"/>
      <c r="S148" s="2499"/>
      <c r="T148" s="2499"/>
      <c r="U148" s="1890" t="s">
        <v>1795</v>
      </c>
      <c r="V148" s="1896">
        <v>437634</v>
      </c>
      <c r="W148" s="1841">
        <v>20</v>
      </c>
      <c r="X148" s="1841" t="s">
        <v>62</v>
      </c>
      <c r="Y148" s="2594"/>
      <c r="Z148" s="2607"/>
      <c r="AA148" s="2594"/>
      <c r="AB148" s="2594"/>
      <c r="AC148" s="2594"/>
      <c r="AD148" s="2594"/>
      <c r="AE148" s="2594"/>
      <c r="AF148" s="2594"/>
      <c r="AG148" s="2594"/>
      <c r="AH148" s="2594"/>
      <c r="AI148" s="2594"/>
      <c r="AJ148" s="2594"/>
      <c r="AK148" s="2594"/>
      <c r="AL148" s="2594"/>
      <c r="AM148" s="2601"/>
      <c r="AN148" s="2594"/>
      <c r="AO148" s="2596"/>
      <c r="AP148" s="2596"/>
      <c r="AQ148" s="2598"/>
    </row>
    <row r="149" spans="1:60" ht="39.75" customHeight="1" thickBot="1" x14ac:dyDescent="0.25">
      <c r="A149" s="1900"/>
      <c r="B149" s="1901"/>
      <c r="C149" s="1901"/>
      <c r="D149" s="1901"/>
      <c r="E149" s="1901"/>
      <c r="F149" s="1901"/>
      <c r="G149" s="1901"/>
      <c r="H149" s="1901"/>
      <c r="I149" s="1901"/>
      <c r="J149" s="1902"/>
      <c r="K149" s="1903"/>
      <c r="L149" s="1904"/>
      <c r="M149" s="1904"/>
      <c r="N149" s="1905" t="s">
        <v>319</v>
      </c>
      <c r="O149" s="1906"/>
      <c r="P149" s="1903"/>
      <c r="Q149" s="1907"/>
      <c r="R149" s="1908">
        <f>SUM(R8:R148)</f>
        <v>1489487634</v>
      </c>
      <c r="S149" s="1909"/>
      <c r="T149" s="1903"/>
      <c r="U149" s="1910"/>
      <c r="V149" s="1908">
        <f>SUM(V8:V148)</f>
        <v>1489487634</v>
      </c>
      <c r="W149" s="1911"/>
      <c r="X149" s="1912"/>
      <c r="Y149" s="1913"/>
      <c r="Z149" s="1913"/>
      <c r="AA149" s="1913"/>
      <c r="AB149" s="1913"/>
      <c r="AC149" s="1913"/>
      <c r="AD149" s="1913"/>
      <c r="AE149" s="1913"/>
      <c r="AF149" s="1913"/>
      <c r="AG149" s="1913"/>
      <c r="AH149" s="1913"/>
      <c r="AI149" s="1913"/>
      <c r="AJ149" s="1913"/>
      <c r="AK149" s="1913"/>
      <c r="AL149" s="1913"/>
      <c r="AM149" s="1913"/>
      <c r="AN149" s="1913"/>
      <c r="AO149" s="1914"/>
      <c r="AP149" s="1915"/>
      <c r="AQ149" s="1916"/>
    </row>
    <row r="150" spans="1:60" ht="39.75" customHeight="1" x14ac:dyDescent="0.25">
      <c r="C150" s="1918"/>
      <c r="D150" s="1918"/>
      <c r="V150" s="1922"/>
    </row>
    <row r="151" spans="1:60" s="1696" customFormat="1" ht="39.75" customHeight="1" x14ac:dyDescent="0.2">
      <c r="A151" s="1917"/>
      <c r="B151" s="1753"/>
      <c r="C151" s="1753"/>
      <c r="D151" s="1753"/>
      <c r="E151" s="1753"/>
      <c r="F151" s="1753"/>
      <c r="G151" s="1753"/>
      <c r="H151" s="1753"/>
      <c r="I151" s="1753"/>
      <c r="J151" s="1919"/>
      <c r="L151" s="1694"/>
      <c r="M151" s="1694"/>
      <c r="N151" s="1695"/>
      <c r="O151" s="1924"/>
      <c r="P151" s="1753"/>
      <c r="Q151" s="1791"/>
      <c r="R151" s="1925"/>
      <c r="S151" s="1926"/>
      <c r="V151" s="1927"/>
      <c r="W151" s="1923"/>
      <c r="X151" s="1700"/>
      <c r="Y151" s="573"/>
      <c r="Z151" s="573"/>
      <c r="AA151" s="573"/>
      <c r="AB151" s="573"/>
      <c r="AC151" s="573"/>
      <c r="AD151" s="573"/>
      <c r="AE151" s="573"/>
      <c r="AF151" s="573"/>
      <c r="AG151" s="573"/>
      <c r="AH151" s="573"/>
      <c r="AI151" s="573"/>
      <c r="AJ151" s="573"/>
      <c r="AK151" s="573"/>
      <c r="AL151" s="573"/>
      <c r="AM151" s="573"/>
      <c r="AN151" s="573"/>
      <c r="AO151" s="1701"/>
      <c r="AP151" s="1702"/>
      <c r="AQ151" s="1791"/>
      <c r="AR151" s="573"/>
      <c r="AS151" s="573"/>
      <c r="AT151" s="573"/>
      <c r="AU151" s="573"/>
      <c r="AV151" s="573"/>
      <c r="AW151" s="573"/>
      <c r="AX151" s="573"/>
      <c r="AY151" s="573"/>
      <c r="AZ151" s="573"/>
      <c r="BA151" s="573"/>
      <c r="BB151" s="573"/>
      <c r="BC151" s="573"/>
      <c r="BD151" s="573"/>
      <c r="BE151" s="573"/>
      <c r="BF151" s="573"/>
      <c r="BG151" s="573"/>
      <c r="BH151" s="573"/>
    </row>
    <row r="152" spans="1:60" s="1696" customFormat="1" ht="17.25" customHeight="1" x14ac:dyDescent="0.25">
      <c r="A152" s="1917"/>
      <c r="B152" s="1753"/>
      <c r="C152" s="1753"/>
      <c r="D152" s="1753"/>
      <c r="E152" s="1753"/>
      <c r="F152" s="1753"/>
      <c r="G152" s="1753"/>
      <c r="H152" s="1753"/>
      <c r="I152" s="1753"/>
      <c r="J152" s="1919"/>
      <c r="L152" s="1694"/>
      <c r="M152" s="1694"/>
      <c r="N152" s="1928" t="s">
        <v>1812</v>
      </c>
      <c r="O152" s="1928"/>
      <c r="P152" s="1704"/>
      <c r="Q152" s="1498"/>
      <c r="R152" s="1929"/>
      <c r="S152" s="1498"/>
      <c r="V152" s="1927"/>
      <c r="W152" s="1923"/>
      <c r="X152" s="1700"/>
      <c r="Y152" s="573"/>
      <c r="Z152" s="573"/>
      <c r="AA152" s="573"/>
      <c r="AB152" s="573"/>
      <c r="AC152" s="573"/>
      <c r="AD152" s="573"/>
      <c r="AE152" s="573"/>
      <c r="AF152" s="573"/>
      <c r="AG152" s="573"/>
      <c r="AH152" s="573"/>
      <c r="AI152" s="573"/>
      <c r="AJ152" s="573"/>
      <c r="AK152" s="573"/>
      <c r="AL152" s="573"/>
      <c r="AM152" s="573"/>
      <c r="AN152" s="573"/>
      <c r="AO152" s="1701"/>
      <c r="AP152" s="1702"/>
      <c r="AQ152" s="1791"/>
      <c r="AR152" s="573"/>
      <c r="AS152" s="573"/>
      <c r="AT152" s="573"/>
      <c r="AU152" s="573"/>
      <c r="AV152" s="573"/>
      <c r="AW152" s="573"/>
      <c r="AX152" s="573"/>
      <c r="AY152" s="573"/>
      <c r="AZ152" s="573"/>
      <c r="BA152" s="573"/>
      <c r="BB152" s="573"/>
      <c r="BC152" s="573"/>
      <c r="BD152" s="573"/>
      <c r="BE152" s="573"/>
      <c r="BF152" s="573"/>
      <c r="BG152" s="573"/>
      <c r="BH152" s="573"/>
    </row>
    <row r="153" spans="1:60" s="1696" customFormat="1" ht="17.25" customHeight="1" x14ac:dyDescent="0.25">
      <c r="A153" s="1917"/>
      <c r="B153" s="1753"/>
      <c r="C153" s="1753"/>
      <c r="D153" s="1753"/>
      <c r="E153" s="1753"/>
      <c r="F153" s="1753"/>
      <c r="G153" s="1753"/>
      <c r="H153" s="1753"/>
      <c r="I153" s="1753"/>
      <c r="J153" s="1919"/>
      <c r="L153" s="1694"/>
      <c r="M153" s="1694"/>
      <c r="N153" s="1929" t="s">
        <v>1813</v>
      </c>
      <c r="O153" s="1929"/>
      <c r="P153" s="1498"/>
      <c r="Q153" s="1498"/>
      <c r="R153" s="1929"/>
      <c r="S153" s="1498"/>
      <c r="V153" s="1927"/>
      <c r="W153" s="1923"/>
      <c r="X153" s="1700"/>
      <c r="Y153" s="573"/>
      <c r="Z153" s="573"/>
      <c r="AA153" s="573"/>
      <c r="AB153" s="573"/>
      <c r="AC153" s="573"/>
      <c r="AD153" s="573"/>
      <c r="AE153" s="573"/>
      <c r="AF153" s="573"/>
      <c r="AG153" s="573"/>
      <c r="AH153" s="573"/>
      <c r="AI153" s="573"/>
      <c r="AJ153" s="573"/>
      <c r="AK153" s="573"/>
      <c r="AL153" s="573"/>
      <c r="AM153" s="573"/>
      <c r="AN153" s="573"/>
      <c r="AO153" s="1701"/>
      <c r="AP153" s="1702"/>
      <c r="AQ153" s="1791"/>
      <c r="AR153" s="573"/>
      <c r="AS153" s="573"/>
      <c r="AT153" s="573"/>
      <c r="AU153" s="573"/>
      <c r="AV153" s="573"/>
      <c r="AW153" s="573"/>
      <c r="AX153" s="573"/>
      <c r="AY153" s="573"/>
      <c r="AZ153" s="573"/>
      <c r="BA153" s="573"/>
      <c r="BB153" s="573"/>
      <c r="BC153" s="573"/>
      <c r="BD153" s="573"/>
      <c r="BE153" s="573"/>
      <c r="BF153" s="573"/>
      <c r="BG153" s="573"/>
      <c r="BH153" s="573"/>
    </row>
  </sheetData>
  <sheetProtection password="A60F" sheet="1" objects="1" scenarios="1"/>
  <mergeCells count="397">
    <mergeCell ref="A1:AO4"/>
    <mergeCell ref="A5:M5"/>
    <mergeCell ref="N5:AQ5"/>
    <mergeCell ref="A6:A7"/>
    <mergeCell ref="B6:C7"/>
    <mergeCell ref="D6:D7"/>
    <mergeCell ref="E6:F7"/>
    <mergeCell ref="G6:G7"/>
    <mergeCell ref="H6:I7"/>
    <mergeCell ref="J6:J7"/>
    <mergeCell ref="AN6:AN7"/>
    <mergeCell ref="AO6:AO7"/>
    <mergeCell ref="AP6:AP7"/>
    <mergeCell ref="AQ6:AQ7"/>
    <mergeCell ref="B8:K8"/>
    <mergeCell ref="E9:K9"/>
    <mergeCell ref="W6:W7"/>
    <mergeCell ref="X6:X7"/>
    <mergeCell ref="Y6:Z6"/>
    <mergeCell ref="AA6:AD6"/>
    <mergeCell ref="AE6:AJ6"/>
    <mergeCell ref="AK6:AM6"/>
    <mergeCell ref="Q6:Q7"/>
    <mergeCell ref="R6:R7"/>
    <mergeCell ref="S6:S7"/>
    <mergeCell ref="T6:T7"/>
    <mergeCell ref="U6:U7"/>
    <mergeCell ref="V6:V7"/>
    <mergeCell ref="K6:K7"/>
    <mergeCell ref="L6:L7"/>
    <mergeCell ref="M6:M7"/>
    <mergeCell ref="N6:N7"/>
    <mergeCell ref="O6:O7"/>
    <mergeCell ref="P6:P7"/>
    <mergeCell ref="AP11:AP32"/>
    <mergeCell ref="AQ11:AQ32"/>
    <mergeCell ref="T12:T32"/>
    <mergeCell ref="AG11:AG32"/>
    <mergeCell ref="AH11:AH32"/>
    <mergeCell ref="AI11:AI32"/>
    <mergeCell ref="AJ11:AJ32"/>
    <mergeCell ref="AK11:AK32"/>
    <mergeCell ref="AL11:AL32"/>
    <mergeCell ref="AA11:AA32"/>
    <mergeCell ref="AB11:AB32"/>
    <mergeCell ref="AC11:AC32"/>
    <mergeCell ref="AD11:AD32"/>
    <mergeCell ref="AE11:AE32"/>
    <mergeCell ref="AF11:AF32"/>
    <mergeCell ref="Y11:Y32"/>
    <mergeCell ref="Z11:Z32"/>
    <mergeCell ref="H33:K33"/>
    <mergeCell ref="J34:J49"/>
    <mergeCell ref="K34:K49"/>
    <mergeCell ref="L34:L49"/>
    <mergeCell ref="M34:M49"/>
    <mergeCell ref="N34:N49"/>
    <mergeCell ref="AM11:AM32"/>
    <mergeCell ref="AN11:AN32"/>
    <mergeCell ref="AO11:AO32"/>
    <mergeCell ref="P11:P32"/>
    <mergeCell ref="Q11:Q32"/>
    <mergeCell ref="R11:R32"/>
    <mergeCell ref="S11:S32"/>
    <mergeCell ref="J11:J32"/>
    <mergeCell ref="K11:K32"/>
    <mergeCell ref="L11:L32"/>
    <mergeCell ref="M11:M32"/>
    <mergeCell ref="N11:N32"/>
    <mergeCell ref="O11:O32"/>
    <mergeCell ref="AJ34:AJ49"/>
    <mergeCell ref="Y34:Y49"/>
    <mergeCell ref="Z34:Z49"/>
    <mergeCell ref="AA34:AA49"/>
    <mergeCell ref="AB34:AB49"/>
    <mergeCell ref="AC34:AC49"/>
    <mergeCell ref="AD34:AD49"/>
    <mergeCell ref="O34:O49"/>
    <mergeCell ref="P34:P49"/>
    <mergeCell ref="Q34:Q49"/>
    <mergeCell ref="R34:R49"/>
    <mergeCell ref="S34:S49"/>
    <mergeCell ref="T34:T43"/>
    <mergeCell ref="R52:R62"/>
    <mergeCell ref="S52:S62"/>
    <mergeCell ref="T52:T55"/>
    <mergeCell ref="AQ34:AQ49"/>
    <mergeCell ref="T44:T45"/>
    <mergeCell ref="T46:T49"/>
    <mergeCell ref="E50:K50"/>
    <mergeCell ref="H51:K51"/>
    <mergeCell ref="J52:J62"/>
    <mergeCell ref="K52:K62"/>
    <mergeCell ref="L52:L62"/>
    <mergeCell ref="M52:M62"/>
    <mergeCell ref="N52:N62"/>
    <mergeCell ref="AK34:AK49"/>
    <mergeCell ref="AL34:AL49"/>
    <mergeCell ref="AM34:AM49"/>
    <mergeCell ref="AN34:AN49"/>
    <mergeCell ref="AO34:AO49"/>
    <mergeCell ref="AP34:AP49"/>
    <mergeCell ref="AE34:AE49"/>
    <mergeCell ref="AF34:AF49"/>
    <mergeCell ref="AG34:AG49"/>
    <mergeCell ref="AH34:AH49"/>
    <mergeCell ref="AI34:AI49"/>
    <mergeCell ref="F63:K63"/>
    <mergeCell ref="J65:J73"/>
    <mergeCell ref="K65:K73"/>
    <mergeCell ref="L65:L73"/>
    <mergeCell ref="M65:M73"/>
    <mergeCell ref="N65:N80"/>
    <mergeCell ref="O65:O80"/>
    <mergeCell ref="AK52:AK62"/>
    <mergeCell ref="AL52:AL62"/>
    <mergeCell ref="AE52:AE62"/>
    <mergeCell ref="AF52:AF62"/>
    <mergeCell ref="AG52:AG62"/>
    <mergeCell ref="AH52:AH62"/>
    <mergeCell ref="AI52:AI62"/>
    <mergeCell ref="AJ52:AJ62"/>
    <mergeCell ref="Y52:Y62"/>
    <mergeCell ref="Z52:Z62"/>
    <mergeCell ref="AA52:AA62"/>
    <mergeCell ref="AB52:AB62"/>
    <mergeCell ref="AC52:AC62"/>
    <mergeCell ref="AD52:AD62"/>
    <mergeCell ref="O52:O62"/>
    <mergeCell ref="P52:P62"/>
    <mergeCell ref="Q52:Q62"/>
    <mergeCell ref="S65:S80"/>
    <mergeCell ref="T65:T73"/>
    <mergeCell ref="Y65:Y80"/>
    <mergeCell ref="U67:U68"/>
    <mergeCell ref="U69:U70"/>
    <mergeCell ref="U77:U78"/>
    <mergeCell ref="U79:U80"/>
    <mergeCell ref="AQ52:AQ62"/>
    <mergeCell ref="T56:T60"/>
    <mergeCell ref="T61:T62"/>
    <mergeCell ref="AM52:AM62"/>
    <mergeCell ref="AN52:AN62"/>
    <mergeCell ref="AO52:AO62"/>
    <mergeCell ref="AP52:AP62"/>
    <mergeCell ref="M77:M80"/>
    <mergeCell ref="Q77:Q80"/>
    <mergeCell ref="T77:T80"/>
    <mergeCell ref="AL65:AL80"/>
    <mergeCell ref="AM65:AM80"/>
    <mergeCell ref="AN65:AN80"/>
    <mergeCell ref="AO65:AO80"/>
    <mergeCell ref="AP65:AP80"/>
    <mergeCell ref="AQ65:AQ80"/>
    <mergeCell ref="AF65:AF80"/>
    <mergeCell ref="AG65:AG80"/>
    <mergeCell ref="AH65:AH80"/>
    <mergeCell ref="AI65:AI80"/>
    <mergeCell ref="AJ65:AJ80"/>
    <mergeCell ref="AK65:AK80"/>
    <mergeCell ref="Z65:Z80"/>
    <mergeCell ref="AA65:AA80"/>
    <mergeCell ref="AB65:AB80"/>
    <mergeCell ref="AC65:AC80"/>
    <mergeCell ref="AD65:AD80"/>
    <mergeCell ref="AE65:AE80"/>
    <mergeCell ref="P65:P80"/>
    <mergeCell ref="Q65:Q73"/>
    <mergeCell ref="R65:R80"/>
    <mergeCell ref="E81:F90"/>
    <mergeCell ref="G81:G90"/>
    <mergeCell ref="H81:I90"/>
    <mergeCell ref="J81:J90"/>
    <mergeCell ref="K81:K90"/>
    <mergeCell ref="L81:L90"/>
    <mergeCell ref="J77:J80"/>
    <mergeCell ref="K77:K80"/>
    <mergeCell ref="L77:L80"/>
    <mergeCell ref="S81:S90"/>
    <mergeCell ref="T81:T86"/>
    <mergeCell ref="U81:U82"/>
    <mergeCell ref="Y81:Y90"/>
    <mergeCell ref="Z81:Z90"/>
    <mergeCell ref="AA81:AA90"/>
    <mergeCell ref="T87:T90"/>
    <mergeCell ref="M81:M90"/>
    <mergeCell ref="N81:N90"/>
    <mergeCell ref="O81:O90"/>
    <mergeCell ref="P81:P90"/>
    <mergeCell ref="Q81:Q90"/>
    <mergeCell ref="R81:R90"/>
    <mergeCell ref="AN81:AN90"/>
    <mergeCell ref="AO81:AO90"/>
    <mergeCell ref="AP81:AP90"/>
    <mergeCell ref="AQ81:AQ90"/>
    <mergeCell ref="U83:U84"/>
    <mergeCell ref="U85:U86"/>
    <mergeCell ref="U87:U88"/>
    <mergeCell ref="AH81:AH90"/>
    <mergeCell ref="AI81:AI90"/>
    <mergeCell ref="AJ81:AJ90"/>
    <mergeCell ref="AK81:AK90"/>
    <mergeCell ref="AL81:AL90"/>
    <mergeCell ref="AM81:AM90"/>
    <mergeCell ref="AB81:AB90"/>
    <mergeCell ref="AC81:AC90"/>
    <mergeCell ref="AD81:AD90"/>
    <mergeCell ref="AE81:AE90"/>
    <mergeCell ref="AF81:AF90"/>
    <mergeCell ref="AG81:AG90"/>
    <mergeCell ref="P91:P95"/>
    <mergeCell ref="Q91:Q95"/>
    <mergeCell ref="R91:R95"/>
    <mergeCell ref="S91:S95"/>
    <mergeCell ref="T91:T95"/>
    <mergeCell ref="U91:U92"/>
    <mergeCell ref="J91:J95"/>
    <mergeCell ref="K91:K95"/>
    <mergeCell ref="L91:L95"/>
    <mergeCell ref="M91:M95"/>
    <mergeCell ref="N91:N95"/>
    <mergeCell ref="O91:O95"/>
    <mergeCell ref="AG91:AG95"/>
    <mergeCell ref="AH91:AH95"/>
    <mergeCell ref="AI91:AI95"/>
    <mergeCell ref="AJ91:AJ95"/>
    <mergeCell ref="Y91:Y95"/>
    <mergeCell ref="Z91:Z95"/>
    <mergeCell ref="AA91:AA95"/>
    <mergeCell ref="AB91:AB95"/>
    <mergeCell ref="AC91:AC95"/>
    <mergeCell ref="AD91:AD95"/>
    <mergeCell ref="L96:L115"/>
    <mergeCell ref="M96:M115"/>
    <mergeCell ref="N96:N115"/>
    <mergeCell ref="O96:O115"/>
    <mergeCell ref="P96:P115"/>
    <mergeCell ref="Q96:Q115"/>
    <mergeCell ref="AQ91:AQ95"/>
    <mergeCell ref="U93:U94"/>
    <mergeCell ref="A96:A115"/>
    <mergeCell ref="B96:C115"/>
    <mergeCell ref="D96:D115"/>
    <mergeCell ref="E96:F115"/>
    <mergeCell ref="G96:G115"/>
    <mergeCell ref="H96:I115"/>
    <mergeCell ref="J96:J115"/>
    <mergeCell ref="K96:K115"/>
    <mergeCell ref="AK91:AK95"/>
    <mergeCell ref="AL91:AL95"/>
    <mergeCell ref="AM91:AM95"/>
    <mergeCell ref="AN91:AN95"/>
    <mergeCell ref="AO91:AO95"/>
    <mergeCell ref="AP91:AP95"/>
    <mergeCell ref="AE91:AE95"/>
    <mergeCell ref="AF91:AF95"/>
    <mergeCell ref="AI96:AI115"/>
    <mergeCell ref="X96:X97"/>
    <mergeCell ref="Y96:Y115"/>
    <mergeCell ref="Z96:Z115"/>
    <mergeCell ref="AA96:AA115"/>
    <mergeCell ref="AB96:AB115"/>
    <mergeCell ref="AC96:AC115"/>
    <mergeCell ref="X113:X114"/>
    <mergeCell ref="R96:R115"/>
    <mergeCell ref="S96:S115"/>
    <mergeCell ref="T96:T100"/>
    <mergeCell ref="U96:U97"/>
    <mergeCell ref="V96:V97"/>
    <mergeCell ref="W96:W97"/>
    <mergeCell ref="V113:V114"/>
    <mergeCell ref="W113:W114"/>
    <mergeCell ref="M116:M127"/>
    <mergeCell ref="N116:N127"/>
    <mergeCell ref="O116:O127"/>
    <mergeCell ref="AP96:AP115"/>
    <mergeCell ref="AQ96:AQ115"/>
    <mergeCell ref="U99:U100"/>
    <mergeCell ref="T101:T103"/>
    <mergeCell ref="T104:T115"/>
    <mergeCell ref="U104:U105"/>
    <mergeCell ref="U107:U108"/>
    <mergeCell ref="U109:U110"/>
    <mergeCell ref="U111:U112"/>
    <mergeCell ref="U113:U114"/>
    <mergeCell ref="AJ96:AJ115"/>
    <mergeCell ref="AK96:AK115"/>
    <mergeCell ref="AL96:AL115"/>
    <mergeCell ref="AM96:AM115"/>
    <mergeCell ref="AN96:AN115"/>
    <mergeCell ref="AO96:AO115"/>
    <mergeCell ref="AD96:AD115"/>
    <mergeCell ref="AE96:AE115"/>
    <mergeCell ref="AF96:AF115"/>
    <mergeCell ref="AG96:AG115"/>
    <mergeCell ref="AH96:AH115"/>
    <mergeCell ref="AO116:AO127"/>
    <mergeCell ref="AP116:AP127"/>
    <mergeCell ref="AQ116:AQ127"/>
    <mergeCell ref="AF116:AF127"/>
    <mergeCell ref="AG116:AG127"/>
    <mergeCell ref="AH116:AH127"/>
    <mergeCell ref="AI116:AI127"/>
    <mergeCell ref="AJ116:AJ127"/>
    <mergeCell ref="AK116:AK127"/>
    <mergeCell ref="A128:A129"/>
    <mergeCell ref="B128:B129"/>
    <mergeCell ref="C128:C129"/>
    <mergeCell ref="J128:J129"/>
    <mergeCell ref="K128:K129"/>
    <mergeCell ref="L128:L129"/>
    <mergeCell ref="AL116:AL127"/>
    <mergeCell ref="AM116:AM127"/>
    <mergeCell ref="AN116:AN127"/>
    <mergeCell ref="Z116:Z127"/>
    <mergeCell ref="AA116:AA127"/>
    <mergeCell ref="AB116:AB127"/>
    <mergeCell ref="AC116:AC127"/>
    <mergeCell ref="AD116:AD127"/>
    <mergeCell ref="AE116:AE127"/>
    <mergeCell ref="P116:P127"/>
    <mergeCell ref="Q116:Q127"/>
    <mergeCell ref="R116:R127"/>
    <mergeCell ref="S116:S127"/>
    <mergeCell ref="T116:T126"/>
    <mergeCell ref="Y116:Y127"/>
    <mergeCell ref="J116:J127"/>
    <mergeCell ref="K116:K127"/>
    <mergeCell ref="L116:L127"/>
    <mergeCell ref="U128:U129"/>
    <mergeCell ref="Y128:Y148"/>
    <mergeCell ref="Z128:Z148"/>
    <mergeCell ref="AA128:AA148"/>
    <mergeCell ref="U130:U131"/>
    <mergeCell ref="M128:M129"/>
    <mergeCell ref="N128:N148"/>
    <mergeCell ref="O128:O148"/>
    <mergeCell ref="P128:P148"/>
    <mergeCell ref="Q128:Q129"/>
    <mergeCell ref="R128:R148"/>
    <mergeCell ref="AN128:AN148"/>
    <mergeCell ref="AO128:AO148"/>
    <mergeCell ref="AP128:AP148"/>
    <mergeCell ref="AQ128:AQ148"/>
    <mergeCell ref="J130:J132"/>
    <mergeCell ref="K130:K132"/>
    <mergeCell ref="L130:L132"/>
    <mergeCell ref="M130:M132"/>
    <mergeCell ref="Q130:Q132"/>
    <mergeCell ref="T130:T148"/>
    <mergeCell ref="AH128:AH148"/>
    <mergeCell ref="AI128:AI148"/>
    <mergeCell ref="AJ128:AJ148"/>
    <mergeCell ref="AK128:AK148"/>
    <mergeCell ref="AL128:AL148"/>
    <mergeCell ref="AM128:AM148"/>
    <mergeCell ref="AB128:AB148"/>
    <mergeCell ref="AC128:AC148"/>
    <mergeCell ref="AD128:AD148"/>
    <mergeCell ref="AE128:AE148"/>
    <mergeCell ref="AF128:AF148"/>
    <mergeCell ref="AG128:AG148"/>
    <mergeCell ref="S128:S148"/>
    <mergeCell ref="T128:T129"/>
    <mergeCell ref="J133:J134"/>
    <mergeCell ref="K133:K134"/>
    <mergeCell ref="L133:L134"/>
    <mergeCell ref="M133:M134"/>
    <mergeCell ref="Q133:Q134"/>
    <mergeCell ref="J135:J136"/>
    <mergeCell ref="K135:K136"/>
    <mergeCell ref="L135:L136"/>
    <mergeCell ref="M135:M136"/>
    <mergeCell ref="Q135:Q136"/>
    <mergeCell ref="U144:U145"/>
    <mergeCell ref="J140:J142"/>
    <mergeCell ref="K140:K142"/>
    <mergeCell ref="L140:L142"/>
    <mergeCell ref="M140:M142"/>
    <mergeCell ref="Q140:Q142"/>
    <mergeCell ref="U140:U141"/>
    <mergeCell ref="J137:J139"/>
    <mergeCell ref="K137:K139"/>
    <mergeCell ref="L137:L139"/>
    <mergeCell ref="M137:M139"/>
    <mergeCell ref="Q137:Q139"/>
    <mergeCell ref="U137:U138"/>
    <mergeCell ref="J147:J148"/>
    <mergeCell ref="K147:K148"/>
    <mergeCell ref="L147:L148"/>
    <mergeCell ref="M147:M148"/>
    <mergeCell ref="Q147:Q148"/>
    <mergeCell ref="J144:J146"/>
    <mergeCell ref="K144:K146"/>
    <mergeCell ref="L144:L146"/>
    <mergeCell ref="M144:M146"/>
    <mergeCell ref="Q144:Q14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9"/>
  <sheetViews>
    <sheetView showGridLines="0" zoomScale="60" zoomScaleNormal="60" workbookViewId="0">
      <selection activeCell="D14" sqref="D14"/>
    </sheetView>
  </sheetViews>
  <sheetFormatPr baseColWidth="10" defaultColWidth="32.7109375" defaultRowHeight="15.75" x14ac:dyDescent="0.25"/>
  <cols>
    <col min="1" max="1" width="14" style="1303" customWidth="1"/>
    <col min="2" max="2" width="24.85546875" style="597" customWidth="1"/>
    <col min="3" max="3" width="32.7109375" style="597" hidden="1" customWidth="1"/>
    <col min="4" max="4" width="12.85546875" style="597" customWidth="1"/>
    <col min="5" max="5" width="22.140625" style="597" customWidth="1"/>
    <col min="6" max="6" width="32.7109375" style="597" hidden="1" customWidth="1"/>
    <col min="7" max="7" width="13.85546875" style="597" customWidth="1"/>
    <col min="8" max="8" width="24.5703125" style="597" customWidth="1"/>
    <col min="9" max="9" width="7.42578125" style="597" customWidth="1"/>
    <col min="10" max="10" width="32.7109375" style="597"/>
    <col min="11" max="11" width="32.7109375" style="1311"/>
    <col min="12" max="12" width="32.7109375" style="1297"/>
    <col min="13" max="13" width="32.7109375" style="1314"/>
    <col min="14" max="14" width="45" style="1297" customWidth="1"/>
    <col min="15" max="15" width="32.7109375" style="1297"/>
    <col min="16" max="16" width="32.7109375" style="1311"/>
    <col min="17" max="17" width="32.7109375" style="1315"/>
    <col min="18" max="18" width="32.7109375" style="1316"/>
    <col min="19" max="19" width="32.7109375" style="1311"/>
    <col min="20" max="20" width="45.5703125" style="1311" customWidth="1"/>
    <col min="21" max="21" width="32.7109375" style="1311"/>
    <col min="22" max="22" width="32.7109375" style="1317"/>
    <col min="23" max="23" width="32.7109375" style="1310"/>
    <col min="24" max="24" width="32.7109375" style="1311"/>
    <col min="25" max="40" width="32.7109375" style="597"/>
    <col min="41" max="41" width="32.7109375" style="1312"/>
    <col min="42" max="42" width="32.7109375" style="1313"/>
    <col min="43" max="43" width="32.7109375" style="1305"/>
    <col min="44" max="254" width="32.7109375" style="597"/>
  </cols>
  <sheetData>
    <row r="1" spans="1:254" x14ac:dyDescent="0.25">
      <c r="A1" s="2852" t="s">
        <v>1135</v>
      </c>
      <c r="B1" s="2853"/>
      <c r="C1" s="2853"/>
      <c r="D1" s="2853"/>
      <c r="E1" s="2853"/>
      <c r="F1" s="2853"/>
      <c r="G1" s="2853"/>
      <c r="H1" s="2853"/>
      <c r="I1" s="2853"/>
      <c r="J1" s="2853"/>
      <c r="K1" s="2853"/>
      <c r="L1" s="2853"/>
      <c r="M1" s="2853"/>
      <c r="N1" s="2853"/>
      <c r="O1" s="2853"/>
      <c r="P1" s="2853"/>
      <c r="Q1" s="2853"/>
      <c r="R1" s="2853"/>
      <c r="S1" s="2853"/>
      <c r="T1" s="2853"/>
      <c r="U1" s="2853"/>
      <c r="V1" s="2853"/>
      <c r="W1" s="2853"/>
      <c r="X1" s="2853"/>
      <c r="Y1" s="2853"/>
      <c r="Z1" s="2853"/>
      <c r="AA1" s="2853"/>
      <c r="AB1" s="2853"/>
      <c r="AC1" s="2853"/>
      <c r="AD1" s="2853"/>
      <c r="AE1" s="2853"/>
      <c r="AF1" s="2853"/>
      <c r="AG1" s="2853"/>
      <c r="AH1" s="2853"/>
      <c r="AI1" s="2853"/>
      <c r="AJ1" s="2853"/>
      <c r="AK1" s="2853"/>
      <c r="AL1" s="2853"/>
      <c r="AM1" s="2853"/>
      <c r="AN1" s="2853"/>
      <c r="AO1" s="2853"/>
      <c r="AP1" s="1211" t="s">
        <v>1</v>
      </c>
      <c r="AQ1" s="1212" t="s">
        <v>116</v>
      </c>
      <c r="AR1" s="1213"/>
      <c r="AS1" s="1213"/>
      <c r="AV1" s="1213"/>
      <c r="AW1" s="1213"/>
      <c r="AX1" s="1213"/>
      <c r="AY1" s="1213"/>
      <c r="AZ1" s="1213"/>
      <c r="BA1" s="1213"/>
      <c r="BB1" s="1213"/>
      <c r="BC1" s="1213"/>
      <c r="BD1" s="1213"/>
      <c r="BE1" s="1213"/>
      <c r="BF1" s="1213"/>
      <c r="BG1" s="1213"/>
      <c r="BH1" s="1213"/>
      <c r="BI1" s="1213"/>
      <c r="BJ1" s="1213"/>
      <c r="BK1" s="1213"/>
    </row>
    <row r="2" spans="1:254" x14ac:dyDescent="0.25">
      <c r="A2" s="2854"/>
      <c r="B2" s="2855"/>
      <c r="C2" s="2855"/>
      <c r="D2" s="2855"/>
      <c r="E2" s="2855"/>
      <c r="F2" s="2855"/>
      <c r="G2" s="2855"/>
      <c r="H2" s="2855"/>
      <c r="I2" s="2855"/>
      <c r="J2" s="2855"/>
      <c r="K2" s="2855"/>
      <c r="L2" s="2855"/>
      <c r="M2" s="2855"/>
      <c r="N2" s="2855"/>
      <c r="O2" s="2855"/>
      <c r="P2" s="2855"/>
      <c r="Q2" s="2855"/>
      <c r="R2" s="2855"/>
      <c r="S2" s="2855"/>
      <c r="T2" s="2855"/>
      <c r="U2" s="2855"/>
      <c r="V2" s="2855"/>
      <c r="W2" s="2855"/>
      <c r="X2" s="2855"/>
      <c r="Y2" s="2855"/>
      <c r="Z2" s="2855"/>
      <c r="AA2" s="2855"/>
      <c r="AB2" s="2855"/>
      <c r="AC2" s="2855"/>
      <c r="AD2" s="2855"/>
      <c r="AE2" s="2855"/>
      <c r="AF2" s="2855"/>
      <c r="AG2" s="2855"/>
      <c r="AH2" s="2855"/>
      <c r="AI2" s="2855"/>
      <c r="AJ2" s="2855"/>
      <c r="AK2" s="2855"/>
      <c r="AL2" s="2855"/>
      <c r="AM2" s="2855"/>
      <c r="AN2" s="2855"/>
      <c r="AO2" s="2855"/>
      <c r="AP2" s="1214" t="s">
        <v>3</v>
      </c>
      <c r="AQ2" s="1215" t="s">
        <v>117</v>
      </c>
      <c r="AR2" s="1213"/>
      <c r="AS2" s="1213"/>
      <c r="AV2" s="1213"/>
      <c r="AW2" s="1213"/>
      <c r="AX2" s="1213"/>
      <c r="AY2" s="1213"/>
      <c r="AZ2" s="1213"/>
      <c r="BA2" s="1213"/>
      <c r="BB2" s="1213"/>
      <c r="BC2" s="1213"/>
      <c r="BD2" s="1213"/>
      <c r="BE2" s="1213"/>
      <c r="BF2" s="1213"/>
      <c r="BG2" s="1213"/>
      <c r="BH2" s="1213"/>
      <c r="BI2" s="1213"/>
      <c r="BJ2" s="1213"/>
      <c r="BK2" s="1213"/>
    </row>
    <row r="3" spans="1:254" x14ac:dyDescent="0.25">
      <c r="A3" s="2854"/>
      <c r="B3" s="2855"/>
      <c r="C3" s="2855"/>
      <c r="D3" s="2855"/>
      <c r="E3" s="2855"/>
      <c r="F3" s="2855"/>
      <c r="G3" s="2855"/>
      <c r="H3" s="2855"/>
      <c r="I3" s="2855"/>
      <c r="J3" s="2855"/>
      <c r="K3" s="2855"/>
      <c r="L3" s="2855"/>
      <c r="M3" s="2855"/>
      <c r="N3" s="2855"/>
      <c r="O3" s="2855"/>
      <c r="P3" s="2855"/>
      <c r="Q3" s="2855"/>
      <c r="R3" s="2855"/>
      <c r="S3" s="2855"/>
      <c r="T3" s="2855"/>
      <c r="U3" s="2855"/>
      <c r="V3" s="2855"/>
      <c r="W3" s="2855"/>
      <c r="X3" s="2855"/>
      <c r="Y3" s="2855"/>
      <c r="Z3" s="2855"/>
      <c r="AA3" s="2855"/>
      <c r="AB3" s="2855"/>
      <c r="AC3" s="2855"/>
      <c r="AD3" s="2855"/>
      <c r="AE3" s="2855"/>
      <c r="AF3" s="2855"/>
      <c r="AG3" s="2855"/>
      <c r="AH3" s="2855"/>
      <c r="AI3" s="2855"/>
      <c r="AJ3" s="2855"/>
      <c r="AK3" s="2855"/>
      <c r="AL3" s="2855"/>
      <c r="AM3" s="2855"/>
      <c r="AN3" s="2855"/>
      <c r="AO3" s="2855"/>
      <c r="AP3" s="602" t="s">
        <v>5</v>
      </c>
      <c r="AQ3" s="1216" t="s">
        <v>6</v>
      </c>
      <c r="AR3" s="1213"/>
      <c r="AS3" s="1213"/>
      <c r="AV3" s="1213"/>
      <c r="AW3" s="1213"/>
      <c r="AX3" s="1213"/>
      <c r="AY3" s="1213"/>
      <c r="AZ3" s="1213"/>
      <c r="BA3" s="1213"/>
      <c r="BB3" s="1213"/>
      <c r="BC3" s="1213"/>
      <c r="BD3" s="1213"/>
      <c r="BE3" s="1213"/>
      <c r="BF3" s="1213"/>
      <c r="BG3" s="1213"/>
      <c r="BH3" s="1213"/>
      <c r="BI3" s="1213"/>
      <c r="BJ3" s="1213"/>
      <c r="BK3" s="1213"/>
    </row>
    <row r="4" spans="1:254" x14ac:dyDescent="0.25">
      <c r="A4" s="2856"/>
      <c r="B4" s="2857"/>
      <c r="C4" s="2857"/>
      <c r="D4" s="2857"/>
      <c r="E4" s="2857"/>
      <c r="F4" s="2857"/>
      <c r="G4" s="2857"/>
      <c r="H4" s="2857"/>
      <c r="I4" s="2857"/>
      <c r="J4" s="2857"/>
      <c r="K4" s="2857"/>
      <c r="L4" s="2857"/>
      <c r="M4" s="2857"/>
      <c r="N4" s="2857"/>
      <c r="O4" s="2857"/>
      <c r="P4" s="2857"/>
      <c r="Q4" s="2857"/>
      <c r="R4" s="2857"/>
      <c r="S4" s="2857"/>
      <c r="T4" s="2857"/>
      <c r="U4" s="2857"/>
      <c r="V4" s="2857"/>
      <c r="W4" s="2857"/>
      <c r="X4" s="2857"/>
      <c r="Y4" s="2857"/>
      <c r="Z4" s="2857"/>
      <c r="AA4" s="2857"/>
      <c r="AB4" s="2857"/>
      <c r="AC4" s="2857"/>
      <c r="AD4" s="2857"/>
      <c r="AE4" s="2857"/>
      <c r="AF4" s="2857"/>
      <c r="AG4" s="2857"/>
      <c r="AH4" s="2857"/>
      <c r="AI4" s="2857"/>
      <c r="AJ4" s="2857"/>
      <c r="AK4" s="2857"/>
      <c r="AL4" s="2857"/>
      <c r="AM4" s="2857"/>
      <c r="AN4" s="2857"/>
      <c r="AO4" s="2857"/>
      <c r="AP4" s="602" t="s">
        <v>7</v>
      </c>
      <c r="AQ4" s="8" t="s">
        <v>8</v>
      </c>
      <c r="AR4" s="1213"/>
      <c r="AS4" s="1213"/>
      <c r="AV4" s="1213"/>
      <c r="AW4" s="1213"/>
      <c r="AX4" s="1213"/>
      <c r="AY4" s="1213"/>
      <c r="AZ4" s="1213"/>
      <c r="BA4" s="1213"/>
      <c r="BB4" s="1213"/>
      <c r="BC4" s="1213"/>
      <c r="BD4" s="1213"/>
      <c r="BE4" s="1213"/>
      <c r="BF4" s="1213"/>
      <c r="BG4" s="1213"/>
      <c r="BH4" s="1213"/>
      <c r="BI4" s="1213"/>
      <c r="BJ4" s="1213"/>
      <c r="BK4" s="1213"/>
    </row>
    <row r="5" spans="1:254" x14ac:dyDescent="0.25">
      <c r="A5" s="2858" t="s">
        <v>9</v>
      </c>
      <c r="B5" s="2859"/>
      <c r="C5" s="2859"/>
      <c r="D5" s="2859"/>
      <c r="E5" s="2859"/>
      <c r="F5" s="2859"/>
      <c r="G5" s="2859"/>
      <c r="H5" s="2859"/>
      <c r="I5" s="2859"/>
      <c r="J5" s="2859"/>
      <c r="K5" s="2859"/>
      <c r="L5" s="2859"/>
      <c r="M5" s="2859"/>
      <c r="N5" s="2862" t="s">
        <v>1136</v>
      </c>
      <c r="O5" s="2862"/>
      <c r="P5" s="2862"/>
      <c r="Q5" s="2862"/>
      <c r="R5" s="2862"/>
      <c r="S5" s="2862"/>
      <c r="T5" s="2862"/>
      <c r="U5" s="2862"/>
      <c r="V5" s="2862"/>
      <c r="W5" s="2862"/>
      <c r="X5" s="2862"/>
      <c r="Y5" s="2862"/>
      <c r="Z5" s="2862"/>
      <c r="AA5" s="2862"/>
      <c r="AB5" s="2862"/>
      <c r="AC5" s="2862"/>
      <c r="AD5" s="2862"/>
      <c r="AE5" s="2862"/>
      <c r="AF5" s="2862"/>
      <c r="AG5" s="2862"/>
      <c r="AH5" s="2862"/>
      <c r="AI5" s="2862"/>
      <c r="AJ5" s="2862"/>
      <c r="AK5" s="2862"/>
      <c r="AL5" s="2862"/>
      <c r="AM5" s="2862"/>
      <c r="AN5" s="2862"/>
      <c r="AO5" s="2862"/>
      <c r="AP5" s="2862"/>
      <c r="AQ5" s="2863"/>
      <c r="AR5" s="1213"/>
      <c r="AS5" s="1213"/>
      <c r="AT5" s="1213"/>
      <c r="AU5" s="1213"/>
      <c r="AV5" s="1213"/>
      <c r="AW5" s="1213"/>
      <c r="AX5" s="1213"/>
      <c r="AY5" s="1213"/>
      <c r="AZ5" s="1213"/>
      <c r="BA5" s="1213"/>
      <c r="BB5" s="1213"/>
      <c r="BC5" s="1213"/>
      <c r="BD5" s="1213"/>
      <c r="BE5" s="1213"/>
      <c r="BF5" s="1213"/>
      <c r="BG5" s="1213"/>
      <c r="BH5" s="1213"/>
      <c r="BI5" s="1213"/>
      <c r="BJ5" s="1213"/>
      <c r="BK5" s="1213"/>
    </row>
    <row r="6" spans="1:254" ht="57.75" customHeight="1" x14ac:dyDescent="0.25">
      <c r="A6" s="2860"/>
      <c r="B6" s="2861"/>
      <c r="C6" s="2861"/>
      <c r="D6" s="2861"/>
      <c r="E6" s="2861"/>
      <c r="F6" s="2861"/>
      <c r="G6" s="2861"/>
      <c r="H6" s="2861"/>
      <c r="I6" s="2861"/>
      <c r="J6" s="2861"/>
      <c r="K6" s="2861"/>
      <c r="L6" s="2861"/>
      <c r="M6" s="2861"/>
      <c r="N6" s="1217"/>
      <c r="O6" s="1218"/>
      <c r="P6" s="1218"/>
      <c r="Q6" s="1219"/>
      <c r="R6" s="1220"/>
      <c r="S6" s="1218"/>
      <c r="T6" s="1218"/>
      <c r="U6" s="1218"/>
      <c r="V6" s="1221"/>
      <c r="W6" s="1222"/>
      <c r="X6" s="1218"/>
      <c r="Y6" s="2864" t="s">
        <v>11</v>
      </c>
      <c r="Z6" s="2861"/>
      <c r="AA6" s="2861"/>
      <c r="AB6" s="2861"/>
      <c r="AC6" s="2861"/>
      <c r="AD6" s="2861"/>
      <c r="AE6" s="2861"/>
      <c r="AF6" s="2861"/>
      <c r="AG6" s="2861"/>
      <c r="AH6" s="2861"/>
      <c r="AI6" s="2861"/>
      <c r="AJ6" s="2861"/>
      <c r="AK6" s="2861"/>
      <c r="AL6" s="2861"/>
      <c r="AM6" s="2865"/>
      <c r="AN6" s="1219"/>
      <c r="AO6" s="1223"/>
      <c r="AP6" s="1223"/>
      <c r="AQ6" s="1224"/>
      <c r="AR6" s="1213"/>
      <c r="AS6" s="1213"/>
      <c r="AT6" s="1213"/>
      <c r="AU6" s="1213"/>
      <c r="AV6" s="1213"/>
      <c r="AW6" s="1213"/>
      <c r="AX6" s="1213"/>
      <c r="AY6" s="1213"/>
      <c r="AZ6" s="1213"/>
      <c r="BA6" s="1213"/>
      <c r="BB6" s="1213"/>
      <c r="BC6" s="1213"/>
      <c r="BD6" s="1213"/>
      <c r="BE6" s="1213"/>
      <c r="BF6" s="1213"/>
      <c r="BG6" s="1213"/>
      <c r="BH6" s="1213"/>
      <c r="BI6" s="1213"/>
      <c r="BJ6" s="1213"/>
      <c r="BK6" s="1213"/>
    </row>
    <row r="7" spans="1:254" x14ac:dyDescent="0.25">
      <c r="A7" s="2866" t="s">
        <v>12</v>
      </c>
      <c r="B7" s="2843" t="s">
        <v>13</v>
      </c>
      <c r="C7" s="2843"/>
      <c r="D7" s="2843" t="s">
        <v>12</v>
      </c>
      <c r="E7" s="2843" t="s">
        <v>14</v>
      </c>
      <c r="F7" s="2843"/>
      <c r="G7" s="2843" t="s">
        <v>12</v>
      </c>
      <c r="H7" s="2843" t="s">
        <v>15</v>
      </c>
      <c r="I7" s="2843"/>
      <c r="J7" s="2843" t="s">
        <v>12</v>
      </c>
      <c r="K7" s="2843" t="s">
        <v>16</v>
      </c>
      <c r="L7" s="2843" t="s">
        <v>17</v>
      </c>
      <c r="M7" s="2843" t="s">
        <v>18</v>
      </c>
      <c r="N7" s="2843" t="s">
        <v>19</v>
      </c>
      <c r="O7" s="2843" t="s">
        <v>20</v>
      </c>
      <c r="P7" s="2843" t="s">
        <v>10</v>
      </c>
      <c r="Q7" s="2845" t="s">
        <v>21</v>
      </c>
      <c r="R7" s="2847" t="s">
        <v>22</v>
      </c>
      <c r="S7" s="2849" t="s">
        <v>23</v>
      </c>
      <c r="T7" s="2849" t="s">
        <v>24</v>
      </c>
      <c r="U7" s="2843" t="s">
        <v>25</v>
      </c>
      <c r="V7" s="2833" t="s">
        <v>22</v>
      </c>
      <c r="W7" s="1225"/>
      <c r="X7" s="2835" t="s">
        <v>26</v>
      </c>
      <c r="Y7" s="2837" t="s">
        <v>27</v>
      </c>
      <c r="Z7" s="2838"/>
      <c r="AA7" s="2839" t="s">
        <v>28</v>
      </c>
      <c r="AB7" s="2840"/>
      <c r="AC7" s="2840"/>
      <c r="AD7" s="2840"/>
      <c r="AE7" s="2841" t="s">
        <v>29</v>
      </c>
      <c r="AF7" s="2842"/>
      <c r="AG7" s="2842"/>
      <c r="AH7" s="2842"/>
      <c r="AI7" s="2842"/>
      <c r="AJ7" s="2842"/>
      <c r="AK7" s="2839" t="s">
        <v>30</v>
      </c>
      <c r="AL7" s="2840"/>
      <c r="AM7" s="2840"/>
      <c r="AN7" s="2827" t="s">
        <v>31</v>
      </c>
      <c r="AO7" s="2829" t="s">
        <v>32</v>
      </c>
      <c r="AP7" s="2829" t="s">
        <v>33</v>
      </c>
      <c r="AQ7" s="2830" t="s">
        <v>34</v>
      </c>
      <c r="AR7" s="1213"/>
      <c r="AS7" s="1213"/>
      <c r="AT7" s="1213"/>
      <c r="AU7" s="1213"/>
      <c r="AV7" s="1213"/>
      <c r="AW7" s="1213"/>
      <c r="AX7" s="1213"/>
      <c r="AY7" s="1213"/>
      <c r="AZ7" s="1213"/>
      <c r="BA7" s="1213"/>
      <c r="BB7" s="1213"/>
      <c r="BC7" s="1213"/>
      <c r="BD7" s="1213"/>
      <c r="BE7" s="1213"/>
      <c r="BF7" s="1213"/>
      <c r="BG7" s="1213"/>
      <c r="BH7" s="1213"/>
      <c r="BI7" s="1213"/>
      <c r="BJ7" s="1213"/>
      <c r="BK7" s="1213"/>
    </row>
    <row r="8" spans="1:254" ht="159.75" customHeight="1" x14ac:dyDescent="0.25">
      <c r="A8" s="2867"/>
      <c r="B8" s="2844"/>
      <c r="C8" s="2844"/>
      <c r="D8" s="2844"/>
      <c r="E8" s="2844"/>
      <c r="F8" s="2844"/>
      <c r="G8" s="2844"/>
      <c r="H8" s="2844"/>
      <c r="I8" s="2844"/>
      <c r="J8" s="2844"/>
      <c r="K8" s="2844"/>
      <c r="L8" s="2844"/>
      <c r="M8" s="2851"/>
      <c r="N8" s="2836"/>
      <c r="O8" s="2844"/>
      <c r="P8" s="2844"/>
      <c r="Q8" s="2846"/>
      <c r="R8" s="2848"/>
      <c r="S8" s="2850"/>
      <c r="T8" s="2850"/>
      <c r="U8" s="2844"/>
      <c r="V8" s="2834"/>
      <c r="W8" s="1226" t="s">
        <v>12</v>
      </c>
      <c r="X8" s="2836"/>
      <c r="Y8" s="1227" t="s">
        <v>35</v>
      </c>
      <c r="Z8" s="1228" t="s">
        <v>36</v>
      </c>
      <c r="AA8" s="1227" t="s">
        <v>37</v>
      </c>
      <c r="AB8" s="1227" t="s">
        <v>118</v>
      </c>
      <c r="AC8" s="1227" t="s">
        <v>473</v>
      </c>
      <c r="AD8" s="1227" t="s">
        <v>120</v>
      </c>
      <c r="AE8" s="1227" t="s">
        <v>41</v>
      </c>
      <c r="AF8" s="1227" t="s">
        <v>42</v>
      </c>
      <c r="AG8" s="1227" t="s">
        <v>43</v>
      </c>
      <c r="AH8" s="1227" t="s">
        <v>44</v>
      </c>
      <c r="AI8" s="1227" t="s">
        <v>45</v>
      </c>
      <c r="AJ8" s="1227" t="s">
        <v>46</v>
      </c>
      <c r="AK8" s="1227" t="s">
        <v>47</v>
      </c>
      <c r="AL8" s="1227" t="s">
        <v>48</v>
      </c>
      <c r="AM8" s="1227" t="s">
        <v>49</v>
      </c>
      <c r="AN8" s="2828"/>
      <c r="AO8" s="2829"/>
      <c r="AP8" s="2829"/>
      <c r="AQ8" s="2831"/>
      <c r="AR8" s="1213"/>
      <c r="AS8" s="1213"/>
      <c r="AT8" s="1213"/>
      <c r="AU8" s="1213"/>
      <c r="AV8" s="1213"/>
      <c r="AW8" s="1213"/>
      <c r="AX8" s="1213"/>
      <c r="AY8" s="1213"/>
      <c r="AZ8" s="1213"/>
      <c r="BA8" s="1213"/>
      <c r="BB8" s="1213"/>
      <c r="BC8" s="1213"/>
      <c r="BD8" s="1213"/>
      <c r="BE8" s="1213"/>
      <c r="BF8" s="1213"/>
      <c r="BG8" s="1213"/>
      <c r="BH8" s="1213"/>
      <c r="BI8" s="1213"/>
      <c r="BJ8" s="1213"/>
      <c r="BK8" s="1213"/>
    </row>
    <row r="9" spans="1:254" x14ac:dyDescent="0.25">
      <c r="A9" s="1229">
        <v>5</v>
      </c>
      <c r="B9" s="1230" t="s">
        <v>50</v>
      </c>
      <c r="C9" s="1230"/>
      <c r="D9" s="1231"/>
      <c r="E9" s="1231"/>
      <c r="F9" s="1230"/>
      <c r="G9" s="1230"/>
      <c r="H9" s="1230"/>
      <c r="I9" s="1230"/>
      <c r="J9" s="1230"/>
      <c r="K9" s="1232"/>
      <c r="L9" s="1232"/>
      <c r="M9" s="1233"/>
      <c r="N9" s="1232"/>
      <c r="O9" s="1232"/>
      <c r="P9" s="1232"/>
      <c r="Q9" s="1234"/>
      <c r="R9" s="1235"/>
      <c r="S9" s="1232"/>
      <c r="T9" s="1232"/>
      <c r="U9" s="1232"/>
      <c r="V9" s="1236"/>
      <c r="W9" s="1237"/>
      <c r="X9" s="1232"/>
      <c r="Y9" s="1230"/>
      <c r="Z9" s="1230"/>
      <c r="AA9" s="1230"/>
      <c r="AB9" s="1230"/>
      <c r="AC9" s="1230"/>
      <c r="AD9" s="1230"/>
      <c r="AE9" s="1230"/>
      <c r="AF9" s="1230"/>
      <c r="AG9" s="1230"/>
      <c r="AH9" s="1230"/>
      <c r="AI9" s="1230"/>
      <c r="AJ9" s="1230"/>
      <c r="AK9" s="1230"/>
      <c r="AL9" s="1230"/>
      <c r="AM9" s="1230"/>
      <c r="AN9" s="1230"/>
      <c r="AO9" s="1238"/>
      <c r="AP9" s="1238"/>
      <c r="AQ9" s="1239"/>
      <c r="AR9" s="1213"/>
      <c r="AS9" s="1213"/>
      <c r="AT9" s="1213"/>
      <c r="AU9" s="1213"/>
      <c r="AV9" s="1213"/>
      <c r="AW9" s="1213"/>
      <c r="AX9" s="1213"/>
      <c r="AY9" s="1213"/>
      <c r="AZ9" s="1213"/>
      <c r="BA9" s="1213"/>
      <c r="BB9" s="1213"/>
      <c r="BC9" s="1213"/>
      <c r="BD9" s="1213"/>
      <c r="BE9" s="1213"/>
      <c r="BF9" s="1213"/>
      <c r="BG9" s="1213"/>
      <c r="BH9" s="1213"/>
      <c r="BI9" s="1213"/>
      <c r="BJ9" s="1213"/>
      <c r="BK9" s="1213"/>
    </row>
    <row r="10" spans="1:254" x14ac:dyDescent="0.25">
      <c r="A10" s="1240"/>
      <c r="B10" s="1241"/>
      <c r="C10" s="1241"/>
      <c r="D10" s="1242">
        <v>28</v>
      </c>
      <c r="E10" s="1243" t="s">
        <v>1137</v>
      </c>
      <c r="F10" s="1243"/>
      <c r="G10" s="1243"/>
      <c r="H10" s="1243"/>
      <c r="I10" s="1243"/>
      <c r="J10" s="1243"/>
      <c r="K10" s="1244"/>
      <c r="L10" s="1244"/>
      <c r="M10" s="1245"/>
      <c r="N10" s="1246"/>
      <c r="O10" s="1244"/>
      <c r="P10" s="1244"/>
      <c r="Q10" s="1247"/>
      <c r="R10" s="1248"/>
      <c r="S10" s="1244"/>
      <c r="T10" s="1244"/>
      <c r="U10" s="1244"/>
      <c r="V10" s="1249"/>
      <c r="W10" s="1250"/>
      <c r="X10" s="1244"/>
      <c r="Y10" s="1243"/>
      <c r="Z10" s="1243"/>
      <c r="AA10" s="1243"/>
      <c r="AB10" s="1243"/>
      <c r="AC10" s="1243"/>
      <c r="AD10" s="1243"/>
      <c r="AE10" s="1243"/>
      <c r="AF10" s="1243"/>
      <c r="AG10" s="1243"/>
      <c r="AH10" s="1243"/>
      <c r="AI10" s="1243"/>
      <c r="AJ10" s="1243"/>
      <c r="AK10" s="1243"/>
      <c r="AL10" s="1243"/>
      <c r="AM10" s="1243"/>
      <c r="AN10" s="1243"/>
      <c r="AO10" s="1251"/>
      <c r="AP10" s="1251"/>
      <c r="AQ10" s="1252"/>
      <c r="AR10" s="1213"/>
      <c r="AS10" s="1213"/>
      <c r="AT10" s="1213"/>
      <c r="AU10" s="1213"/>
      <c r="AV10" s="1213"/>
      <c r="AW10" s="1213"/>
      <c r="AX10" s="1213"/>
      <c r="AY10" s="1213"/>
      <c r="AZ10" s="1213"/>
      <c r="BA10" s="1213"/>
      <c r="BB10" s="1213"/>
      <c r="BC10" s="1213"/>
      <c r="BD10" s="1213"/>
      <c r="BE10" s="1213"/>
      <c r="BF10" s="1213"/>
      <c r="BG10" s="1213"/>
      <c r="BH10" s="1213"/>
      <c r="BI10" s="1213"/>
      <c r="BJ10" s="1213"/>
      <c r="BK10" s="1213"/>
      <c r="BL10" s="1213"/>
      <c r="BM10" s="1213"/>
      <c r="BN10" s="1213"/>
      <c r="BO10" s="1213"/>
      <c r="BP10" s="1213"/>
      <c r="BQ10" s="1213"/>
      <c r="BR10" s="1213"/>
      <c r="BS10" s="1213"/>
      <c r="BT10" s="1213"/>
      <c r="BU10" s="1213"/>
      <c r="BV10" s="1213"/>
      <c r="BW10" s="1213"/>
      <c r="BX10" s="1213"/>
      <c r="BY10" s="1213"/>
      <c r="BZ10" s="1213"/>
      <c r="CA10" s="1213"/>
      <c r="CB10" s="1213"/>
      <c r="CC10" s="1213"/>
      <c r="CD10" s="1213"/>
      <c r="CE10" s="1213"/>
      <c r="CF10" s="1213"/>
      <c r="CG10" s="1213"/>
      <c r="CH10" s="1213"/>
      <c r="CI10" s="1213"/>
      <c r="CJ10" s="1213"/>
      <c r="CK10" s="1213"/>
      <c r="CL10" s="1213"/>
      <c r="CM10" s="1213"/>
      <c r="CN10" s="1213"/>
      <c r="CO10" s="1213"/>
      <c r="CP10" s="1213"/>
      <c r="CQ10" s="1213"/>
      <c r="CR10" s="1213"/>
      <c r="CS10" s="1213"/>
      <c r="CT10" s="1213"/>
      <c r="CU10" s="1213"/>
      <c r="CV10" s="1213"/>
      <c r="CW10" s="1213"/>
      <c r="CX10" s="1213"/>
      <c r="CY10" s="1213"/>
      <c r="CZ10" s="1213"/>
      <c r="DA10" s="1213"/>
      <c r="DB10" s="1213"/>
      <c r="DC10" s="1213"/>
      <c r="DD10" s="1213"/>
      <c r="DE10" s="1213"/>
      <c r="DF10" s="1213"/>
      <c r="DG10" s="1213"/>
      <c r="DH10" s="1213"/>
      <c r="DI10" s="1213"/>
      <c r="DJ10" s="1213"/>
      <c r="DK10" s="1213"/>
      <c r="DL10" s="1213"/>
      <c r="DM10" s="1213"/>
      <c r="DN10" s="1213"/>
      <c r="DO10" s="1213"/>
      <c r="DP10" s="1213"/>
      <c r="DQ10" s="1213"/>
      <c r="DR10" s="1213"/>
      <c r="DS10" s="1213"/>
      <c r="DT10" s="1213"/>
      <c r="DU10" s="1213"/>
      <c r="DV10" s="1213"/>
      <c r="DW10" s="1213"/>
      <c r="DX10" s="1213"/>
      <c r="DY10" s="1213"/>
      <c r="DZ10" s="1213"/>
      <c r="EA10" s="1213"/>
      <c r="EB10" s="1213"/>
      <c r="EC10" s="1213"/>
      <c r="ED10" s="1213"/>
      <c r="EE10" s="1213"/>
      <c r="EF10" s="1213"/>
      <c r="EG10" s="1213"/>
      <c r="EH10" s="1213"/>
      <c r="EI10" s="1213"/>
      <c r="EJ10" s="1213"/>
      <c r="EK10" s="1213"/>
      <c r="EL10" s="1213"/>
      <c r="EM10" s="1213"/>
      <c r="EN10" s="1213"/>
      <c r="EO10" s="1213"/>
      <c r="EP10" s="1213"/>
      <c r="EQ10" s="1213"/>
      <c r="ER10" s="1213"/>
      <c r="ES10" s="1213"/>
      <c r="ET10" s="1213"/>
      <c r="EU10" s="1213"/>
      <c r="EV10" s="1213"/>
      <c r="EW10" s="1213"/>
      <c r="EX10" s="1213"/>
      <c r="EY10" s="1213"/>
      <c r="EZ10" s="1213"/>
      <c r="FA10" s="1213"/>
      <c r="FB10" s="1213"/>
      <c r="FC10" s="1213"/>
      <c r="FD10" s="1213"/>
      <c r="FE10" s="1213"/>
      <c r="FF10" s="1213"/>
      <c r="FG10" s="1213"/>
      <c r="FH10" s="1213"/>
      <c r="FI10" s="1213"/>
      <c r="FJ10" s="1213"/>
      <c r="FK10" s="1213"/>
      <c r="FL10" s="1213"/>
      <c r="FM10" s="1213"/>
      <c r="FN10" s="1213"/>
      <c r="FO10" s="1213"/>
      <c r="FP10" s="1213"/>
      <c r="FQ10" s="1213"/>
      <c r="FR10" s="1213"/>
      <c r="FS10" s="1213"/>
      <c r="FT10" s="1213"/>
      <c r="FU10" s="1213"/>
      <c r="FV10" s="1213"/>
      <c r="FW10" s="1213"/>
      <c r="FX10" s="1213"/>
      <c r="FY10" s="1213"/>
      <c r="FZ10" s="1213"/>
      <c r="GA10" s="1213"/>
      <c r="GB10" s="1213"/>
      <c r="GC10" s="1213"/>
      <c r="GD10" s="1213"/>
      <c r="GE10" s="1213"/>
      <c r="GF10" s="1213"/>
      <c r="GG10" s="1213"/>
      <c r="GH10" s="1213"/>
      <c r="GI10" s="1213"/>
      <c r="GJ10" s="1213"/>
      <c r="GK10" s="1213"/>
      <c r="GL10" s="1213"/>
      <c r="GM10" s="1213"/>
      <c r="GN10" s="1213"/>
      <c r="GO10" s="1213"/>
      <c r="GP10" s="1213"/>
      <c r="GQ10" s="1213"/>
      <c r="GR10" s="1213"/>
      <c r="GS10" s="1213"/>
      <c r="GT10" s="1213"/>
      <c r="GU10" s="1213"/>
      <c r="GV10" s="1213"/>
      <c r="GW10" s="1213"/>
      <c r="GX10" s="1213"/>
      <c r="GY10" s="1213"/>
      <c r="GZ10" s="1213"/>
      <c r="HA10" s="1213"/>
      <c r="HB10" s="1213"/>
      <c r="HC10" s="1213"/>
      <c r="HD10" s="1213"/>
      <c r="HE10" s="1213"/>
      <c r="HF10" s="1213"/>
      <c r="HG10" s="1213"/>
      <c r="HH10" s="1213"/>
      <c r="HI10" s="1213"/>
      <c r="HJ10" s="1213"/>
      <c r="HK10" s="1213"/>
      <c r="HL10" s="1213"/>
      <c r="HM10" s="1213"/>
      <c r="HN10" s="1213"/>
      <c r="HO10" s="1213"/>
      <c r="HP10" s="1213"/>
      <c r="HQ10" s="1213"/>
      <c r="HR10" s="1213"/>
      <c r="HS10" s="1213"/>
      <c r="HT10" s="1213"/>
      <c r="HU10" s="1213"/>
      <c r="HV10" s="1213"/>
      <c r="HW10" s="1213"/>
      <c r="HX10" s="1213"/>
      <c r="HY10" s="1213"/>
      <c r="HZ10" s="1213"/>
      <c r="IA10" s="1213"/>
      <c r="IB10" s="1213"/>
      <c r="IC10" s="1213"/>
      <c r="ID10" s="1213"/>
      <c r="IE10" s="1213"/>
      <c r="IF10" s="1213"/>
      <c r="IG10" s="1213"/>
      <c r="IH10" s="1213"/>
      <c r="II10" s="1213"/>
      <c r="IJ10" s="1213"/>
      <c r="IK10" s="1213"/>
      <c r="IL10" s="1213"/>
      <c r="IM10" s="1213"/>
      <c r="IN10" s="1213"/>
      <c r="IO10" s="1213"/>
      <c r="IP10" s="1213"/>
      <c r="IQ10" s="1213"/>
      <c r="IR10" s="1213"/>
      <c r="IS10" s="1213"/>
      <c r="IT10" s="1213"/>
    </row>
    <row r="11" spans="1:254" x14ac:dyDescent="0.25">
      <c r="A11" s="1240"/>
      <c r="B11" s="1241"/>
      <c r="C11" s="1241"/>
      <c r="D11" s="1253"/>
      <c r="E11" s="1241"/>
      <c r="F11" s="1241"/>
      <c r="G11" s="638">
        <v>89</v>
      </c>
      <c r="H11" s="1254" t="s">
        <v>52</v>
      </c>
      <c r="I11" s="1254"/>
      <c r="J11" s="1254"/>
      <c r="K11" s="1255"/>
      <c r="L11" s="1255"/>
      <c r="M11" s="1256"/>
      <c r="N11" s="1257"/>
      <c r="O11" s="1255"/>
      <c r="P11" s="1255"/>
      <c r="Q11" s="1258"/>
      <c r="R11" s="1259"/>
      <c r="S11" s="1255"/>
      <c r="T11" s="1255"/>
      <c r="U11" s="1255"/>
      <c r="V11" s="1260"/>
      <c r="W11" s="1261"/>
      <c r="X11" s="1255"/>
      <c r="Y11" s="1262"/>
      <c r="Z11" s="1262"/>
      <c r="AA11" s="1262"/>
      <c r="AB11" s="1262"/>
      <c r="AC11" s="1262"/>
      <c r="AD11" s="1262"/>
      <c r="AE11" s="1262"/>
      <c r="AF11" s="1262"/>
      <c r="AG11" s="1262"/>
      <c r="AH11" s="1262"/>
      <c r="AI11" s="1262"/>
      <c r="AJ11" s="1262"/>
      <c r="AK11" s="1262"/>
      <c r="AL11" s="1262"/>
      <c r="AM11" s="1262"/>
      <c r="AN11" s="1262"/>
      <c r="AO11" s="1263"/>
      <c r="AP11" s="1263"/>
      <c r="AQ11" s="1264"/>
      <c r="AR11" s="1213"/>
      <c r="AS11" s="1213"/>
      <c r="AT11" s="1213"/>
      <c r="AU11" s="1213"/>
      <c r="AV11" s="1213"/>
      <c r="AW11" s="1213"/>
      <c r="AX11" s="1213"/>
      <c r="AY11" s="1213"/>
      <c r="AZ11" s="1213"/>
      <c r="BA11" s="1213"/>
      <c r="BB11" s="1213"/>
      <c r="BC11" s="1213"/>
      <c r="BD11" s="1213"/>
      <c r="BE11" s="1213"/>
      <c r="BF11" s="1213"/>
      <c r="BG11" s="1213"/>
      <c r="BH11" s="1213"/>
      <c r="BI11" s="1213"/>
      <c r="BJ11" s="1213"/>
      <c r="BK11" s="1213"/>
      <c r="BL11" s="1213"/>
      <c r="BM11" s="1213"/>
      <c r="BN11" s="1213"/>
      <c r="BO11" s="1213"/>
      <c r="BP11" s="1213"/>
      <c r="BQ11" s="1213"/>
      <c r="BR11" s="1213"/>
      <c r="BS11" s="1213"/>
      <c r="BT11" s="1213"/>
      <c r="BU11" s="1213"/>
      <c r="BV11" s="1213"/>
      <c r="BW11" s="1213"/>
      <c r="BX11" s="1213"/>
      <c r="BY11" s="1213"/>
      <c r="BZ11" s="1213"/>
      <c r="CA11" s="1213"/>
      <c r="CB11" s="1213"/>
      <c r="CC11" s="1213"/>
      <c r="CD11" s="1213"/>
      <c r="CE11" s="1213"/>
      <c r="CF11" s="1213"/>
      <c r="CG11" s="1213"/>
      <c r="CH11" s="1213"/>
      <c r="CI11" s="1213"/>
      <c r="CJ11" s="1213"/>
      <c r="CK11" s="1213"/>
      <c r="CL11" s="1213"/>
      <c r="CM11" s="1213"/>
      <c r="CN11" s="1213"/>
      <c r="CO11" s="1213"/>
      <c r="CP11" s="1213"/>
      <c r="CQ11" s="1213"/>
      <c r="CR11" s="1213"/>
      <c r="CS11" s="1213"/>
      <c r="CT11" s="1213"/>
      <c r="CU11" s="1213"/>
      <c r="CV11" s="1213"/>
      <c r="CW11" s="1213"/>
      <c r="CX11" s="1213"/>
      <c r="CY11" s="1213"/>
      <c r="CZ11" s="1213"/>
      <c r="DA11" s="1213"/>
      <c r="DB11" s="1213"/>
      <c r="DC11" s="1213"/>
      <c r="DD11" s="1213"/>
      <c r="DE11" s="1213"/>
      <c r="DF11" s="1213"/>
      <c r="DG11" s="1213"/>
      <c r="DH11" s="1213"/>
      <c r="DI11" s="1213"/>
      <c r="DJ11" s="1213"/>
      <c r="DK11" s="1213"/>
      <c r="DL11" s="1213"/>
      <c r="DM11" s="1213"/>
      <c r="DN11" s="1213"/>
      <c r="DO11" s="1213"/>
      <c r="DP11" s="1213"/>
      <c r="DQ11" s="1213"/>
      <c r="DR11" s="1213"/>
      <c r="DS11" s="1213"/>
      <c r="DT11" s="1213"/>
      <c r="DU11" s="1213"/>
      <c r="DV11" s="1213"/>
      <c r="DW11" s="1213"/>
      <c r="DX11" s="1213"/>
      <c r="DY11" s="1213"/>
      <c r="DZ11" s="1213"/>
      <c r="EA11" s="1213"/>
      <c r="EB11" s="1213"/>
      <c r="EC11" s="1213"/>
      <c r="ED11" s="1213"/>
      <c r="EE11" s="1213"/>
      <c r="EF11" s="1213"/>
      <c r="EG11" s="1213"/>
      <c r="EH11" s="1213"/>
      <c r="EI11" s="1213"/>
      <c r="EJ11" s="1213"/>
      <c r="EK11" s="1213"/>
      <c r="EL11" s="1213"/>
      <c r="EM11" s="1213"/>
      <c r="EN11" s="1213"/>
      <c r="EO11" s="1213"/>
      <c r="EP11" s="1213"/>
      <c r="EQ11" s="1213"/>
      <c r="ER11" s="1213"/>
      <c r="ES11" s="1213"/>
      <c r="ET11" s="1213"/>
      <c r="EU11" s="1213"/>
      <c r="EV11" s="1213"/>
      <c r="EW11" s="1213"/>
      <c r="EX11" s="1213"/>
      <c r="EY11" s="1213"/>
      <c r="EZ11" s="1213"/>
      <c r="FA11" s="1213"/>
      <c r="FB11" s="1213"/>
      <c r="FC11" s="1213"/>
      <c r="FD11" s="1213"/>
      <c r="FE11" s="1213"/>
      <c r="FF11" s="1213"/>
      <c r="FG11" s="1213"/>
      <c r="FH11" s="1213"/>
      <c r="FI11" s="1213"/>
      <c r="FJ11" s="1213"/>
      <c r="FK11" s="1213"/>
      <c r="FL11" s="1213"/>
      <c r="FM11" s="1213"/>
      <c r="FN11" s="1213"/>
      <c r="FO11" s="1213"/>
      <c r="FP11" s="1213"/>
      <c r="FQ11" s="1213"/>
      <c r="FR11" s="1213"/>
      <c r="FS11" s="1213"/>
      <c r="FT11" s="1213"/>
      <c r="FU11" s="1213"/>
      <c r="FV11" s="1213"/>
      <c r="FW11" s="1213"/>
      <c r="FX11" s="1213"/>
      <c r="FY11" s="1213"/>
      <c r="FZ11" s="1213"/>
      <c r="GA11" s="1213"/>
      <c r="GB11" s="1213"/>
      <c r="GC11" s="1213"/>
      <c r="GD11" s="1213"/>
      <c r="GE11" s="1213"/>
      <c r="GF11" s="1213"/>
      <c r="GG11" s="1213"/>
      <c r="GH11" s="1213"/>
      <c r="GI11" s="1213"/>
      <c r="GJ11" s="1213"/>
      <c r="GK11" s="1213"/>
      <c r="GL11" s="1213"/>
      <c r="GM11" s="1213"/>
      <c r="GN11" s="1213"/>
      <c r="GO11" s="1213"/>
      <c r="GP11" s="1213"/>
      <c r="GQ11" s="1213"/>
      <c r="GR11" s="1213"/>
      <c r="GS11" s="1213"/>
      <c r="GT11" s="1213"/>
      <c r="GU11" s="1213"/>
      <c r="GV11" s="1213"/>
      <c r="GW11" s="1213"/>
      <c r="GX11" s="1213"/>
      <c r="GY11" s="1213"/>
      <c r="GZ11" s="1213"/>
      <c r="HA11" s="1213"/>
      <c r="HB11" s="1213"/>
      <c r="HC11" s="1213"/>
      <c r="HD11" s="1213"/>
      <c r="HE11" s="1213"/>
      <c r="HF11" s="1213"/>
      <c r="HG11" s="1213"/>
      <c r="HH11" s="1213"/>
      <c r="HI11" s="1213"/>
      <c r="HJ11" s="1213"/>
      <c r="HK11" s="1213"/>
      <c r="HL11" s="1213"/>
      <c r="HM11" s="1213"/>
      <c r="HN11" s="1213"/>
      <c r="HO11" s="1213"/>
      <c r="HP11" s="1213"/>
      <c r="HQ11" s="1213"/>
      <c r="HR11" s="1213"/>
      <c r="HS11" s="1213"/>
      <c r="HT11" s="1213"/>
      <c r="HU11" s="1213"/>
      <c r="HV11" s="1213"/>
      <c r="HW11" s="1213"/>
      <c r="HX11" s="1213"/>
      <c r="HY11" s="1213"/>
      <c r="HZ11" s="1213"/>
      <c r="IA11" s="1213"/>
      <c r="IB11" s="1213"/>
      <c r="IC11" s="1213"/>
      <c r="ID11" s="1213"/>
      <c r="IE11" s="1213"/>
      <c r="IF11" s="1213"/>
      <c r="IG11" s="1213"/>
      <c r="IH11" s="1213"/>
      <c r="II11" s="1213"/>
      <c r="IJ11" s="1213"/>
      <c r="IK11" s="1213"/>
      <c r="IL11" s="1213"/>
      <c r="IM11" s="1213"/>
      <c r="IN11" s="1213"/>
      <c r="IO11" s="1213"/>
      <c r="IP11" s="1213"/>
      <c r="IQ11" s="1213"/>
      <c r="IR11" s="1213"/>
      <c r="IS11" s="1213"/>
      <c r="IT11" s="1213"/>
    </row>
    <row r="12" spans="1:254" ht="133.5" customHeight="1" x14ac:dyDescent="0.25">
      <c r="A12" s="1265"/>
      <c r="B12" s="633"/>
      <c r="C12" s="633"/>
      <c r="D12" s="1266"/>
      <c r="E12" s="633"/>
      <c r="F12" s="633"/>
      <c r="G12" s="1267"/>
      <c r="H12" s="633"/>
      <c r="I12" s="633"/>
      <c r="J12" s="2785">
        <v>275</v>
      </c>
      <c r="K12" s="2787" t="s">
        <v>1138</v>
      </c>
      <c r="L12" s="2787" t="s">
        <v>1139</v>
      </c>
      <c r="M12" s="2785">
        <v>4</v>
      </c>
      <c r="N12" s="2785" t="s">
        <v>1140</v>
      </c>
      <c r="O12" s="2804" t="s">
        <v>1141</v>
      </c>
      <c r="P12" s="2796" t="s">
        <v>1142</v>
      </c>
      <c r="Q12" s="2789">
        <f>+SUM(V12:V13)/R12</f>
        <v>0.68858978648781655</v>
      </c>
      <c r="R12" s="2806">
        <f>SUM(V12:V18)</f>
        <v>1905945991</v>
      </c>
      <c r="S12" s="2796" t="s">
        <v>1143</v>
      </c>
      <c r="T12" s="2823" t="s">
        <v>1144</v>
      </c>
      <c r="U12" s="2825" t="s">
        <v>1145</v>
      </c>
      <c r="V12" s="1268">
        <v>952473039</v>
      </c>
      <c r="W12" s="1269">
        <v>20</v>
      </c>
      <c r="X12" s="1270" t="s">
        <v>1146</v>
      </c>
      <c r="Y12" s="2820">
        <v>294321</v>
      </c>
      <c r="Z12" s="2811">
        <v>283947</v>
      </c>
      <c r="AA12" s="2811">
        <v>135754</v>
      </c>
      <c r="AB12" s="2811">
        <v>44640</v>
      </c>
      <c r="AC12" s="2811">
        <v>308178</v>
      </c>
      <c r="AD12" s="2811">
        <v>89696</v>
      </c>
      <c r="AE12" s="2811">
        <v>2145</v>
      </c>
      <c r="AF12" s="2811">
        <v>12718</v>
      </c>
      <c r="AG12" s="2811">
        <v>26</v>
      </c>
      <c r="AH12" s="2811">
        <v>37</v>
      </c>
      <c r="AI12" s="2811"/>
      <c r="AJ12" s="2811"/>
      <c r="AK12" s="2811">
        <v>54612</v>
      </c>
      <c r="AL12" s="2811">
        <v>21944</v>
      </c>
      <c r="AM12" s="2811">
        <v>1010</v>
      </c>
      <c r="AN12" s="2811">
        <f>+Y12+Z12</f>
        <v>578268</v>
      </c>
      <c r="AO12" s="2814">
        <v>43473</v>
      </c>
      <c r="AP12" s="2817">
        <v>43830</v>
      </c>
      <c r="AQ12" s="2784" t="s">
        <v>1147</v>
      </c>
      <c r="AR12" s="1213"/>
      <c r="AS12" s="1213"/>
      <c r="AT12" s="1213"/>
      <c r="AU12" s="1213"/>
      <c r="AV12" s="1213"/>
      <c r="AW12" s="1213"/>
      <c r="AX12" s="1213"/>
      <c r="AY12" s="1213"/>
      <c r="AZ12" s="1213"/>
      <c r="BA12" s="1213"/>
      <c r="BB12" s="1213"/>
      <c r="BC12" s="1213"/>
      <c r="BD12" s="1213"/>
      <c r="BE12" s="1213"/>
      <c r="BF12" s="1213"/>
      <c r="BG12" s="1213"/>
      <c r="BH12" s="1213"/>
      <c r="BI12" s="1213"/>
      <c r="BJ12" s="1213"/>
      <c r="BK12" s="1213"/>
      <c r="BL12" s="1213"/>
      <c r="BM12" s="1213"/>
      <c r="BN12" s="1213"/>
      <c r="BO12" s="1213"/>
      <c r="BP12" s="1213"/>
      <c r="BQ12" s="1213"/>
      <c r="BR12" s="1213"/>
      <c r="BS12" s="1213"/>
      <c r="BT12" s="1213"/>
      <c r="BU12" s="1213"/>
      <c r="BV12" s="1213"/>
      <c r="BW12" s="1213"/>
      <c r="BX12" s="1213"/>
      <c r="BY12" s="1213"/>
      <c r="BZ12" s="1213"/>
      <c r="CA12" s="1213"/>
      <c r="CB12" s="1213"/>
      <c r="CC12" s="1213"/>
      <c r="CD12" s="1213"/>
      <c r="CE12" s="1213"/>
      <c r="CF12" s="1213"/>
      <c r="CG12" s="1213"/>
      <c r="CH12" s="1213"/>
      <c r="CI12" s="1213"/>
      <c r="CJ12" s="1213"/>
      <c r="CK12" s="1213"/>
      <c r="CL12" s="1213"/>
      <c r="CM12" s="1213"/>
      <c r="CN12" s="1213"/>
      <c r="CO12" s="1213"/>
      <c r="CP12" s="1213"/>
      <c r="CQ12" s="1213"/>
      <c r="CR12" s="1213"/>
      <c r="CS12" s="1213"/>
      <c r="CT12" s="1213"/>
      <c r="CU12" s="1213"/>
      <c r="CV12" s="1213"/>
      <c r="CW12" s="1213"/>
      <c r="CX12" s="1213"/>
      <c r="CY12" s="1213"/>
      <c r="CZ12" s="1213"/>
      <c r="DA12" s="1213"/>
      <c r="DB12" s="1213"/>
      <c r="DC12" s="1213"/>
      <c r="DD12" s="1213"/>
      <c r="DE12" s="1213"/>
      <c r="DF12" s="1213"/>
      <c r="DG12" s="1213"/>
      <c r="DH12" s="1213"/>
      <c r="DI12" s="1213"/>
      <c r="DJ12" s="1213"/>
      <c r="DK12" s="1213"/>
      <c r="DL12" s="1213"/>
      <c r="DM12" s="1213"/>
      <c r="DN12" s="1213"/>
      <c r="DO12" s="1213"/>
      <c r="DP12" s="1213"/>
      <c r="DQ12" s="1213"/>
      <c r="DR12" s="1213"/>
      <c r="DS12" s="1213"/>
      <c r="DT12" s="1213"/>
      <c r="DU12" s="1213"/>
      <c r="DV12" s="1213"/>
      <c r="DW12" s="1213"/>
      <c r="DX12" s="1213"/>
      <c r="DY12" s="1213"/>
      <c r="DZ12" s="1213"/>
      <c r="EA12" s="1213"/>
      <c r="EB12" s="1213"/>
      <c r="EC12" s="1213"/>
      <c r="ED12" s="1213"/>
      <c r="EE12" s="1213"/>
      <c r="EF12" s="1213"/>
      <c r="EG12" s="1213"/>
      <c r="EH12" s="1213"/>
      <c r="EI12" s="1213"/>
      <c r="EJ12" s="1213"/>
      <c r="EK12" s="1213"/>
      <c r="EL12" s="1213"/>
      <c r="EM12" s="1213"/>
      <c r="EN12" s="1213"/>
      <c r="EO12" s="1213"/>
      <c r="EP12" s="1213"/>
      <c r="EQ12" s="1213"/>
      <c r="ER12" s="1213"/>
      <c r="ES12" s="1213"/>
      <c r="ET12" s="1213"/>
      <c r="EU12" s="1213"/>
      <c r="EV12" s="1213"/>
      <c r="EW12" s="1213"/>
      <c r="EX12" s="1213"/>
      <c r="EY12" s="1213"/>
      <c r="EZ12" s="1213"/>
      <c r="FA12" s="1213"/>
      <c r="FB12" s="1213"/>
      <c r="FC12" s="1213"/>
      <c r="FD12" s="1213"/>
      <c r="FE12" s="1213"/>
      <c r="FF12" s="1213"/>
      <c r="FG12" s="1213"/>
      <c r="FH12" s="1213"/>
      <c r="FI12" s="1213"/>
      <c r="FJ12" s="1213"/>
      <c r="FK12" s="1213"/>
      <c r="FL12" s="1213"/>
      <c r="FM12" s="1213"/>
      <c r="FN12" s="1213"/>
      <c r="FO12" s="1213"/>
      <c r="FP12" s="1213"/>
      <c r="FQ12" s="1213"/>
      <c r="FR12" s="1213"/>
      <c r="FS12" s="1213"/>
      <c r="FT12" s="1213"/>
      <c r="FU12" s="1213"/>
      <c r="FV12" s="1213"/>
      <c r="FW12" s="1213"/>
      <c r="FX12" s="1213"/>
      <c r="FY12" s="1213"/>
      <c r="FZ12" s="1213"/>
      <c r="GA12" s="1213"/>
      <c r="GB12" s="1213"/>
      <c r="GC12" s="1213"/>
      <c r="GD12" s="1213"/>
      <c r="GE12" s="1213"/>
      <c r="GF12" s="1213"/>
      <c r="GG12" s="1213"/>
      <c r="GH12" s="1213"/>
      <c r="GI12" s="1213"/>
      <c r="GJ12" s="1213"/>
      <c r="GK12" s="1213"/>
      <c r="GL12" s="1213"/>
      <c r="GM12" s="1213"/>
      <c r="GN12" s="1213"/>
      <c r="GO12" s="1213"/>
      <c r="GP12" s="1213"/>
      <c r="GQ12" s="1213"/>
      <c r="GR12" s="1213"/>
      <c r="GS12" s="1213"/>
      <c r="GT12" s="1213"/>
      <c r="GU12" s="1213"/>
      <c r="GV12" s="1213"/>
      <c r="GW12" s="1213"/>
      <c r="GX12" s="1213"/>
      <c r="GY12" s="1213"/>
      <c r="GZ12" s="1213"/>
      <c r="HA12" s="1213"/>
      <c r="HB12" s="1213"/>
      <c r="HC12" s="1213"/>
      <c r="HD12" s="1213"/>
      <c r="HE12" s="1213"/>
      <c r="HF12" s="1213"/>
      <c r="HG12" s="1213"/>
      <c r="HH12" s="1213"/>
      <c r="HI12" s="1213"/>
      <c r="HJ12" s="1213"/>
      <c r="HK12" s="1213"/>
      <c r="HL12" s="1213"/>
      <c r="HM12" s="1213"/>
      <c r="HN12" s="1213"/>
      <c r="HO12" s="1213"/>
      <c r="HP12" s="1213"/>
      <c r="HQ12" s="1213"/>
      <c r="HR12" s="1213"/>
      <c r="HS12" s="1213"/>
      <c r="HT12" s="1213"/>
      <c r="HU12" s="1213"/>
      <c r="HV12" s="1213"/>
      <c r="HW12" s="1213"/>
      <c r="HX12" s="1213"/>
      <c r="HY12" s="1213"/>
      <c r="HZ12" s="1213"/>
      <c r="IA12" s="1213"/>
      <c r="IB12" s="1213"/>
      <c r="IC12" s="1213"/>
      <c r="ID12" s="1213"/>
      <c r="IE12" s="1213"/>
      <c r="IF12" s="1213"/>
      <c r="IG12" s="1213"/>
      <c r="IH12" s="1213"/>
      <c r="II12" s="1213"/>
      <c r="IJ12" s="1213"/>
      <c r="IK12" s="1213"/>
      <c r="IL12" s="1213"/>
      <c r="IM12" s="1213"/>
      <c r="IN12" s="1213"/>
      <c r="IO12" s="1213"/>
      <c r="IP12" s="1213"/>
      <c r="IQ12" s="1213"/>
      <c r="IR12" s="1213"/>
      <c r="IS12" s="1213"/>
      <c r="IT12" s="1213"/>
    </row>
    <row r="13" spans="1:254" ht="133.5" customHeight="1" x14ac:dyDescent="0.25">
      <c r="A13" s="1265"/>
      <c r="B13" s="633"/>
      <c r="C13" s="633"/>
      <c r="D13" s="1266"/>
      <c r="E13" s="633"/>
      <c r="F13" s="633"/>
      <c r="G13" s="1266"/>
      <c r="H13" s="633"/>
      <c r="I13" s="633"/>
      <c r="J13" s="2809"/>
      <c r="K13" s="2832"/>
      <c r="L13" s="2832"/>
      <c r="M13" s="2809"/>
      <c r="N13" s="2803"/>
      <c r="O13" s="2804"/>
      <c r="P13" s="2796"/>
      <c r="Q13" s="2822"/>
      <c r="R13" s="2806"/>
      <c r="S13" s="2796"/>
      <c r="T13" s="2824"/>
      <c r="U13" s="2826"/>
      <c r="V13" s="1268">
        <f>0+359941904</f>
        <v>359941904</v>
      </c>
      <c r="W13" s="1269">
        <v>88</v>
      </c>
      <c r="X13" s="1270" t="s">
        <v>500</v>
      </c>
      <c r="Y13" s="2821"/>
      <c r="Z13" s="2812"/>
      <c r="AA13" s="2812"/>
      <c r="AB13" s="2812"/>
      <c r="AC13" s="2812"/>
      <c r="AD13" s="2812"/>
      <c r="AE13" s="2812"/>
      <c r="AF13" s="2812"/>
      <c r="AG13" s="2812"/>
      <c r="AH13" s="2812"/>
      <c r="AI13" s="2812"/>
      <c r="AJ13" s="2812"/>
      <c r="AK13" s="2812"/>
      <c r="AL13" s="2812"/>
      <c r="AM13" s="2812"/>
      <c r="AN13" s="2812"/>
      <c r="AO13" s="2815"/>
      <c r="AP13" s="2818"/>
      <c r="AQ13" s="2784"/>
      <c r="AR13" s="1213"/>
      <c r="AS13" s="1213"/>
      <c r="AT13" s="1213"/>
      <c r="AU13" s="1213"/>
      <c r="AV13" s="1213"/>
      <c r="AW13" s="1213"/>
      <c r="AX13" s="1213"/>
      <c r="AY13" s="1213"/>
      <c r="AZ13" s="1213"/>
      <c r="BA13" s="1213"/>
      <c r="BB13" s="1213"/>
      <c r="BC13" s="1213"/>
      <c r="BD13" s="1213"/>
      <c r="BE13" s="1213"/>
      <c r="BF13" s="1213"/>
      <c r="BG13" s="1213"/>
      <c r="BH13" s="1213"/>
      <c r="BI13" s="1213"/>
      <c r="BJ13" s="1213"/>
      <c r="BK13" s="1213"/>
      <c r="BL13" s="1213"/>
      <c r="BM13" s="1213"/>
      <c r="BN13" s="1213"/>
      <c r="BO13" s="1213"/>
      <c r="BP13" s="1213"/>
      <c r="BQ13" s="1213"/>
      <c r="BR13" s="1213"/>
      <c r="BS13" s="1213"/>
      <c r="BT13" s="1213"/>
      <c r="BU13" s="1213"/>
      <c r="BV13" s="1213"/>
      <c r="BW13" s="1213"/>
      <c r="BX13" s="1213"/>
      <c r="BY13" s="1213"/>
      <c r="BZ13" s="1213"/>
      <c r="CA13" s="1213"/>
      <c r="CB13" s="1213"/>
      <c r="CC13" s="1213"/>
      <c r="CD13" s="1213"/>
      <c r="CE13" s="1213"/>
      <c r="CF13" s="1213"/>
      <c r="CG13" s="1213"/>
      <c r="CH13" s="1213"/>
      <c r="CI13" s="1213"/>
      <c r="CJ13" s="1213"/>
      <c r="CK13" s="1213"/>
      <c r="CL13" s="1213"/>
      <c r="CM13" s="1213"/>
      <c r="CN13" s="1213"/>
      <c r="CO13" s="1213"/>
      <c r="CP13" s="1213"/>
      <c r="CQ13" s="1213"/>
      <c r="CR13" s="1213"/>
      <c r="CS13" s="1213"/>
      <c r="CT13" s="1213"/>
      <c r="CU13" s="1213"/>
      <c r="CV13" s="1213"/>
      <c r="CW13" s="1213"/>
      <c r="CX13" s="1213"/>
      <c r="CY13" s="1213"/>
      <c r="CZ13" s="1213"/>
      <c r="DA13" s="1213"/>
      <c r="DB13" s="1213"/>
      <c r="DC13" s="1213"/>
      <c r="DD13" s="1213"/>
      <c r="DE13" s="1213"/>
      <c r="DF13" s="1213"/>
      <c r="DG13" s="1213"/>
      <c r="DH13" s="1213"/>
      <c r="DI13" s="1213"/>
      <c r="DJ13" s="1213"/>
      <c r="DK13" s="1213"/>
      <c r="DL13" s="1213"/>
      <c r="DM13" s="1213"/>
      <c r="DN13" s="1213"/>
      <c r="DO13" s="1213"/>
      <c r="DP13" s="1213"/>
      <c r="DQ13" s="1213"/>
      <c r="DR13" s="1213"/>
      <c r="DS13" s="1213"/>
      <c r="DT13" s="1213"/>
      <c r="DU13" s="1213"/>
      <c r="DV13" s="1213"/>
      <c r="DW13" s="1213"/>
      <c r="DX13" s="1213"/>
      <c r="DY13" s="1213"/>
      <c r="DZ13" s="1213"/>
      <c r="EA13" s="1213"/>
      <c r="EB13" s="1213"/>
      <c r="EC13" s="1213"/>
      <c r="ED13" s="1213"/>
      <c r="EE13" s="1213"/>
      <c r="EF13" s="1213"/>
      <c r="EG13" s="1213"/>
      <c r="EH13" s="1213"/>
      <c r="EI13" s="1213"/>
      <c r="EJ13" s="1213"/>
      <c r="EK13" s="1213"/>
      <c r="EL13" s="1213"/>
      <c r="EM13" s="1213"/>
      <c r="EN13" s="1213"/>
      <c r="EO13" s="1213"/>
      <c r="EP13" s="1213"/>
      <c r="EQ13" s="1213"/>
      <c r="ER13" s="1213"/>
      <c r="ES13" s="1213"/>
      <c r="ET13" s="1213"/>
      <c r="EU13" s="1213"/>
      <c r="EV13" s="1213"/>
      <c r="EW13" s="1213"/>
      <c r="EX13" s="1213"/>
      <c r="EY13" s="1213"/>
      <c r="EZ13" s="1213"/>
      <c r="FA13" s="1213"/>
      <c r="FB13" s="1213"/>
      <c r="FC13" s="1213"/>
      <c r="FD13" s="1213"/>
      <c r="FE13" s="1213"/>
      <c r="FF13" s="1213"/>
      <c r="FG13" s="1213"/>
      <c r="FH13" s="1213"/>
      <c r="FI13" s="1213"/>
      <c r="FJ13" s="1213"/>
      <c r="FK13" s="1213"/>
      <c r="FL13" s="1213"/>
      <c r="FM13" s="1213"/>
      <c r="FN13" s="1213"/>
      <c r="FO13" s="1213"/>
      <c r="FP13" s="1213"/>
      <c r="FQ13" s="1213"/>
      <c r="FR13" s="1213"/>
      <c r="FS13" s="1213"/>
      <c r="FT13" s="1213"/>
      <c r="FU13" s="1213"/>
      <c r="FV13" s="1213"/>
      <c r="FW13" s="1213"/>
      <c r="FX13" s="1213"/>
      <c r="FY13" s="1213"/>
      <c r="FZ13" s="1213"/>
      <c r="GA13" s="1213"/>
      <c r="GB13" s="1213"/>
      <c r="GC13" s="1213"/>
      <c r="GD13" s="1213"/>
      <c r="GE13" s="1213"/>
      <c r="GF13" s="1213"/>
      <c r="GG13" s="1213"/>
      <c r="GH13" s="1213"/>
      <c r="GI13" s="1213"/>
      <c r="GJ13" s="1213"/>
      <c r="GK13" s="1213"/>
      <c r="GL13" s="1213"/>
      <c r="GM13" s="1213"/>
      <c r="GN13" s="1213"/>
      <c r="GO13" s="1213"/>
      <c r="GP13" s="1213"/>
      <c r="GQ13" s="1213"/>
      <c r="GR13" s="1213"/>
      <c r="GS13" s="1213"/>
      <c r="GT13" s="1213"/>
      <c r="GU13" s="1213"/>
      <c r="GV13" s="1213"/>
      <c r="GW13" s="1213"/>
      <c r="GX13" s="1213"/>
      <c r="GY13" s="1213"/>
      <c r="GZ13" s="1213"/>
      <c r="HA13" s="1213"/>
      <c r="HB13" s="1213"/>
      <c r="HC13" s="1213"/>
      <c r="HD13" s="1213"/>
      <c r="HE13" s="1213"/>
      <c r="HF13" s="1213"/>
      <c r="HG13" s="1213"/>
      <c r="HH13" s="1213"/>
      <c r="HI13" s="1213"/>
      <c r="HJ13" s="1213"/>
      <c r="HK13" s="1213"/>
      <c r="HL13" s="1213"/>
      <c r="HM13" s="1213"/>
      <c r="HN13" s="1213"/>
      <c r="HO13" s="1213"/>
      <c r="HP13" s="1213"/>
      <c r="HQ13" s="1213"/>
      <c r="HR13" s="1213"/>
      <c r="HS13" s="1213"/>
      <c r="HT13" s="1213"/>
      <c r="HU13" s="1213"/>
      <c r="HV13" s="1213"/>
      <c r="HW13" s="1213"/>
      <c r="HX13" s="1213"/>
      <c r="HY13" s="1213"/>
      <c r="HZ13" s="1213"/>
      <c r="IA13" s="1213"/>
      <c r="IB13" s="1213"/>
      <c r="IC13" s="1213"/>
      <c r="ID13" s="1213"/>
      <c r="IE13" s="1213"/>
      <c r="IF13" s="1213"/>
      <c r="IG13" s="1213"/>
      <c r="IH13" s="1213"/>
      <c r="II13" s="1213"/>
      <c r="IJ13" s="1213"/>
      <c r="IK13" s="1213"/>
      <c r="IL13" s="1213"/>
      <c r="IM13" s="1213"/>
      <c r="IN13" s="1213"/>
      <c r="IO13" s="1213"/>
      <c r="IP13" s="1213"/>
      <c r="IQ13" s="1213"/>
      <c r="IR13" s="1213"/>
      <c r="IS13" s="1213"/>
      <c r="IT13" s="1213"/>
    </row>
    <row r="14" spans="1:254" ht="133.5" customHeight="1" x14ac:dyDescent="0.25">
      <c r="A14" s="1265"/>
      <c r="B14" s="2802"/>
      <c r="C14" s="2802"/>
      <c r="D14" s="1266"/>
      <c r="E14" s="2802"/>
      <c r="F14" s="2802"/>
      <c r="G14" s="1266"/>
      <c r="H14" s="2802"/>
      <c r="I14" s="2802"/>
      <c r="J14" s="2785">
        <v>276</v>
      </c>
      <c r="K14" s="2810" t="s">
        <v>1148</v>
      </c>
      <c r="L14" s="2796" t="s">
        <v>1149</v>
      </c>
      <c r="M14" s="2807">
        <v>1</v>
      </c>
      <c r="N14" s="2803"/>
      <c r="O14" s="2804"/>
      <c r="P14" s="2796"/>
      <c r="Q14" s="2808">
        <f>+SUM(V14:V15)/R12</f>
        <v>0.18024175376541401</v>
      </c>
      <c r="R14" s="2806"/>
      <c r="S14" s="2796"/>
      <c r="T14" s="2796" t="s">
        <v>1150</v>
      </c>
      <c r="U14" s="2796" t="s">
        <v>1151</v>
      </c>
      <c r="V14" s="1271">
        <v>240000000</v>
      </c>
      <c r="W14" s="1269">
        <v>20</v>
      </c>
      <c r="X14" s="1270" t="s">
        <v>1146</v>
      </c>
      <c r="Y14" s="2821"/>
      <c r="Z14" s="2812"/>
      <c r="AA14" s="2812"/>
      <c r="AB14" s="2812"/>
      <c r="AC14" s="2812"/>
      <c r="AD14" s="2812"/>
      <c r="AE14" s="2812"/>
      <c r="AF14" s="2812"/>
      <c r="AG14" s="2812"/>
      <c r="AH14" s="2812"/>
      <c r="AI14" s="2812"/>
      <c r="AJ14" s="2812"/>
      <c r="AK14" s="2812"/>
      <c r="AL14" s="2812"/>
      <c r="AM14" s="2812"/>
      <c r="AN14" s="2812"/>
      <c r="AO14" s="2815"/>
      <c r="AP14" s="2818"/>
      <c r="AQ14" s="2784"/>
      <c r="AR14" s="1213"/>
      <c r="AS14" s="1213"/>
      <c r="AT14" s="1213"/>
      <c r="AU14" s="1213"/>
      <c r="AV14" s="1213"/>
      <c r="AW14" s="1213"/>
      <c r="AX14" s="1213"/>
      <c r="AY14" s="1213"/>
      <c r="AZ14" s="1213"/>
      <c r="BA14" s="1213"/>
      <c r="BB14" s="1213"/>
      <c r="BC14" s="1213"/>
      <c r="BD14" s="1213"/>
      <c r="BE14" s="1213"/>
      <c r="BF14" s="1213"/>
      <c r="BG14" s="1213"/>
      <c r="BH14" s="1213"/>
      <c r="BI14" s="1213"/>
      <c r="BJ14" s="1213"/>
      <c r="BK14" s="1213"/>
      <c r="BL14" s="1213"/>
      <c r="BM14" s="1213"/>
      <c r="BN14" s="1213"/>
      <c r="BO14" s="1213"/>
      <c r="BP14" s="1213"/>
      <c r="BQ14" s="1213"/>
      <c r="BR14" s="1213"/>
      <c r="BS14" s="1213"/>
      <c r="BT14" s="1213"/>
      <c r="BU14" s="1213"/>
      <c r="BV14" s="1213"/>
      <c r="BW14" s="1213"/>
      <c r="BX14" s="1213"/>
      <c r="BY14" s="1213"/>
      <c r="BZ14" s="1213"/>
      <c r="CA14" s="1213"/>
      <c r="CB14" s="1213"/>
      <c r="CC14" s="1213"/>
      <c r="CD14" s="1213"/>
      <c r="CE14" s="1213"/>
      <c r="CF14" s="1213"/>
      <c r="CG14" s="1213"/>
      <c r="CH14" s="1213"/>
      <c r="CI14" s="1213"/>
      <c r="CJ14" s="1213"/>
      <c r="CK14" s="1213"/>
      <c r="CL14" s="1213"/>
      <c r="CM14" s="1213"/>
      <c r="CN14" s="1213"/>
      <c r="CO14" s="1213"/>
      <c r="CP14" s="1213"/>
      <c r="CQ14" s="1213"/>
      <c r="CR14" s="1213"/>
      <c r="CS14" s="1213"/>
      <c r="CT14" s="1213"/>
      <c r="CU14" s="1213"/>
      <c r="CV14" s="1213"/>
      <c r="CW14" s="1213"/>
      <c r="CX14" s="1213"/>
      <c r="CY14" s="1213"/>
      <c r="CZ14" s="1213"/>
      <c r="DA14" s="1213"/>
      <c r="DB14" s="1213"/>
      <c r="DC14" s="1213"/>
      <c r="DD14" s="1213"/>
      <c r="DE14" s="1213"/>
      <c r="DF14" s="1213"/>
      <c r="DG14" s="1213"/>
      <c r="DH14" s="1213"/>
      <c r="DI14" s="1213"/>
      <c r="DJ14" s="1213"/>
      <c r="DK14" s="1213"/>
      <c r="DL14" s="1213"/>
      <c r="DM14" s="1213"/>
      <c r="DN14" s="1213"/>
      <c r="DO14" s="1213"/>
      <c r="DP14" s="1213"/>
      <c r="DQ14" s="1213"/>
      <c r="DR14" s="1213"/>
      <c r="DS14" s="1213"/>
      <c r="DT14" s="1213"/>
      <c r="DU14" s="1213"/>
      <c r="DV14" s="1213"/>
      <c r="DW14" s="1213"/>
      <c r="DX14" s="1213"/>
      <c r="DY14" s="1213"/>
      <c r="DZ14" s="1213"/>
      <c r="EA14" s="1213"/>
      <c r="EB14" s="1213"/>
      <c r="EC14" s="1213"/>
      <c r="ED14" s="1213"/>
      <c r="EE14" s="1213"/>
      <c r="EF14" s="1213"/>
      <c r="EG14" s="1213"/>
      <c r="EH14" s="1213"/>
      <c r="EI14" s="1213"/>
      <c r="EJ14" s="1213"/>
      <c r="EK14" s="1213"/>
      <c r="EL14" s="1213"/>
      <c r="EM14" s="1213"/>
      <c r="EN14" s="1213"/>
      <c r="EO14" s="1213"/>
      <c r="EP14" s="1213"/>
      <c r="EQ14" s="1213"/>
      <c r="ER14" s="1213"/>
      <c r="ES14" s="1213"/>
      <c r="ET14" s="1213"/>
      <c r="EU14" s="1213"/>
      <c r="EV14" s="1213"/>
      <c r="EW14" s="1213"/>
      <c r="EX14" s="1213"/>
      <c r="EY14" s="1213"/>
      <c r="EZ14" s="1213"/>
      <c r="FA14" s="1213"/>
      <c r="FB14" s="1213"/>
      <c r="FC14" s="1213"/>
      <c r="FD14" s="1213"/>
      <c r="FE14" s="1213"/>
      <c r="FF14" s="1213"/>
      <c r="FG14" s="1213"/>
      <c r="FH14" s="1213"/>
      <c r="FI14" s="1213"/>
      <c r="FJ14" s="1213"/>
      <c r="FK14" s="1213"/>
      <c r="FL14" s="1213"/>
      <c r="FM14" s="1213"/>
      <c r="FN14" s="1213"/>
      <c r="FO14" s="1213"/>
      <c r="FP14" s="1213"/>
      <c r="FQ14" s="1213"/>
      <c r="FR14" s="1213"/>
      <c r="FS14" s="1213"/>
      <c r="FT14" s="1213"/>
      <c r="FU14" s="1213"/>
      <c r="FV14" s="1213"/>
      <c r="FW14" s="1213"/>
      <c r="FX14" s="1213"/>
      <c r="FY14" s="1213"/>
      <c r="FZ14" s="1213"/>
      <c r="GA14" s="1213"/>
      <c r="GB14" s="1213"/>
      <c r="GC14" s="1213"/>
      <c r="GD14" s="1213"/>
      <c r="GE14" s="1213"/>
      <c r="GF14" s="1213"/>
      <c r="GG14" s="1213"/>
      <c r="GH14" s="1213"/>
      <c r="GI14" s="1213"/>
      <c r="GJ14" s="1213"/>
      <c r="GK14" s="1213"/>
      <c r="GL14" s="1213"/>
      <c r="GM14" s="1213"/>
      <c r="GN14" s="1213"/>
      <c r="GO14" s="1213"/>
      <c r="GP14" s="1213"/>
      <c r="GQ14" s="1213"/>
      <c r="GR14" s="1213"/>
      <c r="GS14" s="1213"/>
      <c r="GT14" s="1213"/>
      <c r="GU14" s="1213"/>
      <c r="GV14" s="1213"/>
      <c r="GW14" s="1213"/>
      <c r="GX14" s="1213"/>
      <c r="GY14" s="1213"/>
      <c r="GZ14" s="1213"/>
      <c r="HA14" s="1213"/>
      <c r="HB14" s="1213"/>
      <c r="HC14" s="1213"/>
      <c r="HD14" s="1213"/>
      <c r="HE14" s="1213"/>
      <c r="HF14" s="1213"/>
      <c r="HG14" s="1213"/>
      <c r="HH14" s="1213"/>
      <c r="HI14" s="1213"/>
      <c r="HJ14" s="1213"/>
      <c r="HK14" s="1213"/>
      <c r="HL14" s="1213"/>
      <c r="HM14" s="1213"/>
      <c r="HN14" s="1213"/>
      <c r="HO14" s="1213"/>
      <c r="HP14" s="1213"/>
      <c r="HQ14" s="1213"/>
      <c r="HR14" s="1213"/>
      <c r="HS14" s="1213"/>
      <c r="HT14" s="1213"/>
      <c r="HU14" s="1213"/>
      <c r="HV14" s="1213"/>
      <c r="HW14" s="1213"/>
      <c r="HX14" s="1213"/>
      <c r="HY14" s="1213"/>
      <c r="HZ14" s="1213"/>
      <c r="IA14" s="1213"/>
      <c r="IB14" s="1213"/>
      <c r="IC14" s="1213"/>
      <c r="ID14" s="1213"/>
      <c r="IE14" s="1213"/>
      <c r="IF14" s="1213"/>
      <c r="IG14" s="1213"/>
      <c r="IH14" s="1213"/>
      <c r="II14" s="1213"/>
      <c r="IJ14" s="1213"/>
      <c r="IK14" s="1213"/>
      <c r="IL14" s="1213"/>
      <c r="IM14" s="1213"/>
      <c r="IN14" s="1213"/>
      <c r="IO14" s="1213"/>
      <c r="IP14" s="1213"/>
      <c r="IQ14" s="1213"/>
      <c r="IR14" s="1213"/>
      <c r="IS14" s="1213"/>
      <c r="IT14" s="1213"/>
    </row>
    <row r="15" spans="1:254" ht="133.5" customHeight="1" x14ac:dyDescent="0.25">
      <c r="A15" s="1265"/>
      <c r="B15" s="633"/>
      <c r="C15" s="633"/>
      <c r="D15" s="1266"/>
      <c r="E15" s="633"/>
      <c r="F15" s="633"/>
      <c r="G15" s="1266"/>
      <c r="H15" s="633"/>
      <c r="I15" s="633"/>
      <c r="J15" s="2809"/>
      <c r="K15" s="2810"/>
      <c r="L15" s="2796"/>
      <c r="M15" s="2807"/>
      <c r="N15" s="2803"/>
      <c r="O15" s="2804"/>
      <c r="P15" s="2796"/>
      <c r="Q15" s="2808"/>
      <c r="R15" s="2806"/>
      <c r="S15" s="2796"/>
      <c r="T15" s="2796"/>
      <c r="U15" s="2796"/>
      <c r="V15" s="1271">
        <f>0+103531048</f>
        <v>103531048</v>
      </c>
      <c r="W15" s="1269">
        <v>88</v>
      </c>
      <c r="X15" s="1270" t="s">
        <v>500</v>
      </c>
      <c r="Y15" s="2821"/>
      <c r="Z15" s="2812"/>
      <c r="AA15" s="2812"/>
      <c r="AB15" s="2812"/>
      <c r="AC15" s="2812"/>
      <c r="AD15" s="2812"/>
      <c r="AE15" s="2812"/>
      <c r="AF15" s="2812"/>
      <c r="AG15" s="2812"/>
      <c r="AH15" s="2812"/>
      <c r="AI15" s="2812"/>
      <c r="AJ15" s="2812"/>
      <c r="AK15" s="2812"/>
      <c r="AL15" s="2812"/>
      <c r="AM15" s="2812"/>
      <c r="AN15" s="2812"/>
      <c r="AO15" s="2815"/>
      <c r="AP15" s="2818"/>
      <c r="AQ15" s="2784"/>
      <c r="AR15" s="1213"/>
      <c r="AS15" s="1213"/>
      <c r="AT15" s="1213"/>
      <c r="AU15" s="1213"/>
      <c r="AV15" s="1213"/>
      <c r="AW15" s="1213"/>
      <c r="AX15" s="1213"/>
      <c r="AY15" s="1213"/>
      <c r="AZ15" s="1213"/>
      <c r="BA15" s="1213"/>
      <c r="BB15" s="1213"/>
      <c r="BC15" s="1213"/>
      <c r="BD15" s="1213"/>
      <c r="BE15" s="1213"/>
      <c r="BF15" s="1213"/>
      <c r="BG15" s="1213"/>
      <c r="BH15" s="1213"/>
      <c r="BI15" s="1213"/>
      <c r="BJ15" s="1213"/>
      <c r="BK15" s="1213"/>
      <c r="BL15" s="1213"/>
      <c r="BM15" s="1213"/>
      <c r="BN15" s="1213"/>
      <c r="BO15" s="1213"/>
      <c r="BP15" s="1213"/>
      <c r="BQ15" s="1213"/>
      <c r="BR15" s="1213"/>
      <c r="BS15" s="1213"/>
      <c r="BT15" s="1213"/>
      <c r="BU15" s="1213"/>
      <c r="BV15" s="1213"/>
      <c r="BW15" s="1213"/>
      <c r="BX15" s="1213"/>
      <c r="BY15" s="1213"/>
      <c r="BZ15" s="1213"/>
      <c r="CA15" s="1213"/>
      <c r="CB15" s="1213"/>
      <c r="CC15" s="1213"/>
      <c r="CD15" s="1213"/>
      <c r="CE15" s="1213"/>
      <c r="CF15" s="1213"/>
      <c r="CG15" s="1213"/>
      <c r="CH15" s="1213"/>
      <c r="CI15" s="1213"/>
      <c r="CJ15" s="1213"/>
      <c r="CK15" s="1213"/>
      <c r="CL15" s="1213"/>
      <c r="CM15" s="1213"/>
      <c r="CN15" s="1213"/>
      <c r="CO15" s="1213"/>
      <c r="CP15" s="1213"/>
      <c r="CQ15" s="1213"/>
      <c r="CR15" s="1213"/>
      <c r="CS15" s="1213"/>
      <c r="CT15" s="1213"/>
      <c r="CU15" s="1213"/>
      <c r="CV15" s="1213"/>
      <c r="CW15" s="1213"/>
      <c r="CX15" s="1213"/>
      <c r="CY15" s="1213"/>
      <c r="CZ15" s="1213"/>
      <c r="DA15" s="1213"/>
      <c r="DB15" s="1213"/>
      <c r="DC15" s="1213"/>
      <c r="DD15" s="1213"/>
      <c r="DE15" s="1213"/>
      <c r="DF15" s="1213"/>
      <c r="DG15" s="1213"/>
      <c r="DH15" s="1213"/>
      <c r="DI15" s="1213"/>
      <c r="DJ15" s="1213"/>
      <c r="DK15" s="1213"/>
      <c r="DL15" s="1213"/>
      <c r="DM15" s="1213"/>
      <c r="DN15" s="1213"/>
      <c r="DO15" s="1213"/>
      <c r="DP15" s="1213"/>
      <c r="DQ15" s="1213"/>
      <c r="DR15" s="1213"/>
      <c r="DS15" s="1213"/>
      <c r="DT15" s="1213"/>
      <c r="DU15" s="1213"/>
      <c r="DV15" s="1213"/>
      <c r="DW15" s="1213"/>
      <c r="DX15" s="1213"/>
      <c r="DY15" s="1213"/>
      <c r="DZ15" s="1213"/>
      <c r="EA15" s="1213"/>
      <c r="EB15" s="1213"/>
      <c r="EC15" s="1213"/>
      <c r="ED15" s="1213"/>
      <c r="EE15" s="1213"/>
      <c r="EF15" s="1213"/>
      <c r="EG15" s="1213"/>
      <c r="EH15" s="1213"/>
      <c r="EI15" s="1213"/>
      <c r="EJ15" s="1213"/>
      <c r="EK15" s="1213"/>
      <c r="EL15" s="1213"/>
      <c r="EM15" s="1213"/>
      <c r="EN15" s="1213"/>
      <c r="EO15" s="1213"/>
      <c r="EP15" s="1213"/>
      <c r="EQ15" s="1213"/>
      <c r="ER15" s="1213"/>
      <c r="ES15" s="1213"/>
      <c r="ET15" s="1213"/>
      <c r="EU15" s="1213"/>
      <c r="EV15" s="1213"/>
      <c r="EW15" s="1213"/>
      <c r="EX15" s="1213"/>
      <c r="EY15" s="1213"/>
      <c r="EZ15" s="1213"/>
      <c r="FA15" s="1213"/>
      <c r="FB15" s="1213"/>
      <c r="FC15" s="1213"/>
      <c r="FD15" s="1213"/>
      <c r="FE15" s="1213"/>
      <c r="FF15" s="1213"/>
      <c r="FG15" s="1213"/>
      <c r="FH15" s="1213"/>
      <c r="FI15" s="1213"/>
      <c r="FJ15" s="1213"/>
      <c r="FK15" s="1213"/>
      <c r="FL15" s="1213"/>
      <c r="FM15" s="1213"/>
      <c r="FN15" s="1213"/>
      <c r="FO15" s="1213"/>
      <c r="FP15" s="1213"/>
      <c r="FQ15" s="1213"/>
      <c r="FR15" s="1213"/>
      <c r="FS15" s="1213"/>
      <c r="FT15" s="1213"/>
      <c r="FU15" s="1213"/>
      <c r="FV15" s="1213"/>
      <c r="FW15" s="1213"/>
      <c r="FX15" s="1213"/>
      <c r="FY15" s="1213"/>
      <c r="FZ15" s="1213"/>
      <c r="GA15" s="1213"/>
      <c r="GB15" s="1213"/>
      <c r="GC15" s="1213"/>
      <c r="GD15" s="1213"/>
      <c r="GE15" s="1213"/>
      <c r="GF15" s="1213"/>
      <c r="GG15" s="1213"/>
      <c r="GH15" s="1213"/>
      <c r="GI15" s="1213"/>
      <c r="GJ15" s="1213"/>
      <c r="GK15" s="1213"/>
      <c r="GL15" s="1213"/>
      <c r="GM15" s="1213"/>
      <c r="GN15" s="1213"/>
      <c r="GO15" s="1213"/>
      <c r="GP15" s="1213"/>
      <c r="GQ15" s="1213"/>
      <c r="GR15" s="1213"/>
      <c r="GS15" s="1213"/>
      <c r="GT15" s="1213"/>
      <c r="GU15" s="1213"/>
      <c r="GV15" s="1213"/>
      <c r="GW15" s="1213"/>
      <c r="GX15" s="1213"/>
      <c r="GY15" s="1213"/>
      <c r="GZ15" s="1213"/>
      <c r="HA15" s="1213"/>
      <c r="HB15" s="1213"/>
      <c r="HC15" s="1213"/>
      <c r="HD15" s="1213"/>
      <c r="HE15" s="1213"/>
      <c r="HF15" s="1213"/>
      <c r="HG15" s="1213"/>
      <c r="HH15" s="1213"/>
      <c r="HI15" s="1213"/>
      <c r="HJ15" s="1213"/>
      <c r="HK15" s="1213"/>
      <c r="HL15" s="1213"/>
      <c r="HM15" s="1213"/>
      <c r="HN15" s="1213"/>
      <c r="HO15" s="1213"/>
      <c r="HP15" s="1213"/>
      <c r="HQ15" s="1213"/>
      <c r="HR15" s="1213"/>
      <c r="HS15" s="1213"/>
      <c r="HT15" s="1213"/>
      <c r="HU15" s="1213"/>
      <c r="HV15" s="1213"/>
      <c r="HW15" s="1213"/>
      <c r="HX15" s="1213"/>
      <c r="HY15" s="1213"/>
      <c r="HZ15" s="1213"/>
      <c r="IA15" s="1213"/>
      <c r="IB15" s="1213"/>
      <c r="IC15" s="1213"/>
      <c r="ID15" s="1213"/>
      <c r="IE15" s="1213"/>
      <c r="IF15" s="1213"/>
      <c r="IG15" s="1213"/>
      <c r="IH15" s="1213"/>
      <c r="II15" s="1213"/>
      <c r="IJ15" s="1213"/>
      <c r="IK15" s="1213"/>
      <c r="IL15" s="1213"/>
      <c r="IM15" s="1213"/>
      <c r="IN15" s="1213"/>
      <c r="IO15" s="1213"/>
      <c r="IP15" s="1213"/>
      <c r="IQ15" s="1213"/>
      <c r="IR15" s="1213"/>
      <c r="IS15" s="1213"/>
      <c r="IT15" s="1213"/>
    </row>
    <row r="16" spans="1:254" ht="133.5" customHeight="1" x14ac:dyDescent="0.25">
      <c r="A16" s="1265"/>
      <c r="B16" s="633"/>
      <c r="C16" s="633"/>
      <c r="D16" s="1266"/>
      <c r="E16" s="633"/>
      <c r="F16" s="633"/>
      <c r="G16" s="1266"/>
      <c r="H16" s="633"/>
      <c r="I16" s="633"/>
      <c r="J16" s="2803">
        <v>277</v>
      </c>
      <c r="K16" s="2796" t="s">
        <v>1152</v>
      </c>
      <c r="L16" s="2796" t="s">
        <v>1153</v>
      </c>
      <c r="M16" s="2807">
        <v>1</v>
      </c>
      <c r="N16" s="2803"/>
      <c r="O16" s="2804"/>
      <c r="P16" s="2796"/>
      <c r="Q16" s="2808">
        <f>+V16/R12</f>
        <v>0.13116845974676938</v>
      </c>
      <c r="R16" s="2806"/>
      <c r="S16" s="2796"/>
      <c r="T16" s="2796" t="s">
        <v>1154</v>
      </c>
      <c r="U16" s="2796" t="s">
        <v>1155</v>
      </c>
      <c r="V16" s="2799">
        <v>250000000</v>
      </c>
      <c r="W16" s="2800">
        <v>56</v>
      </c>
      <c r="X16" s="2801" t="s">
        <v>1156</v>
      </c>
      <c r="Y16" s="2812"/>
      <c r="Z16" s="2812"/>
      <c r="AA16" s="2812"/>
      <c r="AB16" s="2812"/>
      <c r="AC16" s="2812"/>
      <c r="AD16" s="2812"/>
      <c r="AE16" s="2812"/>
      <c r="AF16" s="2812"/>
      <c r="AG16" s="2812"/>
      <c r="AH16" s="2812"/>
      <c r="AI16" s="2812"/>
      <c r="AJ16" s="2812"/>
      <c r="AK16" s="2812"/>
      <c r="AL16" s="2812"/>
      <c r="AM16" s="2812"/>
      <c r="AN16" s="2812"/>
      <c r="AO16" s="2815"/>
      <c r="AP16" s="2818"/>
      <c r="AQ16" s="2784"/>
      <c r="AR16" s="1213"/>
      <c r="AS16" s="1213"/>
      <c r="AT16" s="1213"/>
      <c r="AU16" s="1213"/>
      <c r="AV16" s="1213"/>
      <c r="AW16" s="1213"/>
      <c r="AX16" s="1213"/>
      <c r="AY16" s="1213"/>
      <c r="AZ16" s="1213"/>
      <c r="BA16" s="1213"/>
      <c r="BB16" s="1213"/>
      <c r="BC16" s="1213"/>
      <c r="BD16" s="1213"/>
      <c r="BE16" s="1213"/>
      <c r="BF16" s="1213"/>
      <c r="BG16" s="1213"/>
      <c r="BH16" s="1213"/>
      <c r="BI16" s="1213"/>
      <c r="BJ16" s="1213"/>
      <c r="BK16" s="1213"/>
      <c r="BL16" s="1213"/>
      <c r="BM16" s="1213"/>
      <c r="BN16" s="1213"/>
      <c r="BO16" s="1213"/>
      <c r="BP16" s="1213"/>
      <c r="BQ16" s="1213"/>
      <c r="BR16" s="1213"/>
      <c r="BS16" s="1213"/>
      <c r="BT16" s="1213"/>
      <c r="BU16" s="1213"/>
      <c r="BV16" s="1213"/>
      <c r="BW16" s="1213"/>
      <c r="BX16" s="1213"/>
      <c r="BY16" s="1213"/>
      <c r="BZ16" s="1213"/>
      <c r="CA16" s="1213"/>
      <c r="CB16" s="1213"/>
      <c r="CC16" s="1213"/>
      <c r="CD16" s="1213"/>
      <c r="CE16" s="1213"/>
      <c r="CF16" s="1213"/>
      <c r="CG16" s="1213"/>
      <c r="CH16" s="1213"/>
      <c r="CI16" s="1213"/>
      <c r="CJ16" s="1213"/>
      <c r="CK16" s="1213"/>
      <c r="CL16" s="1213"/>
      <c r="CM16" s="1213"/>
      <c r="CN16" s="1213"/>
      <c r="CO16" s="1213"/>
      <c r="CP16" s="1213"/>
      <c r="CQ16" s="1213"/>
      <c r="CR16" s="1213"/>
      <c r="CS16" s="1213"/>
      <c r="CT16" s="1213"/>
      <c r="CU16" s="1213"/>
      <c r="CV16" s="1213"/>
      <c r="CW16" s="1213"/>
      <c r="CX16" s="1213"/>
      <c r="CY16" s="1213"/>
      <c r="CZ16" s="1213"/>
      <c r="DA16" s="1213"/>
      <c r="DB16" s="1213"/>
      <c r="DC16" s="1213"/>
      <c r="DD16" s="1213"/>
      <c r="DE16" s="1213"/>
      <c r="DF16" s="1213"/>
      <c r="DG16" s="1213"/>
      <c r="DH16" s="1213"/>
      <c r="DI16" s="1213"/>
      <c r="DJ16" s="1213"/>
      <c r="DK16" s="1213"/>
      <c r="DL16" s="1213"/>
      <c r="DM16" s="1213"/>
      <c r="DN16" s="1213"/>
      <c r="DO16" s="1213"/>
      <c r="DP16" s="1213"/>
      <c r="DQ16" s="1213"/>
      <c r="DR16" s="1213"/>
      <c r="DS16" s="1213"/>
      <c r="DT16" s="1213"/>
      <c r="DU16" s="1213"/>
      <c r="DV16" s="1213"/>
      <c r="DW16" s="1213"/>
      <c r="DX16" s="1213"/>
      <c r="DY16" s="1213"/>
      <c r="DZ16" s="1213"/>
      <c r="EA16" s="1213"/>
      <c r="EB16" s="1213"/>
      <c r="EC16" s="1213"/>
      <c r="ED16" s="1213"/>
      <c r="EE16" s="1213"/>
      <c r="EF16" s="1213"/>
      <c r="EG16" s="1213"/>
      <c r="EH16" s="1213"/>
      <c r="EI16" s="1213"/>
      <c r="EJ16" s="1213"/>
      <c r="EK16" s="1213"/>
      <c r="EL16" s="1213"/>
      <c r="EM16" s="1213"/>
      <c r="EN16" s="1213"/>
      <c r="EO16" s="1213"/>
      <c r="EP16" s="1213"/>
      <c r="EQ16" s="1213"/>
      <c r="ER16" s="1213"/>
      <c r="ES16" s="1213"/>
      <c r="ET16" s="1213"/>
      <c r="EU16" s="1213"/>
      <c r="EV16" s="1213"/>
      <c r="EW16" s="1213"/>
      <c r="EX16" s="1213"/>
      <c r="EY16" s="1213"/>
      <c r="EZ16" s="1213"/>
      <c r="FA16" s="1213"/>
      <c r="FB16" s="1213"/>
      <c r="FC16" s="1213"/>
      <c r="FD16" s="1213"/>
      <c r="FE16" s="1213"/>
      <c r="FF16" s="1213"/>
      <c r="FG16" s="1213"/>
      <c r="FH16" s="1213"/>
      <c r="FI16" s="1213"/>
      <c r="FJ16" s="1213"/>
      <c r="FK16" s="1213"/>
      <c r="FL16" s="1213"/>
      <c r="FM16" s="1213"/>
      <c r="FN16" s="1213"/>
      <c r="FO16" s="1213"/>
      <c r="FP16" s="1213"/>
      <c r="FQ16" s="1213"/>
      <c r="FR16" s="1213"/>
      <c r="FS16" s="1213"/>
      <c r="FT16" s="1213"/>
      <c r="FU16" s="1213"/>
      <c r="FV16" s="1213"/>
      <c r="FW16" s="1213"/>
      <c r="FX16" s="1213"/>
      <c r="FY16" s="1213"/>
      <c r="FZ16" s="1213"/>
      <c r="GA16" s="1213"/>
      <c r="GB16" s="1213"/>
      <c r="GC16" s="1213"/>
      <c r="GD16" s="1213"/>
      <c r="GE16" s="1213"/>
      <c r="GF16" s="1213"/>
      <c r="GG16" s="1213"/>
      <c r="GH16" s="1213"/>
      <c r="GI16" s="1213"/>
      <c r="GJ16" s="1213"/>
      <c r="GK16" s="1213"/>
      <c r="GL16" s="1213"/>
      <c r="GM16" s="1213"/>
      <c r="GN16" s="1213"/>
      <c r="GO16" s="1213"/>
      <c r="GP16" s="1213"/>
      <c r="GQ16" s="1213"/>
      <c r="GR16" s="1213"/>
      <c r="GS16" s="1213"/>
      <c r="GT16" s="1213"/>
      <c r="GU16" s="1213"/>
      <c r="GV16" s="1213"/>
      <c r="GW16" s="1213"/>
      <c r="GX16" s="1213"/>
      <c r="GY16" s="1213"/>
      <c r="GZ16" s="1213"/>
      <c r="HA16" s="1213"/>
      <c r="HB16" s="1213"/>
      <c r="HC16" s="1213"/>
      <c r="HD16" s="1213"/>
      <c r="HE16" s="1213"/>
      <c r="HF16" s="1213"/>
      <c r="HG16" s="1213"/>
      <c r="HH16" s="1213"/>
      <c r="HI16" s="1213"/>
      <c r="HJ16" s="1213"/>
      <c r="HK16" s="1213"/>
      <c r="HL16" s="1213"/>
      <c r="HM16" s="1213"/>
      <c r="HN16" s="1213"/>
      <c r="HO16" s="1213"/>
      <c r="HP16" s="1213"/>
      <c r="HQ16" s="1213"/>
      <c r="HR16" s="1213"/>
      <c r="HS16" s="1213"/>
      <c r="HT16" s="1213"/>
      <c r="HU16" s="1213"/>
      <c r="HV16" s="1213"/>
      <c r="HW16" s="1213"/>
      <c r="HX16" s="1213"/>
      <c r="HY16" s="1213"/>
      <c r="HZ16" s="1213"/>
      <c r="IA16" s="1213"/>
      <c r="IB16" s="1213"/>
      <c r="IC16" s="1213"/>
      <c r="ID16" s="1213"/>
      <c r="IE16" s="1213"/>
      <c r="IF16" s="1213"/>
      <c r="IG16" s="1213"/>
      <c r="IH16" s="1213"/>
      <c r="II16" s="1213"/>
      <c r="IJ16" s="1213"/>
      <c r="IK16" s="1213"/>
      <c r="IL16" s="1213"/>
      <c r="IM16" s="1213"/>
      <c r="IN16" s="1213"/>
      <c r="IO16" s="1213"/>
      <c r="IP16" s="1213"/>
      <c r="IQ16" s="1213"/>
      <c r="IR16" s="1213"/>
      <c r="IS16" s="1213"/>
      <c r="IT16" s="1213"/>
    </row>
    <row r="17" spans="1:254" ht="133.5" customHeight="1" x14ac:dyDescent="0.25">
      <c r="A17" s="1265"/>
      <c r="B17" s="633"/>
      <c r="C17" s="633"/>
      <c r="D17" s="1266"/>
      <c r="E17" s="633"/>
      <c r="F17" s="633"/>
      <c r="G17" s="1266"/>
      <c r="H17" s="633"/>
      <c r="I17" s="633"/>
      <c r="J17" s="2803"/>
      <c r="K17" s="2796"/>
      <c r="L17" s="2796"/>
      <c r="M17" s="2807"/>
      <c r="N17" s="2803"/>
      <c r="O17" s="2804"/>
      <c r="P17" s="2796"/>
      <c r="Q17" s="2808"/>
      <c r="R17" s="2806"/>
      <c r="S17" s="2796"/>
      <c r="T17" s="2796"/>
      <c r="U17" s="2796"/>
      <c r="V17" s="2799"/>
      <c r="W17" s="2800"/>
      <c r="X17" s="2801"/>
      <c r="Y17" s="2812"/>
      <c r="Z17" s="2812"/>
      <c r="AA17" s="2812"/>
      <c r="AB17" s="2812"/>
      <c r="AC17" s="2812"/>
      <c r="AD17" s="2812"/>
      <c r="AE17" s="2812"/>
      <c r="AF17" s="2812"/>
      <c r="AG17" s="2812"/>
      <c r="AH17" s="2812"/>
      <c r="AI17" s="2812"/>
      <c r="AJ17" s="2812"/>
      <c r="AK17" s="2812"/>
      <c r="AL17" s="2812"/>
      <c r="AM17" s="2812"/>
      <c r="AN17" s="2812"/>
      <c r="AO17" s="2815"/>
      <c r="AP17" s="2818"/>
      <c r="AQ17" s="2784"/>
      <c r="AR17" s="1213"/>
      <c r="AS17" s="1213"/>
      <c r="AT17" s="1213"/>
      <c r="AU17" s="1213"/>
      <c r="AV17" s="1213"/>
      <c r="AW17" s="1213"/>
      <c r="AX17" s="1213"/>
      <c r="AY17" s="1213"/>
      <c r="AZ17" s="1213"/>
      <c r="BA17" s="1213"/>
      <c r="BB17" s="1213"/>
      <c r="BC17" s="1213"/>
      <c r="BD17" s="1213"/>
      <c r="BE17" s="1213"/>
      <c r="BF17" s="1213"/>
      <c r="BG17" s="1213"/>
      <c r="BH17" s="1213"/>
      <c r="BI17" s="1213"/>
      <c r="BJ17" s="1213"/>
      <c r="BK17" s="1213"/>
      <c r="BL17" s="1213"/>
      <c r="BM17" s="1213"/>
      <c r="BN17" s="1213"/>
      <c r="BO17" s="1213"/>
      <c r="BP17" s="1213"/>
      <c r="BQ17" s="1213"/>
      <c r="BR17" s="1213"/>
      <c r="BS17" s="1213"/>
      <c r="BT17" s="1213"/>
      <c r="BU17" s="1213"/>
      <c r="BV17" s="1213"/>
      <c r="BW17" s="1213"/>
      <c r="BX17" s="1213"/>
      <c r="BY17" s="1213"/>
      <c r="BZ17" s="1213"/>
      <c r="CA17" s="1213"/>
      <c r="CB17" s="1213"/>
      <c r="CC17" s="1213"/>
      <c r="CD17" s="1213"/>
      <c r="CE17" s="1213"/>
      <c r="CF17" s="1213"/>
      <c r="CG17" s="1213"/>
      <c r="CH17" s="1213"/>
      <c r="CI17" s="1213"/>
      <c r="CJ17" s="1213"/>
      <c r="CK17" s="1213"/>
      <c r="CL17" s="1213"/>
      <c r="CM17" s="1213"/>
      <c r="CN17" s="1213"/>
      <c r="CO17" s="1213"/>
      <c r="CP17" s="1213"/>
      <c r="CQ17" s="1213"/>
      <c r="CR17" s="1213"/>
      <c r="CS17" s="1213"/>
      <c r="CT17" s="1213"/>
      <c r="CU17" s="1213"/>
      <c r="CV17" s="1213"/>
      <c r="CW17" s="1213"/>
      <c r="CX17" s="1213"/>
      <c r="CY17" s="1213"/>
      <c r="CZ17" s="1213"/>
      <c r="DA17" s="1213"/>
      <c r="DB17" s="1213"/>
      <c r="DC17" s="1213"/>
      <c r="DD17" s="1213"/>
      <c r="DE17" s="1213"/>
      <c r="DF17" s="1213"/>
      <c r="DG17" s="1213"/>
      <c r="DH17" s="1213"/>
      <c r="DI17" s="1213"/>
      <c r="DJ17" s="1213"/>
      <c r="DK17" s="1213"/>
      <c r="DL17" s="1213"/>
      <c r="DM17" s="1213"/>
      <c r="DN17" s="1213"/>
      <c r="DO17" s="1213"/>
      <c r="DP17" s="1213"/>
      <c r="DQ17" s="1213"/>
      <c r="DR17" s="1213"/>
      <c r="DS17" s="1213"/>
      <c r="DT17" s="1213"/>
      <c r="DU17" s="1213"/>
      <c r="DV17" s="1213"/>
      <c r="DW17" s="1213"/>
      <c r="DX17" s="1213"/>
      <c r="DY17" s="1213"/>
      <c r="DZ17" s="1213"/>
      <c r="EA17" s="1213"/>
      <c r="EB17" s="1213"/>
      <c r="EC17" s="1213"/>
      <c r="ED17" s="1213"/>
      <c r="EE17" s="1213"/>
      <c r="EF17" s="1213"/>
      <c r="EG17" s="1213"/>
      <c r="EH17" s="1213"/>
      <c r="EI17" s="1213"/>
      <c r="EJ17" s="1213"/>
      <c r="EK17" s="1213"/>
      <c r="EL17" s="1213"/>
      <c r="EM17" s="1213"/>
      <c r="EN17" s="1213"/>
      <c r="EO17" s="1213"/>
      <c r="EP17" s="1213"/>
      <c r="EQ17" s="1213"/>
      <c r="ER17" s="1213"/>
      <c r="ES17" s="1213"/>
      <c r="ET17" s="1213"/>
      <c r="EU17" s="1213"/>
      <c r="EV17" s="1213"/>
      <c r="EW17" s="1213"/>
      <c r="EX17" s="1213"/>
      <c r="EY17" s="1213"/>
      <c r="EZ17" s="1213"/>
      <c r="FA17" s="1213"/>
      <c r="FB17" s="1213"/>
      <c r="FC17" s="1213"/>
      <c r="FD17" s="1213"/>
      <c r="FE17" s="1213"/>
      <c r="FF17" s="1213"/>
      <c r="FG17" s="1213"/>
      <c r="FH17" s="1213"/>
      <c r="FI17" s="1213"/>
      <c r="FJ17" s="1213"/>
      <c r="FK17" s="1213"/>
      <c r="FL17" s="1213"/>
      <c r="FM17" s="1213"/>
      <c r="FN17" s="1213"/>
      <c r="FO17" s="1213"/>
      <c r="FP17" s="1213"/>
      <c r="FQ17" s="1213"/>
      <c r="FR17" s="1213"/>
      <c r="FS17" s="1213"/>
      <c r="FT17" s="1213"/>
      <c r="FU17" s="1213"/>
      <c r="FV17" s="1213"/>
      <c r="FW17" s="1213"/>
      <c r="FX17" s="1213"/>
      <c r="FY17" s="1213"/>
      <c r="FZ17" s="1213"/>
      <c r="GA17" s="1213"/>
      <c r="GB17" s="1213"/>
      <c r="GC17" s="1213"/>
      <c r="GD17" s="1213"/>
      <c r="GE17" s="1213"/>
      <c r="GF17" s="1213"/>
      <c r="GG17" s="1213"/>
      <c r="GH17" s="1213"/>
      <c r="GI17" s="1213"/>
      <c r="GJ17" s="1213"/>
      <c r="GK17" s="1213"/>
      <c r="GL17" s="1213"/>
      <c r="GM17" s="1213"/>
      <c r="GN17" s="1213"/>
      <c r="GO17" s="1213"/>
      <c r="GP17" s="1213"/>
      <c r="GQ17" s="1213"/>
      <c r="GR17" s="1213"/>
      <c r="GS17" s="1213"/>
      <c r="GT17" s="1213"/>
      <c r="GU17" s="1213"/>
      <c r="GV17" s="1213"/>
      <c r="GW17" s="1213"/>
      <c r="GX17" s="1213"/>
      <c r="GY17" s="1213"/>
      <c r="GZ17" s="1213"/>
      <c r="HA17" s="1213"/>
      <c r="HB17" s="1213"/>
      <c r="HC17" s="1213"/>
      <c r="HD17" s="1213"/>
      <c r="HE17" s="1213"/>
      <c r="HF17" s="1213"/>
      <c r="HG17" s="1213"/>
      <c r="HH17" s="1213"/>
      <c r="HI17" s="1213"/>
      <c r="HJ17" s="1213"/>
      <c r="HK17" s="1213"/>
      <c r="HL17" s="1213"/>
      <c r="HM17" s="1213"/>
      <c r="HN17" s="1213"/>
      <c r="HO17" s="1213"/>
      <c r="HP17" s="1213"/>
      <c r="HQ17" s="1213"/>
      <c r="HR17" s="1213"/>
      <c r="HS17" s="1213"/>
      <c r="HT17" s="1213"/>
      <c r="HU17" s="1213"/>
      <c r="HV17" s="1213"/>
      <c r="HW17" s="1213"/>
      <c r="HX17" s="1213"/>
      <c r="HY17" s="1213"/>
      <c r="HZ17" s="1213"/>
      <c r="IA17" s="1213"/>
      <c r="IB17" s="1213"/>
      <c r="IC17" s="1213"/>
      <c r="ID17" s="1213"/>
      <c r="IE17" s="1213"/>
      <c r="IF17" s="1213"/>
      <c r="IG17" s="1213"/>
      <c r="IH17" s="1213"/>
      <c r="II17" s="1213"/>
      <c r="IJ17" s="1213"/>
      <c r="IK17" s="1213"/>
      <c r="IL17" s="1213"/>
      <c r="IM17" s="1213"/>
      <c r="IN17" s="1213"/>
      <c r="IO17" s="1213"/>
      <c r="IP17" s="1213"/>
      <c r="IQ17" s="1213"/>
      <c r="IR17" s="1213"/>
      <c r="IS17" s="1213"/>
      <c r="IT17" s="1213"/>
    </row>
    <row r="18" spans="1:254" ht="133.5" customHeight="1" x14ac:dyDescent="0.25">
      <c r="A18" s="1265"/>
      <c r="B18" s="633"/>
      <c r="C18" s="633"/>
      <c r="D18" s="1266"/>
      <c r="E18" s="633"/>
      <c r="F18" s="633"/>
      <c r="G18" s="1266"/>
      <c r="H18" s="633"/>
      <c r="I18" s="633"/>
      <c r="J18" s="2803"/>
      <c r="K18" s="2796"/>
      <c r="L18" s="2796"/>
      <c r="M18" s="2807"/>
      <c r="N18" s="2809"/>
      <c r="O18" s="2804"/>
      <c r="P18" s="2796"/>
      <c r="Q18" s="2808"/>
      <c r="R18" s="2806"/>
      <c r="S18" s="2796"/>
      <c r="T18" s="2796"/>
      <c r="U18" s="2796"/>
      <c r="V18" s="2799"/>
      <c r="W18" s="2800"/>
      <c r="X18" s="2801"/>
      <c r="Y18" s="2813"/>
      <c r="Z18" s="2813"/>
      <c r="AA18" s="2813"/>
      <c r="AB18" s="2813"/>
      <c r="AC18" s="2813"/>
      <c r="AD18" s="2813"/>
      <c r="AE18" s="2813"/>
      <c r="AF18" s="2813"/>
      <c r="AG18" s="2813"/>
      <c r="AH18" s="2813"/>
      <c r="AI18" s="2813"/>
      <c r="AJ18" s="2813"/>
      <c r="AK18" s="2813"/>
      <c r="AL18" s="2813"/>
      <c r="AM18" s="2813"/>
      <c r="AN18" s="2813"/>
      <c r="AO18" s="2816"/>
      <c r="AP18" s="2819"/>
      <c r="AQ18" s="2784"/>
      <c r="AR18" s="1213"/>
      <c r="AS18" s="1213"/>
      <c r="AT18" s="1213"/>
      <c r="AU18" s="1213"/>
      <c r="AV18" s="1213"/>
      <c r="AW18" s="1213"/>
      <c r="AX18" s="1213"/>
      <c r="AY18" s="1213"/>
      <c r="AZ18" s="1213"/>
      <c r="BA18" s="1213"/>
      <c r="BB18" s="1213"/>
      <c r="BC18" s="1213"/>
      <c r="BD18" s="1213"/>
      <c r="BE18" s="1213"/>
      <c r="BF18" s="1213"/>
      <c r="BG18" s="1213"/>
      <c r="BH18" s="1213"/>
      <c r="BI18" s="1213"/>
      <c r="BJ18" s="1213"/>
      <c r="BK18" s="1213"/>
      <c r="BL18" s="1213"/>
      <c r="BM18" s="1213"/>
      <c r="BN18" s="1213"/>
      <c r="BO18" s="1213"/>
      <c r="BP18" s="1213"/>
      <c r="BQ18" s="1213"/>
      <c r="BR18" s="1213"/>
      <c r="BS18" s="1213"/>
      <c r="BT18" s="1213"/>
      <c r="BU18" s="1213"/>
      <c r="BV18" s="1213"/>
      <c r="BW18" s="1213"/>
      <c r="BX18" s="1213"/>
      <c r="BY18" s="1213"/>
      <c r="BZ18" s="1213"/>
      <c r="CA18" s="1213"/>
      <c r="CB18" s="1213"/>
      <c r="CC18" s="1213"/>
      <c r="CD18" s="1213"/>
      <c r="CE18" s="1213"/>
      <c r="CF18" s="1213"/>
      <c r="CG18" s="1213"/>
      <c r="CH18" s="1213"/>
      <c r="CI18" s="1213"/>
      <c r="CJ18" s="1213"/>
      <c r="CK18" s="1213"/>
      <c r="CL18" s="1213"/>
      <c r="CM18" s="1213"/>
      <c r="CN18" s="1213"/>
      <c r="CO18" s="1213"/>
      <c r="CP18" s="1213"/>
      <c r="CQ18" s="1213"/>
      <c r="CR18" s="1213"/>
      <c r="CS18" s="1213"/>
      <c r="CT18" s="1213"/>
      <c r="CU18" s="1213"/>
      <c r="CV18" s="1213"/>
      <c r="CW18" s="1213"/>
      <c r="CX18" s="1213"/>
      <c r="CY18" s="1213"/>
      <c r="CZ18" s="1213"/>
      <c r="DA18" s="1213"/>
      <c r="DB18" s="1213"/>
      <c r="DC18" s="1213"/>
      <c r="DD18" s="1213"/>
      <c r="DE18" s="1213"/>
      <c r="DF18" s="1213"/>
      <c r="DG18" s="1213"/>
      <c r="DH18" s="1213"/>
      <c r="DI18" s="1213"/>
      <c r="DJ18" s="1213"/>
      <c r="DK18" s="1213"/>
      <c r="DL18" s="1213"/>
      <c r="DM18" s="1213"/>
      <c r="DN18" s="1213"/>
      <c r="DO18" s="1213"/>
      <c r="DP18" s="1213"/>
      <c r="DQ18" s="1213"/>
      <c r="DR18" s="1213"/>
      <c r="DS18" s="1213"/>
      <c r="DT18" s="1213"/>
      <c r="DU18" s="1213"/>
      <c r="DV18" s="1213"/>
      <c r="DW18" s="1213"/>
      <c r="DX18" s="1213"/>
      <c r="DY18" s="1213"/>
      <c r="DZ18" s="1213"/>
      <c r="EA18" s="1213"/>
      <c r="EB18" s="1213"/>
      <c r="EC18" s="1213"/>
      <c r="ED18" s="1213"/>
      <c r="EE18" s="1213"/>
      <c r="EF18" s="1213"/>
      <c r="EG18" s="1213"/>
      <c r="EH18" s="1213"/>
      <c r="EI18" s="1213"/>
      <c r="EJ18" s="1213"/>
      <c r="EK18" s="1213"/>
      <c r="EL18" s="1213"/>
      <c r="EM18" s="1213"/>
      <c r="EN18" s="1213"/>
      <c r="EO18" s="1213"/>
      <c r="EP18" s="1213"/>
      <c r="EQ18" s="1213"/>
      <c r="ER18" s="1213"/>
      <c r="ES18" s="1213"/>
      <c r="ET18" s="1213"/>
      <c r="EU18" s="1213"/>
      <c r="EV18" s="1213"/>
      <c r="EW18" s="1213"/>
      <c r="EX18" s="1213"/>
      <c r="EY18" s="1213"/>
      <c r="EZ18" s="1213"/>
      <c r="FA18" s="1213"/>
      <c r="FB18" s="1213"/>
      <c r="FC18" s="1213"/>
      <c r="FD18" s="1213"/>
      <c r="FE18" s="1213"/>
      <c r="FF18" s="1213"/>
      <c r="FG18" s="1213"/>
      <c r="FH18" s="1213"/>
      <c r="FI18" s="1213"/>
      <c r="FJ18" s="1213"/>
      <c r="FK18" s="1213"/>
      <c r="FL18" s="1213"/>
      <c r="FM18" s="1213"/>
      <c r="FN18" s="1213"/>
      <c r="FO18" s="1213"/>
      <c r="FP18" s="1213"/>
      <c r="FQ18" s="1213"/>
      <c r="FR18" s="1213"/>
      <c r="FS18" s="1213"/>
      <c r="FT18" s="1213"/>
      <c r="FU18" s="1213"/>
      <c r="FV18" s="1213"/>
      <c r="FW18" s="1213"/>
      <c r="FX18" s="1213"/>
      <c r="FY18" s="1213"/>
      <c r="FZ18" s="1213"/>
      <c r="GA18" s="1213"/>
      <c r="GB18" s="1213"/>
      <c r="GC18" s="1213"/>
      <c r="GD18" s="1213"/>
      <c r="GE18" s="1213"/>
      <c r="GF18" s="1213"/>
      <c r="GG18" s="1213"/>
      <c r="GH18" s="1213"/>
      <c r="GI18" s="1213"/>
      <c r="GJ18" s="1213"/>
      <c r="GK18" s="1213"/>
      <c r="GL18" s="1213"/>
      <c r="GM18" s="1213"/>
      <c r="GN18" s="1213"/>
      <c r="GO18" s="1213"/>
      <c r="GP18" s="1213"/>
      <c r="GQ18" s="1213"/>
      <c r="GR18" s="1213"/>
      <c r="GS18" s="1213"/>
      <c r="GT18" s="1213"/>
      <c r="GU18" s="1213"/>
      <c r="GV18" s="1213"/>
      <c r="GW18" s="1213"/>
      <c r="GX18" s="1213"/>
      <c r="GY18" s="1213"/>
      <c r="GZ18" s="1213"/>
      <c r="HA18" s="1213"/>
      <c r="HB18" s="1213"/>
      <c r="HC18" s="1213"/>
      <c r="HD18" s="1213"/>
      <c r="HE18" s="1213"/>
      <c r="HF18" s="1213"/>
      <c r="HG18" s="1213"/>
      <c r="HH18" s="1213"/>
      <c r="HI18" s="1213"/>
      <c r="HJ18" s="1213"/>
      <c r="HK18" s="1213"/>
      <c r="HL18" s="1213"/>
      <c r="HM18" s="1213"/>
      <c r="HN18" s="1213"/>
      <c r="HO18" s="1213"/>
      <c r="HP18" s="1213"/>
      <c r="HQ18" s="1213"/>
      <c r="HR18" s="1213"/>
      <c r="HS18" s="1213"/>
      <c r="HT18" s="1213"/>
      <c r="HU18" s="1213"/>
      <c r="HV18" s="1213"/>
      <c r="HW18" s="1213"/>
      <c r="HX18" s="1213"/>
      <c r="HY18" s="1213"/>
      <c r="HZ18" s="1213"/>
      <c r="IA18" s="1213"/>
      <c r="IB18" s="1213"/>
      <c r="IC18" s="1213"/>
      <c r="ID18" s="1213"/>
      <c r="IE18" s="1213"/>
      <c r="IF18" s="1213"/>
      <c r="IG18" s="1213"/>
      <c r="IH18" s="1213"/>
      <c r="II18" s="1213"/>
      <c r="IJ18" s="1213"/>
      <c r="IK18" s="1213"/>
      <c r="IL18" s="1213"/>
      <c r="IM18" s="1213"/>
      <c r="IN18" s="1213"/>
      <c r="IO18" s="1213"/>
      <c r="IP18" s="1213"/>
      <c r="IQ18" s="1213"/>
      <c r="IR18" s="1213"/>
      <c r="IS18" s="1213"/>
      <c r="IT18" s="1213"/>
    </row>
    <row r="19" spans="1:254" ht="133.5" customHeight="1" x14ac:dyDescent="0.25">
      <c r="A19" s="1265"/>
      <c r="B19" s="2802"/>
      <c r="C19" s="2802"/>
      <c r="D19" s="1266"/>
      <c r="E19" s="2802"/>
      <c r="F19" s="2802"/>
      <c r="G19" s="1266"/>
      <c r="H19" s="2802"/>
      <c r="I19" s="2802"/>
      <c r="J19" s="1272">
        <v>278</v>
      </c>
      <c r="K19" s="1273" t="s">
        <v>1157</v>
      </c>
      <c r="L19" s="1273" t="s">
        <v>1158</v>
      </c>
      <c r="M19" s="1274">
        <v>1</v>
      </c>
      <c r="N19" s="2785" t="s">
        <v>1159</v>
      </c>
      <c r="O19" s="2804" t="s">
        <v>1160</v>
      </c>
      <c r="P19" s="2796" t="s">
        <v>1161</v>
      </c>
      <c r="Q19" s="1275">
        <f>+V19/R19</f>
        <v>2.259748877542057E-2</v>
      </c>
      <c r="R19" s="2806">
        <f>SUM(V19:V21)</f>
        <v>442527048</v>
      </c>
      <c r="S19" s="2796" t="s">
        <v>1162</v>
      </c>
      <c r="T19" s="71" t="s">
        <v>1163</v>
      </c>
      <c r="U19" s="71" t="s">
        <v>1164</v>
      </c>
      <c r="V19" s="1268">
        <v>10000000</v>
      </c>
      <c r="W19" s="1276">
        <v>20</v>
      </c>
      <c r="X19" s="1277" t="s">
        <v>502</v>
      </c>
      <c r="Y19" s="2797">
        <v>294321</v>
      </c>
      <c r="Z19" s="2793">
        <v>283947</v>
      </c>
      <c r="AA19" s="2793">
        <v>135754</v>
      </c>
      <c r="AB19" s="2793">
        <v>44640</v>
      </c>
      <c r="AC19" s="2793">
        <v>308178</v>
      </c>
      <c r="AD19" s="2793">
        <v>89696</v>
      </c>
      <c r="AE19" s="2793">
        <v>2145</v>
      </c>
      <c r="AF19" s="2793">
        <v>12718</v>
      </c>
      <c r="AG19" s="2793">
        <v>26</v>
      </c>
      <c r="AH19" s="2793">
        <v>37</v>
      </c>
      <c r="AI19" s="2793">
        <v>0</v>
      </c>
      <c r="AJ19" s="2793">
        <v>0</v>
      </c>
      <c r="AK19" s="2793">
        <v>54612</v>
      </c>
      <c r="AL19" s="2793">
        <v>21944</v>
      </c>
      <c r="AM19" s="2793">
        <v>1010</v>
      </c>
      <c r="AN19" s="2793">
        <f>+Y19+Z19</f>
        <v>578268</v>
      </c>
      <c r="AO19" s="2795">
        <v>43473</v>
      </c>
      <c r="AP19" s="2783">
        <v>43830</v>
      </c>
      <c r="AQ19" s="2784" t="s">
        <v>1165</v>
      </c>
      <c r="AR19" s="1213"/>
      <c r="AS19" s="1213"/>
      <c r="AT19" s="1213"/>
      <c r="AU19" s="1213"/>
      <c r="AV19" s="1213"/>
      <c r="AW19" s="1213"/>
      <c r="AX19" s="1213"/>
      <c r="AY19" s="1213"/>
      <c r="AZ19" s="1213"/>
      <c r="BA19" s="1213"/>
      <c r="BB19" s="1213"/>
      <c r="BC19" s="1213"/>
      <c r="BD19" s="1213"/>
      <c r="BE19" s="1213"/>
      <c r="BF19" s="1213"/>
      <c r="BG19" s="1213"/>
      <c r="BH19" s="1213"/>
      <c r="BI19" s="1213"/>
      <c r="BJ19" s="1213"/>
      <c r="BK19" s="1213"/>
      <c r="BL19" s="1213"/>
      <c r="BM19" s="1213"/>
      <c r="BN19" s="1213"/>
      <c r="BO19" s="1213"/>
      <c r="BP19" s="1213"/>
      <c r="BQ19" s="1213"/>
      <c r="BR19" s="1213"/>
      <c r="BS19" s="1213"/>
      <c r="BT19" s="1213"/>
      <c r="BU19" s="1213"/>
      <c r="BV19" s="1213"/>
      <c r="BW19" s="1213"/>
      <c r="BX19" s="1213"/>
      <c r="BY19" s="1213"/>
      <c r="BZ19" s="1213"/>
      <c r="CA19" s="1213"/>
      <c r="CB19" s="1213"/>
      <c r="CC19" s="1213"/>
      <c r="CD19" s="1213"/>
      <c r="CE19" s="1213"/>
      <c r="CF19" s="1213"/>
      <c r="CG19" s="1213"/>
      <c r="CH19" s="1213"/>
      <c r="CI19" s="1213"/>
      <c r="CJ19" s="1213"/>
      <c r="CK19" s="1213"/>
      <c r="CL19" s="1213"/>
      <c r="CM19" s="1213"/>
      <c r="CN19" s="1213"/>
      <c r="CO19" s="1213"/>
      <c r="CP19" s="1213"/>
      <c r="CQ19" s="1213"/>
      <c r="CR19" s="1213"/>
      <c r="CS19" s="1213"/>
      <c r="CT19" s="1213"/>
      <c r="CU19" s="1213"/>
      <c r="CV19" s="1213"/>
      <c r="CW19" s="1213"/>
      <c r="CX19" s="1213"/>
      <c r="CY19" s="1213"/>
      <c r="CZ19" s="1213"/>
      <c r="DA19" s="1213"/>
      <c r="DB19" s="1213"/>
      <c r="DC19" s="1213"/>
      <c r="DD19" s="1213"/>
      <c r="DE19" s="1213"/>
      <c r="DF19" s="1213"/>
      <c r="DG19" s="1213"/>
      <c r="DH19" s="1213"/>
      <c r="DI19" s="1213"/>
      <c r="DJ19" s="1213"/>
      <c r="DK19" s="1213"/>
      <c r="DL19" s="1213"/>
      <c r="DM19" s="1213"/>
      <c r="DN19" s="1213"/>
      <c r="DO19" s="1213"/>
      <c r="DP19" s="1213"/>
      <c r="DQ19" s="1213"/>
      <c r="DR19" s="1213"/>
      <c r="DS19" s="1213"/>
      <c r="DT19" s="1213"/>
      <c r="DU19" s="1213"/>
      <c r="DV19" s="1213"/>
      <c r="DW19" s="1213"/>
      <c r="DX19" s="1213"/>
      <c r="DY19" s="1213"/>
      <c r="DZ19" s="1213"/>
      <c r="EA19" s="1213"/>
      <c r="EB19" s="1213"/>
      <c r="EC19" s="1213"/>
      <c r="ED19" s="1213"/>
      <c r="EE19" s="1213"/>
      <c r="EF19" s="1213"/>
      <c r="EG19" s="1213"/>
      <c r="EH19" s="1213"/>
      <c r="EI19" s="1213"/>
      <c r="EJ19" s="1213"/>
      <c r="EK19" s="1213"/>
      <c r="EL19" s="1213"/>
      <c r="EM19" s="1213"/>
      <c r="EN19" s="1213"/>
      <c r="EO19" s="1213"/>
      <c r="EP19" s="1213"/>
      <c r="EQ19" s="1213"/>
      <c r="ER19" s="1213"/>
      <c r="ES19" s="1213"/>
      <c r="ET19" s="1213"/>
      <c r="EU19" s="1213"/>
      <c r="EV19" s="1213"/>
      <c r="EW19" s="1213"/>
      <c r="EX19" s="1213"/>
      <c r="EY19" s="1213"/>
      <c r="EZ19" s="1213"/>
      <c r="FA19" s="1213"/>
      <c r="FB19" s="1213"/>
      <c r="FC19" s="1213"/>
      <c r="FD19" s="1213"/>
      <c r="FE19" s="1213"/>
      <c r="FF19" s="1213"/>
      <c r="FG19" s="1213"/>
      <c r="FH19" s="1213"/>
      <c r="FI19" s="1213"/>
      <c r="FJ19" s="1213"/>
      <c r="FK19" s="1213"/>
      <c r="FL19" s="1213"/>
      <c r="FM19" s="1213"/>
      <c r="FN19" s="1213"/>
      <c r="FO19" s="1213"/>
      <c r="FP19" s="1213"/>
      <c r="FQ19" s="1213"/>
      <c r="FR19" s="1213"/>
      <c r="FS19" s="1213"/>
      <c r="FT19" s="1213"/>
      <c r="FU19" s="1213"/>
      <c r="FV19" s="1213"/>
      <c r="FW19" s="1213"/>
      <c r="FX19" s="1213"/>
      <c r="FY19" s="1213"/>
      <c r="FZ19" s="1213"/>
      <c r="GA19" s="1213"/>
      <c r="GB19" s="1213"/>
      <c r="GC19" s="1213"/>
      <c r="GD19" s="1213"/>
      <c r="GE19" s="1213"/>
      <c r="GF19" s="1213"/>
      <c r="GG19" s="1213"/>
      <c r="GH19" s="1213"/>
      <c r="GI19" s="1213"/>
      <c r="GJ19" s="1213"/>
      <c r="GK19" s="1213"/>
      <c r="GL19" s="1213"/>
      <c r="GM19" s="1213"/>
      <c r="GN19" s="1213"/>
      <c r="GO19" s="1213"/>
      <c r="GP19" s="1213"/>
      <c r="GQ19" s="1213"/>
      <c r="GR19" s="1213"/>
      <c r="GS19" s="1213"/>
      <c r="GT19" s="1213"/>
      <c r="GU19" s="1213"/>
      <c r="GV19" s="1213"/>
      <c r="GW19" s="1213"/>
      <c r="GX19" s="1213"/>
      <c r="GY19" s="1213"/>
      <c r="GZ19" s="1213"/>
      <c r="HA19" s="1213"/>
      <c r="HB19" s="1213"/>
      <c r="HC19" s="1213"/>
      <c r="HD19" s="1213"/>
      <c r="HE19" s="1213"/>
      <c r="HF19" s="1213"/>
      <c r="HG19" s="1213"/>
      <c r="HH19" s="1213"/>
      <c r="HI19" s="1213"/>
      <c r="HJ19" s="1213"/>
      <c r="HK19" s="1213"/>
      <c r="HL19" s="1213"/>
      <c r="HM19" s="1213"/>
      <c r="HN19" s="1213"/>
      <c r="HO19" s="1213"/>
      <c r="HP19" s="1213"/>
      <c r="HQ19" s="1213"/>
      <c r="HR19" s="1213"/>
      <c r="HS19" s="1213"/>
      <c r="HT19" s="1213"/>
      <c r="HU19" s="1213"/>
      <c r="HV19" s="1213"/>
      <c r="HW19" s="1213"/>
      <c r="HX19" s="1213"/>
      <c r="HY19" s="1213"/>
      <c r="HZ19" s="1213"/>
      <c r="IA19" s="1213"/>
      <c r="IB19" s="1213"/>
      <c r="IC19" s="1213"/>
      <c r="ID19" s="1213"/>
      <c r="IE19" s="1213"/>
      <c r="IF19" s="1213"/>
      <c r="IG19" s="1213"/>
      <c r="IH19" s="1213"/>
      <c r="II19" s="1213"/>
      <c r="IJ19" s="1213"/>
      <c r="IK19" s="1213"/>
      <c r="IL19" s="1213"/>
      <c r="IM19" s="1213"/>
      <c r="IN19" s="1213"/>
      <c r="IO19" s="1213"/>
      <c r="IP19" s="1213"/>
      <c r="IQ19" s="1213"/>
      <c r="IR19" s="1213"/>
      <c r="IS19" s="1213"/>
      <c r="IT19" s="1213"/>
    </row>
    <row r="20" spans="1:254" ht="133.5" customHeight="1" x14ac:dyDescent="0.25">
      <c r="A20" s="1265"/>
      <c r="B20" s="633"/>
      <c r="C20" s="633"/>
      <c r="D20" s="1266"/>
      <c r="E20" s="633"/>
      <c r="F20" s="633"/>
      <c r="G20" s="1266"/>
      <c r="H20" s="633"/>
      <c r="I20" s="633"/>
      <c r="J20" s="2785">
        <v>279</v>
      </c>
      <c r="K20" s="2787" t="s">
        <v>1166</v>
      </c>
      <c r="L20" s="2787" t="s">
        <v>1167</v>
      </c>
      <c r="M20" s="2785">
        <v>1</v>
      </c>
      <c r="N20" s="2803"/>
      <c r="O20" s="2804"/>
      <c r="P20" s="2796"/>
      <c r="Q20" s="2789">
        <f>+SUM(V20:V21)/R19</f>
        <v>0.97740251122457944</v>
      </c>
      <c r="R20" s="2806"/>
      <c r="S20" s="2796"/>
      <c r="T20" s="2791" t="s">
        <v>1168</v>
      </c>
      <c r="U20" s="2791" t="s">
        <v>1169</v>
      </c>
      <c r="V20" s="1268">
        <v>306000000</v>
      </c>
      <c r="W20" s="1276">
        <v>20</v>
      </c>
      <c r="X20" s="1277" t="s">
        <v>502</v>
      </c>
      <c r="Y20" s="2798"/>
      <c r="Z20" s="2794"/>
      <c r="AA20" s="2794"/>
      <c r="AB20" s="2794"/>
      <c r="AC20" s="2794"/>
      <c r="AD20" s="2794"/>
      <c r="AE20" s="2794"/>
      <c r="AF20" s="2794"/>
      <c r="AG20" s="2794"/>
      <c r="AH20" s="2794"/>
      <c r="AI20" s="2794"/>
      <c r="AJ20" s="2794"/>
      <c r="AK20" s="2794"/>
      <c r="AL20" s="2794"/>
      <c r="AM20" s="2794"/>
      <c r="AN20" s="2794"/>
      <c r="AO20" s="2795"/>
      <c r="AP20" s="2783"/>
      <c r="AQ20" s="2784"/>
      <c r="AR20" s="1213"/>
      <c r="AS20" s="1213"/>
      <c r="AT20" s="1213"/>
      <c r="AU20" s="1213"/>
      <c r="AV20" s="1213"/>
      <c r="AW20" s="1213"/>
      <c r="AX20" s="1213"/>
      <c r="AY20" s="1213"/>
      <c r="AZ20" s="1213"/>
      <c r="BA20" s="1213"/>
      <c r="BB20" s="1213"/>
      <c r="BC20" s="1213"/>
      <c r="BD20" s="1213"/>
      <c r="BE20" s="1213"/>
      <c r="BF20" s="1213"/>
      <c r="BG20" s="1213"/>
      <c r="BH20" s="1213"/>
      <c r="BI20" s="1213"/>
      <c r="BJ20" s="1213"/>
      <c r="BK20" s="1213"/>
      <c r="BL20" s="1213"/>
      <c r="BM20" s="1213"/>
      <c r="BN20" s="1213"/>
      <c r="BO20" s="1213"/>
      <c r="BP20" s="1213"/>
      <c r="BQ20" s="1213"/>
      <c r="BR20" s="1213"/>
      <c r="BS20" s="1213"/>
      <c r="BT20" s="1213"/>
      <c r="BU20" s="1213"/>
      <c r="BV20" s="1213"/>
      <c r="BW20" s="1213"/>
      <c r="BX20" s="1213"/>
      <c r="BY20" s="1213"/>
      <c r="BZ20" s="1213"/>
      <c r="CA20" s="1213"/>
      <c r="CB20" s="1213"/>
      <c r="CC20" s="1213"/>
      <c r="CD20" s="1213"/>
      <c r="CE20" s="1213"/>
      <c r="CF20" s="1213"/>
      <c r="CG20" s="1213"/>
      <c r="CH20" s="1213"/>
      <c r="CI20" s="1213"/>
      <c r="CJ20" s="1213"/>
      <c r="CK20" s="1213"/>
      <c r="CL20" s="1213"/>
      <c r="CM20" s="1213"/>
      <c r="CN20" s="1213"/>
      <c r="CO20" s="1213"/>
      <c r="CP20" s="1213"/>
      <c r="CQ20" s="1213"/>
      <c r="CR20" s="1213"/>
      <c r="CS20" s="1213"/>
      <c r="CT20" s="1213"/>
      <c r="CU20" s="1213"/>
      <c r="CV20" s="1213"/>
      <c r="CW20" s="1213"/>
      <c r="CX20" s="1213"/>
      <c r="CY20" s="1213"/>
      <c r="CZ20" s="1213"/>
      <c r="DA20" s="1213"/>
      <c r="DB20" s="1213"/>
      <c r="DC20" s="1213"/>
      <c r="DD20" s="1213"/>
      <c r="DE20" s="1213"/>
      <c r="DF20" s="1213"/>
      <c r="DG20" s="1213"/>
      <c r="DH20" s="1213"/>
      <c r="DI20" s="1213"/>
      <c r="DJ20" s="1213"/>
      <c r="DK20" s="1213"/>
      <c r="DL20" s="1213"/>
      <c r="DM20" s="1213"/>
      <c r="DN20" s="1213"/>
      <c r="DO20" s="1213"/>
      <c r="DP20" s="1213"/>
      <c r="DQ20" s="1213"/>
      <c r="DR20" s="1213"/>
      <c r="DS20" s="1213"/>
      <c r="DT20" s="1213"/>
      <c r="DU20" s="1213"/>
      <c r="DV20" s="1213"/>
      <c r="DW20" s="1213"/>
      <c r="DX20" s="1213"/>
      <c r="DY20" s="1213"/>
      <c r="DZ20" s="1213"/>
      <c r="EA20" s="1213"/>
      <c r="EB20" s="1213"/>
      <c r="EC20" s="1213"/>
      <c r="ED20" s="1213"/>
      <c r="EE20" s="1213"/>
      <c r="EF20" s="1213"/>
      <c r="EG20" s="1213"/>
      <c r="EH20" s="1213"/>
      <c r="EI20" s="1213"/>
      <c r="EJ20" s="1213"/>
      <c r="EK20" s="1213"/>
      <c r="EL20" s="1213"/>
      <c r="EM20" s="1213"/>
      <c r="EN20" s="1213"/>
      <c r="EO20" s="1213"/>
      <c r="EP20" s="1213"/>
      <c r="EQ20" s="1213"/>
      <c r="ER20" s="1213"/>
      <c r="ES20" s="1213"/>
      <c r="ET20" s="1213"/>
      <c r="EU20" s="1213"/>
      <c r="EV20" s="1213"/>
      <c r="EW20" s="1213"/>
      <c r="EX20" s="1213"/>
      <c r="EY20" s="1213"/>
      <c r="EZ20" s="1213"/>
      <c r="FA20" s="1213"/>
      <c r="FB20" s="1213"/>
      <c r="FC20" s="1213"/>
      <c r="FD20" s="1213"/>
      <c r="FE20" s="1213"/>
      <c r="FF20" s="1213"/>
      <c r="FG20" s="1213"/>
      <c r="FH20" s="1213"/>
      <c r="FI20" s="1213"/>
      <c r="FJ20" s="1213"/>
      <c r="FK20" s="1213"/>
      <c r="FL20" s="1213"/>
      <c r="FM20" s="1213"/>
      <c r="FN20" s="1213"/>
      <c r="FO20" s="1213"/>
      <c r="FP20" s="1213"/>
      <c r="FQ20" s="1213"/>
      <c r="FR20" s="1213"/>
      <c r="FS20" s="1213"/>
      <c r="FT20" s="1213"/>
      <c r="FU20" s="1213"/>
      <c r="FV20" s="1213"/>
      <c r="FW20" s="1213"/>
      <c r="FX20" s="1213"/>
      <c r="FY20" s="1213"/>
      <c r="FZ20" s="1213"/>
      <c r="GA20" s="1213"/>
      <c r="GB20" s="1213"/>
      <c r="GC20" s="1213"/>
      <c r="GD20" s="1213"/>
      <c r="GE20" s="1213"/>
      <c r="GF20" s="1213"/>
      <c r="GG20" s="1213"/>
      <c r="GH20" s="1213"/>
      <c r="GI20" s="1213"/>
      <c r="GJ20" s="1213"/>
      <c r="GK20" s="1213"/>
      <c r="GL20" s="1213"/>
      <c r="GM20" s="1213"/>
      <c r="GN20" s="1213"/>
      <c r="GO20" s="1213"/>
      <c r="GP20" s="1213"/>
      <c r="GQ20" s="1213"/>
      <c r="GR20" s="1213"/>
      <c r="GS20" s="1213"/>
      <c r="GT20" s="1213"/>
      <c r="GU20" s="1213"/>
      <c r="GV20" s="1213"/>
      <c r="GW20" s="1213"/>
      <c r="GX20" s="1213"/>
      <c r="GY20" s="1213"/>
      <c r="GZ20" s="1213"/>
      <c r="HA20" s="1213"/>
      <c r="HB20" s="1213"/>
      <c r="HC20" s="1213"/>
      <c r="HD20" s="1213"/>
      <c r="HE20" s="1213"/>
      <c r="HF20" s="1213"/>
      <c r="HG20" s="1213"/>
      <c r="HH20" s="1213"/>
      <c r="HI20" s="1213"/>
      <c r="HJ20" s="1213"/>
      <c r="HK20" s="1213"/>
      <c r="HL20" s="1213"/>
      <c r="HM20" s="1213"/>
      <c r="HN20" s="1213"/>
      <c r="HO20" s="1213"/>
      <c r="HP20" s="1213"/>
      <c r="HQ20" s="1213"/>
      <c r="HR20" s="1213"/>
      <c r="HS20" s="1213"/>
      <c r="HT20" s="1213"/>
      <c r="HU20" s="1213"/>
      <c r="HV20" s="1213"/>
      <c r="HW20" s="1213"/>
      <c r="HX20" s="1213"/>
      <c r="HY20" s="1213"/>
      <c r="HZ20" s="1213"/>
      <c r="IA20" s="1213"/>
      <c r="IB20" s="1213"/>
      <c r="IC20" s="1213"/>
      <c r="ID20" s="1213"/>
      <c r="IE20" s="1213"/>
      <c r="IF20" s="1213"/>
      <c r="IG20" s="1213"/>
      <c r="IH20" s="1213"/>
      <c r="II20" s="1213"/>
      <c r="IJ20" s="1213"/>
      <c r="IK20" s="1213"/>
      <c r="IL20" s="1213"/>
      <c r="IM20" s="1213"/>
      <c r="IN20" s="1213"/>
      <c r="IO20" s="1213"/>
      <c r="IP20" s="1213"/>
      <c r="IQ20" s="1213"/>
      <c r="IR20" s="1213"/>
      <c r="IS20" s="1213"/>
      <c r="IT20" s="1213"/>
    </row>
    <row r="21" spans="1:254" ht="133.5" customHeight="1" thickBot="1" x14ac:dyDescent="0.3">
      <c r="A21" s="1265"/>
      <c r="B21" s="633"/>
      <c r="C21" s="633"/>
      <c r="D21" s="1266"/>
      <c r="E21" s="633"/>
      <c r="F21" s="633"/>
      <c r="G21" s="1266"/>
      <c r="H21" s="633"/>
      <c r="I21" s="633"/>
      <c r="J21" s="2786"/>
      <c r="K21" s="2788"/>
      <c r="L21" s="2788"/>
      <c r="M21" s="2786"/>
      <c r="N21" s="2803"/>
      <c r="O21" s="2805"/>
      <c r="P21" s="2796"/>
      <c r="Q21" s="2790"/>
      <c r="R21" s="2806"/>
      <c r="S21" s="2796"/>
      <c r="T21" s="2792"/>
      <c r="U21" s="2792"/>
      <c r="V21" s="1268">
        <f>0+126527048</f>
        <v>126527048</v>
      </c>
      <c r="W21" s="1278">
        <v>88</v>
      </c>
      <c r="X21" s="1279" t="s">
        <v>500</v>
      </c>
      <c r="Y21" s="2798"/>
      <c r="Z21" s="2794"/>
      <c r="AA21" s="2794"/>
      <c r="AB21" s="2794"/>
      <c r="AC21" s="2794"/>
      <c r="AD21" s="2794"/>
      <c r="AE21" s="2794"/>
      <c r="AF21" s="2794"/>
      <c r="AG21" s="2794"/>
      <c r="AH21" s="2794"/>
      <c r="AI21" s="2794"/>
      <c r="AJ21" s="2794"/>
      <c r="AK21" s="2794"/>
      <c r="AL21" s="2794"/>
      <c r="AM21" s="2794"/>
      <c r="AN21" s="2794"/>
      <c r="AO21" s="2795"/>
      <c r="AP21" s="2783"/>
      <c r="AQ21" s="2784"/>
      <c r="AR21" s="1213"/>
      <c r="AS21" s="1213"/>
      <c r="AT21" s="1213"/>
      <c r="AU21" s="1213"/>
      <c r="AV21" s="1213"/>
      <c r="AW21" s="1213"/>
      <c r="AX21" s="1213"/>
      <c r="AY21" s="1213"/>
      <c r="AZ21" s="1213"/>
      <c r="BA21" s="1213"/>
      <c r="BB21" s="1213"/>
      <c r="BC21" s="1213"/>
      <c r="BD21" s="1213"/>
      <c r="BE21" s="1213"/>
      <c r="BF21" s="1213"/>
      <c r="BG21" s="1213"/>
      <c r="BH21" s="1213"/>
      <c r="BI21" s="1213"/>
      <c r="BJ21" s="1213"/>
      <c r="BK21" s="1213"/>
      <c r="BL21" s="1213"/>
      <c r="BM21" s="1213"/>
      <c r="BN21" s="1213"/>
      <c r="BO21" s="1213"/>
      <c r="BP21" s="1213"/>
      <c r="BQ21" s="1213"/>
      <c r="BR21" s="1213"/>
      <c r="BS21" s="1213"/>
      <c r="BT21" s="1213"/>
      <c r="BU21" s="1213"/>
      <c r="BV21" s="1213"/>
      <c r="BW21" s="1213"/>
      <c r="BX21" s="1213"/>
      <c r="BY21" s="1213"/>
      <c r="BZ21" s="1213"/>
      <c r="CA21" s="1213"/>
      <c r="CB21" s="1213"/>
      <c r="CC21" s="1213"/>
      <c r="CD21" s="1213"/>
      <c r="CE21" s="1213"/>
      <c r="CF21" s="1213"/>
      <c r="CG21" s="1213"/>
      <c r="CH21" s="1213"/>
      <c r="CI21" s="1213"/>
      <c r="CJ21" s="1213"/>
      <c r="CK21" s="1213"/>
      <c r="CL21" s="1213"/>
      <c r="CM21" s="1213"/>
      <c r="CN21" s="1213"/>
      <c r="CO21" s="1213"/>
      <c r="CP21" s="1213"/>
      <c r="CQ21" s="1213"/>
      <c r="CR21" s="1213"/>
      <c r="CS21" s="1213"/>
      <c r="CT21" s="1213"/>
      <c r="CU21" s="1213"/>
      <c r="CV21" s="1213"/>
      <c r="CW21" s="1213"/>
      <c r="CX21" s="1213"/>
      <c r="CY21" s="1213"/>
      <c r="CZ21" s="1213"/>
      <c r="DA21" s="1213"/>
      <c r="DB21" s="1213"/>
      <c r="DC21" s="1213"/>
      <c r="DD21" s="1213"/>
      <c r="DE21" s="1213"/>
      <c r="DF21" s="1213"/>
      <c r="DG21" s="1213"/>
      <c r="DH21" s="1213"/>
      <c r="DI21" s="1213"/>
      <c r="DJ21" s="1213"/>
      <c r="DK21" s="1213"/>
      <c r="DL21" s="1213"/>
      <c r="DM21" s="1213"/>
      <c r="DN21" s="1213"/>
      <c r="DO21" s="1213"/>
      <c r="DP21" s="1213"/>
      <c r="DQ21" s="1213"/>
      <c r="DR21" s="1213"/>
      <c r="DS21" s="1213"/>
      <c r="DT21" s="1213"/>
      <c r="DU21" s="1213"/>
      <c r="DV21" s="1213"/>
      <c r="DW21" s="1213"/>
      <c r="DX21" s="1213"/>
      <c r="DY21" s="1213"/>
      <c r="DZ21" s="1213"/>
      <c r="EA21" s="1213"/>
      <c r="EB21" s="1213"/>
      <c r="EC21" s="1213"/>
      <c r="ED21" s="1213"/>
      <c r="EE21" s="1213"/>
      <c r="EF21" s="1213"/>
      <c r="EG21" s="1213"/>
      <c r="EH21" s="1213"/>
      <c r="EI21" s="1213"/>
      <c r="EJ21" s="1213"/>
      <c r="EK21" s="1213"/>
      <c r="EL21" s="1213"/>
      <c r="EM21" s="1213"/>
      <c r="EN21" s="1213"/>
      <c r="EO21" s="1213"/>
      <c r="EP21" s="1213"/>
      <c r="EQ21" s="1213"/>
      <c r="ER21" s="1213"/>
      <c r="ES21" s="1213"/>
      <c r="ET21" s="1213"/>
      <c r="EU21" s="1213"/>
      <c r="EV21" s="1213"/>
      <c r="EW21" s="1213"/>
      <c r="EX21" s="1213"/>
      <c r="EY21" s="1213"/>
      <c r="EZ21" s="1213"/>
      <c r="FA21" s="1213"/>
      <c r="FB21" s="1213"/>
      <c r="FC21" s="1213"/>
      <c r="FD21" s="1213"/>
      <c r="FE21" s="1213"/>
      <c r="FF21" s="1213"/>
      <c r="FG21" s="1213"/>
      <c r="FH21" s="1213"/>
      <c r="FI21" s="1213"/>
      <c r="FJ21" s="1213"/>
      <c r="FK21" s="1213"/>
      <c r="FL21" s="1213"/>
      <c r="FM21" s="1213"/>
      <c r="FN21" s="1213"/>
      <c r="FO21" s="1213"/>
      <c r="FP21" s="1213"/>
      <c r="FQ21" s="1213"/>
      <c r="FR21" s="1213"/>
      <c r="FS21" s="1213"/>
      <c r="FT21" s="1213"/>
      <c r="FU21" s="1213"/>
      <c r="FV21" s="1213"/>
      <c r="FW21" s="1213"/>
      <c r="FX21" s="1213"/>
      <c r="FY21" s="1213"/>
      <c r="FZ21" s="1213"/>
      <c r="GA21" s="1213"/>
      <c r="GB21" s="1213"/>
      <c r="GC21" s="1213"/>
      <c r="GD21" s="1213"/>
      <c r="GE21" s="1213"/>
      <c r="GF21" s="1213"/>
      <c r="GG21" s="1213"/>
      <c r="GH21" s="1213"/>
      <c r="GI21" s="1213"/>
      <c r="GJ21" s="1213"/>
      <c r="GK21" s="1213"/>
      <c r="GL21" s="1213"/>
      <c r="GM21" s="1213"/>
      <c r="GN21" s="1213"/>
      <c r="GO21" s="1213"/>
      <c r="GP21" s="1213"/>
      <c r="GQ21" s="1213"/>
      <c r="GR21" s="1213"/>
      <c r="GS21" s="1213"/>
      <c r="GT21" s="1213"/>
      <c r="GU21" s="1213"/>
      <c r="GV21" s="1213"/>
      <c r="GW21" s="1213"/>
      <c r="GX21" s="1213"/>
      <c r="GY21" s="1213"/>
      <c r="GZ21" s="1213"/>
      <c r="HA21" s="1213"/>
      <c r="HB21" s="1213"/>
      <c r="HC21" s="1213"/>
      <c r="HD21" s="1213"/>
      <c r="HE21" s="1213"/>
      <c r="HF21" s="1213"/>
      <c r="HG21" s="1213"/>
      <c r="HH21" s="1213"/>
      <c r="HI21" s="1213"/>
      <c r="HJ21" s="1213"/>
      <c r="HK21" s="1213"/>
      <c r="HL21" s="1213"/>
      <c r="HM21" s="1213"/>
      <c r="HN21" s="1213"/>
      <c r="HO21" s="1213"/>
      <c r="HP21" s="1213"/>
      <c r="HQ21" s="1213"/>
      <c r="HR21" s="1213"/>
      <c r="HS21" s="1213"/>
      <c r="HT21" s="1213"/>
      <c r="HU21" s="1213"/>
      <c r="HV21" s="1213"/>
      <c r="HW21" s="1213"/>
      <c r="HX21" s="1213"/>
      <c r="HY21" s="1213"/>
      <c r="HZ21" s="1213"/>
      <c r="IA21" s="1213"/>
      <c r="IB21" s="1213"/>
      <c r="IC21" s="1213"/>
      <c r="ID21" s="1213"/>
      <c r="IE21" s="1213"/>
      <c r="IF21" s="1213"/>
      <c r="IG21" s="1213"/>
      <c r="IH21" s="1213"/>
      <c r="II21" s="1213"/>
      <c r="IJ21" s="1213"/>
      <c r="IK21" s="1213"/>
      <c r="IL21" s="1213"/>
      <c r="IM21" s="1213"/>
      <c r="IN21" s="1213"/>
      <c r="IO21" s="1213"/>
      <c r="IP21" s="1213"/>
      <c r="IQ21" s="1213"/>
      <c r="IR21" s="1213"/>
      <c r="IS21" s="1213"/>
      <c r="IT21" s="1213"/>
    </row>
    <row r="22" spans="1:254" ht="36.75" customHeight="1" thickBot="1" x14ac:dyDescent="0.3">
      <c r="A22" s="1280"/>
      <c r="B22" s="1281"/>
      <c r="C22" s="1281"/>
      <c r="D22" s="1281"/>
      <c r="E22" s="1281"/>
      <c r="F22" s="1281"/>
      <c r="G22" s="1281"/>
      <c r="H22" s="1281"/>
      <c r="I22" s="1281"/>
      <c r="J22" s="1282"/>
      <c r="K22" s="1283"/>
      <c r="L22" s="1283"/>
      <c r="M22" s="1284"/>
      <c r="N22" s="1283"/>
      <c r="O22" s="1283"/>
      <c r="P22" s="1283"/>
      <c r="Q22" s="1285"/>
      <c r="R22" s="1286">
        <f>SUM(R12:R21)</f>
        <v>2348473039</v>
      </c>
      <c r="S22" s="1287"/>
      <c r="T22" s="1283"/>
      <c r="U22" s="1288"/>
      <c r="V22" s="1289">
        <f>SUM(V12:V21)</f>
        <v>2348473039</v>
      </c>
      <c r="W22" s="1290"/>
      <c r="X22" s="1291"/>
      <c r="Y22" s="1281"/>
      <c r="Z22" s="1281"/>
      <c r="AA22" s="1281"/>
      <c r="AB22" s="1281"/>
      <c r="AC22" s="1281"/>
      <c r="AD22" s="1281"/>
      <c r="AE22" s="1281"/>
      <c r="AF22" s="1281"/>
      <c r="AG22" s="1281"/>
      <c r="AH22" s="1281"/>
      <c r="AI22" s="1281"/>
      <c r="AJ22" s="1281"/>
      <c r="AK22" s="1281"/>
      <c r="AL22" s="1281"/>
      <c r="AM22" s="1281"/>
      <c r="AN22" s="1281"/>
      <c r="AO22" s="1292"/>
      <c r="AP22" s="1293"/>
      <c r="AQ22" s="1288"/>
      <c r="AR22" s="740"/>
      <c r="AS22" s="740"/>
      <c r="AT22" s="740"/>
      <c r="AU22" s="740"/>
      <c r="AV22" s="740"/>
      <c r="AW22" s="740"/>
      <c r="AX22" s="740"/>
      <c r="AY22" s="740"/>
      <c r="AZ22" s="740"/>
      <c r="BA22" s="740"/>
      <c r="BB22" s="740"/>
      <c r="BC22" s="740"/>
      <c r="BD22" s="740"/>
      <c r="BE22" s="740"/>
      <c r="BF22" s="740"/>
      <c r="BG22" s="740"/>
      <c r="BH22" s="740"/>
      <c r="BI22" s="740"/>
      <c r="BJ22" s="740"/>
      <c r="BK22" s="740"/>
      <c r="BL22" s="740"/>
      <c r="BM22" s="740"/>
      <c r="BN22" s="740"/>
      <c r="BO22" s="740"/>
      <c r="BP22" s="740"/>
      <c r="BQ22" s="740"/>
      <c r="BR22" s="740"/>
      <c r="BS22" s="740"/>
      <c r="BT22" s="740"/>
      <c r="BU22" s="740"/>
      <c r="BV22" s="740"/>
      <c r="BW22" s="740"/>
      <c r="BX22" s="740"/>
      <c r="BY22" s="740"/>
      <c r="BZ22" s="740"/>
      <c r="CA22" s="740"/>
      <c r="CB22" s="740"/>
      <c r="CC22" s="740"/>
      <c r="CD22" s="740"/>
      <c r="CE22" s="740"/>
      <c r="CF22" s="740"/>
      <c r="CG22" s="740"/>
      <c r="CH22" s="740"/>
      <c r="CI22" s="740"/>
      <c r="CJ22" s="740"/>
      <c r="CK22" s="740"/>
      <c r="CL22" s="740"/>
      <c r="CM22" s="740"/>
      <c r="CN22" s="740"/>
      <c r="CO22" s="740"/>
      <c r="CP22" s="740"/>
      <c r="CQ22" s="740"/>
      <c r="CR22" s="740"/>
      <c r="CS22" s="740"/>
      <c r="CT22" s="740"/>
      <c r="CU22" s="740"/>
      <c r="CV22" s="740"/>
      <c r="CW22" s="740"/>
      <c r="CX22" s="740"/>
      <c r="CY22" s="740"/>
      <c r="CZ22" s="740"/>
      <c r="DA22" s="740"/>
      <c r="DB22" s="740"/>
      <c r="DC22" s="740"/>
      <c r="DD22" s="740"/>
      <c r="DE22" s="740"/>
      <c r="DF22" s="740"/>
      <c r="DG22" s="740"/>
      <c r="DH22" s="740"/>
      <c r="DI22" s="740"/>
      <c r="DJ22" s="740"/>
      <c r="DK22" s="740"/>
      <c r="DL22" s="740"/>
      <c r="DM22" s="740"/>
      <c r="DN22" s="740"/>
      <c r="DO22" s="740"/>
      <c r="DP22" s="740"/>
      <c r="DQ22" s="740"/>
      <c r="DR22" s="740"/>
      <c r="DS22" s="740"/>
      <c r="DT22" s="740"/>
      <c r="DU22" s="740"/>
      <c r="DV22" s="740"/>
      <c r="DW22" s="740"/>
      <c r="DX22" s="740"/>
      <c r="DY22" s="740"/>
      <c r="DZ22" s="740"/>
      <c r="EA22" s="740"/>
      <c r="EB22" s="740"/>
      <c r="EC22" s="740"/>
      <c r="ED22" s="740"/>
      <c r="EE22" s="740"/>
      <c r="EF22" s="740"/>
      <c r="EG22" s="740"/>
      <c r="EH22" s="740"/>
      <c r="EI22" s="740"/>
      <c r="EJ22" s="740"/>
      <c r="EK22" s="740"/>
      <c r="EL22" s="740"/>
      <c r="EM22" s="740"/>
      <c r="EN22" s="740"/>
      <c r="EO22" s="740"/>
      <c r="EP22" s="740"/>
      <c r="EQ22" s="740"/>
      <c r="ER22" s="740"/>
      <c r="ES22" s="740"/>
      <c r="ET22" s="740"/>
      <c r="EU22" s="740"/>
      <c r="EV22" s="740"/>
      <c r="EW22" s="740"/>
      <c r="EX22" s="740"/>
      <c r="EY22" s="740"/>
      <c r="EZ22" s="740"/>
      <c r="FA22" s="740"/>
      <c r="FB22" s="740"/>
      <c r="FC22" s="740"/>
      <c r="FD22" s="740"/>
      <c r="FE22" s="740"/>
      <c r="FF22" s="740"/>
      <c r="FG22" s="740"/>
      <c r="FH22" s="740"/>
      <c r="FI22" s="740"/>
      <c r="FJ22" s="740"/>
      <c r="FK22" s="740"/>
      <c r="FL22" s="740"/>
      <c r="FM22" s="740"/>
      <c r="FN22" s="740"/>
      <c r="FO22" s="740"/>
      <c r="FP22" s="740"/>
      <c r="FQ22" s="740"/>
      <c r="FR22" s="740"/>
      <c r="FS22" s="740"/>
      <c r="FT22" s="740"/>
      <c r="FU22" s="740"/>
      <c r="FV22" s="740"/>
      <c r="FW22" s="740"/>
      <c r="FX22" s="740"/>
      <c r="FY22" s="740"/>
      <c r="FZ22" s="740"/>
      <c r="GA22" s="740"/>
      <c r="GB22" s="740"/>
      <c r="GC22" s="740"/>
      <c r="GD22" s="740"/>
      <c r="GE22" s="740"/>
      <c r="GF22" s="740"/>
      <c r="GG22" s="740"/>
      <c r="GH22" s="740"/>
      <c r="GI22" s="740"/>
      <c r="GJ22" s="740"/>
      <c r="GK22" s="740"/>
      <c r="GL22" s="740"/>
      <c r="GM22" s="740"/>
      <c r="GN22" s="740"/>
      <c r="GO22" s="740"/>
      <c r="GP22" s="740"/>
      <c r="GQ22" s="740"/>
      <c r="GR22" s="740"/>
      <c r="GS22" s="740"/>
      <c r="GT22" s="740"/>
      <c r="GU22" s="740"/>
      <c r="GV22" s="740"/>
      <c r="GW22" s="740"/>
      <c r="GX22" s="740"/>
      <c r="GY22" s="740"/>
      <c r="GZ22" s="740"/>
      <c r="HA22" s="740"/>
      <c r="HB22" s="740"/>
      <c r="HC22" s="740"/>
      <c r="HD22" s="740"/>
      <c r="HE22" s="740"/>
      <c r="HF22" s="740"/>
      <c r="HG22" s="740"/>
      <c r="HH22" s="740"/>
      <c r="HI22" s="740"/>
      <c r="HJ22" s="740"/>
      <c r="HK22" s="740"/>
      <c r="HL22" s="740"/>
      <c r="HM22" s="740"/>
      <c r="HN22" s="740"/>
      <c r="HO22" s="740"/>
      <c r="HP22" s="740"/>
      <c r="HQ22" s="740"/>
      <c r="HR22" s="740"/>
      <c r="HS22" s="740"/>
      <c r="HT22" s="740"/>
      <c r="HU22" s="740"/>
      <c r="HV22" s="740"/>
      <c r="HW22" s="740"/>
      <c r="HX22" s="740"/>
      <c r="HY22" s="740"/>
      <c r="HZ22" s="740"/>
      <c r="IA22" s="740"/>
      <c r="IB22" s="740"/>
      <c r="IC22" s="740"/>
      <c r="ID22" s="740"/>
      <c r="IE22" s="740"/>
      <c r="IF22" s="740"/>
      <c r="IG22" s="740"/>
      <c r="IH22" s="740"/>
      <c r="II22" s="740"/>
      <c r="IJ22" s="740"/>
      <c r="IK22" s="740"/>
      <c r="IL22" s="740"/>
      <c r="IM22" s="740"/>
      <c r="IN22" s="740"/>
      <c r="IO22" s="740"/>
      <c r="IP22" s="740"/>
      <c r="IQ22" s="740"/>
      <c r="IR22" s="740"/>
      <c r="IS22" s="740"/>
      <c r="IT22" s="740"/>
    </row>
    <row r="23" spans="1:254" x14ac:dyDescent="0.25">
      <c r="A23" s="2779"/>
      <c r="B23" s="2779"/>
      <c r="C23" s="2779"/>
      <c r="D23" s="2779"/>
      <c r="E23" s="2779"/>
      <c r="F23" s="2779"/>
      <c r="G23" s="2779"/>
      <c r="H23" s="2779"/>
      <c r="I23" s="2779"/>
      <c r="J23" s="2779"/>
      <c r="K23" s="2779"/>
      <c r="L23" s="2779"/>
      <c r="M23" s="2779"/>
      <c r="N23" s="2779"/>
      <c r="O23" s="2779"/>
      <c r="P23" s="2779"/>
      <c r="Q23" s="2779"/>
      <c r="R23" s="1294" t="s">
        <v>1170</v>
      </c>
      <c r="S23" s="2780"/>
      <c r="T23" s="2780"/>
      <c r="U23" s="2780"/>
      <c r="V23" s="1295"/>
      <c r="W23" s="1296"/>
      <c r="X23" s="1297"/>
      <c r="Y23" s="1213"/>
      <c r="Z23" s="1298"/>
      <c r="AA23" s="1298"/>
      <c r="AB23" s="1298"/>
      <c r="AC23" s="1299"/>
      <c r="AD23" s="1299"/>
      <c r="AE23" s="1299"/>
      <c r="AF23" s="1299"/>
      <c r="AG23" s="1299"/>
      <c r="AH23" s="1299"/>
      <c r="AI23" s="1299"/>
      <c r="AJ23" s="1299"/>
      <c r="AK23" s="1299"/>
      <c r="AL23" s="1299"/>
      <c r="AM23" s="1299"/>
      <c r="AN23" s="1299"/>
      <c r="AO23" s="1299"/>
      <c r="AP23" s="1299"/>
      <c r="AQ23" s="1299"/>
      <c r="AR23" s="1299"/>
      <c r="AS23" s="1299"/>
      <c r="AT23" s="1299"/>
      <c r="AU23" s="1299"/>
      <c r="AV23" s="1299"/>
      <c r="AW23" s="1299"/>
      <c r="AX23" s="1299"/>
      <c r="AY23" s="1299"/>
      <c r="AZ23" s="1299"/>
      <c r="BA23" s="1299"/>
      <c r="BB23" s="1299"/>
      <c r="BC23" s="1299"/>
      <c r="BD23" s="1298"/>
      <c r="BE23" s="1298"/>
      <c r="BF23" s="1299"/>
      <c r="BG23" s="1299"/>
      <c r="BH23" s="1299"/>
      <c r="BI23" s="1299"/>
      <c r="BJ23" s="1299"/>
      <c r="BK23" s="1299"/>
      <c r="BL23" s="1299"/>
      <c r="BM23" s="1299"/>
    </row>
    <row r="24" spans="1:254" x14ac:dyDescent="0.25">
      <c r="A24" s="1300"/>
      <c r="B24" s="1300"/>
      <c r="C24" s="1300"/>
      <c r="D24" s="1300"/>
      <c r="E24" s="1300"/>
      <c r="F24" s="1300"/>
      <c r="G24" s="1300"/>
      <c r="H24" s="1300"/>
      <c r="I24" s="1300"/>
      <c r="J24" s="1300"/>
      <c r="K24" s="1300"/>
      <c r="L24" s="1300"/>
      <c r="M24" s="1300"/>
      <c r="N24" s="1300"/>
      <c r="O24" s="1300"/>
      <c r="P24" s="1300"/>
      <c r="Q24" s="1300"/>
      <c r="R24" s="1294"/>
      <c r="S24" s="1301"/>
      <c r="T24" s="1301"/>
      <c r="U24" s="1301"/>
      <c r="V24" s="1295"/>
      <c r="W24" s="1296"/>
      <c r="X24" s="1297"/>
      <c r="Y24" s="1302"/>
      <c r="Z24" s="1302"/>
      <c r="AA24" s="1302"/>
      <c r="AB24" s="1302"/>
      <c r="AC24" s="1302"/>
      <c r="AD24" s="1302"/>
      <c r="AE24" s="1302"/>
      <c r="AF24" s="1302"/>
      <c r="AG24" s="1302"/>
      <c r="AH24" s="1302"/>
      <c r="AI24" s="1302"/>
      <c r="AJ24" s="1302"/>
      <c r="AK24" s="1302"/>
      <c r="AL24" s="1302"/>
      <c r="AM24" s="1302"/>
      <c r="AN24" s="1302"/>
      <c r="AO24" s="1299"/>
      <c r="AP24" s="1299"/>
      <c r="AQ24" s="1299"/>
      <c r="AR24" s="1299"/>
      <c r="AS24" s="1299"/>
      <c r="AT24" s="1299"/>
      <c r="AU24" s="1299"/>
      <c r="AV24" s="1299"/>
      <c r="AW24" s="1299"/>
      <c r="AX24" s="1299"/>
      <c r="AY24" s="1299"/>
      <c r="AZ24" s="1299"/>
      <c r="BA24" s="1299"/>
      <c r="BB24" s="1299"/>
      <c r="BC24" s="1299"/>
      <c r="BD24" s="1298"/>
      <c r="BE24" s="1298"/>
      <c r="BF24" s="1299"/>
      <c r="BG24" s="1299"/>
      <c r="BH24" s="1299"/>
      <c r="BI24" s="1299"/>
      <c r="BJ24" s="1299"/>
      <c r="BK24" s="1299"/>
      <c r="BL24" s="1299"/>
      <c r="BM24" s="1299"/>
    </row>
    <row r="25" spans="1:254" x14ac:dyDescent="0.25">
      <c r="A25" s="1300"/>
      <c r="B25" s="1300"/>
      <c r="C25" s="1300"/>
      <c r="D25" s="1300"/>
      <c r="E25" s="1300"/>
      <c r="F25" s="1300"/>
      <c r="G25" s="1300"/>
      <c r="H25" s="1300"/>
      <c r="I25" s="1300"/>
      <c r="J25" s="1300"/>
      <c r="K25" s="1300"/>
      <c r="L25" s="1300"/>
      <c r="M25" s="1300"/>
      <c r="N25" s="1300"/>
      <c r="O25" s="1300"/>
      <c r="P25" s="1300"/>
      <c r="Q25" s="1300"/>
      <c r="R25" s="1294"/>
      <c r="S25" s="1301"/>
      <c r="T25" s="1301"/>
      <c r="U25" s="1301"/>
      <c r="V25" s="1295"/>
      <c r="W25" s="1296"/>
      <c r="X25" s="1297"/>
      <c r="Y25" s="1213"/>
      <c r="Z25" s="1298"/>
      <c r="AA25" s="1298"/>
      <c r="AB25" s="1298"/>
      <c r="AC25" s="1299"/>
      <c r="AD25" s="1299"/>
      <c r="AE25" s="1299"/>
      <c r="AF25" s="1299"/>
      <c r="AG25" s="1299"/>
      <c r="AH25" s="1299"/>
      <c r="AI25" s="1299"/>
      <c r="AJ25" s="1299"/>
      <c r="AK25" s="1299"/>
      <c r="AL25" s="1299"/>
      <c r="AM25" s="1299"/>
      <c r="AN25" s="1299"/>
      <c r="AO25" s="1299"/>
      <c r="AP25" s="1299"/>
      <c r="AQ25" s="1299"/>
      <c r="AR25" s="1299"/>
      <c r="AS25" s="1299"/>
      <c r="AT25" s="1299"/>
      <c r="AU25" s="1299"/>
      <c r="AV25" s="1299"/>
      <c r="AW25" s="1299"/>
      <c r="AX25" s="1299"/>
      <c r="AY25" s="1299"/>
      <c r="AZ25" s="1299"/>
      <c r="BA25" s="1299"/>
      <c r="BB25" s="1299"/>
      <c r="BC25" s="1299"/>
      <c r="BD25" s="1298"/>
      <c r="BE25" s="1298"/>
      <c r="BF25" s="1299"/>
      <c r="BG25" s="1299"/>
      <c r="BH25" s="1299"/>
      <c r="BI25" s="1299"/>
      <c r="BJ25" s="1299"/>
      <c r="BK25" s="1299"/>
      <c r="BL25" s="1299"/>
      <c r="BM25" s="1299"/>
    </row>
    <row r="26" spans="1:254" x14ac:dyDescent="0.25">
      <c r="A26" s="1300"/>
      <c r="B26" s="1300"/>
      <c r="C26" s="1300"/>
      <c r="D26" s="1300"/>
      <c r="E26" s="1300"/>
      <c r="F26" s="1300"/>
      <c r="G26" s="1300"/>
      <c r="H26" s="1300"/>
      <c r="I26" s="1300"/>
      <c r="J26" s="1300"/>
      <c r="K26" s="1300"/>
      <c r="L26" s="1300"/>
      <c r="M26" s="1300"/>
      <c r="N26" s="1300"/>
      <c r="O26" s="1300"/>
      <c r="P26" s="1300"/>
      <c r="Q26" s="1300"/>
      <c r="R26" s="1294"/>
      <c r="S26" s="1301"/>
      <c r="T26" s="1301"/>
      <c r="U26" s="1301"/>
      <c r="V26" s="1295"/>
      <c r="W26" s="1296"/>
      <c r="X26" s="1297"/>
      <c r="Y26" s="1302"/>
      <c r="Z26" s="1302"/>
      <c r="AA26" s="1302"/>
      <c r="AB26" s="1302"/>
      <c r="AC26" s="1302"/>
      <c r="AD26" s="1302"/>
      <c r="AE26" s="1302"/>
      <c r="AF26" s="1302"/>
      <c r="AG26" s="1302"/>
      <c r="AH26" s="1302"/>
      <c r="AI26" s="1302"/>
      <c r="AJ26" s="1302"/>
      <c r="AK26" s="1302"/>
      <c r="AL26" s="1302"/>
      <c r="AM26" s="1302"/>
      <c r="AN26" s="1302"/>
      <c r="AO26" s="1302"/>
      <c r="AP26" s="1299"/>
      <c r="AQ26" s="1299"/>
      <c r="AR26" s="1299"/>
      <c r="AS26" s="1299"/>
      <c r="AT26" s="1299"/>
      <c r="AU26" s="1299"/>
      <c r="AV26" s="1299"/>
      <c r="AW26" s="1299"/>
      <c r="AX26" s="1299"/>
      <c r="AY26" s="1299"/>
      <c r="AZ26" s="1299"/>
      <c r="BA26" s="1299"/>
      <c r="BB26" s="1299"/>
      <c r="BC26" s="1299"/>
      <c r="BD26" s="1298"/>
      <c r="BE26" s="1298"/>
      <c r="BF26" s="1299"/>
      <c r="BG26" s="1299"/>
      <c r="BH26" s="1299"/>
      <c r="BI26" s="1299"/>
      <c r="BJ26" s="1299"/>
      <c r="BK26" s="1299"/>
      <c r="BL26" s="1299"/>
      <c r="BM26" s="1299"/>
    </row>
    <row r="27" spans="1:254" x14ac:dyDescent="0.25">
      <c r="J27" s="1304"/>
      <c r="K27" s="1305"/>
      <c r="L27" s="1306"/>
      <c r="M27" s="1307"/>
      <c r="N27" s="1306"/>
      <c r="O27" s="1306"/>
      <c r="P27" s="1306"/>
      <c r="Q27" s="1307"/>
      <c r="R27" s="1308"/>
      <c r="S27" s="1306"/>
      <c r="T27" s="1305"/>
      <c r="U27" s="1305"/>
      <c r="V27" s="1309">
        <v>1758473039</v>
      </c>
    </row>
    <row r="28" spans="1:254" x14ac:dyDescent="0.25">
      <c r="J28" s="1304"/>
      <c r="K28" s="1305"/>
      <c r="L28" s="1306"/>
      <c r="M28" s="2781" t="s">
        <v>1171</v>
      </c>
      <c r="N28" s="2781"/>
      <c r="O28" s="2781"/>
      <c r="P28" s="2781"/>
      <c r="Q28" s="2781"/>
      <c r="R28" s="2781"/>
      <c r="S28" s="2781"/>
      <c r="T28" s="1305"/>
      <c r="U28" s="1305"/>
      <c r="V28" s="1309"/>
    </row>
    <row r="29" spans="1:254" x14ac:dyDescent="0.25">
      <c r="J29" s="1304"/>
      <c r="K29" s="1305"/>
      <c r="L29" s="1306"/>
      <c r="M29" s="2782" t="s">
        <v>1172</v>
      </c>
      <c r="N29" s="2782"/>
      <c r="O29" s="2782"/>
      <c r="P29" s="2782"/>
      <c r="Q29" s="2782"/>
      <c r="R29" s="2782"/>
      <c r="S29" s="2782"/>
      <c r="T29" s="1305"/>
      <c r="U29" s="1305"/>
      <c r="V29" s="1309"/>
    </row>
  </sheetData>
  <sheetProtection password="A60F" sheet="1" objects="1" scenarios="1"/>
  <mergeCells count="121">
    <mergeCell ref="L7:L8"/>
    <mergeCell ref="M7:M8"/>
    <mergeCell ref="N7:N8"/>
    <mergeCell ref="O7:O8"/>
    <mergeCell ref="A1:AO4"/>
    <mergeCell ref="A5:M6"/>
    <mergeCell ref="N5:AQ5"/>
    <mergeCell ref="Y6:AM6"/>
    <mergeCell ref="A7:A8"/>
    <mergeCell ref="B7:C8"/>
    <mergeCell ref="D7:D8"/>
    <mergeCell ref="E7:F8"/>
    <mergeCell ref="G7:G8"/>
    <mergeCell ref="H7:I8"/>
    <mergeCell ref="AN7:AN8"/>
    <mergeCell ref="AO7:AO8"/>
    <mergeCell ref="AP7:AP8"/>
    <mergeCell ref="AQ7:AQ8"/>
    <mergeCell ref="J12:J13"/>
    <mergeCell ref="K12:K13"/>
    <mergeCell ref="L12:L13"/>
    <mergeCell ref="M12:M13"/>
    <mergeCell ref="N12:N18"/>
    <mergeCell ref="O12:O18"/>
    <mergeCell ref="V7:V8"/>
    <mergeCell ref="X7:X8"/>
    <mergeCell ref="Y7:Z7"/>
    <mergeCell ref="AA7:AD7"/>
    <mergeCell ref="AE7:AJ7"/>
    <mergeCell ref="AK7:AM7"/>
    <mergeCell ref="P7:P8"/>
    <mergeCell ref="Q7:Q8"/>
    <mergeCell ref="R7:R8"/>
    <mergeCell ref="S7:S8"/>
    <mergeCell ref="T7:T8"/>
    <mergeCell ref="U7:U8"/>
    <mergeCell ref="J7:J8"/>
    <mergeCell ref="K7:K8"/>
    <mergeCell ref="AQ12:AQ18"/>
    <mergeCell ref="B14:C14"/>
    <mergeCell ref="E14:F14"/>
    <mergeCell ref="H14:I14"/>
    <mergeCell ref="J14:J15"/>
    <mergeCell ref="K14:K15"/>
    <mergeCell ref="L14:L15"/>
    <mergeCell ref="M14:M15"/>
    <mergeCell ref="Q14:Q15"/>
    <mergeCell ref="T14:T15"/>
    <mergeCell ref="AK12:AK18"/>
    <mergeCell ref="AL12:AL18"/>
    <mergeCell ref="AM12:AM18"/>
    <mergeCell ref="AN12:AN18"/>
    <mergeCell ref="AO12:AO18"/>
    <mergeCell ref="AP12:AP18"/>
    <mergeCell ref="AE12:AE18"/>
    <mergeCell ref="AF12:AF18"/>
    <mergeCell ref="AG12:AG18"/>
    <mergeCell ref="AH12:AH18"/>
    <mergeCell ref="AI12:AI18"/>
    <mergeCell ref="AJ12:AJ18"/>
    <mergeCell ref="Y12:Y18"/>
    <mergeCell ref="Z12:Z18"/>
    <mergeCell ref="B19:C19"/>
    <mergeCell ref="E19:F19"/>
    <mergeCell ref="H19:I19"/>
    <mergeCell ref="N19:N21"/>
    <mergeCell ref="O19:O21"/>
    <mergeCell ref="P19:P21"/>
    <mergeCell ref="R19:R21"/>
    <mergeCell ref="J16:J18"/>
    <mergeCell ref="K16:K18"/>
    <mergeCell ref="L16:L18"/>
    <mergeCell ref="M16:M18"/>
    <mergeCell ref="Q16:Q18"/>
    <mergeCell ref="P12:P18"/>
    <mergeCell ref="Q12:Q13"/>
    <mergeCell ref="R12:R18"/>
    <mergeCell ref="AI19:AI21"/>
    <mergeCell ref="S19:S21"/>
    <mergeCell ref="Y19:Y21"/>
    <mergeCell ref="Z19:Z21"/>
    <mergeCell ref="AA19:AA21"/>
    <mergeCell ref="AB19:AB21"/>
    <mergeCell ref="AC19:AC21"/>
    <mergeCell ref="V16:V18"/>
    <mergeCell ref="W16:W18"/>
    <mergeCell ref="X16:X18"/>
    <mergeCell ref="T16:T18"/>
    <mergeCell ref="AA12:AA18"/>
    <mergeCell ref="AB12:AB18"/>
    <mergeCell ref="AC12:AC18"/>
    <mergeCell ref="AD12:AD18"/>
    <mergeCell ref="S12:S18"/>
    <mergeCell ref="T12:T13"/>
    <mergeCell ref="U12:U13"/>
    <mergeCell ref="U14:U15"/>
    <mergeCell ref="U16:U18"/>
    <mergeCell ref="A23:Q23"/>
    <mergeCell ref="S23:U23"/>
    <mergeCell ref="M28:S28"/>
    <mergeCell ref="M29:S29"/>
    <mergeCell ref="AP19:AP21"/>
    <mergeCell ref="AQ19:AQ21"/>
    <mergeCell ref="J20:J21"/>
    <mergeCell ref="K20:K21"/>
    <mergeCell ref="L20:L21"/>
    <mergeCell ref="M20:M21"/>
    <mergeCell ref="Q20:Q21"/>
    <mergeCell ref="T20:T21"/>
    <mergeCell ref="U20:U21"/>
    <mergeCell ref="AJ19:AJ21"/>
    <mergeCell ref="AK19:AK21"/>
    <mergeCell ref="AL19:AL21"/>
    <mergeCell ref="AM19:AM21"/>
    <mergeCell ref="AN19:AN21"/>
    <mergeCell ref="AO19:AO21"/>
    <mergeCell ref="AD19:AD21"/>
    <mergeCell ref="AE19:AE21"/>
    <mergeCell ref="AF19:AF21"/>
    <mergeCell ref="AG19:AG21"/>
    <mergeCell ref="AH19:AH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showGridLines="0" topLeftCell="N1" zoomScale="70" zoomScaleNormal="70" workbookViewId="0">
      <selection activeCell="N7" sqref="N7:N9"/>
    </sheetView>
  </sheetViews>
  <sheetFormatPr baseColWidth="10" defaultColWidth="11.42578125" defaultRowHeight="14.25" x14ac:dyDescent="0.2"/>
  <cols>
    <col min="1" max="1" width="15.28515625" style="399" customWidth="1"/>
    <col min="2" max="2" width="12.140625" style="399" customWidth="1"/>
    <col min="3" max="3" width="4.7109375" style="399" customWidth="1"/>
    <col min="4" max="4" width="14.5703125" style="399" customWidth="1"/>
    <col min="5" max="5" width="12.28515625" style="399" customWidth="1"/>
    <col min="6" max="6" width="4.28515625" style="399" customWidth="1"/>
    <col min="7" max="7" width="14.5703125" style="399" customWidth="1"/>
    <col min="8" max="8" width="2.28515625" style="399" customWidth="1"/>
    <col min="9" max="9" width="15.5703125" style="399" customWidth="1"/>
    <col min="10" max="10" width="11.7109375" style="399" customWidth="1"/>
    <col min="11" max="11" width="33.85546875" style="399" customWidth="1"/>
    <col min="12" max="12" width="33.28515625" style="399" customWidth="1"/>
    <col min="13" max="13" width="12.85546875" style="399" customWidth="1"/>
    <col min="14" max="14" width="37.85546875" style="590" customWidth="1"/>
    <col min="15" max="15" width="21.140625" style="399" bestFit="1" customWidth="1"/>
    <col min="16" max="16" width="27.85546875" style="399" customWidth="1"/>
    <col min="17" max="17" width="16.7109375" style="399" customWidth="1"/>
    <col min="18" max="18" width="28.7109375" style="399" customWidth="1"/>
    <col min="19" max="19" width="28.28515625" style="399" customWidth="1"/>
    <col min="20" max="20" width="90.7109375" style="399" customWidth="1"/>
    <col min="21" max="21" width="40.85546875" style="399" customWidth="1"/>
    <col min="22" max="22" width="31.5703125" style="399" customWidth="1"/>
    <col min="23" max="23" width="10.7109375" style="399" customWidth="1"/>
    <col min="24" max="24" width="34" style="399" bestFit="1" customWidth="1"/>
    <col min="25" max="25" width="11.28515625" style="399" customWidth="1"/>
    <col min="26" max="26" width="10.7109375" style="399" bestFit="1" customWidth="1"/>
    <col min="27" max="27" width="10.85546875" style="399" customWidth="1"/>
    <col min="28" max="28" width="9.5703125" style="399" bestFit="1" customWidth="1"/>
    <col min="29" max="29" width="10.140625" style="399" bestFit="1" customWidth="1"/>
    <col min="30" max="30" width="8" style="399" bestFit="1" customWidth="1"/>
    <col min="31" max="31" width="11" style="399" customWidth="1"/>
    <col min="32" max="32" width="7.7109375" style="399" bestFit="1" customWidth="1"/>
    <col min="33" max="33" width="8.28515625" style="399" customWidth="1"/>
    <col min="34" max="39" width="8.7109375" style="399" customWidth="1"/>
    <col min="40" max="40" width="11.28515625" style="399" customWidth="1"/>
    <col min="41" max="41" width="16.140625" style="399" customWidth="1"/>
    <col min="42" max="42" width="14.7109375" style="399" customWidth="1"/>
    <col min="43" max="43" width="16" style="399" customWidth="1"/>
    <col min="44" max="44" width="19.85546875" style="399" customWidth="1"/>
    <col min="45" max="57" width="14.85546875" style="399" customWidth="1"/>
    <col min="58" max="16384" width="11.42578125" style="399"/>
  </cols>
  <sheetData>
    <row r="1" spans="1:44" ht="15" customHeight="1" x14ac:dyDescent="0.25">
      <c r="A1" s="2991" t="s">
        <v>322</v>
      </c>
      <c r="B1" s="2992"/>
      <c r="C1" s="2992"/>
      <c r="D1" s="2992"/>
      <c r="E1" s="2992"/>
      <c r="F1" s="2992"/>
      <c r="G1" s="2992"/>
      <c r="H1" s="2992"/>
      <c r="I1" s="2992"/>
      <c r="J1" s="2992"/>
      <c r="K1" s="2992"/>
      <c r="L1" s="2992"/>
      <c r="M1" s="2992"/>
      <c r="N1" s="2992"/>
      <c r="O1" s="2992"/>
      <c r="P1" s="2992"/>
      <c r="Q1" s="2992"/>
      <c r="R1" s="2992"/>
      <c r="S1" s="2992"/>
      <c r="T1" s="2992"/>
      <c r="U1" s="2992"/>
      <c r="V1" s="2992"/>
      <c r="W1" s="2992"/>
      <c r="X1" s="2992"/>
      <c r="Y1" s="2992"/>
      <c r="Z1" s="2992"/>
      <c r="AA1" s="2992"/>
      <c r="AB1" s="2992"/>
      <c r="AC1" s="2992"/>
      <c r="AD1" s="2992"/>
      <c r="AE1" s="2992"/>
      <c r="AF1" s="2992"/>
      <c r="AG1" s="2992"/>
      <c r="AH1" s="2992"/>
      <c r="AI1" s="2992"/>
      <c r="AJ1" s="2992"/>
      <c r="AK1" s="2992"/>
      <c r="AL1" s="2992"/>
      <c r="AM1" s="2992"/>
      <c r="AN1" s="2992"/>
      <c r="AO1" s="2992"/>
      <c r="AP1" s="2992"/>
      <c r="AQ1" s="398" t="s">
        <v>1</v>
      </c>
      <c r="AR1" s="398" t="s">
        <v>2</v>
      </c>
    </row>
    <row r="2" spans="1:44" ht="15" x14ac:dyDescent="0.25">
      <c r="A2" s="2991"/>
      <c r="B2" s="2992"/>
      <c r="C2" s="2992"/>
      <c r="D2" s="2992"/>
      <c r="E2" s="2992"/>
      <c r="F2" s="2992"/>
      <c r="G2" s="2992"/>
      <c r="H2" s="2992"/>
      <c r="I2" s="2992"/>
      <c r="J2" s="2992"/>
      <c r="K2" s="2992"/>
      <c r="L2" s="2992"/>
      <c r="M2" s="2992"/>
      <c r="N2" s="2992"/>
      <c r="O2" s="2992"/>
      <c r="P2" s="2992"/>
      <c r="Q2" s="2992"/>
      <c r="R2" s="2992"/>
      <c r="S2" s="2992"/>
      <c r="T2" s="2992"/>
      <c r="U2" s="2992"/>
      <c r="V2" s="2992"/>
      <c r="W2" s="2992"/>
      <c r="X2" s="2992"/>
      <c r="Y2" s="2992"/>
      <c r="Z2" s="2992"/>
      <c r="AA2" s="2992"/>
      <c r="AB2" s="2992"/>
      <c r="AC2" s="2992"/>
      <c r="AD2" s="2992"/>
      <c r="AE2" s="2992"/>
      <c r="AF2" s="2992"/>
      <c r="AG2" s="2992"/>
      <c r="AH2" s="2992"/>
      <c r="AI2" s="2992"/>
      <c r="AJ2" s="2992"/>
      <c r="AK2" s="2992"/>
      <c r="AL2" s="2992"/>
      <c r="AM2" s="2992"/>
      <c r="AN2" s="2992"/>
      <c r="AO2" s="2992"/>
      <c r="AP2" s="2992"/>
      <c r="AQ2" s="400" t="s">
        <v>3</v>
      </c>
      <c r="AR2" s="401">
        <v>6</v>
      </c>
    </row>
    <row r="3" spans="1:44" ht="15" x14ac:dyDescent="0.25">
      <c r="A3" s="2991"/>
      <c r="B3" s="2992"/>
      <c r="C3" s="2992"/>
      <c r="D3" s="2992"/>
      <c r="E3" s="2992"/>
      <c r="F3" s="2992"/>
      <c r="G3" s="2992"/>
      <c r="H3" s="2992"/>
      <c r="I3" s="2992"/>
      <c r="J3" s="2992"/>
      <c r="K3" s="2992"/>
      <c r="L3" s="2992"/>
      <c r="M3" s="2992"/>
      <c r="N3" s="2992"/>
      <c r="O3" s="2992"/>
      <c r="P3" s="2992"/>
      <c r="Q3" s="2992"/>
      <c r="R3" s="2992"/>
      <c r="S3" s="2992"/>
      <c r="T3" s="2992"/>
      <c r="U3" s="2992"/>
      <c r="V3" s="2992"/>
      <c r="W3" s="2992"/>
      <c r="X3" s="2992"/>
      <c r="Y3" s="2992"/>
      <c r="Z3" s="2992"/>
      <c r="AA3" s="2992"/>
      <c r="AB3" s="2992"/>
      <c r="AC3" s="2992"/>
      <c r="AD3" s="2992"/>
      <c r="AE3" s="2992"/>
      <c r="AF3" s="2992"/>
      <c r="AG3" s="2992"/>
      <c r="AH3" s="2992"/>
      <c r="AI3" s="2992"/>
      <c r="AJ3" s="2992"/>
      <c r="AK3" s="2992"/>
      <c r="AL3" s="2992"/>
      <c r="AM3" s="2992"/>
      <c r="AN3" s="2992"/>
      <c r="AO3" s="2992"/>
      <c r="AP3" s="2992"/>
      <c r="AQ3" s="398" t="s">
        <v>5</v>
      </c>
      <c r="AR3" s="402" t="s">
        <v>6</v>
      </c>
    </row>
    <row r="4" spans="1:44" s="405" customFormat="1" ht="15" x14ac:dyDescent="0.2">
      <c r="A4" s="2991"/>
      <c r="B4" s="2992"/>
      <c r="C4" s="2992"/>
      <c r="D4" s="2992"/>
      <c r="E4" s="2992"/>
      <c r="F4" s="2992"/>
      <c r="G4" s="2992"/>
      <c r="H4" s="2992"/>
      <c r="I4" s="2992"/>
      <c r="J4" s="2992"/>
      <c r="K4" s="2992"/>
      <c r="L4" s="2992"/>
      <c r="M4" s="2992"/>
      <c r="N4" s="2992"/>
      <c r="O4" s="2992"/>
      <c r="P4" s="2992"/>
      <c r="Q4" s="2992"/>
      <c r="R4" s="2992"/>
      <c r="S4" s="2992"/>
      <c r="T4" s="2992"/>
      <c r="U4" s="2992"/>
      <c r="V4" s="2992"/>
      <c r="W4" s="2992"/>
      <c r="X4" s="2992"/>
      <c r="Y4" s="2992"/>
      <c r="Z4" s="2992"/>
      <c r="AA4" s="2992"/>
      <c r="AB4" s="2992"/>
      <c r="AC4" s="2992"/>
      <c r="AD4" s="2992"/>
      <c r="AE4" s="2992"/>
      <c r="AF4" s="2992"/>
      <c r="AG4" s="2992"/>
      <c r="AH4" s="2992"/>
      <c r="AI4" s="2992"/>
      <c r="AJ4" s="2992"/>
      <c r="AK4" s="2992"/>
      <c r="AL4" s="2992"/>
      <c r="AM4" s="2992"/>
      <c r="AN4" s="2992"/>
      <c r="AO4" s="2992"/>
      <c r="AP4" s="2992"/>
      <c r="AQ4" s="403" t="s">
        <v>7</v>
      </c>
      <c r="AR4" s="404" t="s">
        <v>323</v>
      </c>
    </row>
    <row r="5" spans="1:44" ht="15" x14ac:dyDescent="0.2">
      <c r="A5" s="2993"/>
      <c r="B5" s="2994"/>
      <c r="C5" s="2994"/>
      <c r="D5" s="2994"/>
      <c r="E5" s="2994"/>
      <c r="F5" s="2994"/>
      <c r="G5" s="2994"/>
      <c r="H5" s="2994"/>
      <c r="I5" s="2994"/>
      <c r="J5" s="2994"/>
      <c r="K5" s="2994"/>
      <c r="L5" s="2994"/>
      <c r="M5" s="2994"/>
      <c r="N5" s="2994"/>
      <c r="O5" s="2994"/>
      <c r="P5" s="2994"/>
      <c r="Q5" s="2994"/>
      <c r="R5" s="2994"/>
      <c r="S5" s="2994"/>
      <c r="T5" s="2994"/>
      <c r="U5" s="2994"/>
      <c r="V5" s="2994"/>
      <c r="W5" s="2994"/>
      <c r="X5" s="2994"/>
      <c r="Y5" s="2994"/>
      <c r="Z5" s="2994"/>
      <c r="AA5" s="2994"/>
      <c r="AB5" s="2994"/>
      <c r="AC5" s="2994"/>
      <c r="AD5" s="2994"/>
      <c r="AE5" s="2994"/>
      <c r="AF5" s="2994"/>
      <c r="AG5" s="2994"/>
      <c r="AH5" s="2994"/>
      <c r="AI5" s="2994"/>
      <c r="AJ5" s="2994"/>
      <c r="AK5" s="2994"/>
      <c r="AL5" s="2994"/>
      <c r="AM5" s="2994"/>
      <c r="AN5" s="2994"/>
      <c r="AO5" s="2994"/>
      <c r="AP5" s="2994"/>
      <c r="AQ5" s="406"/>
      <c r="AR5" s="406"/>
    </row>
    <row r="6" spans="1:44" ht="29.25" customHeight="1" x14ac:dyDescent="0.2">
      <c r="A6" s="2995" t="s">
        <v>9</v>
      </c>
      <c r="B6" s="2996"/>
      <c r="C6" s="2996"/>
      <c r="D6" s="2996"/>
      <c r="E6" s="2996"/>
      <c r="F6" s="2996"/>
      <c r="G6" s="2996"/>
      <c r="H6" s="2996"/>
      <c r="I6" s="2996"/>
      <c r="J6" s="2996"/>
      <c r="K6" s="2996"/>
      <c r="L6" s="2996"/>
      <c r="M6" s="2996"/>
      <c r="N6" s="2995"/>
      <c r="O6" s="2996"/>
      <c r="P6" s="2996"/>
      <c r="Q6" s="2996"/>
      <c r="R6" s="2996"/>
      <c r="S6" s="2996"/>
      <c r="T6" s="2996"/>
      <c r="U6" s="2996"/>
      <c r="V6" s="2996"/>
      <c r="W6" s="2996"/>
      <c r="X6" s="2996"/>
      <c r="Y6" s="2996"/>
      <c r="Z6" s="2996"/>
      <c r="AA6" s="2996"/>
      <c r="AB6" s="2996"/>
      <c r="AC6" s="2996"/>
      <c r="AD6" s="2996"/>
      <c r="AE6" s="2996"/>
      <c r="AF6" s="2996"/>
      <c r="AG6" s="2996"/>
      <c r="AH6" s="2996"/>
      <c r="AI6" s="2996"/>
      <c r="AJ6" s="2996"/>
      <c r="AK6" s="2996"/>
      <c r="AL6" s="2996"/>
      <c r="AM6" s="2996"/>
      <c r="AN6" s="2996"/>
      <c r="AO6" s="2996"/>
      <c r="AP6" s="2996"/>
      <c r="AQ6" s="2996"/>
      <c r="AR6" s="2997"/>
    </row>
    <row r="7" spans="1:44" s="407" customFormat="1" ht="20.25" customHeight="1" x14ac:dyDescent="0.2">
      <c r="A7" s="2989" t="s">
        <v>12</v>
      </c>
      <c r="B7" s="2772" t="s">
        <v>13</v>
      </c>
      <c r="C7" s="2998"/>
      <c r="D7" s="2989" t="s">
        <v>12</v>
      </c>
      <c r="E7" s="2772" t="s">
        <v>14</v>
      </c>
      <c r="F7" s="2998"/>
      <c r="G7" s="2772" t="s">
        <v>12</v>
      </c>
      <c r="H7" s="2998"/>
      <c r="I7" s="2772" t="s">
        <v>12</v>
      </c>
      <c r="J7" s="2998"/>
      <c r="K7" s="2989" t="s">
        <v>16</v>
      </c>
      <c r="L7" s="2989" t="s">
        <v>17</v>
      </c>
      <c r="M7" s="2990" t="s">
        <v>18</v>
      </c>
      <c r="N7" s="2975" t="s">
        <v>19</v>
      </c>
      <c r="O7" s="2987" t="s">
        <v>324</v>
      </c>
      <c r="P7" s="2975" t="s">
        <v>10</v>
      </c>
      <c r="Q7" s="2975" t="s">
        <v>21</v>
      </c>
      <c r="R7" s="2975" t="s">
        <v>22</v>
      </c>
      <c r="S7" s="2975" t="s">
        <v>23</v>
      </c>
      <c r="T7" s="2975" t="s">
        <v>24</v>
      </c>
      <c r="U7" s="2975" t="s">
        <v>25</v>
      </c>
      <c r="V7" s="2985" t="s">
        <v>22</v>
      </c>
      <c r="W7" s="2987" t="s">
        <v>12</v>
      </c>
      <c r="X7" s="2975" t="s">
        <v>26</v>
      </c>
      <c r="Y7" s="2977" t="s">
        <v>27</v>
      </c>
      <c r="Z7" s="2978"/>
      <c r="AA7" s="2979" t="s">
        <v>28</v>
      </c>
      <c r="AB7" s="2980"/>
      <c r="AC7" s="2980"/>
      <c r="AD7" s="2980"/>
      <c r="AE7" s="2979" t="s">
        <v>29</v>
      </c>
      <c r="AF7" s="2980"/>
      <c r="AG7" s="2980"/>
      <c r="AH7" s="2980"/>
      <c r="AI7" s="2980"/>
      <c r="AJ7" s="2980"/>
      <c r="AK7" s="2981" t="s">
        <v>30</v>
      </c>
      <c r="AL7" s="2982"/>
      <c r="AM7" s="2982"/>
      <c r="AN7" s="2983" t="s">
        <v>31</v>
      </c>
      <c r="AO7" s="2967" t="s">
        <v>32</v>
      </c>
      <c r="AP7" s="2968"/>
      <c r="AQ7" s="2967" t="s">
        <v>33</v>
      </c>
      <c r="AR7" s="2971" t="s">
        <v>34</v>
      </c>
    </row>
    <row r="8" spans="1:44" s="407" customFormat="1" ht="96.75" customHeight="1" x14ac:dyDescent="0.2">
      <c r="A8" s="2975"/>
      <c r="B8" s="2999"/>
      <c r="C8" s="3000"/>
      <c r="D8" s="2975"/>
      <c r="E8" s="2999"/>
      <c r="F8" s="3000"/>
      <c r="G8" s="2999"/>
      <c r="H8" s="3000"/>
      <c r="I8" s="2999"/>
      <c r="J8" s="3000"/>
      <c r="K8" s="2975"/>
      <c r="L8" s="2975"/>
      <c r="M8" s="2986"/>
      <c r="N8" s="2975"/>
      <c r="O8" s="2987"/>
      <c r="P8" s="2975"/>
      <c r="Q8" s="2975"/>
      <c r="R8" s="2975"/>
      <c r="S8" s="2975"/>
      <c r="T8" s="2975"/>
      <c r="U8" s="2975"/>
      <c r="V8" s="2986"/>
      <c r="W8" s="2987"/>
      <c r="X8" s="2975"/>
      <c r="Y8" s="408" t="s">
        <v>35</v>
      </c>
      <c r="Z8" s="409" t="s">
        <v>36</v>
      </c>
      <c r="AA8" s="408" t="s">
        <v>37</v>
      </c>
      <c r="AB8" s="408" t="s">
        <v>118</v>
      </c>
      <c r="AC8" s="408" t="s">
        <v>325</v>
      </c>
      <c r="AD8" s="408" t="s">
        <v>120</v>
      </c>
      <c r="AE8" s="408" t="s">
        <v>41</v>
      </c>
      <c r="AF8" s="408" t="s">
        <v>42</v>
      </c>
      <c r="AG8" s="408" t="s">
        <v>43</v>
      </c>
      <c r="AH8" s="408" t="s">
        <v>44</v>
      </c>
      <c r="AI8" s="408" t="s">
        <v>45</v>
      </c>
      <c r="AJ8" s="408" t="s">
        <v>46</v>
      </c>
      <c r="AK8" s="408" t="s">
        <v>47</v>
      </c>
      <c r="AL8" s="408" t="s">
        <v>48</v>
      </c>
      <c r="AM8" s="408" t="s">
        <v>49</v>
      </c>
      <c r="AN8" s="2984"/>
      <c r="AO8" s="2969"/>
      <c r="AP8" s="2970"/>
      <c r="AQ8" s="2969"/>
      <c r="AR8" s="2971"/>
    </row>
    <row r="9" spans="1:44" s="413" customFormat="1" ht="38.25" customHeight="1" x14ac:dyDescent="0.2">
      <c r="A9" s="2976"/>
      <c r="B9" s="2773"/>
      <c r="C9" s="3001"/>
      <c r="D9" s="2976"/>
      <c r="E9" s="2773"/>
      <c r="F9" s="3001"/>
      <c r="G9" s="2773"/>
      <c r="H9" s="3001"/>
      <c r="I9" s="2773"/>
      <c r="J9" s="3001"/>
      <c r="K9" s="2976"/>
      <c r="L9" s="2976"/>
      <c r="M9" s="410" t="s">
        <v>326</v>
      </c>
      <c r="N9" s="2976"/>
      <c r="O9" s="2988"/>
      <c r="P9" s="2976"/>
      <c r="Q9" s="2976"/>
      <c r="R9" s="2976"/>
      <c r="S9" s="2976"/>
      <c r="T9" s="2976"/>
      <c r="U9" s="2976"/>
      <c r="V9" s="411" t="s">
        <v>327</v>
      </c>
      <c r="W9" s="2988"/>
      <c r="X9" s="2976"/>
      <c r="Y9" s="411" t="s">
        <v>326</v>
      </c>
      <c r="Z9" s="411" t="s">
        <v>326</v>
      </c>
      <c r="AA9" s="411" t="s">
        <v>326</v>
      </c>
      <c r="AB9" s="411" t="s">
        <v>326</v>
      </c>
      <c r="AC9" s="411" t="s">
        <v>326</v>
      </c>
      <c r="AD9" s="411" t="s">
        <v>326</v>
      </c>
      <c r="AE9" s="411" t="s">
        <v>326</v>
      </c>
      <c r="AF9" s="411" t="s">
        <v>326</v>
      </c>
      <c r="AG9" s="411" t="s">
        <v>326</v>
      </c>
      <c r="AH9" s="411" t="s">
        <v>326</v>
      </c>
      <c r="AI9" s="411" t="s">
        <v>326</v>
      </c>
      <c r="AJ9" s="411" t="s">
        <v>326</v>
      </c>
      <c r="AK9" s="411" t="s">
        <v>326</v>
      </c>
      <c r="AL9" s="411" t="s">
        <v>326</v>
      </c>
      <c r="AM9" s="411" t="s">
        <v>326</v>
      </c>
      <c r="AN9" s="411" t="s">
        <v>326</v>
      </c>
      <c r="AO9" s="412" t="s">
        <v>326</v>
      </c>
      <c r="AP9" s="412" t="s">
        <v>328</v>
      </c>
      <c r="AQ9" s="412" t="s">
        <v>326</v>
      </c>
      <c r="AR9" s="2753"/>
    </row>
    <row r="10" spans="1:44" ht="15" x14ac:dyDescent="0.2">
      <c r="A10" s="414">
        <v>1</v>
      </c>
      <c r="B10" s="415" t="s">
        <v>121</v>
      </c>
      <c r="C10" s="416"/>
      <c r="D10" s="416"/>
      <c r="E10" s="416"/>
      <c r="F10" s="417"/>
      <c r="G10" s="417"/>
      <c r="H10" s="417"/>
      <c r="I10" s="417"/>
      <c r="J10" s="417"/>
      <c r="K10" s="417"/>
      <c r="L10" s="417"/>
      <c r="M10" s="417"/>
      <c r="N10" s="418"/>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9"/>
    </row>
    <row r="11" spans="1:44" ht="20.25" customHeight="1" x14ac:dyDescent="0.2">
      <c r="A11" s="420"/>
      <c r="B11" s="421"/>
      <c r="C11" s="422"/>
      <c r="D11" s="423">
        <v>1</v>
      </c>
      <c r="E11" s="424" t="s">
        <v>329</v>
      </c>
      <c r="F11" s="425"/>
      <c r="G11" s="425"/>
      <c r="H11" s="426"/>
      <c r="I11" s="427"/>
      <c r="J11" s="425"/>
      <c r="K11" s="425"/>
      <c r="L11" s="425"/>
      <c r="M11" s="425"/>
      <c r="N11" s="423"/>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row>
    <row r="12" spans="1:44" ht="23.25" customHeight="1" x14ac:dyDescent="0.2">
      <c r="A12" s="428"/>
      <c r="B12" s="429"/>
      <c r="C12" s="430"/>
      <c r="D12" s="420"/>
      <c r="E12" s="421"/>
      <c r="F12" s="422"/>
      <c r="G12" s="431">
        <v>2</v>
      </c>
      <c r="H12" s="432" t="s">
        <v>330</v>
      </c>
      <c r="I12" s="433"/>
      <c r="J12" s="433"/>
      <c r="K12" s="433"/>
      <c r="L12" s="433"/>
      <c r="M12" s="433"/>
      <c r="N12" s="431"/>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row>
    <row r="13" spans="1:44" ht="81" customHeight="1" x14ac:dyDescent="0.2">
      <c r="A13" s="428"/>
      <c r="B13" s="429"/>
      <c r="C13" s="430"/>
      <c r="D13" s="428"/>
      <c r="E13" s="429"/>
      <c r="F13" s="430"/>
      <c r="G13" s="420"/>
      <c r="H13" s="421"/>
      <c r="I13" s="422"/>
      <c r="J13" s="2875">
        <v>9</v>
      </c>
      <c r="K13" s="2873" t="s">
        <v>331</v>
      </c>
      <c r="L13" s="2873" t="s">
        <v>332</v>
      </c>
      <c r="M13" s="2972">
        <v>5</v>
      </c>
      <c r="N13" s="2875" t="s">
        <v>333</v>
      </c>
      <c r="O13" s="2875" t="s">
        <v>334</v>
      </c>
      <c r="P13" s="2873" t="s">
        <v>335</v>
      </c>
      <c r="Q13" s="2950">
        <f>SUM(V13:V16)/R13</f>
        <v>1</v>
      </c>
      <c r="R13" s="2893">
        <f>SUM(V13:V16)</f>
        <v>2440979994</v>
      </c>
      <c r="S13" s="2873" t="s">
        <v>336</v>
      </c>
      <c r="T13" s="2793" t="s">
        <v>337</v>
      </c>
      <c r="U13" s="2499" t="s">
        <v>338</v>
      </c>
      <c r="V13" s="434">
        <f>2000000000</f>
        <v>2000000000</v>
      </c>
      <c r="W13" s="435" t="s">
        <v>339</v>
      </c>
      <c r="X13" s="436" t="s">
        <v>340</v>
      </c>
      <c r="Y13" s="2954">
        <v>294321</v>
      </c>
      <c r="Z13" s="2954">
        <v>283947</v>
      </c>
      <c r="AA13" s="2954">
        <v>135754</v>
      </c>
      <c r="AB13" s="2954">
        <v>44640</v>
      </c>
      <c r="AC13" s="2954">
        <v>308178</v>
      </c>
      <c r="AD13" s="2954">
        <v>89696</v>
      </c>
      <c r="AE13" s="2954">
        <v>2145</v>
      </c>
      <c r="AF13" s="2954">
        <v>12718</v>
      </c>
      <c r="AG13" s="2954">
        <v>26</v>
      </c>
      <c r="AH13" s="2954">
        <v>37</v>
      </c>
      <c r="AI13" s="2954">
        <v>0</v>
      </c>
      <c r="AJ13" s="2954">
        <v>0</v>
      </c>
      <c r="AK13" s="2954">
        <v>54612</v>
      </c>
      <c r="AL13" s="2954">
        <v>21944</v>
      </c>
      <c r="AM13" s="2954">
        <v>1010</v>
      </c>
      <c r="AN13" s="2954">
        <v>578268</v>
      </c>
      <c r="AO13" s="2944">
        <v>43538</v>
      </c>
      <c r="AP13" s="2944">
        <v>43538</v>
      </c>
      <c r="AQ13" s="2944">
        <v>43629</v>
      </c>
      <c r="AR13" s="2946" t="s">
        <v>341</v>
      </c>
    </row>
    <row r="14" spans="1:44" ht="39" customHeight="1" x14ac:dyDescent="0.2">
      <c r="A14" s="428"/>
      <c r="B14" s="429"/>
      <c r="C14" s="430"/>
      <c r="D14" s="428"/>
      <c r="E14" s="429"/>
      <c r="F14" s="430"/>
      <c r="G14" s="428"/>
      <c r="H14" s="429"/>
      <c r="I14" s="430"/>
      <c r="J14" s="2942"/>
      <c r="K14" s="2920"/>
      <c r="L14" s="2920"/>
      <c r="M14" s="2973"/>
      <c r="N14" s="2942"/>
      <c r="O14" s="2942"/>
      <c r="P14" s="2920"/>
      <c r="Q14" s="2951"/>
      <c r="R14" s="2922"/>
      <c r="S14" s="2920"/>
      <c r="T14" s="2964"/>
      <c r="U14" s="2632"/>
      <c r="V14" s="434">
        <v>4200000</v>
      </c>
      <c r="W14" s="437">
        <v>27</v>
      </c>
      <c r="X14" s="436" t="s">
        <v>342</v>
      </c>
      <c r="Y14" s="2965"/>
      <c r="Z14" s="2965"/>
      <c r="AA14" s="2965"/>
      <c r="AB14" s="2965"/>
      <c r="AC14" s="2965"/>
      <c r="AD14" s="2965"/>
      <c r="AE14" s="2965"/>
      <c r="AF14" s="2965"/>
      <c r="AG14" s="2965"/>
      <c r="AH14" s="2965"/>
      <c r="AI14" s="2965"/>
      <c r="AJ14" s="2965"/>
      <c r="AK14" s="2965"/>
      <c r="AL14" s="2965"/>
      <c r="AM14" s="2965"/>
      <c r="AN14" s="2965"/>
      <c r="AO14" s="2966"/>
      <c r="AP14" s="2966"/>
      <c r="AQ14" s="2966"/>
      <c r="AR14" s="2963"/>
    </row>
    <row r="15" spans="1:44" ht="39" customHeight="1" x14ac:dyDescent="0.2">
      <c r="A15" s="428"/>
      <c r="B15" s="429"/>
      <c r="C15" s="430"/>
      <c r="D15" s="428"/>
      <c r="E15" s="429"/>
      <c r="F15" s="430"/>
      <c r="G15" s="428"/>
      <c r="H15" s="429"/>
      <c r="I15" s="430"/>
      <c r="J15" s="2942"/>
      <c r="K15" s="2920"/>
      <c r="L15" s="2920"/>
      <c r="M15" s="2973"/>
      <c r="N15" s="2942"/>
      <c r="O15" s="2942"/>
      <c r="P15" s="2920"/>
      <c r="Q15" s="2951"/>
      <c r="R15" s="2922"/>
      <c r="S15" s="2920"/>
      <c r="T15" s="2793" t="s">
        <v>343</v>
      </c>
      <c r="U15" s="2632"/>
      <c r="V15" s="434">
        <v>425000000</v>
      </c>
      <c r="W15" s="435" t="s">
        <v>344</v>
      </c>
      <c r="X15" s="436" t="s">
        <v>345</v>
      </c>
      <c r="Y15" s="2965"/>
      <c r="Z15" s="2965"/>
      <c r="AA15" s="2965"/>
      <c r="AB15" s="2965"/>
      <c r="AC15" s="2965"/>
      <c r="AD15" s="2965"/>
      <c r="AE15" s="2965"/>
      <c r="AF15" s="2965"/>
      <c r="AG15" s="2965"/>
      <c r="AH15" s="2965"/>
      <c r="AI15" s="2965"/>
      <c r="AJ15" s="2965"/>
      <c r="AK15" s="2965"/>
      <c r="AL15" s="2965"/>
      <c r="AM15" s="2965"/>
      <c r="AN15" s="2965"/>
      <c r="AO15" s="2966"/>
      <c r="AP15" s="2966"/>
      <c r="AQ15" s="2966"/>
      <c r="AR15" s="2963"/>
    </row>
    <row r="16" spans="1:44" ht="39" customHeight="1" x14ac:dyDescent="0.2">
      <c r="A16" s="428"/>
      <c r="B16" s="429"/>
      <c r="C16" s="430"/>
      <c r="D16" s="428"/>
      <c r="E16" s="429"/>
      <c r="F16" s="430"/>
      <c r="G16" s="428"/>
      <c r="H16" s="429"/>
      <c r="I16" s="430"/>
      <c r="J16" s="2876"/>
      <c r="K16" s="2874"/>
      <c r="L16" s="2874"/>
      <c r="M16" s="2974"/>
      <c r="N16" s="2876"/>
      <c r="O16" s="2876"/>
      <c r="P16" s="2874"/>
      <c r="Q16" s="2952"/>
      <c r="R16" s="2894"/>
      <c r="S16" s="2874"/>
      <c r="T16" s="2964"/>
      <c r="U16" s="2500"/>
      <c r="V16" s="434">
        <v>11779994</v>
      </c>
      <c r="W16" s="437">
        <v>90</v>
      </c>
      <c r="X16" s="436" t="s">
        <v>346</v>
      </c>
      <c r="Y16" s="2959"/>
      <c r="Z16" s="2959"/>
      <c r="AA16" s="2959"/>
      <c r="AB16" s="2959"/>
      <c r="AC16" s="2959"/>
      <c r="AD16" s="2959"/>
      <c r="AE16" s="2959"/>
      <c r="AF16" s="2959"/>
      <c r="AG16" s="2959"/>
      <c r="AH16" s="2959"/>
      <c r="AI16" s="2959"/>
      <c r="AJ16" s="2959"/>
      <c r="AK16" s="2959"/>
      <c r="AL16" s="2959"/>
      <c r="AM16" s="2959"/>
      <c r="AN16" s="2959"/>
      <c r="AO16" s="2962"/>
      <c r="AP16" s="2962"/>
      <c r="AQ16" s="2962"/>
      <c r="AR16" s="2958"/>
    </row>
    <row r="17" spans="1:44" ht="105.75" customHeight="1" x14ac:dyDescent="0.2">
      <c r="A17" s="428"/>
      <c r="B17" s="429"/>
      <c r="C17" s="430"/>
      <c r="D17" s="428"/>
      <c r="E17" s="429"/>
      <c r="F17" s="430"/>
      <c r="G17" s="428"/>
      <c r="H17" s="429"/>
      <c r="I17" s="430"/>
      <c r="J17" s="2875">
        <v>9</v>
      </c>
      <c r="K17" s="2873" t="s">
        <v>331</v>
      </c>
      <c r="L17" s="2873" t="s">
        <v>332</v>
      </c>
      <c r="M17" s="2875">
        <v>5</v>
      </c>
      <c r="N17" s="2875" t="s">
        <v>347</v>
      </c>
      <c r="O17" s="2875" t="s">
        <v>348</v>
      </c>
      <c r="P17" s="2873" t="s">
        <v>349</v>
      </c>
      <c r="Q17" s="2950">
        <f>+(V17)/R17</f>
        <v>1</v>
      </c>
      <c r="R17" s="2893">
        <f>SUM(V17)</f>
        <v>1105246431</v>
      </c>
      <c r="S17" s="2873" t="s">
        <v>350</v>
      </c>
      <c r="T17" s="438" t="s">
        <v>351</v>
      </c>
      <c r="U17" s="2499" t="s">
        <v>352</v>
      </c>
      <c r="V17" s="2893">
        <v>1105246431</v>
      </c>
      <c r="W17" s="2947">
        <v>27</v>
      </c>
      <c r="X17" s="2875" t="s">
        <v>353</v>
      </c>
      <c r="Y17" s="2954">
        <v>294321</v>
      </c>
      <c r="Z17" s="2954">
        <v>283947</v>
      </c>
      <c r="AA17" s="2954">
        <v>135754</v>
      </c>
      <c r="AB17" s="2954">
        <v>44640</v>
      </c>
      <c r="AC17" s="2954">
        <v>308178</v>
      </c>
      <c r="AD17" s="2954">
        <v>89696</v>
      </c>
      <c r="AE17" s="2954">
        <v>2145</v>
      </c>
      <c r="AF17" s="2954">
        <v>12718</v>
      </c>
      <c r="AG17" s="2954">
        <v>26</v>
      </c>
      <c r="AH17" s="2954">
        <v>37</v>
      </c>
      <c r="AI17" s="2954">
        <v>0</v>
      </c>
      <c r="AJ17" s="2954">
        <v>0</v>
      </c>
      <c r="AK17" s="2954">
        <v>54612</v>
      </c>
      <c r="AL17" s="2954">
        <v>21944</v>
      </c>
      <c r="AM17" s="2954">
        <v>1010</v>
      </c>
      <c r="AN17" s="2954">
        <v>578268</v>
      </c>
      <c r="AO17" s="2944">
        <v>43467</v>
      </c>
      <c r="AP17" s="2944">
        <v>43830</v>
      </c>
      <c r="AQ17" s="2944">
        <v>43467</v>
      </c>
      <c r="AR17" s="2946" t="s">
        <v>341</v>
      </c>
    </row>
    <row r="18" spans="1:44" ht="84" customHeight="1" x14ac:dyDescent="0.2">
      <c r="A18" s="428"/>
      <c r="B18" s="429"/>
      <c r="C18" s="430"/>
      <c r="D18" s="428"/>
      <c r="E18" s="429"/>
      <c r="F18" s="430"/>
      <c r="G18" s="428"/>
      <c r="H18" s="429"/>
      <c r="I18" s="430"/>
      <c r="J18" s="2876"/>
      <c r="K18" s="2874"/>
      <c r="L18" s="2874"/>
      <c r="M18" s="2876"/>
      <c r="N18" s="2876"/>
      <c r="O18" s="2876"/>
      <c r="P18" s="2874"/>
      <c r="Q18" s="2951"/>
      <c r="R18" s="2922"/>
      <c r="S18" s="2874"/>
      <c r="T18" s="438" t="s">
        <v>354</v>
      </c>
      <c r="U18" s="2500"/>
      <c r="V18" s="2894"/>
      <c r="W18" s="2949"/>
      <c r="X18" s="2876"/>
      <c r="Y18" s="2959"/>
      <c r="Z18" s="2959"/>
      <c r="AA18" s="2959"/>
      <c r="AB18" s="2959"/>
      <c r="AC18" s="2959"/>
      <c r="AD18" s="2959"/>
      <c r="AE18" s="2959"/>
      <c r="AF18" s="2959"/>
      <c r="AG18" s="2959"/>
      <c r="AH18" s="2959"/>
      <c r="AI18" s="2959"/>
      <c r="AJ18" s="2959"/>
      <c r="AK18" s="2959"/>
      <c r="AL18" s="2959"/>
      <c r="AM18" s="2959"/>
      <c r="AN18" s="2959"/>
      <c r="AO18" s="2962"/>
      <c r="AP18" s="2962"/>
      <c r="AQ18" s="2962"/>
      <c r="AR18" s="2958"/>
    </row>
    <row r="19" spans="1:44" ht="84" customHeight="1" x14ac:dyDescent="0.2">
      <c r="A19" s="428"/>
      <c r="B19" s="429"/>
      <c r="C19" s="430"/>
      <c r="D19" s="428"/>
      <c r="E19" s="429"/>
      <c r="F19" s="430"/>
      <c r="G19" s="428"/>
      <c r="H19" s="429"/>
      <c r="I19" s="430"/>
      <c r="J19" s="2875">
        <v>10</v>
      </c>
      <c r="K19" s="2873" t="s">
        <v>355</v>
      </c>
      <c r="L19" s="2873" t="s">
        <v>356</v>
      </c>
      <c r="M19" s="2875">
        <v>5</v>
      </c>
      <c r="N19" s="2875" t="s">
        <v>357</v>
      </c>
      <c r="O19" s="2875" t="s">
        <v>358</v>
      </c>
      <c r="P19" s="2873" t="s">
        <v>359</v>
      </c>
      <c r="Q19" s="2950">
        <f>+(V19)/R19</f>
        <v>1</v>
      </c>
      <c r="R19" s="2893">
        <f>SUM(V19)</f>
        <v>80000000</v>
      </c>
      <c r="S19" s="2873" t="s">
        <v>360</v>
      </c>
      <c r="T19" s="330" t="s">
        <v>361</v>
      </c>
      <c r="U19" s="2873" t="s">
        <v>362</v>
      </c>
      <c r="V19" s="2893">
        <v>80000000</v>
      </c>
      <c r="W19" s="2947">
        <v>27</v>
      </c>
      <c r="X19" s="2875" t="s">
        <v>353</v>
      </c>
      <c r="Y19" s="2954">
        <v>294321</v>
      </c>
      <c r="Z19" s="2954">
        <v>283947</v>
      </c>
      <c r="AA19" s="2954">
        <v>135754</v>
      </c>
      <c r="AB19" s="2954">
        <v>44640</v>
      </c>
      <c r="AC19" s="2954">
        <v>308178</v>
      </c>
      <c r="AD19" s="2954">
        <v>89696</v>
      </c>
      <c r="AE19" s="2954">
        <v>2145</v>
      </c>
      <c r="AF19" s="2954">
        <v>12718</v>
      </c>
      <c r="AG19" s="2954">
        <v>26</v>
      </c>
      <c r="AH19" s="2954">
        <v>37</v>
      </c>
      <c r="AI19" s="2954">
        <v>0</v>
      </c>
      <c r="AJ19" s="2954">
        <v>0</v>
      </c>
      <c r="AK19" s="2954">
        <v>54612</v>
      </c>
      <c r="AL19" s="2954">
        <v>21944</v>
      </c>
      <c r="AM19" s="2954">
        <v>1010</v>
      </c>
      <c r="AN19" s="2954">
        <v>578268</v>
      </c>
      <c r="AO19" s="2956">
        <v>43467</v>
      </c>
      <c r="AP19" s="2956">
        <v>43830</v>
      </c>
      <c r="AQ19" s="2956">
        <v>43467</v>
      </c>
      <c r="AR19" s="2946" t="s">
        <v>341</v>
      </c>
    </row>
    <row r="20" spans="1:44" ht="84" customHeight="1" x14ac:dyDescent="0.2">
      <c r="A20" s="428"/>
      <c r="B20" s="429"/>
      <c r="C20" s="430"/>
      <c r="D20" s="428"/>
      <c r="E20" s="429"/>
      <c r="F20" s="430"/>
      <c r="G20" s="428"/>
      <c r="H20" s="429"/>
      <c r="I20" s="430"/>
      <c r="J20" s="2876"/>
      <c r="K20" s="2874"/>
      <c r="L20" s="2874"/>
      <c r="M20" s="2876"/>
      <c r="N20" s="2876"/>
      <c r="O20" s="2876"/>
      <c r="P20" s="2874"/>
      <c r="Q20" s="2951"/>
      <c r="R20" s="2894"/>
      <c r="S20" s="2874"/>
      <c r="T20" s="330" t="s">
        <v>363</v>
      </c>
      <c r="U20" s="2874"/>
      <c r="V20" s="2894"/>
      <c r="W20" s="2949"/>
      <c r="X20" s="2876"/>
      <c r="Y20" s="2959"/>
      <c r="Z20" s="2959"/>
      <c r="AA20" s="2959"/>
      <c r="AB20" s="2959"/>
      <c r="AC20" s="2959"/>
      <c r="AD20" s="2959"/>
      <c r="AE20" s="2959"/>
      <c r="AF20" s="2959"/>
      <c r="AG20" s="2959"/>
      <c r="AH20" s="2959"/>
      <c r="AI20" s="2959"/>
      <c r="AJ20" s="2959"/>
      <c r="AK20" s="2959"/>
      <c r="AL20" s="2959"/>
      <c r="AM20" s="2959"/>
      <c r="AN20" s="2959"/>
      <c r="AO20" s="2957"/>
      <c r="AP20" s="2957"/>
      <c r="AQ20" s="2957"/>
      <c r="AR20" s="2958"/>
    </row>
    <row r="21" spans="1:44" ht="273" customHeight="1" x14ac:dyDescent="0.2">
      <c r="A21" s="428"/>
      <c r="B21" s="429"/>
      <c r="C21" s="430"/>
      <c r="D21" s="428"/>
      <c r="E21" s="429"/>
      <c r="F21" s="430"/>
      <c r="G21" s="428"/>
      <c r="H21" s="429"/>
      <c r="I21" s="430"/>
      <c r="J21" s="436">
        <v>11</v>
      </c>
      <c r="K21" s="330" t="s">
        <v>364</v>
      </c>
      <c r="L21" s="330" t="s">
        <v>365</v>
      </c>
      <c r="M21" s="436">
        <v>1</v>
      </c>
      <c r="N21" s="436" t="s">
        <v>366</v>
      </c>
      <c r="O21" s="330" t="s">
        <v>367</v>
      </c>
      <c r="P21" s="330" t="s">
        <v>368</v>
      </c>
      <c r="Q21" s="439">
        <f>+(V21)/R21</f>
        <v>1</v>
      </c>
      <c r="R21" s="434">
        <f>SUM(V21)</f>
        <v>230000000</v>
      </c>
      <c r="S21" s="330" t="s">
        <v>369</v>
      </c>
      <c r="T21" s="330" t="s">
        <v>370</v>
      </c>
      <c r="U21" s="330" t="s">
        <v>371</v>
      </c>
      <c r="V21" s="440">
        <v>230000000</v>
      </c>
      <c r="W21" s="437">
        <v>27</v>
      </c>
      <c r="X21" s="330" t="s">
        <v>342</v>
      </c>
      <c r="Y21" s="441">
        <v>294321</v>
      </c>
      <c r="Z21" s="441">
        <v>283947</v>
      </c>
      <c r="AA21" s="441">
        <v>135754</v>
      </c>
      <c r="AB21" s="441">
        <v>44640</v>
      </c>
      <c r="AC21" s="441">
        <v>308178</v>
      </c>
      <c r="AD21" s="441">
        <v>89696</v>
      </c>
      <c r="AE21" s="441">
        <v>2145</v>
      </c>
      <c r="AF21" s="441">
        <v>12718</v>
      </c>
      <c r="AG21" s="441">
        <v>26</v>
      </c>
      <c r="AH21" s="441">
        <v>37</v>
      </c>
      <c r="AI21" s="441">
        <v>0</v>
      </c>
      <c r="AJ21" s="441">
        <v>0</v>
      </c>
      <c r="AK21" s="441">
        <v>54612</v>
      </c>
      <c r="AL21" s="441">
        <v>21944</v>
      </c>
      <c r="AM21" s="441">
        <v>1010</v>
      </c>
      <c r="AN21" s="441">
        <v>578268</v>
      </c>
      <c r="AO21" s="442">
        <v>43467</v>
      </c>
      <c r="AP21" s="442">
        <v>43830</v>
      </c>
      <c r="AQ21" s="442">
        <v>43467</v>
      </c>
      <c r="AR21" s="220" t="s">
        <v>341</v>
      </c>
    </row>
    <row r="22" spans="1:44" ht="85.5" customHeight="1" x14ac:dyDescent="0.2">
      <c r="A22" s="428"/>
      <c r="B22" s="429"/>
      <c r="C22" s="430"/>
      <c r="D22" s="428"/>
      <c r="E22" s="429"/>
      <c r="F22" s="430"/>
      <c r="G22" s="428"/>
      <c r="H22" s="429"/>
      <c r="I22" s="430"/>
      <c r="J22" s="2875">
        <v>12</v>
      </c>
      <c r="K22" s="2873" t="s">
        <v>372</v>
      </c>
      <c r="L22" s="2873" t="s">
        <v>373</v>
      </c>
      <c r="M22" s="2875">
        <v>3</v>
      </c>
      <c r="N22" s="2875" t="s">
        <v>374</v>
      </c>
      <c r="O22" s="2875" t="s">
        <v>375</v>
      </c>
      <c r="P22" s="2873" t="s">
        <v>376</v>
      </c>
      <c r="Q22" s="2960">
        <f>SUM(V22:V23)/R22</f>
        <v>1</v>
      </c>
      <c r="R22" s="2893">
        <f>SUM(V22:V23)</f>
        <v>1190000000</v>
      </c>
      <c r="S22" s="2873" t="s">
        <v>377</v>
      </c>
      <c r="T22" s="330" t="s">
        <v>378</v>
      </c>
      <c r="U22" s="330" t="s">
        <v>379</v>
      </c>
      <c r="V22" s="440">
        <v>440000000</v>
      </c>
      <c r="W22" s="437">
        <v>27</v>
      </c>
      <c r="X22" s="443" t="s">
        <v>342</v>
      </c>
      <c r="Y22" s="2954">
        <v>294321</v>
      </c>
      <c r="Z22" s="2954">
        <v>283947</v>
      </c>
      <c r="AA22" s="2954">
        <v>135754</v>
      </c>
      <c r="AB22" s="2954">
        <v>44640</v>
      </c>
      <c r="AC22" s="2954">
        <v>308178</v>
      </c>
      <c r="AD22" s="2954">
        <v>89696</v>
      </c>
      <c r="AE22" s="2954">
        <v>2145</v>
      </c>
      <c r="AF22" s="2954">
        <v>12718</v>
      </c>
      <c r="AG22" s="2954">
        <v>26</v>
      </c>
      <c r="AH22" s="2954">
        <v>37</v>
      </c>
      <c r="AI22" s="2954">
        <v>0</v>
      </c>
      <c r="AJ22" s="2954">
        <v>0</v>
      </c>
      <c r="AK22" s="2954">
        <v>54612</v>
      </c>
      <c r="AL22" s="2954">
        <v>21944</v>
      </c>
      <c r="AM22" s="2954">
        <v>1010</v>
      </c>
      <c r="AN22" s="2954">
        <v>578268</v>
      </c>
      <c r="AO22" s="2956">
        <v>43467</v>
      </c>
      <c r="AP22" s="2956">
        <v>43830</v>
      </c>
      <c r="AQ22" s="2956">
        <v>43467</v>
      </c>
      <c r="AR22" s="2946" t="s">
        <v>341</v>
      </c>
    </row>
    <row r="23" spans="1:44" ht="85.5" customHeight="1" x14ac:dyDescent="0.2">
      <c r="A23" s="444"/>
      <c r="B23" s="445"/>
      <c r="C23" s="446"/>
      <c r="D23" s="444"/>
      <c r="E23" s="445"/>
      <c r="F23" s="446"/>
      <c r="G23" s="444"/>
      <c r="H23" s="445"/>
      <c r="I23" s="446"/>
      <c r="J23" s="2876"/>
      <c r="K23" s="2874"/>
      <c r="L23" s="2874"/>
      <c r="M23" s="2876"/>
      <c r="N23" s="2876"/>
      <c r="O23" s="2876"/>
      <c r="P23" s="2874"/>
      <c r="Q23" s="2961"/>
      <c r="R23" s="2894"/>
      <c r="S23" s="2874"/>
      <c r="T23" s="330" t="s">
        <v>380</v>
      </c>
      <c r="U23" s="330" t="s">
        <v>381</v>
      </c>
      <c r="V23" s="447">
        <v>750000000</v>
      </c>
      <c r="W23" s="437">
        <v>27</v>
      </c>
      <c r="X23" s="443" t="s">
        <v>342</v>
      </c>
      <c r="Y23" s="2959"/>
      <c r="Z23" s="2959"/>
      <c r="AA23" s="2959"/>
      <c r="AB23" s="2959"/>
      <c r="AC23" s="2959"/>
      <c r="AD23" s="2959"/>
      <c r="AE23" s="2959"/>
      <c r="AF23" s="2959"/>
      <c r="AG23" s="2959"/>
      <c r="AH23" s="2959"/>
      <c r="AI23" s="2959"/>
      <c r="AJ23" s="2959"/>
      <c r="AK23" s="2959"/>
      <c r="AL23" s="2959"/>
      <c r="AM23" s="2959"/>
      <c r="AN23" s="2959"/>
      <c r="AO23" s="2957"/>
      <c r="AP23" s="2957"/>
      <c r="AQ23" s="2957"/>
      <c r="AR23" s="2958"/>
    </row>
    <row r="24" spans="1:44" ht="27" customHeight="1" x14ac:dyDescent="0.2">
      <c r="A24" s="448" t="s">
        <v>382</v>
      </c>
      <c r="B24" s="449" t="s">
        <v>383</v>
      </c>
      <c r="C24" s="449"/>
      <c r="D24" s="449"/>
      <c r="E24" s="449"/>
      <c r="F24" s="450"/>
      <c r="G24" s="451"/>
      <c r="H24" s="452"/>
      <c r="I24" s="452"/>
      <c r="J24" s="453"/>
      <c r="K24" s="453"/>
      <c r="L24" s="453"/>
      <c r="M24" s="454"/>
      <c r="N24" s="454"/>
      <c r="O24" s="453"/>
      <c r="P24" s="453"/>
      <c r="Q24" s="455"/>
      <c r="R24" s="456"/>
      <c r="S24" s="452"/>
      <c r="T24" s="453"/>
      <c r="U24" s="457"/>
      <c r="V24" s="458"/>
      <c r="W24" s="459"/>
      <c r="X24" s="459"/>
      <c r="Y24" s="459"/>
      <c r="Z24" s="459"/>
      <c r="AA24" s="459"/>
      <c r="AB24" s="459"/>
      <c r="AC24" s="459"/>
      <c r="AD24" s="460"/>
      <c r="AE24" s="461"/>
      <c r="AF24" s="462"/>
      <c r="AG24" s="463"/>
      <c r="AH24" s="464"/>
      <c r="AI24" s="464"/>
      <c r="AJ24" s="464"/>
      <c r="AK24" s="464"/>
      <c r="AL24" s="464"/>
      <c r="AM24" s="464"/>
      <c r="AN24" s="464"/>
      <c r="AO24" s="464"/>
      <c r="AP24" s="464"/>
      <c r="AQ24" s="464"/>
      <c r="AR24" s="465"/>
    </row>
    <row r="25" spans="1:44" ht="27" customHeight="1" x14ac:dyDescent="0.2">
      <c r="A25" s="2875" t="s">
        <v>384</v>
      </c>
      <c r="B25" s="2929"/>
      <c r="C25" s="2933"/>
      <c r="D25" s="466" t="s">
        <v>385</v>
      </c>
      <c r="E25" s="467" t="s">
        <v>386</v>
      </c>
      <c r="F25" s="467"/>
      <c r="G25" s="467"/>
      <c r="H25" s="467"/>
      <c r="I25" s="467"/>
      <c r="J25" s="467"/>
      <c r="K25" s="468"/>
      <c r="L25" s="468"/>
      <c r="M25" s="469"/>
      <c r="N25" s="469"/>
      <c r="O25" s="470"/>
      <c r="P25" s="470"/>
      <c r="Q25" s="471"/>
      <c r="R25" s="472"/>
      <c r="S25" s="470"/>
      <c r="T25" s="470"/>
      <c r="U25" s="473"/>
      <c r="V25" s="474"/>
      <c r="W25" s="475"/>
      <c r="X25" s="475"/>
      <c r="Y25" s="475"/>
      <c r="Z25" s="475"/>
      <c r="AA25" s="475"/>
      <c r="AB25" s="475"/>
      <c r="AC25" s="475"/>
      <c r="AD25" s="476"/>
      <c r="AE25" s="477"/>
      <c r="AF25" s="478"/>
      <c r="AG25" s="479"/>
      <c r="AH25" s="480"/>
      <c r="AI25" s="480"/>
      <c r="AJ25" s="480"/>
      <c r="AK25" s="480"/>
      <c r="AL25" s="480"/>
      <c r="AM25" s="480"/>
      <c r="AN25" s="480"/>
      <c r="AO25" s="480"/>
      <c r="AP25" s="480"/>
      <c r="AQ25" s="480"/>
      <c r="AR25" s="481"/>
    </row>
    <row r="26" spans="1:44" ht="27" customHeight="1" thickBot="1" x14ac:dyDescent="0.25">
      <c r="A26" s="2942"/>
      <c r="B26" s="2930"/>
      <c r="C26" s="2935"/>
      <c r="D26" s="2929" t="s">
        <v>384</v>
      </c>
      <c r="E26" s="2932"/>
      <c r="F26" s="2933"/>
      <c r="G26" s="482" t="s">
        <v>387</v>
      </c>
      <c r="H26" s="483" t="s">
        <v>388</v>
      </c>
      <c r="I26" s="483"/>
      <c r="J26" s="483"/>
      <c r="K26" s="484"/>
      <c r="L26" s="484"/>
      <c r="M26" s="485"/>
      <c r="N26" s="486"/>
      <c r="O26" s="484"/>
      <c r="P26" s="484"/>
      <c r="Q26" s="487"/>
      <c r="R26" s="488"/>
      <c r="S26" s="484"/>
      <c r="T26" s="489"/>
      <c r="U26" s="490"/>
      <c r="V26" s="491"/>
      <c r="W26" s="483"/>
      <c r="X26" s="483"/>
      <c r="Y26" s="483"/>
      <c r="Z26" s="483"/>
      <c r="AA26" s="483"/>
      <c r="AB26" s="483"/>
      <c r="AC26" s="483"/>
      <c r="AD26" s="492"/>
      <c r="AE26" s="493"/>
      <c r="AF26" s="494"/>
      <c r="AG26" s="495"/>
      <c r="AH26" s="496"/>
      <c r="AI26" s="496"/>
      <c r="AJ26" s="496"/>
      <c r="AK26" s="496"/>
      <c r="AL26" s="496"/>
      <c r="AM26" s="496"/>
      <c r="AN26" s="496"/>
      <c r="AO26" s="496"/>
      <c r="AP26" s="496"/>
      <c r="AQ26" s="496"/>
      <c r="AR26" s="497"/>
    </row>
    <row r="27" spans="1:44" ht="45" customHeight="1" x14ac:dyDescent="0.2">
      <c r="A27" s="2942"/>
      <c r="B27" s="2930"/>
      <c r="C27" s="2935"/>
      <c r="D27" s="2930"/>
      <c r="E27" s="2934"/>
      <c r="F27" s="2935"/>
      <c r="G27" s="498" t="s">
        <v>384</v>
      </c>
      <c r="H27" s="499"/>
      <c r="I27" s="500"/>
      <c r="J27" s="2947">
        <v>54</v>
      </c>
      <c r="K27" s="2873" t="s">
        <v>389</v>
      </c>
      <c r="L27" s="2873" t="s">
        <v>390</v>
      </c>
      <c r="M27" s="2875">
        <v>130</v>
      </c>
      <c r="N27" s="501"/>
      <c r="O27" s="2875" t="s">
        <v>391</v>
      </c>
      <c r="P27" s="2873" t="s">
        <v>392</v>
      </c>
      <c r="Q27" s="2950">
        <f>SUM(V27:V31)/R27</f>
        <v>0.76394159316709997</v>
      </c>
      <c r="R27" s="2893">
        <f>SUM(V27:V36)</f>
        <v>5687551670</v>
      </c>
      <c r="S27" s="2873" t="s">
        <v>393</v>
      </c>
      <c r="T27" s="2923" t="s">
        <v>394</v>
      </c>
      <c r="U27" s="502" t="s">
        <v>395</v>
      </c>
      <c r="V27" s="503">
        <v>266273502</v>
      </c>
      <c r="W27" s="504">
        <v>23</v>
      </c>
      <c r="X27" s="505" t="s">
        <v>396</v>
      </c>
      <c r="Y27" s="2953">
        <v>294321</v>
      </c>
      <c r="Z27" s="2953">
        <v>283947</v>
      </c>
      <c r="AA27" s="2953">
        <v>135754</v>
      </c>
      <c r="AB27" s="2953">
        <v>44640</v>
      </c>
      <c r="AC27" s="2953">
        <v>308178</v>
      </c>
      <c r="AD27" s="2953"/>
      <c r="AE27" s="2953">
        <v>2145</v>
      </c>
      <c r="AF27" s="2953">
        <v>12718</v>
      </c>
      <c r="AG27" s="2953">
        <v>26</v>
      </c>
      <c r="AH27" s="2953">
        <v>0</v>
      </c>
      <c r="AI27" s="2953">
        <v>0</v>
      </c>
      <c r="AJ27" s="2953">
        <v>0</v>
      </c>
      <c r="AK27" s="2953">
        <v>54612</v>
      </c>
      <c r="AL27" s="2953">
        <v>21944</v>
      </c>
      <c r="AM27" s="2953">
        <v>1010</v>
      </c>
      <c r="AN27" s="2953">
        <v>578268</v>
      </c>
      <c r="AO27" s="2943">
        <v>43467</v>
      </c>
      <c r="AP27" s="2943">
        <v>43466</v>
      </c>
      <c r="AQ27" s="2943" t="s">
        <v>397</v>
      </c>
      <c r="AR27" s="2945" t="s">
        <v>341</v>
      </c>
    </row>
    <row r="28" spans="1:44" ht="45" customHeight="1" x14ac:dyDescent="0.2">
      <c r="A28" s="2942"/>
      <c r="B28" s="2930"/>
      <c r="C28" s="2935"/>
      <c r="D28" s="2930"/>
      <c r="E28" s="2934"/>
      <c r="F28" s="2935"/>
      <c r="G28" s="506"/>
      <c r="H28" s="507"/>
      <c r="I28" s="508"/>
      <c r="J28" s="2948"/>
      <c r="K28" s="2920"/>
      <c r="L28" s="2920"/>
      <c r="M28" s="2942"/>
      <c r="N28" s="509"/>
      <c r="O28" s="2942"/>
      <c r="P28" s="2920"/>
      <c r="Q28" s="2951"/>
      <c r="R28" s="2922"/>
      <c r="S28" s="2920"/>
      <c r="T28" s="2924"/>
      <c r="U28" s="510" t="s">
        <v>398</v>
      </c>
      <c r="V28" s="440">
        <v>193300000</v>
      </c>
      <c r="W28" s="511">
        <v>23</v>
      </c>
      <c r="X28" s="512" t="s">
        <v>396</v>
      </c>
      <c r="Y28" s="2953"/>
      <c r="Z28" s="2953"/>
      <c r="AA28" s="2953"/>
      <c r="AB28" s="2953"/>
      <c r="AC28" s="2953"/>
      <c r="AD28" s="2953"/>
      <c r="AE28" s="2953"/>
      <c r="AF28" s="2953"/>
      <c r="AG28" s="2953"/>
      <c r="AH28" s="2953"/>
      <c r="AI28" s="2953"/>
      <c r="AJ28" s="2953"/>
      <c r="AK28" s="2953"/>
      <c r="AL28" s="2953"/>
      <c r="AM28" s="2953"/>
      <c r="AN28" s="2953"/>
      <c r="AO28" s="2943"/>
      <c r="AP28" s="2943"/>
      <c r="AQ28" s="2943"/>
      <c r="AR28" s="2945"/>
    </row>
    <row r="29" spans="1:44" ht="32.25" customHeight="1" x14ac:dyDescent="0.2">
      <c r="A29" s="2942"/>
      <c r="B29" s="2930"/>
      <c r="C29" s="2935"/>
      <c r="D29" s="2930"/>
      <c r="E29" s="2934"/>
      <c r="F29" s="2935"/>
      <c r="G29" s="506"/>
      <c r="H29" s="507"/>
      <c r="I29" s="508"/>
      <c r="J29" s="2948"/>
      <c r="K29" s="2920"/>
      <c r="L29" s="2920"/>
      <c r="M29" s="2942"/>
      <c r="N29" s="509" t="s">
        <v>399</v>
      </c>
      <c r="O29" s="2942"/>
      <c r="P29" s="2920"/>
      <c r="Q29" s="2951"/>
      <c r="R29" s="2922"/>
      <c r="S29" s="2920"/>
      <c r="T29" s="2924"/>
      <c r="U29" s="2885" t="s">
        <v>400</v>
      </c>
      <c r="V29" s="440">
        <v>2000000000</v>
      </c>
      <c r="W29" s="511">
        <v>46</v>
      </c>
      <c r="X29" s="512" t="s">
        <v>401</v>
      </c>
      <c r="Y29" s="2953"/>
      <c r="Z29" s="2953"/>
      <c r="AA29" s="2953"/>
      <c r="AB29" s="2953"/>
      <c r="AC29" s="2953"/>
      <c r="AD29" s="2953"/>
      <c r="AE29" s="2953"/>
      <c r="AF29" s="2953"/>
      <c r="AG29" s="2953"/>
      <c r="AH29" s="2953"/>
      <c r="AI29" s="2953"/>
      <c r="AJ29" s="2953"/>
      <c r="AK29" s="2953"/>
      <c r="AL29" s="2953"/>
      <c r="AM29" s="2953"/>
      <c r="AN29" s="2953"/>
      <c r="AO29" s="2943"/>
      <c r="AP29" s="2943"/>
      <c r="AQ29" s="2943"/>
      <c r="AR29" s="2945"/>
    </row>
    <row r="30" spans="1:44" ht="48.75" customHeight="1" x14ac:dyDescent="0.2">
      <c r="A30" s="2942"/>
      <c r="B30" s="2930"/>
      <c r="C30" s="2935"/>
      <c r="D30" s="2930"/>
      <c r="E30" s="2934"/>
      <c r="F30" s="2935"/>
      <c r="G30" s="506"/>
      <c r="H30" s="507"/>
      <c r="I30" s="508"/>
      <c r="J30" s="2948"/>
      <c r="K30" s="2920"/>
      <c r="L30" s="2920"/>
      <c r="M30" s="2942"/>
      <c r="N30" s="509" t="s">
        <v>402</v>
      </c>
      <c r="O30" s="2942"/>
      <c r="P30" s="2920"/>
      <c r="Q30" s="2951"/>
      <c r="R30" s="2922"/>
      <c r="S30" s="2920"/>
      <c r="T30" s="2924"/>
      <c r="U30" s="2886"/>
      <c r="V30" s="440">
        <v>1565383782</v>
      </c>
      <c r="W30" s="511">
        <v>157</v>
      </c>
      <c r="X30" s="512" t="s">
        <v>403</v>
      </c>
      <c r="Y30" s="2953"/>
      <c r="Z30" s="2953"/>
      <c r="AA30" s="2953"/>
      <c r="AB30" s="2953"/>
      <c r="AC30" s="2953"/>
      <c r="AD30" s="2953"/>
      <c r="AE30" s="2953"/>
      <c r="AF30" s="2953"/>
      <c r="AG30" s="2953"/>
      <c r="AH30" s="2953"/>
      <c r="AI30" s="2953"/>
      <c r="AJ30" s="2953"/>
      <c r="AK30" s="2953"/>
      <c r="AL30" s="2953"/>
      <c r="AM30" s="2953"/>
      <c r="AN30" s="2953"/>
      <c r="AO30" s="2943"/>
      <c r="AP30" s="2943"/>
      <c r="AQ30" s="2943"/>
      <c r="AR30" s="2945"/>
    </row>
    <row r="31" spans="1:44" ht="56.25" customHeight="1" thickBot="1" x14ac:dyDescent="0.25">
      <c r="A31" s="2942"/>
      <c r="B31" s="2930"/>
      <c r="C31" s="2935"/>
      <c r="D31" s="2930"/>
      <c r="E31" s="2934"/>
      <c r="F31" s="2935"/>
      <c r="G31" s="506"/>
      <c r="H31" s="507"/>
      <c r="I31" s="508"/>
      <c r="J31" s="2949"/>
      <c r="K31" s="2874"/>
      <c r="L31" s="2874"/>
      <c r="M31" s="2876"/>
      <c r="N31" s="513" t="s">
        <v>404</v>
      </c>
      <c r="O31" s="2942"/>
      <c r="P31" s="2920"/>
      <c r="Q31" s="2952"/>
      <c r="R31" s="2922"/>
      <c r="S31" s="2920"/>
      <c r="T31" s="2925"/>
      <c r="U31" s="514" t="s">
        <v>405</v>
      </c>
      <c r="V31" s="515">
        <v>320000000</v>
      </c>
      <c r="W31" s="516">
        <v>46</v>
      </c>
      <c r="X31" s="517" t="s">
        <v>401</v>
      </c>
      <c r="Y31" s="2953"/>
      <c r="Z31" s="2953"/>
      <c r="AA31" s="2953"/>
      <c r="AB31" s="2953"/>
      <c r="AC31" s="2953"/>
      <c r="AD31" s="2953"/>
      <c r="AE31" s="2953"/>
      <c r="AF31" s="2953"/>
      <c r="AG31" s="2953"/>
      <c r="AH31" s="2953"/>
      <c r="AI31" s="2953"/>
      <c r="AJ31" s="2953"/>
      <c r="AK31" s="2953"/>
      <c r="AL31" s="2953"/>
      <c r="AM31" s="2953"/>
      <c r="AN31" s="2953"/>
      <c r="AO31" s="2943"/>
      <c r="AP31" s="2943"/>
      <c r="AQ31" s="2943"/>
      <c r="AR31" s="2945"/>
    </row>
    <row r="32" spans="1:44" ht="45" customHeight="1" x14ac:dyDescent="0.2">
      <c r="A32" s="2942"/>
      <c r="B32" s="2930"/>
      <c r="C32" s="2935"/>
      <c r="D32" s="2930"/>
      <c r="E32" s="2934"/>
      <c r="F32" s="2935"/>
      <c r="G32" s="506"/>
      <c r="H32" s="507"/>
      <c r="I32" s="508"/>
      <c r="J32" s="2947">
        <v>55</v>
      </c>
      <c r="K32" s="2873" t="s">
        <v>406</v>
      </c>
      <c r="L32" s="2873" t="s">
        <v>407</v>
      </c>
      <c r="M32" s="2875">
        <v>12</v>
      </c>
      <c r="N32" s="518"/>
      <c r="O32" s="2942"/>
      <c r="P32" s="2920"/>
      <c r="Q32" s="2950">
        <f>SUM(V32:V36)/R27</f>
        <v>0.23605840683290003</v>
      </c>
      <c r="R32" s="2922"/>
      <c r="S32" s="2920"/>
      <c r="T32" s="2923" t="s">
        <v>408</v>
      </c>
      <c r="U32" s="2955" t="s">
        <v>409</v>
      </c>
      <c r="V32" s="503">
        <v>51500000</v>
      </c>
      <c r="W32" s="504">
        <v>23</v>
      </c>
      <c r="X32" s="505" t="s">
        <v>410</v>
      </c>
      <c r="Y32" s="2953"/>
      <c r="Z32" s="2953"/>
      <c r="AA32" s="2953"/>
      <c r="AB32" s="2953"/>
      <c r="AC32" s="2953"/>
      <c r="AD32" s="2953"/>
      <c r="AE32" s="2953"/>
      <c r="AF32" s="2953"/>
      <c r="AG32" s="2953"/>
      <c r="AH32" s="2953"/>
      <c r="AI32" s="2953"/>
      <c r="AJ32" s="2953"/>
      <c r="AK32" s="2953"/>
      <c r="AL32" s="2953"/>
      <c r="AM32" s="2953"/>
      <c r="AN32" s="2953"/>
      <c r="AO32" s="2943"/>
      <c r="AP32" s="2943"/>
      <c r="AQ32" s="2943"/>
      <c r="AR32" s="2945"/>
    </row>
    <row r="33" spans="1:44" ht="45" customHeight="1" x14ac:dyDescent="0.2">
      <c r="A33" s="2942"/>
      <c r="B33" s="2930"/>
      <c r="C33" s="2935"/>
      <c r="D33" s="2930"/>
      <c r="E33" s="2934"/>
      <c r="F33" s="2935"/>
      <c r="G33" s="506"/>
      <c r="H33" s="507"/>
      <c r="I33" s="508"/>
      <c r="J33" s="2948"/>
      <c r="K33" s="2920"/>
      <c r="L33" s="2920"/>
      <c r="M33" s="2942"/>
      <c r="N33" s="509" t="s">
        <v>402</v>
      </c>
      <c r="O33" s="2942"/>
      <c r="P33" s="2920"/>
      <c r="Q33" s="2951"/>
      <c r="R33" s="2922"/>
      <c r="S33" s="2920"/>
      <c r="T33" s="2924"/>
      <c r="U33" s="2886"/>
      <c r="V33" s="440">
        <v>100000000</v>
      </c>
      <c r="W33" s="511">
        <v>46</v>
      </c>
      <c r="X33" s="512" t="s">
        <v>411</v>
      </c>
      <c r="Y33" s="2953"/>
      <c r="Z33" s="2953"/>
      <c r="AA33" s="2953"/>
      <c r="AB33" s="2953"/>
      <c r="AC33" s="2953"/>
      <c r="AD33" s="2953"/>
      <c r="AE33" s="2953"/>
      <c r="AF33" s="2953"/>
      <c r="AG33" s="2953"/>
      <c r="AH33" s="2953"/>
      <c r="AI33" s="2953"/>
      <c r="AJ33" s="2953"/>
      <c r="AK33" s="2953"/>
      <c r="AL33" s="2953"/>
      <c r="AM33" s="2953"/>
      <c r="AN33" s="2953"/>
      <c r="AO33" s="2943"/>
      <c r="AP33" s="2943"/>
      <c r="AQ33" s="2943"/>
      <c r="AR33" s="2945"/>
    </row>
    <row r="34" spans="1:44" ht="45" customHeight="1" x14ac:dyDescent="0.2">
      <c r="A34" s="2942"/>
      <c r="B34" s="2930"/>
      <c r="C34" s="2935"/>
      <c r="D34" s="2930"/>
      <c r="E34" s="2934"/>
      <c r="F34" s="2935"/>
      <c r="G34" s="506"/>
      <c r="H34" s="507"/>
      <c r="I34" s="508"/>
      <c r="J34" s="2948"/>
      <c r="K34" s="2920"/>
      <c r="L34" s="2920"/>
      <c r="M34" s="2942"/>
      <c r="N34" s="519" t="s">
        <v>412</v>
      </c>
      <c r="O34" s="2942"/>
      <c r="P34" s="2920"/>
      <c r="Q34" s="2951"/>
      <c r="R34" s="2922"/>
      <c r="S34" s="2920"/>
      <c r="T34" s="2924"/>
      <c r="U34" s="2885" t="s">
        <v>413</v>
      </c>
      <c r="V34" s="440">
        <v>448500000</v>
      </c>
      <c r="W34" s="511">
        <v>23</v>
      </c>
      <c r="X34" s="512" t="s">
        <v>410</v>
      </c>
      <c r="Y34" s="2953"/>
      <c r="Z34" s="2953"/>
      <c r="AA34" s="2953"/>
      <c r="AB34" s="2953"/>
      <c r="AC34" s="2953"/>
      <c r="AD34" s="2953"/>
      <c r="AE34" s="2953"/>
      <c r="AF34" s="2953"/>
      <c r="AG34" s="2953"/>
      <c r="AH34" s="2953"/>
      <c r="AI34" s="2953"/>
      <c r="AJ34" s="2953"/>
      <c r="AK34" s="2953"/>
      <c r="AL34" s="2953"/>
      <c r="AM34" s="2953"/>
      <c r="AN34" s="2953"/>
      <c r="AO34" s="2943"/>
      <c r="AP34" s="2943"/>
      <c r="AQ34" s="2943"/>
      <c r="AR34" s="2945"/>
    </row>
    <row r="35" spans="1:44" ht="45" customHeight="1" x14ac:dyDescent="0.2">
      <c r="A35" s="2942"/>
      <c r="B35" s="2930"/>
      <c r="C35" s="2935"/>
      <c r="D35" s="2930"/>
      <c r="E35" s="2934"/>
      <c r="F35" s="2935"/>
      <c r="G35" s="506"/>
      <c r="H35" s="507"/>
      <c r="I35" s="508"/>
      <c r="J35" s="2948"/>
      <c r="K35" s="2920"/>
      <c r="L35" s="2920"/>
      <c r="M35" s="2942"/>
      <c r="N35" s="520" t="s">
        <v>414</v>
      </c>
      <c r="O35" s="2942"/>
      <c r="P35" s="2920"/>
      <c r="Q35" s="2951"/>
      <c r="R35" s="2922"/>
      <c r="S35" s="2920"/>
      <c r="T35" s="2924"/>
      <c r="U35" s="2886"/>
      <c r="V35" s="440">
        <v>42594386</v>
      </c>
      <c r="W35" s="511">
        <v>89</v>
      </c>
      <c r="X35" s="512" t="s">
        <v>415</v>
      </c>
      <c r="Y35" s="2953"/>
      <c r="Z35" s="2953"/>
      <c r="AA35" s="2953"/>
      <c r="AB35" s="2953"/>
      <c r="AC35" s="2953"/>
      <c r="AD35" s="2953"/>
      <c r="AE35" s="2953"/>
      <c r="AF35" s="2953"/>
      <c r="AG35" s="2953"/>
      <c r="AH35" s="2953"/>
      <c r="AI35" s="2953"/>
      <c r="AJ35" s="2953"/>
      <c r="AK35" s="2953"/>
      <c r="AL35" s="2953"/>
      <c r="AM35" s="2953"/>
      <c r="AN35" s="2953"/>
      <c r="AO35" s="2943"/>
      <c r="AP35" s="2943"/>
      <c r="AQ35" s="2943"/>
      <c r="AR35" s="2945"/>
    </row>
    <row r="36" spans="1:44" ht="45" customHeight="1" thickBot="1" x14ac:dyDescent="0.25">
      <c r="A36" s="2876"/>
      <c r="B36" s="2931"/>
      <c r="C36" s="2937"/>
      <c r="D36" s="2931"/>
      <c r="E36" s="2936"/>
      <c r="F36" s="2937"/>
      <c r="G36" s="506"/>
      <c r="H36" s="507"/>
      <c r="I36" s="508"/>
      <c r="J36" s="2949"/>
      <c r="K36" s="2874"/>
      <c r="L36" s="2874"/>
      <c r="M36" s="2876"/>
      <c r="N36" s="513"/>
      <c r="O36" s="2876"/>
      <c r="P36" s="2874"/>
      <c r="Q36" s="2952"/>
      <c r="R36" s="2894"/>
      <c r="S36" s="2874"/>
      <c r="T36" s="2925"/>
      <c r="U36" s="521" t="s">
        <v>416</v>
      </c>
      <c r="V36" s="522">
        <v>700000000</v>
      </c>
      <c r="W36" s="523">
        <v>46</v>
      </c>
      <c r="X36" s="524" t="s">
        <v>411</v>
      </c>
      <c r="Y36" s="2954"/>
      <c r="Z36" s="2954"/>
      <c r="AA36" s="2954"/>
      <c r="AB36" s="2954"/>
      <c r="AC36" s="2954"/>
      <c r="AD36" s="2954"/>
      <c r="AE36" s="2954"/>
      <c r="AF36" s="2954"/>
      <c r="AG36" s="2954"/>
      <c r="AH36" s="2954"/>
      <c r="AI36" s="2954"/>
      <c r="AJ36" s="2954"/>
      <c r="AK36" s="2954"/>
      <c r="AL36" s="2954"/>
      <c r="AM36" s="2954"/>
      <c r="AN36" s="2954"/>
      <c r="AO36" s="2944"/>
      <c r="AP36" s="2944"/>
      <c r="AQ36" s="2944"/>
      <c r="AR36" s="2946"/>
    </row>
    <row r="37" spans="1:44" ht="27" customHeight="1" thickBot="1" x14ac:dyDescent="0.25">
      <c r="A37" s="2929"/>
      <c r="B37" s="394"/>
      <c r="C37" s="525"/>
      <c r="D37" s="2929"/>
      <c r="E37" s="2932"/>
      <c r="F37" s="2933"/>
      <c r="G37" s="526" t="s">
        <v>417</v>
      </c>
      <c r="H37" s="527" t="s">
        <v>418</v>
      </c>
      <c r="I37" s="483"/>
      <c r="J37" s="483"/>
      <c r="K37" s="484"/>
      <c r="L37" s="484"/>
      <c r="M37" s="483"/>
      <c r="N37" s="485"/>
      <c r="O37" s="483"/>
      <c r="P37" s="484"/>
      <c r="Q37" s="483"/>
      <c r="R37" s="528"/>
      <c r="S37" s="484"/>
      <c r="T37" s="483"/>
      <c r="U37" s="529"/>
      <c r="V37" s="530"/>
      <c r="W37" s="529"/>
      <c r="X37" s="531"/>
      <c r="Y37" s="2938"/>
      <c r="Z37" s="2939"/>
      <c r="AA37" s="2939"/>
      <c r="AB37" s="2939"/>
      <c r="AC37" s="2939"/>
      <c r="AD37" s="2939"/>
      <c r="AE37" s="2939"/>
      <c r="AF37" s="2939"/>
      <c r="AG37" s="2939"/>
      <c r="AH37" s="2939"/>
      <c r="AI37" s="2939"/>
      <c r="AJ37" s="2939"/>
      <c r="AK37" s="2939"/>
      <c r="AL37" s="2939"/>
      <c r="AM37" s="2939"/>
      <c r="AN37" s="2939"/>
      <c r="AO37" s="2939"/>
      <c r="AP37" s="2939"/>
      <c r="AQ37" s="2939"/>
      <c r="AR37" s="2940"/>
    </row>
    <row r="38" spans="1:44" ht="45" customHeight="1" x14ac:dyDescent="0.2">
      <c r="A38" s="2930"/>
      <c r="B38" s="394"/>
      <c r="C38" s="525"/>
      <c r="D38" s="2930"/>
      <c r="E38" s="2934"/>
      <c r="F38" s="2935"/>
      <c r="G38" s="2929"/>
      <c r="H38" s="2932"/>
      <c r="I38" s="2933"/>
      <c r="J38" s="2899">
        <v>57</v>
      </c>
      <c r="K38" s="2873" t="s">
        <v>419</v>
      </c>
      <c r="L38" s="2873" t="s">
        <v>420</v>
      </c>
      <c r="M38" s="2875">
        <v>12</v>
      </c>
      <c r="N38" s="2737" t="s">
        <v>421</v>
      </c>
      <c r="O38" s="2875" t="s">
        <v>422</v>
      </c>
      <c r="P38" s="2873" t="s">
        <v>423</v>
      </c>
      <c r="Q38" s="2877">
        <f>SUM(V38:V43)/R38</f>
        <v>0.21473347171373725</v>
      </c>
      <c r="R38" s="2893">
        <f>SUM(V38:V57)</f>
        <v>20985340781</v>
      </c>
      <c r="S38" s="2873" t="s">
        <v>424</v>
      </c>
      <c r="T38" s="2923" t="s">
        <v>425</v>
      </c>
      <c r="U38" s="532" t="s">
        <v>426</v>
      </c>
      <c r="V38" s="533">
        <v>174840000</v>
      </c>
      <c r="W38" s="534" t="s">
        <v>339</v>
      </c>
      <c r="X38" s="535" t="s">
        <v>427</v>
      </c>
      <c r="Y38" s="2926">
        <v>294321</v>
      </c>
      <c r="Z38" s="2915">
        <v>283947</v>
      </c>
      <c r="AA38" s="2915">
        <v>135754</v>
      </c>
      <c r="AB38" s="2915">
        <v>44640</v>
      </c>
      <c r="AC38" s="2915">
        <v>308178</v>
      </c>
      <c r="AD38" s="2915">
        <v>0</v>
      </c>
      <c r="AE38" s="2918">
        <v>2145</v>
      </c>
      <c r="AF38" s="2907">
        <v>12718</v>
      </c>
      <c r="AG38" s="2909">
        <v>26</v>
      </c>
      <c r="AH38" s="2907">
        <v>0</v>
      </c>
      <c r="AI38" s="2907">
        <v>0</v>
      </c>
      <c r="AJ38" s="2912">
        <v>0</v>
      </c>
      <c r="AK38" s="2903">
        <v>54612</v>
      </c>
      <c r="AL38" s="2903">
        <v>21944</v>
      </c>
      <c r="AM38" s="2903">
        <v>1010</v>
      </c>
      <c r="AN38" s="2903">
        <v>578268</v>
      </c>
      <c r="AO38" s="2906">
        <v>43467</v>
      </c>
      <c r="AP38" s="2906">
        <v>43467</v>
      </c>
      <c r="AQ38" s="2906">
        <v>43830</v>
      </c>
      <c r="AR38" s="2887" t="s">
        <v>428</v>
      </c>
    </row>
    <row r="39" spans="1:44" ht="40.5" customHeight="1" x14ac:dyDescent="0.2">
      <c r="A39" s="2930"/>
      <c r="B39" s="394"/>
      <c r="C39" s="525"/>
      <c r="D39" s="2930"/>
      <c r="E39" s="2934"/>
      <c r="F39" s="2935"/>
      <c r="G39" s="2930"/>
      <c r="H39" s="2934"/>
      <c r="I39" s="2935"/>
      <c r="J39" s="2900"/>
      <c r="K39" s="2920"/>
      <c r="L39" s="2920"/>
      <c r="M39" s="2942"/>
      <c r="N39" s="2738"/>
      <c r="O39" s="2942"/>
      <c r="P39" s="2920"/>
      <c r="Q39" s="2921"/>
      <c r="R39" s="2922"/>
      <c r="S39" s="2920"/>
      <c r="T39" s="2924"/>
      <c r="U39" s="536" t="s">
        <v>429</v>
      </c>
      <c r="V39" s="537">
        <v>1025160000</v>
      </c>
      <c r="W39" s="435" t="s">
        <v>339</v>
      </c>
      <c r="X39" s="538" t="s">
        <v>427</v>
      </c>
      <c r="Y39" s="2927"/>
      <c r="Z39" s="2916"/>
      <c r="AA39" s="2916"/>
      <c r="AB39" s="2916"/>
      <c r="AC39" s="2916"/>
      <c r="AD39" s="2916"/>
      <c r="AE39" s="2738"/>
      <c r="AF39" s="2714"/>
      <c r="AG39" s="2910"/>
      <c r="AH39" s="2714"/>
      <c r="AI39" s="2714"/>
      <c r="AJ39" s="2913"/>
      <c r="AK39" s="2904"/>
      <c r="AL39" s="2904"/>
      <c r="AM39" s="2904"/>
      <c r="AN39" s="2904"/>
      <c r="AO39" s="2904"/>
      <c r="AP39" s="2904"/>
      <c r="AQ39" s="2904"/>
      <c r="AR39" s="2888"/>
    </row>
    <row r="40" spans="1:44" ht="45" customHeight="1" x14ac:dyDescent="0.2">
      <c r="A40" s="2930"/>
      <c r="B40" s="394"/>
      <c r="C40" s="525"/>
      <c r="D40" s="2930"/>
      <c r="E40" s="2934"/>
      <c r="F40" s="2935"/>
      <c r="G40" s="2930"/>
      <c r="H40" s="2934"/>
      <c r="I40" s="2935"/>
      <c r="J40" s="2900"/>
      <c r="K40" s="2920"/>
      <c r="L40" s="2920"/>
      <c r="M40" s="2942"/>
      <c r="N40" s="2738"/>
      <c r="O40" s="2942"/>
      <c r="P40" s="2920"/>
      <c r="Q40" s="2921"/>
      <c r="R40" s="2922"/>
      <c r="S40" s="2920"/>
      <c r="T40" s="2924"/>
      <c r="U40" s="2890" t="s">
        <v>430</v>
      </c>
      <c r="V40" s="434">
        <v>1500000000</v>
      </c>
      <c r="W40" s="435" t="s">
        <v>339</v>
      </c>
      <c r="X40" s="538" t="s">
        <v>427</v>
      </c>
      <c r="Y40" s="2927"/>
      <c r="Z40" s="2916"/>
      <c r="AA40" s="2916"/>
      <c r="AB40" s="2916"/>
      <c r="AC40" s="2916"/>
      <c r="AD40" s="2916"/>
      <c r="AE40" s="2738"/>
      <c r="AF40" s="2714"/>
      <c r="AG40" s="2910"/>
      <c r="AH40" s="2714"/>
      <c r="AI40" s="2714"/>
      <c r="AJ40" s="2913"/>
      <c r="AK40" s="2904"/>
      <c r="AL40" s="2904"/>
      <c r="AM40" s="2904"/>
      <c r="AN40" s="2904"/>
      <c r="AO40" s="2904"/>
      <c r="AP40" s="2904"/>
      <c r="AQ40" s="2904"/>
      <c r="AR40" s="2888"/>
    </row>
    <row r="41" spans="1:44" ht="46.5" customHeight="1" x14ac:dyDescent="0.2">
      <c r="A41" s="2930"/>
      <c r="B41" s="394"/>
      <c r="C41" s="525"/>
      <c r="D41" s="2930"/>
      <c r="E41" s="2934"/>
      <c r="F41" s="2935"/>
      <c r="G41" s="2930"/>
      <c r="H41" s="2934"/>
      <c r="I41" s="2935"/>
      <c r="J41" s="2900"/>
      <c r="K41" s="2920"/>
      <c r="L41" s="2920"/>
      <c r="M41" s="2942"/>
      <c r="N41" s="2738"/>
      <c r="O41" s="2942"/>
      <c r="P41" s="2920"/>
      <c r="Q41" s="2921"/>
      <c r="R41" s="2922"/>
      <c r="S41" s="2920"/>
      <c r="T41" s="2924"/>
      <c r="U41" s="2891"/>
      <c r="V41" s="2893">
        <v>1706255081</v>
      </c>
      <c r="W41" s="2895" t="s">
        <v>344</v>
      </c>
      <c r="X41" s="2897" t="s">
        <v>431</v>
      </c>
      <c r="Y41" s="2927"/>
      <c r="Z41" s="2916"/>
      <c r="AA41" s="2916"/>
      <c r="AB41" s="2916"/>
      <c r="AC41" s="2916"/>
      <c r="AD41" s="2916"/>
      <c r="AE41" s="2738"/>
      <c r="AF41" s="2714"/>
      <c r="AG41" s="2910"/>
      <c r="AH41" s="2714"/>
      <c r="AI41" s="2714"/>
      <c r="AJ41" s="2913"/>
      <c r="AK41" s="2904"/>
      <c r="AL41" s="2904"/>
      <c r="AM41" s="2904"/>
      <c r="AN41" s="2904"/>
      <c r="AO41" s="2904"/>
      <c r="AP41" s="2904"/>
      <c r="AQ41" s="2904"/>
      <c r="AR41" s="2888"/>
    </row>
    <row r="42" spans="1:44" ht="46.5" customHeight="1" x14ac:dyDescent="0.2">
      <c r="A42" s="2930"/>
      <c r="B42" s="394"/>
      <c r="C42" s="525"/>
      <c r="D42" s="2930"/>
      <c r="E42" s="2934"/>
      <c r="F42" s="2935"/>
      <c r="G42" s="2930"/>
      <c r="H42" s="2934"/>
      <c r="I42" s="2935"/>
      <c r="J42" s="2900"/>
      <c r="K42" s="2920"/>
      <c r="L42" s="2920"/>
      <c r="M42" s="2942"/>
      <c r="N42" s="2738"/>
      <c r="O42" s="2942"/>
      <c r="P42" s="2920"/>
      <c r="Q42" s="2921"/>
      <c r="R42" s="2922"/>
      <c r="S42" s="2920"/>
      <c r="T42" s="2924"/>
      <c r="U42" s="2892"/>
      <c r="V42" s="2894"/>
      <c r="W42" s="2896"/>
      <c r="X42" s="2898"/>
      <c r="Y42" s="2927"/>
      <c r="Z42" s="2916"/>
      <c r="AA42" s="2916"/>
      <c r="AB42" s="2916"/>
      <c r="AC42" s="2916"/>
      <c r="AD42" s="2916"/>
      <c r="AE42" s="2738"/>
      <c r="AF42" s="2714"/>
      <c r="AG42" s="2910"/>
      <c r="AH42" s="2714"/>
      <c r="AI42" s="2714"/>
      <c r="AJ42" s="2913"/>
      <c r="AK42" s="2904"/>
      <c r="AL42" s="2904"/>
      <c r="AM42" s="2904"/>
      <c r="AN42" s="2904"/>
      <c r="AO42" s="2904"/>
      <c r="AP42" s="2904"/>
      <c r="AQ42" s="2904"/>
      <c r="AR42" s="2888"/>
    </row>
    <row r="43" spans="1:44" ht="62.25" customHeight="1" thickBot="1" x14ac:dyDescent="0.25">
      <c r="A43" s="2930"/>
      <c r="B43" s="394"/>
      <c r="C43" s="525"/>
      <c r="D43" s="2930"/>
      <c r="E43" s="2934"/>
      <c r="F43" s="2935"/>
      <c r="G43" s="2930"/>
      <c r="H43" s="2934"/>
      <c r="I43" s="2935"/>
      <c r="J43" s="2941"/>
      <c r="K43" s="2874"/>
      <c r="L43" s="2874"/>
      <c r="M43" s="2876"/>
      <c r="N43" s="2738"/>
      <c r="O43" s="2942"/>
      <c r="P43" s="2920"/>
      <c r="Q43" s="2878"/>
      <c r="R43" s="2922"/>
      <c r="S43" s="2920"/>
      <c r="T43" s="2924"/>
      <c r="U43" s="539" t="s">
        <v>432</v>
      </c>
      <c r="V43" s="434">
        <v>100000000</v>
      </c>
      <c r="W43" s="540" t="s">
        <v>339</v>
      </c>
      <c r="X43" s="538" t="s">
        <v>427</v>
      </c>
      <c r="Y43" s="2927"/>
      <c r="Z43" s="2916"/>
      <c r="AA43" s="2916"/>
      <c r="AB43" s="2916"/>
      <c r="AC43" s="2916"/>
      <c r="AD43" s="2916"/>
      <c r="AE43" s="2738"/>
      <c r="AF43" s="2714"/>
      <c r="AG43" s="2910"/>
      <c r="AH43" s="2714"/>
      <c r="AI43" s="2714"/>
      <c r="AJ43" s="2913"/>
      <c r="AK43" s="2904"/>
      <c r="AL43" s="2904"/>
      <c r="AM43" s="2904"/>
      <c r="AN43" s="2904"/>
      <c r="AO43" s="2904"/>
      <c r="AP43" s="2904"/>
      <c r="AQ43" s="2904"/>
      <c r="AR43" s="2888"/>
    </row>
    <row r="44" spans="1:44" ht="36.75" customHeight="1" x14ac:dyDescent="0.2">
      <c r="A44" s="2930"/>
      <c r="B44" s="394"/>
      <c r="C44" s="525"/>
      <c r="D44" s="2930"/>
      <c r="E44" s="2934"/>
      <c r="F44" s="2935"/>
      <c r="G44" s="2930"/>
      <c r="H44" s="2934"/>
      <c r="I44" s="2935"/>
      <c r="J44" s="2899">
        <v>58</v>
      </c>
      <c r="K44" s="2600" t="s">
        <v>433</v>
      </c>
      <c r="L44" s="2600" t="s">
        <v>434</v>
      </c>
      <c r="M44" s="2498">
        <v>1</v>
      </c>
      <c r="N44" s="2738"/>
      <c r="O44" s="2942"/>
      <c r="P44" s="2920"/>
      <c r="Q44" s="2901">
        <f>SUM(V44:V45)/R38</f>
        <v>0.23739549507390009</v>
      </c>
      <c r="R44" s="2922"/>
      <c r="S44" s="2920"/>
      <c r="T44" s="2924"/>
      <c r="U44" s="541" t="s">
        <v>435</v>
      </c>
      <c r="V44" s="542">
        <v>4181825364</v>
      </c>
      <c r="W44" s="543">
        <v>46</v>
      </c>
      <c r="X44" s="544" t="s">
        <v>401</v>
      </c>
      <c r="Y44" s="2927"/>
      <c r="Z44" s="2916"/>
      <c r="AA44" s="2916"/>
      <c r="AB44" s="2916"/>
      <c r="AC44" s="2916"/>
      <c r="AD44" s="2916"/>
      <c r="AE44" s="2738"/>
      <c r="AF44" s="2714"/>
      <c r="AG44" s="2910"/>
      <c r="AH44" s="2714"/>
      <c r="AI44" s="2714"/>
      <c r="AJ44" s="2913"/>
      <c r="AK44" s="2904"/>
      <c r="AL44" s="2904"/>
      <c r="AM44" s="2904"/>
      <c r="AN44" s="2904"/>
      <c r="AO44" s="2904"/>
      <c r="AP44" s="2904"/>
      <c r="AQ44" s="2904"/>
      <c r="AR44" s="2888"/>
    </row>
    <row r="45" spans="1:44" ht="63" customHeight="1" thickBot="1" x14ac:dyDescent="0.25">
      <c r="A45" s="2930"/>
      <c r="B45" s="394"/>
      <c r="C45" s="525"/>
      <c r="D45" s="2930"/>
      <c r="E45" s="2934"/>
      <c r="F45" s="2935"/>
      <c r="G45" s="2930"/>
      <c r="H45" s="2934"/>
      <c r="I45" s="2935"/>
      <c r="J45" s="2900"/>
      <c r="K45" s="2600"/>
      <c r="L45" s="2600"/>
      <c r="M45" s="2498"/>
      <c r="N45" s="2738"/>
      <c r="O45" s="2942"/>
      <c r="P45" s="2920"/>
      <c r="Q45" s="2902"/>
      <c r="R45" s="2922"/>
      <c r="S45" s="2920"/>
      <c r="T45" s="2924"/>
      <c r="U45" s="545" t="s">
        <v>436</v>
      </c>
      <c r="V45" s="546">
        <v>800000000</v>
      </c>
      <c r="W45" s="547">
        <v>46</v>
      </c>
      <c r="X45" s="548" t="s">
        <v>401</v>
      </c>
      <c r="Y45" s="2927"/>
      <c r="Z45" s="2916"/>
      <c r="AA45" s="2916"/>
      <c r="AB45" s="2916"/>
      <c r="AC45" s="2916"/>
      <c r="AD45" s="2916"/>
      <c r="AE45" s="2738"/>
      <c r="AF45" s="2714"/>
      <c r="AG45" s="2910"/>
      <c r="AH45" s="2714"/>
      <c r="AI45" s="2714"/>
      <c r="AJ45" s="2913"/>
      <c r="AK45" s="2904"/>
      <c r="AL45" s="2904"/>
      <c r="AM45" s="2904"/>
      <c r="AN45" s="2904"/>
      <c r="AO45" s="2904"/>
      <c r="AP45" s="2904"/>
      <c r="AQ45" s="2904"/>
      <c r="AR45" s="2888"/>
    </row>
    <row r="46" spans="1:44" ht="45.75" customHeight="1" x14ac:dyDescent="0.2">
      <c r="A46" s="2930"/>
      <c r="B46" s="394"/>
      <c r="C46" s="525"/>
      <c r="D46" s="2930"/>
      <c r="E46" s="2934"/>
      <c r="F46" s="2935"/>
      <c r="G46" s="2930"/>
      <c r="H46" s="2934"/>
      <c r="I46" s="2935"/>
      <c r="J46" s="2881">
        <v>59</v>
      </c>
      <c r="K46" s="2600" t="s">
        <v>437</v>
      </c>
      <c r="L46" s="2882" t="s">
        <v>438</v>
      </c>
      <c r="M46" s="2883">
        <v>12</v>
      </c>
      <c r="N46" s="2738"/>
      <c r="O46" s="2942"/>
      <c r="P46" s="2920"/>
      <c r="Q46" s="2884">
        <f>SUM(V46:V51)/R38</f>
        <v>0.14171441412533906</v>
      </c>
      <c r="R46" s="2922"/>
      <c r="S46" s="2920"/>
      <c r="T46" s="2924"/>
      <c r="U46" s="541" t="s">
        <v>439</v>
      </c>
      <c r="V46" s="533">
        <v>225000000</v>
      </c>
      <c r="W46" s="549" t="s">
        <v>339</v>
      </c>
      <c r="X46" s="550" t="s">
        <v>440</v>
      </c>
      <c r="Y46" s="2927"/>
      <c r="Z46" s="2916"/>
      <c r="AA46" s="2916"/>
      <c r="AB46" s="2916"/>
      <c r="AC46" s="2916"/>
      <c r="AD46" s="2916"/>
      <c r="AE46" s="2738"/>
      <c r="AF46" s="2714"/>
      <c r="AG46" s="2910"/>
      <c r="AH46" s="2714"/>
      <c r="AI46" s="2714"/>
      <c r="AJ46" s="2913"/>
      <c r="AK46" s="2904"/>
      <c r="AL46" s="2904"/>
      <c r="AM46" s="2904"/>
      <c r="AN46" s="2904"/>
      <c r="AO46" s="2904"/>
      <c r="AP46" s="2904"/>
      <c r="AQ46" s="2904"/>
      <c r="AR46" s="2888"/>
    </row>
    <row r="47" spans="1:44" ht="49.5" customHeight="1" thickBot="1" x14ac:dyDescent="0.25">
      <c r="A47" s="2930"/>
      <c r="B47" s="394"/>
      <c r="C47" s="525"/>
      <c r="D47" s="2930"/>
      <c r="E47" s="2934"/>
      <c r="F47" s="2935"/>
      <c r="G47" s="2930"/>
      <c r="H47" s="2934"/>
      <c r="I47" s="2935"/>
      <c r="J47" s="2881"/>
      <c r="K47" s="2600"/>
      <c r="L47" s="2882"/>
      <c r="M47" s="2883"/>
      <c r="N47" s="2738"/>
      <c r="O47" s="2942"/>
      <c r="P47" s="2920"/>
      <c r="Q47" s="2884"/>
      <c r="R47" s="2922"/>
      <c r="S47" s="2920"/>
      <c r="T47" s="2924"/>
      <c r="U47" s="2885" t="s">
        <v>441</v>
      </c>
      <c r="V47" s="546">
        <v>383410000</v>
      </c>
      <c r="W47" s="551" t="s">
        <v>339</v>
      </c>
      <c r="X47" s="552" t="s">
        <v>440</v>
      </c>
      <c r="Y47" s="2927"/>
      <c r="Z47" s="2916"/>
      <c r="AA47" s="2916"/>
      <c r="AB47" s="2916"/>
      <c r="AC47" s="2916"/>
      <c r="AD47" s="2916"/>
      <c r="AE47" s="2738"/>
      <c r="AF47" s="2714"/>
      <c r="AG47" s="2910"/>
      <c r="AH47" s="2714"/>
      <c r="AI47" s="2714"/>
      <c r="AJ47" s="2913"/>
      <c r="AK47" s="2904"/>
      <c r="AL47" s="2904"/>
      <c r="AM47" s="2904"/>
      <c r="AN47" s="2904"/>
      <c r="AO47" s="2904"/>
      <c r="AP47" s="2904"/>
      <c r="AQ47" s="2904"/>
      <c r="AR47" s="2888"/>
    </row>
    <row r="48" spans="1:44" ht="39" customHeight="1" x14ac:dyDescent="0.2">
      <c r="A48" s="2930"/>
      <c r="B48" s="394"/>
      <c r="C48" s="525"/>
      <c r="D48" s="2930"/>
      <c r="E48" s="2934"/>
      <c r="F48" s="2935"/>
      <c r="G48" s="2930"/>
      <c r="H48" s="2934"/>
      <c r="I48" s="2935"/>
      <c r="J48" s="2881"/>
      <c r="K48" s="2600"/>
      <c r="L48" s="2882"/>
      <c r="M48" s="2883"/>
      <c r="N48" s="2738"/>
      <c r="O48" s="2942"/>
      <c r="P48" s="2920"/>
      <c r="Q48" s="2884"/>
      <c r="R48" s="2922"/>
      <c r="S48" s="2920"/>
      <c r="T48" s="2924"/>
      <c r="U48" s="2886"/>
      <c r="V48" s="533">
        <v>246521300</v>
      </c>
      <c r="W48" s="551" t="s">
        <v>344</v>
      </c>
      <c r="X48" s="538" t="s">
        <v>431</v>
      </c>
      <c r="Y48" s="2927"/>
      <c r="Z48" s="2916"/>
      <c r="AA48" s="2916"/>
      <c r="AB48" s="2916"/>
      <c r="AC48" s="2916"/>
      <c r="AD48" s="2916"/>
      <c r="AE48" s="2738"/>
      <c r="AF48" s="2714"/>
      <c r="AG48" s="2910"/>
      <c r="AH48" s="2714"/>
      <c r="AI48" s="2714"/>
      <c r="AJ48" s="2913"/>
      <c r="AK48" s="2904"/>
      <c r="AL48" s="2904"/>
      <c r="AM48" s="2904"/>
      <c r="AN48" s="2904"/>
      <c r="AO48" s="2904"/>
      <c r="AP48" s="2904"/>
      <c r="AQ48" s="2904"/>
      <c r="AR48" s="2888"/>
    </row>
    <row r="49" spans="1:44" ht="43.5" customHeight="1" x14ac:dyDescent="0.2">
      <c r="A49" s="2930"/>
      <c r="B49" s="394"/>
      <c r="C49" s="525"/>
      <c r="D49" s="2930"/>
      <c r="E49" s="2934"/>
      <c r="F49" s="2935"/>
      <c r="G49" s="2930"/>
      <c r="H49" s="2934"/>
      <c r="I49" s="2935"/>
      <c r="J49" s="2881"/>
      <c r="K49" s="2600"/>
      <c r="L49" s="2882"/>
      <c r="M49" s="2883"/>
      <c r="N49" s="2738"/>
      <c r="O49" s="2942"/>
      <c r="P49" s="2920"/>
      <c r="Q49" s="2884"/>
      <c r="R49" s="2922"/>
      <c r="S49" s="2920"/>
      <c r="T49" s="2924"/>
      <c r="U49" s="2885" t="s">
        <v>442</v>
      </c>
      <c r="V49" s="434">
        <v>2018993974</v>
      </c>
      <c r="W49" s="551" t="s">
        <v>339</v>
      </c>
      <c r="X49" s="552" t="s">
        <v>440</v>
      </c>
      <c r="Y49" s="2927"/>
      <c r="Z49" s="2916"/>
      <c r="AA49" s="2916"/>
      <c r="AB49" s="2916"/>
      <c r="AC49" s="2916"/>
      <c r="AD49" s="2916"/>
      <c r="AE49" s="2738"/>
      <c r="AF49" s="2714"/>
      <c r="AG49" s="2910"/>
      <c r="AH49" s="2714"/>
      <c r="AI49" s="2714"/>
      <c r="AJ49" s="2913"/>
      <c r="AK49" s="2904"/>
      <c r="AL49" s="2904"/>
      <c r="AM49" s="2904"/>
      <c r="AN49" s="2904"/>
      <c r="AO49" s="2904"/>
      <c r="AP49" s="2904"/>
      <c r="AQ49" s="2904"/>
      <c r="AR49" s="2888"/>
    </row>
    <row r="50" spans="1:44" ht="34.5" customHeight="1" x14ac:dyDescent="0.2">
      <c r="A50" s="2930"/>
      <c r="B50" s="394"/>
      <c r="C50" s="525"/>
      <c r="D50" s="2930"/>
      <c r="E50" s="2934"/>
      <c r="F50" s="2935"/>
      <c r="G50" s="2930"/>
      <c r="H50" s="2934"/>
      <c r="I50" s="2935"/>
      <c r="J50" s="2881"/>
      <c r="K50" s="2600"/>
      <c r="L50" s="2882"/>
      <c r="M50" s="2883"/>
      <c r="N50" s="2738"/>
      <c r="O50" s="2942"/>
      <c r="P50" s="2920"/>
      <c r="Q50" s="2884"/>
      <c r="R50" s="2922"/>
      <c r="S50" s="2920"/>
      <c r="T50" s="2924"/>
      <c r="U50" s="2886"/>
      <c r="V50" s="434">
        <v>0</v>
      </c>
      <c r="W50" s="553">
        <v>46</v>
      </c>
      <c r="X50" s="552" t="s">
        <v>401</v>
      </c>
      <c r="Y50" s="2927"/>
      <c r="Z50" s="2916"/>
      <c r="AA50" s="2916"/>
      <c r="AB50" s="2916"/>
      <c r="AC50" s="2916"/>
      <c r="AD50" s="2916"/>
      <c r="AE50" s="2738"/>
      <c r="AF50" s="2714"/>
      <c r="AG50" s="2910"/>
      <c r="AH50" s="2714"/>
      <c r="AI50" s="2714"/>
      <c r="AJ50" s="2913"/>
      <c r="AK50" s="2904"/>
      <c r="AL50" s="2904"/>
      <c r="AM50" s="2904"/>
      <c r="AN50" s="2904"/>
      <c r="AO50" s="2904"/>
      <c r="AP50" s="2904"/>
      <c r="AQ50" s="2904"/>
      <c r="AR50" s="2888"/>
    </row>
    <row r="51" spans="1:44" ht="60.75" thickBot="1" x14ac:dyDescent="0.25">
      <c r="A51" s="2930"/>
      <c r="B51" s="394"/>
      <c r="C51" s="525"/>
      <c r="D51" s="2930"/>
      <c r="E51" s="2934"/>
      <c r="F51" s="2935"/>
      <c r="G51" s="2930"/>
      <c r="H51" s="2934"/>
      <c r="I51" s="2935"/>
      <c r="J51" s="2881"/>
      <c r="K51" s="2600"/>
      <c r="L51" s="2882"/>
      <c r="M51" s="2883"/>
      <c r="N51" s="2738"/>
      <c r="O51" s="2942"/>
      <c r="P51" s="2920"/>
      <c r="Q51" s="2884"/>
      <c r="R51" s="2922"/>
      <c r="S51" s="2920"/>
      <c r="T51" s="2924"/>
      <c r="U51" s="545" t="s">
        <v>443</v>
      </c>
      <c r="V51" s="434">
        <v>100000000</v>
      </c>
      <c r="W51" s="554" t="s">
        <v>339</v>
      </c>
      <c r="X51" s="548" t="s">
        <v>440</v>
      </c>
      <c r="Y51" s="2927"/>
      <c r="Z51" s="2916"/>
      <c r="AA51" s="2916"/>
      <c r="AB51" s="2916"/>
      <c r="AC51" s="2916"/>
      <c r="AD51" s="2916"/>
      <c r="AE51" s="2738"/>
      <c r="AF51" s="2714"/>
      <c r="AG51" s="2910"/>
      <c r="AH51" s="2714"/>
      <c r="AI51" s="2714"/>
      <c r="AJ51" s="2913"/>
      <c r="AK51" s="2904"/>
      <c r="AL51" s="2904"/>
      <c r="AM51" s="2904"/>
      <c r="AN51" s="2904"/>
      <c r="AO51" s="2904"/>
      <c r="AP51" s="2904"/>
      <c r="AQ51" s="2904"/>
      <c r="AR51" s="2888"/>
    </row>
    <row r="52" spans="1:44" ht="54.75" customHeight="1" x14ac:dyDescent="0.2">
      <c r="A52" s="2930"/>
      <c r="B52" s="394"/>
      <c r="C52" s="525"/>
      <c r="D52" s="2930"/>
      <c r="E52" s="2934"/>
      <c r="F52" s="2935"/>
      <c r="G52" s="2930"/>
      <c r="H52" s="2934"/>
      <c r="I52" s="2935"/>
      <c r="J52" s="2871">
        <v>60</v>
      </c>
      <c r="K52" s="2499" t="s">
        <v>444</v>
      </c>
      <c r="L52" s="2873" t="s">
        <v>445</v>
      </c>
      <c r="M52" s="2875">
        <v>12</v>
      </c>
      <c r="N52" s="2738"/>
      <c r="O52" s="2942"/>
      <c r="P52" s="2920"/>
      <c r="Q52" s="2877">
        <f>SUM(V52:V53)/R38</f>
        <v>0.26177905683446429</v>
      </c>
      <c r="R52" s="2922"/>
      <c r="S52" s="2920"/>
      <c r="T52" s="2924"/>
      <c r="U52" s="541" t="s">
        <v>446</v>
      </c>
      <c r="V52" s="434">
        <v>224581000</v>
      </c>
      <c r="W52" s="543">
        <v>20</v>
      </c>
      <c r="X52" s="544" t="s">
        <v>447</v>
      </c>
      <c r="Y52" s="2927"/>
      <c r="Z52" s="2916"/>
      <c r="AA52" s="2916"/>
      <c r="AB52" s="2916"/>
      <c r="AC52" s="2916"/>
      <c r="AD52" s="2916"/>
      <c r="AE52" s="2738"/>
      <c r="AF52" s="2714"/>
      <c r="AG52" s="2910"/>
      <c r="AH52" s="2714"/>
      <c r="AI52" s="2714"/>
      <c r="AJ52" s="2913"/>
      <c r="AK52" s="2904"/>
      <c r="AL52" s="2904"/>
      <c r="AM52" s="2904"/>
      <c r="AN52" s="2904"/>
      <c r="AO52" s="2904"/>
      <c r="AP52" s="2904"/>
      <c r="AQ52" s="2904"/>
      <c r="AR52" s="2888"/>
    </row>
    <row r="53" spans="1:44" ht="57.75" customHeight="1" thickBot="1" x14ac:dyDescent="0.25">
      <c r="A53" s="2930"/>
      <c r="B53" s="394"/>
      <c r="C53" s="525"/>
      <c r="D53" s="2930"/>
      <c r="E53" s="2934"/>
      <c r="F53" s="2935"/>
      <c r="G53" s="2930"/>
      <c r="H53" s="2934"/>
      <c r="I53" s="2935"/>
      <c r="J53" s="2872"/>
      <c r="K53" s="2500"/>
      <c r="L53" s="2874"/>
      <c r="M53" s="2876"/>
      <c r="N53" s="2738"/>
      <c r="O53" s="2942"/>
      <c r="P53" s="2920"/>
      <c r="Q53" s="2878"/>
      <c r="R53" s="2922"/>
      <c r="S53" s="2920"/>
      <c r="T53" s="2924"/>
      <c r="U53" s="545" t="s">
        <v>448</v>
      </c>
      <c r="V53" s="522">
        <v>5268941717</v>
      </c>
      <c r="W53" s="547">
        <v>46</v>
      </c>
      <c r="X53" s="548" t="s">
        <v>401</v>
      </c>
      <c r="Y53" s="2927"/>
      <c r="Z53" s="2916"/>
      <c r="AA53" s="2916"/>
      <c r="AB53" s="2916"/>
      <c r="AC53" s="2916"/>
      <c r="AD53" s="2916"/>
      <c r="AE53" s="2738"/>
      <c r="AF53" s="2714"/>
      <c r="AG53" s="2910"/>
      <c r="AH53" s="2714"/>
      <c r="AI53" s="2714"/>
      <c r="AJ53" s="2913"/>
      <c r="AK53" s="2904"/>
      <c r="AL53" s="2904"/>
      <c r="AM53" s="2904"/>
      <c r="AN53" s="2904"/>
      <c r="AO53" s="2904"/>
      <c r="AP53" s="2904"/>
      <c r="AQ53" s="2904"/>
      <c r="AR53" s="2888"/>
    </row>
    <row r="54" spans="1:44" ht="60.75" customHeight="1" x14ac:dyDescent="0.2">
      <c r="A54" s="2930"/>
      <c r="B54" s="394"/>
      <c r="C54" s="525"/>
      <c r="D54" s="2930"/>
      <c r="E54" s="2934"/>
      <c r="F54" s="2935"/>
      <c r="G54" s="2930"/>
      <c r="H54" s="2934"/>
      <c r="I54" s="2935"/>
      <c r="J54" s="2879">
        <v>62</v>
      </c>
      <c r="K54" s="2873" t="s">
        <v>449</v>
      </c>
      <c r="L54" s="2873" t="s">
        <v>450</v>
      </c>
      <c r="M54" s="2875">
        <v>2</v>
      </c>
      <c r="N54" s="2738"/>
      <c r="O54" s="2942"/>
      <c r="P54" s="2920"/>
      <c r="Q54" s="2877">
        <f>SUM(V54:V55)/R38</f>
        <v>4.765231169871656E-2</v>
      </c>
      <c r="R54" s="2922"/>
      <c r="S54" s="2920"/>
      <c r="T54" s="2924"/>
      <c r="U54" s="541" t="s">
        <v>451</v>
      </c>
      <c r="V54" s="503">
        <v>1000000000</v>
      </c>
      <c r="W54" s="543">
        <v>46</v>
      </c>
      <c r="X54" s="544" t="s">
        <v>411</v>
      </c>
      <c r="Y54" s="2927"/>
      <c r="Z54" s="2916"/>
      <c r="AA54" s="2916"/>
      <c r="AB54" s="2916"/>
      <c r="AC54" s="2916"/>
      <c r="AD54" s="2916"/>
      <c r="AE54" s="2738"/>
      <c r="AF54" s="2714"/>
      <c r="AG54" s="2910"/>
      <c r="AH54" s="2714"/>
      <c r="AI54" s="2714"/>
      <c r="AJ54" s="2913"/>
      <c r="AK54" s="2904"/>
      <c r="AL54" s="2904"/>
      <c r="AM54" s="2904"/>
      <c r="AN54" s="2904"/>
      <c r="AO54" s="2904"/>
      <c r="AP54" s="2904"/>
      <c r="AQ54" s="2904"/>
      <c r="AR54" s="2888"/>
    </row>
    <row r="55" spans="1:44" ht="81" customHeight="1" thickBot="1" x14ac:dyDescent="0.25">
      <c r="A55" s="2930"/>
      <c r="B55" s="394"/>
      <c r="C55" s="525"/>
      <c r="D55" s="2930"/>
      <c r="E55" s="2934"/>
      <c r="F55" s="2935"/>
      <c r="G55" s="2930"/>
      <c r="H55" s="2934"/>
      <c r="I55" s="2935"/>
      <c r="J55" s="2880"/>
      <c r="K55" s="2874"/>
      <c r="L55" s="2874"/>
      <c r="M55" s="2876"/>
      <c r="N55" s="2738"/>
      <c r="O55" s="2942"/>
      <c r="P55" s="2920"/>
      <c r="Q55" s="2878"/>
      <c r="R55" s="2922"/>
      <c r="S55" s="2920"/>
      <c r="T55" s="2924"/>
      <c r="U55" s="545" t="s">
        <v>452</v>
      </c>
      <c r="V55" s="522">
        <v>0</v>
      </c>
      <c r="W55" s="547">
        <v>46</v>
      </c>
      <c r="X55" s="548" t="s">
        <v>411</v>
      </c>
      <c r="Y55" s="2927"/>
      <c r="Z55" s="2916"/>
      <c r="AA55" s="2916"/>
      <c r="AB55" s="2916"/>
      <c r="AC55" s="2916"/>
      <c r="AD55" s="2916"/>
      <c r="AE55" s="2738"/>
      <c r="AF55" s="2714"/>
      <c r="AG55" s="2910"/>
      <c r="AH55" s="2714"/>
      <c r="AI55" s="2714"/>
      <c r="AJ55" s="2913"/>
      <c r="AK55" s="2904"/>
      <c r="AL55" s="2904"/>
      <c r="AM55" s="2904"/>
      <c r="AN55" s="2904"/>
      <c r="AO55" s="2904"/>
      <c r="AP55" s="2904"/>
      <c r="AQ55" s="2904"/>
      <c r="AR55" s="2888"/>
    </row>
    <row r="56" spans="1:44" ht="87" customHeight="1" thickBot="1" x14ac:dyDescent="0.25">
      <c r="A56" s="2930"/>
      <c r="B56" s="394"/>
      <c r="C56" s="525"/>
      <c r="D56" s="2930"/>
      <c r="E56" s="2934"/>
      <c r="F56" s="2935"/>
      <c r="G56" s="2930"/>
      <c r="H56" s="2934"/>
      <c r="I56" s="2935"/>
      <c r="J56" s="555">
        <v>63</v>
      </c>
      <c r="K56" s="67" t="s">
        <v>453</v>
      </c>
      <c r="L56" s="67" t="s">
        <v>454</v>
      </c>
      <c r="M56" s="501">
        <v>250</v>
      </c>
      <c r="N56" s="2738"/>
      <c r="O56" s="2942"/>
      <c r="P56" s="2920"/>
      <c r="Q56" s="556">
        <f>SUM(V56)/R38</f>
        <v>9.5304623397433119E-2</v>
      </c>
      <c r="R56" s="2922"/>
      <c r="S56" s="2920"/>
      <c r="T56" s="2924"/>
      <c r="U56" s="557" t="s">
        <v>455</v>
      </c>
      <c r="V56" s="503">
        <v>2000000000</v>
      </c>
      <c r="W56" s="558">
        <v>46</v>
      </c>
      <c r="X56" s="559" t="s">
        <v>411</v>
      </c>
      <c r="Y56" s="2927"/>
      <c r="Z56" s="2916"/>
      <c r="AA56" s="2916"/>
      <c r="AB56" s="2916"/>
      <c r="AC56" s="2916"/>
      <c r="AD56" s="2916"/>
      <c r="AE56" s="2738"/>
      <c r="AF56" s="2714"/>
      <c r="AG56" s="2910"/>
      <c r="AH56" s="2714"/>
      <c r="AI56" s="2714"/>
      <c r="AJ56" s="2913"/>
      <c r="AK56" s="2904"/>
      <c r="AL56" s="2904"/>
      <c r="AM56" s="2904"/>
      <c r="AN56" s="2904"/>
      <c r="AO56" s="2904"/>
      <c r="AP56" s="2904"/>
      <c r="AQ56" s="2904"/>
      <c r="AR56" s="2888"/>
    </row>
    <row r="57" spans="1:44" ht="92.25" customHeight="1" thickBot="1" x14ac:dyDescent="0.25">
      <c r="A57" s="2930"/>
      <c r="B57" s="394"/>
      <c r="C57" s="525"/>
      <c r="D57" s="2930"/>
      <c r="E57" s="2934"/>
      <c r="F57" s="2935"/>
      <c r="G57" s="2930"/>
      <c r="H57" s="2934"/>
      <c r="I57" s="2935"/>
      <c r="J57" s="560">
        <v>64</v>
      </c>
      <c r="K57" s="67" t="s">
        <v>456</v>
      </c>
      <c r="L57" s="332" t="s">
        <v>457</v>
      </c>
      <c r="M57" s="561">
        <v>1</v>
      </c>
      <c r="N57" s="2640"/>
      <c r="O57" s="2876"/>
      <c r="P57" s="2874"/>
      <c r="Q57" s="556">
        <f>SUM(V57)/R38</f>
        <v>1.4206271564096741E-3</v>
      </c>
      <c r="R57" s="2894"/>
      <c r="S57" s="2874"/>
      <c r="T57" s="2925"/>
      <c r="U57" s="562" t="s">
        <v>458</v>
      </c>
      <c r="V57" s="522">
        <v>29812345</v>
      </c>
      <c r="W57" s="563">
        <v>20</v>
      </c>
      <c r="X57" s="564" t="s">
        <v>459</v>
      </c>
      <c r="Y57" s="2927"/>
      <c r="Z57" s="2916"/>
      <c r="AA57" s="2916"/>
      <c r="AB57" s="2916"/>
      <c r="AC57" s="2916"/>
      <c r="AD57" s="2916"/>
      <c r="AE57" s="2738"/>
      <c r="AF57" s="2714"/>
      <c r="AG57" s="2910"/>
      <c r="AH57" s="2714"/>
      <c r="AI57" s="2714"/>
      <c r="AJ57" s="2913"/>
      <c r="AK57" s="2904"/>
      <c r="AL57" s="2904"/>
      <c r="AM57" s="2904"/>
      <c r="AN57" s="2904"/>
      <c r="AO57" s="2904"/>
      <c r="AP57" s="2904"/>
      <c r="AQ57" s="2904"/>
      <c r="AR57" s="2888"/>
    </row>
    <row r="58" spans="1:44" s="573" customFormat="1" ht="108.75" customHeight="1" thickBot="1" x14ac:dyDescent="0.25">
      <c r="A58" s="2931"/>
      <c r="B58" s="565"/>
      <c r="C58" s="566"/>
      <c r="D58" s="2931"/>
      <c r="E58" s="2936"/>
      <c r="F58" s="2937"/>
      <c r="G58" s="2931"/>
      <c r="H58" s="2936"/>
      <c r="I58" s="2937"/>
      <c r="J58" s="567">
        <v>59</v>
      </c>
      <c r="K58" s="67" t="s">
        <v>437</v>
      </c>
      <c r="L58" s="332" t="s">
        <v>438</v>
      </c>
      <c r="M58" s="499">
        <v>1</v>
      </c>
      <c r="N58" s="501" t="s">
        <v>460</v>
      </c>
      <c r="O58" s="568" t="s">
        <v>461</v>
      </c>
      <c r="P58" s="93" t="s">
        <v>462</v>
      </c>
      <c r="Q58" s="569">
        <f>V58/R58</f>
        <v>1</v>
      </c>
      <c r="R58" s="440">
        <f>SUM(V58)</f>
        <v>815853756</v>
      </c>
      <c r="S58" s="93" t="s">
        <v>463</v>
      </c>
      <c r="T58" s="570" t="s">
        <v>464</v>
      </c>
      <c r="U58" s="557" t="s">
        <v>465</v>
      </c>
      <c r="V58" s="571">
        <v>815853756</v>
      </c>
      <c r="W58" s="572">
        <v>56</v>
      </c>
      <c r="X58" s="564" t="s">
        <v>466</v>
      </c>
      <c r="Y58" s="2928"/>
      <c r="Z58" s="2917"/>
      <c r="AA58" s="2917"/>
      <c r="AB58" s="2917"/>
      <c r="AC58" s="2917"/>
      <c r="AD58" s="2917"/>
      <c r="AE58" s="2919"/>
      <c r="AF58" s="2908"/>
      <c r="AG58" s="2911"/>
      <c r="AH58" s="2908"/>
      <c r="AI58" s="2908"/>
      <c r="AJ58" s="2914"/>
      <c r="AK58" s="2905"/>
      <c r="AL58" s="2905"/>
      <c r="AM58" s="2905"/>
      <c r="AN58" s="2905"/>
      <c r="AO58" s="2905"/>
      <c r="AP58" s="2905"/>
      <c r="AQ58" s="2905"/>
      <c r="AR58" s="2889"/>
    </row>
    <row r="59" spans="1:44" ht="27" customHeight="1" thickBot="1" x14ac:dyDescent="0.25">
      <c r="A59" s="2868" t="s">
        <v>467</v>
      </c>
      <c r="B59" s="2869"/>
      <c r="C59" s="2869"/>
      <c r="D59" s="2869"/>
      <c r="E59" s="2869"/>
      <c r="F59" s="2869"/>
      <c r="G59" s="2869"/>
      <c r="H59" s="2869"/>
      <c r="I59" s="2869"/>
      <c r="J59" s="2869"/>
      <c r="K59" s="2869"/>
      <c r="L59" s="2869"/>
      <c r="M59" s="2869"/>
      <c r="N59" s="2869"/>
      <c r="O59" s="2869"/>
      <c r="P59" s="2870"/>
      <c r="Q59" s="574"/>
      <c r="R59" s="575">
        <f>SUM(R13:R58)</f>
        <v>32534972632</v>
      </c>
      <c r="S59" s="576"/>
      <c r="T59" s="577"/>
      <c r="U59" s="578"/>
      <c r="V59" s="440">
        <f>SUM(V13:V23,V27:V36,V38:V58)</f>
        <v>32534972632</v>
      </c>
      <c r="W59" s="579"/>
      <c r="X59" s="580"/>
      <c r="Y59" s="581"/>
      <c r="Z59" s="582"/>
      <c r="AA59" s="582"/>
      <c r="AB59" s="582"/>
      <c r="AC59" s="582"/>
      <c r="AD59" s="582"/>
      <c r="AE59" s="582"/>
      <c r="AF59" s="582"/>
      <c r="AG59" s="582"/>
      <c r="AH59" s="582"/>
      <c r="AI59" s="582"/>
      <c r="AJ59" s="582"/>
      <c r="AK59" s="582"/>
      <c r="AL59" s="582"/>
      <c r="AM59" s="582"/>
      <c r="AN59" s="582"/>
      <c r="AO59" s="582"/>
      <c r="AP59" s="582"/>
      <c r="AQ59" s="582"/>
      <c r="AR59" s="583"/>
    </row>
    <row r="60" spans="1:44" ht="27" customHeight="1" x14ac:dyDescent="0.2">
      <c r="A60" s="584"/>
      <c r="B60" s="584"/>
      <c r="C60" s="584"/>
      <c r="D60" s="584"/>
      <c r="E60" s="584"/>
      <c r="F60" s="584"/>
      <c r="G60" s="584"/>
      <c r="H60" s="584"/>
      <c r="I60" s="584"/>
      <c r="J60" s="584"/>
      <c r="K60" s="584"/>
      <c r="L60" s="584"/>
      <c r="M60" s="584"/>
      <c r="N60" s="584"/>
      <c r="O60" s="584"/>
      <c r="P60" s="584"/>
      <c r="Q60" s="585"/>
      <c r="R60" s="585"/>
      <c r="S60" s="586"/>
      <c r="T60" s="586"/>
      <c r="U60" s="586"/>
      <c r="V60" s="587"/>
      <c r="W60" s="588"/>
      <c r="X60" s="589"/>
      <c r="Y60" s="588"/>
      <c r="Z60" s="588"/>
      <c r="AA60" s="588"/>
      <c r="AB60" s="588"/>
      <c r="AC60" s="588"/>
      <c r="AD60" s="588"/>
      <c r="AE60" s="588"/>
      <c r="AF60" s="588"/>
      <c r="AG60" s="588"/>
      <c r="AH60" s="588"/>
      <c r="AI60" s="588"/>
      <c r="AJ60" s="588"/>
      <c r="AK60" s="588"/>
      <c r="AL60" s="588"/>
      <c r="AM60" s="588"/>
      <c r="AN60" s="588"/>
      <c r="AO60" s="588"/>
      <c r="AP60" s="588"/>
      <c r="AQ60" s="588"/>
      <c r="AR60" s="588"/>
    </row>
    <row r="61" spans="1:44" ht="27" customHeight="1" x14ac:dyDescent="0.2">
      <c r="A61" s="584"/>
      <c r="B61" s="584"/>
      <c r="C61" s="584"/>
      <c r="D61" s="584"/>
      <c r="E61" s="584"/>
      <c r="F61" s="584"/>
      <c r="G61" s="584"/>
      <c r="H61" s="584"/>
      <c r="I61" s="584"/>
      <c r="J61" s="584"/>
      <c r="K61" s="584"/>
      <c r="L61" s="584"/>
      <c r="M61" s="584"/>
      <c r="N61" s="584"/>
      <c r="O61" s="584"/>
      <c r="P61" s="584"/>
      <c r="Q61" s="585"/>
      <c r="R61" s="585"/>
      <c r="S61" s="586"/>
      <c r="T61" s="586"/>
      <c r="U61" s="586"/>
      <c r="V61" s="585"/>
      <c r="W61" s="588"/>
      <c r="X61" s="589"/>
      <c r="Y61" s="588"/>
      <c r="Z61" s="588"/>
      <c r="AA61" s="588"/>
      <c r="AB61" s="588"/>
      <c r="AC61" s="588"/>
      <c r="AD61" s="588"/>
      <c r="AE61" s="588"/>
      <c r="AF61" s="588"/>
      <c r="AG61" s="588"/>
      <c r="AH61" s="588"/>
      <c r="AI61" s="588"/>
      <c r="AJ61" s="588"/>
      <c r="AK61" s="588"/>
      <c r="AL61" s="588"/>
      <c r="AM61" s="588"/>
      <c r="AN61" s="588"/>
      <c r="AO61" s="588"/>
      <c r="AP61" s="588"/>
      <c r="AQ61" s="588"/>
      <c r="AR61" s="588"/>
    </row>
    <row r="62" spans="1:44" ht="27" customHeight="1" x14ac:dyDescent="0.2">
      <c r="A62" s="584"/>
      <c r="B62" s="584"/>
      <c r="C62" s="584"/>
      <c r="D62" s="584"/>
      <c r="E62" s="584"/>
      <c r="F62" s="584"/>
      <c r="G62" s="584"/>
      <c r="H62" s="584"/>
      <c r="I62" s="584"/>
      <c r="J62" s="584"/>
      <c r="K62" s="584"/>
      <c r="L62" s="584"/>
      <c r="M62" s="584"/>
      <c r="N62" s="584"/>
      <c r="O62" s="584"/>
      <c r="P62" s="584"/>
      <c r="Q62" s="585"/>
      <c r="R62" s="585"/>
      <c r="S62" s="586"/>
      <c r="T62" s="586"/>
      <c r="U62" s="586"/>
      <c r="V62" s="585"/>
      <c r="W62" s="588"/>
      <c r="X62" s="589"/>
      <c r="Y62" s="588"/>
      <c r="Z62" s="588"/>
      <c r="AA62" s="588"/>
      <c r="AB62" s="588"/>
      <c r="AC62" s="588"/>
      <c r="AD62" s="588"/>
      <c r="AE62" s="588"/>
      <c r="AF62" s="588"/>
      <c r="AG62" s="588"/>
      <c r="AH62" s="588"/>
      <c r="AI62" s="588"/>
      <c r="AJ62" s="588"/>
      <c r="AK62" s="588"/>
      <c r="AL62" s="588"/>
      <c r="AM62" s="588"/>
      <c r="AN62" s="588"/>
      <c r="AO62" s="588"/>
      <c r="AP62" s="588"/>
      <c r="AQ62" s="588"/>
      <c r="AR62" s="588"/>
    </row>
    <row r="63" spans="1:44" ht="15.75" x14ac:dyDescent="0.2">
      <c r="R63" s="591"/>
      <c r="V63" s="585"/>
    </row>
    <row r="64" spans="1:44" ht="14.25" customHeight="1" x14ac:dyDescent="0.2">
      <c r="V64" s="585"/>
    </row>
    <row r="65" spans="13:22" ht="15" x14ac:dyDescent="0.25">
      <c r="V65" s="592"/>
    </row>
    <row r="66" spans="13:22" ht="15" x14ac:dyDescent="0.25">
      <c r="M66" s="593" t="s">
        <v>468</v>
      </c>
      <c r="N66" s="594"/>
      <c r="V66" s="591"/>
    </row>
    <row r="67" spans="13:22" x14ac:dyDescent="0.2">
      <c r="M67" s="399" t="s">
        <v>469</v>
      </c>
    </row>
    <row r="68" spans="13:22" x14ac:dyDescent="0.2">
      <c r="M68" s="399" t="s">
        <v>470</v>
      </c>
    </row>
  </sheetData>
  <sheetProtection password="A60F" sheet="1" objects="1" scenarios="1"/>
  <mergeCells count="266">
    <mergeCell ref="N7:N9"/>
    <mergeCell ref="O7:O9"/>
    <mergeCell ref="P7:P9"/>
    <mergeCell ref="Q7:Q9"/>
    <mergeCell ref="A1:AP5"/>
    <mergeCell ref="A6:M6"/>
    <mergeCell ref="N6:AR6"/>
    <mergeCell ref="A7:A9"/>
    <mergeCell ref="B7:C9"/>
    <mergeCell ref="D7:D9"/>
    <mergeCell ref="E7:F9"/>
    <mergeCell ref="G7:H9"/>
    <mergeCell ref="I7:J9"/>
    <mergeCell ref="K7:K9"/>
    <mergeCell ref="AO7:AP8"/>
    <mergeCell ref="AQ7:AQ8"/>
    <mergeCell ref="AR7:AR9"/>
    <mergeCell ref="J13:J16"/>
    <mergeCell ref="K13:K16"/>
    <mergeCell ref="L13:L16"/>
    <mergeCell ref="M13:M16"/>
    <mergeCell ref="N13:N16"/>
    <mergeCell ref="O13:O16"/>
    <mergeCell ref="P13:P16"/>
    <mergeCell ref="X7:X9"/>
    <mergeCell ref="Y7:Z7"/>
    <mergeCell ref="AA7:AD7"/>
    <mergeCell ref="AE7:AJ7"/>
    <mergeCell ref="AK7:AM7"/>
    <mergeCell ref="AN7:AN8"/>
    <mergeCell ref="R7:R9"/>
    <mergeCell ref="S7:S9"/>
    <mergeCell ref="T7:T9"/>
    <mergeCell ref="U7:U9"/>
    <mergeCell ref="V7:V8"/>
    <mergeCell ref="W7:W9"/>
    <mergeCell ref="L7:L9"/>
    <mergeCell ref="M7:M8"/>
    <mergeCell ref="AB13:AB16"/>
    <mergeCell ref="AC13:AC16"/>
    <mergeCell ref="AD13:AD16"/>
    <mergeCell ref="AE13:AE16"/>
    <mergeCell ref="Q13:Q16"/>
    <mergeCell ref="R13:R16"/>
    <mergeCell ref="S13:S16"/>
    <mergeCell ref="T13:T14"/>
    <mergeCell ref="U13:U16"/>
    <mergeCell ref="Y13:Y16"/>
    <mergeCell ref="AR13:AR16"/>
    <mergeCell ref="T15:T16"/>
    <mergeCell ref="J17:J18"/>
    <mergeCell ref="K17:K18"/>
    <mergeCell ref="L17:L18"/>
    <mergeCell ref="M17:M18"/>
    <mergeCell ref="N17:N18"/>
    <mergeCell ref="O17:O18"/>
    <mergeCell ref="P17:P18"/>
    <mergeCell ref="Q17:Q18"/>
    <mergeCell ref="AL13:AL16"/>
    <mergeCell ref="AM13:AM16"/>
    <mergeCell ref="AN13:AN16"/>
    <mergeCell ref="AO13:AO16"/>
    <mergeCell ref="AP13:AP16"/>
    <mergeCell ref="AQ13:AQ16"/>
    <mergeCell ref="AF13:AF16"/>
    <mergeCell ref="AG13:AG16"/>
    <mergeCell ref="AH13:AH16"/>
    <mergeCell ref="AI13:AI16"/>
    <mergeCell ref="AJ13:AJ16"/>
    <mergeCell ref="AK13:AK16"/>
    <mergeCell ref="Z13:Z16"/>
    <mergeCell ref="AA13:AA16"/>
    <mergeCell ref="AA17:AA18"/>
    <mergeCell ref="AB17:AB18"/>
    <mergeCell ref="AC17:AC18"/>
    <mergeCell ref="AD17:AD18"/>
    <mergeCell ref="R17:R18"/>
    <mergeCell ref="S17:S18"/>
    <mergeCell ref="U17:U18"/>
    <mergeCell ref="V17:V18"/>
    <mergeCell ref="W17:W18"/>
    <mergeCell ref="X17:X18"/>
    <mergeCell ref="AQ17:AQ18"/>
    <mergeCell ref="AR17:AR18"/>
    <mergeCell ref="J19:J20"/>
    <mergeCell ref="K19:K20"/>
    <mergeCell ref="L19:L20"/>
    <mergeCell ref="M19:M20"/>
    <mergeCell ref="N19:N20"/>
    <mergeCell ref="O19:O20"/>
    <mergeCell ref="P19:P20"/>
    <mergeCell ref="Q19:Q20"/>
    <mergeCell ref="AK17:AK18"/>
    <mergeCell ref="AL17:AL18"/>
    <mergeCell ref="AM17:AM18"/>
    <mergeCell ref="AN17:AN18"/>
    <mergeCell ref="AO17:AO18"/>
    <mergeCell ref="AP17:AP18"/>
    <mergeCell ref="AE17:AE18"/>
    <mergeCell ref="AF17:AF18"/>
    <mergeCell ref="AG17:AG18"/>
    <mergeCell ref="AH17:AH18"/>
    <mergeCell ref="AI17:AI18"/>
    <mergeCell ref="AJ17:AJ18"/>
    <mergeCell ref="Y17:Y18"/>
    <mergeCell ref="Z17:Z18"/>
    <mergeCell ref="AI19:AI20"/>
    <mergeCell ref="AJ19:AJ20"/>
    <mergeCell ref="Y19:Y20"/>
    <mergeCell ref="Z19:Z20"/>
    <mergeCell ref="AA19:AA20"/>
    <mergeCell ref="AB19:AB20"/>
    <mergeCell ref="AC19:AC20"/>
    <mergeCell ref="AD19:AD20"/>
    <mergeCell ref="R19:R20"/>
    <mergeCell ref="S19:S20"/>
    <mergeCell ref="U19:U20"/>
    <mergeCell ref="V19:V20"/>
    <mergeCell ref="W19:W20"/>
    <mergeCell ref="X19:X20"/>
    <mergeCell ref="Y22:Y23"/>
    <mergeCell ref="Z22:Z23"/>
    <mergeCell ref="AA22:AA23"/>
    <mergeCell ref="AB22:AB23"/>
    <mergeCell ref="AQ19:AQ20"/>
    <mergeCell ref="AR19:AR20"/>
    <mergeCell ref="J22:J23"/>
    <mergeCell ref="K22:K23"/>
    <mergeCell ref="L22:L23"/>
    <mergeCell ref="M22:M23"/>
    <mergeCell ref="N22:N23"/>
    <mergeCell ref="O22:O23"/>
    <mergeCell ref="P22:P23"/>
    <mergeCell ref="Q22:Q23"/>
    <mergeCell ref="AK19:AK20"/>
    <mergeCell ref="AL19:AL20"/>
    <mergeCell ref="AM19:AM20"/>
    <mergeCell ref="AN19:AN20"/>
    <mergeCell ref="AO19:AO20"/>
    <mergeCell ref="AP19:AP20"/>
    <mergeCell ref="AE19:AE20"/>
    <mergeCell ref="AF19:AF20"/>
    <mergeCell ref="AG19:AG20"/>
    <mergeCell ref="AH19:AH20"/>
    <mergeCell ref="AO22:AO23"/>
    <mergeCell ref="AP22:AP23"/>
    <mergeCell ref="AQ22:AQ23"/>
    <mergeCell ref="AR22:AR23"/>
    <mergeCell ref="A25:A36"/>
    <mergeCell ref="B25:C36"/>
    <mergeCell ref="D26:F36"/>
    <mergeCell ref="J27:J31"/>
    <mergeCell ref="K27:K31"/>
    <mergeCell ref="L27:L31"/>
    <mergeCell ref="AI22:AI23"/>
    <mergeCell ref="AJ22:AJ23"/>
    <mergeCell ref="AK22:AK23"/>
    <mergeCell ref="AL22:AL23"/>
    <mergeCell ref="AM22:AM23"/>
    <mergeCell ref="AN22:AN23"/>
    <mergeCell ref="AC22:AC23"/>
    <mergeCell ref="AD22:AD23"/>
    <mergeCell ref="AE22:AE23"/>
    <mergeCell ref="AF22:AF23"/>
    <mergeCell ref="AG22:AG23"/>
    <mergeCell ref="AH22:AH23"/>
    <mergeCell ref="R22:R23"/>
    <mergeCell ref="S22:S23"/>
    <mergeCell ref="Z27:Z36"/>
    <mergeCell ref="AA27:AA36"/>
    <mergeCell ref="AB27:AB36"/>
    <mergeCell ref="AC27:AC36"/>
    <mergeCell ref="U32:U33"/>
    <mergeCell ref="U34:U35"/>
    <mergeCell ref="M27:M31"/>
    <mergeCell ref="O27:O36"/>
    <mergeCell ref="P27:P36"/>
    <mergeCell ref="Q27:Q31"/>
    <mergeCell ref="R27:R36"/>
    <mergeCell ref="S27:S36"/>
    <mergeCell ref="AP27:AP36"/>
    <mergeCell ref="AQ27:AQ36"/>
    <mergeCell ref="AR27:AR36"/>
    <mergeCell ref="U29:U30"/>
    <mergeCell ref="J32:J36"/>
    <mergeCell ref="K32:K36"/>
    <mergeCell ref="L32:L36"/>
    <mergeCell ref="M32:M36"/>
    <mergeCell ref="Q32:Q36"/>
    <mergeCell ref="T32:T36"/>
    <mergeCell ref="AJ27:AJ36"/>
    <mergeCell ref="AK27:AK36"/>
    <mergeCell ref="AL27:AL36"/>
    <mergeCell ref="AM27:AM36"/>
    <mergeCell ref="AN27:AN36"/>
    <mergeCell ref="AO27:AO36"/>
    <mergeCell ref="AD27:AD36"/>
    <mergeCell ref="AE27:AE36"/>
    <mergeCell ref="AF27:AF36"/>
    <mergeCell ref="AG27:AG36"/>
    <mergeCell ref="AH27:AH36"/>
    <mergeCell ref="AI27:AI36"/>
    <mergeCell ref="T27:T31"/>
    <mergeCell ref="Y27:Y36"/>
    <mergeCell ref="R38:R57"/>
    <mergeCell ref="S38:S57"/>
    <mergeCell ref="T38:T57"/>
    <mergeCell ref="Y38:Y58"/>
    <mergeCell ref="A37:A58"/>
    <mergeCell ref="D37:F58"/>
    <mergeCell ref="Y37:AR37"/>
    <mergeCell ref="G38:I58"/>
    <mergeCell ref="J38:J43"/>
    <mergeCell ref="K38:K43"/>
    <mergeCell ref="L38:L43"/>
    <mergeCell ref="M38:M43"/>
    <mergeCell ref="N38:N57"/>
    <mergeCell ref="O38:O57"/>
    <mergeCell ref="AG38:AG58"/>
    <mergeCell ref="AH38:AH58"/>
    <mergeCell ref="AI38:AI58"/>
    <mergeCell ref="AJ38:AJ58"/>
    <mergeCell ref="AK38:AK58"/>
    <mergeCell ref="Z38:Z58"/>
    <mergeCell ref="AA38:AA58"/>
    <mergeCell ref="AB38:AB58"/>
    <mergeCell ref="AC38:AC58"/>
    <mergeCell ref="AD38:AD58"/>
    <mergeCell ref="AE38:AE58"/>
    <mergeCell ref="J46:J51"/>
    <mergeCell ref="K46:K51"/>
    <mergeCell ref="L46:L51"/>
    <mergeCell ref="M46:M51"/>
    <mergeCell ref="Q46:Q51"/>
    <mergeCell ref="U47:U48"/>
    <mergeCell ref="U49:U50"/>
    <mergeCell ref="AR38:AR58"/>
    <mergeCell ref="U40:U42"/>
    <mergeCell ref="V41:V42"/>
    <mergeCell ref="W41:W42"/>
    <mergeCell ref="X41:X42"/>
    <mergeCell ref="J44:J45"/>
    <mergeCell ref="K44:K45"/>
    <mergeCell ref="L44:L45"/>
    <mergeCell ref="M44:M45"/>
    <mergeCell ref="Q44:Q45"/>
    <mergeCell ref="AL38:AL58"/>
    <mergeCell ref="AM38:AM58"/>
    <mergeCell ref="AN38:AN58"/>
    <mergeCell ref="AO38:AO58"/>
    <mergeCell ref="AP38:AP58"/>
    <mergeCell ref="AQ38:AQ58"/>
    <mergeCell ref="AF38:AF58"/>
    <mergeCell ref="A59:P59"/>
    <mergeCell ref="J52:J53"/>
    <mergeCell ref="K52:K53"/>
    <mergeCell ref="L52:L53"/>
    <mergeCell ref="M52:M53"/>
    <mergeCell ref="Q52:Q53"/>
    <mergeCell ref="J54:J55"/>
    <mergeCell ref="K54:K55"/>
    <mergeCell ref="L54:L55"/>
    <mergeCell ref="M54:M55"/>
    <mergeCell ref="Q54:Q55"/>
    <mergeCell ref="P38:P57"/>
    <mergeCell ref="Q38:Q43"/>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3"/>
  <sheetViews>
    <sheetView showGridLines="0" zoomScale="60" zoomScaleNormal="60" workbookViewId="0">
      <selection activeCell="H20" sqref="H20"/>
    </sheetView>
  </sheetViews>
  <sheetFormatPr baseColWidth="10" defaultColWidth="11.42578125" defaultRowHeight="27" customHeight="1" x14ac:dyDescent="0.2"/>
  <cols>
    <col min="1" max="1" width="13.140625" style="1692" customWidth="1"/>
    <col min="2" max="2" width="4" style="573" customWidth="1"/>
    <col min="3" max="3" width="15.42578125" style="573" customWidth="1"/>
    <col min="4" max="4" width="14.7109375" style="573" customWidth="1"/>
    <col min="5" max="5" width="10" style="573" customWidth="1"/>
    <col min="6" max="6" width="13.5703125" style="573" customWidth="1"/>
    <col min="7" max="7" width="14.28515625" style="573" customWidth="1"/>
    <col min="8" max="8" width="8.5703125" style="573" customWidth="1"/>
    <col min="9" max="9" width="16.85546875" style="573" customWidth="1"/>
    <col min="10" max="10" width="18.140625" style="573" customWidth="1"/>
    <col min="11" max="11" width="40.140625" style="1693" customWidth="1"/>
    <col min="12" max="12" width="27.7109375" style="1694" customWidth="1"/>
    <col min="13" max="13" width="17.28515625" style="1479" customWidth="1"/>
    <col min="14" max="14" width="37.28515625" style="1694" customWidth="1"/>
    <col min="15" max="15" width="20.7109375" style="1695" customWidth="1"/>
    <col min="16" max="16" width="18.42578125" style="1696" customWidth="1"/>
    <col min="17" max="17" width="15" style="1697" customWidth="1"/>
    <col min="18" max="18" width="29.85546875" style="1698" customWidth="1"/>
    <col min="19" max="19" width="29.85546875" style="1696" customWidth="1"/>
    <col min="20" max="20" width="31" style="1696" customWidth="1"/>
    <col min="21" max="21" width="43.5703125" style="1693" customWidth="1"/>
    <col min="22" max="22" width="27.140625" style="1699" customWidth="1"/>
    <col min="23" max="23" width="21.85546875" style="1700" customWidth="1"/>
    <col min="24" max="24" width="26.140625" style="1700" customWidth="1"/>
    <col min="25" max="25" width="9.28515625" style="573" customWidth="1"/>
    <col min="26" max="27" width="9.28515625" style="573" bestFit="1" customWidth="1"/>
    <col min="28" max="28" width="8.85546875" style="573" bestFit="1" customWidth="1"/>
    <col min="29" max="29" width="9.7109375" style="573" customWidth="1"/>
    <col min="30" max="30" width="10.140625" style="573" customWidth="1"/>
    <col min="31" max="31" width="6.85546875" style="573" bestFit="1" customWidth="1"/>
    <col min="32" max="32" width="8.140625" style="573" bestFit="1" customWidth="1"/>
    <col min="33" max="35" width="7.140625" style="573" customWidth="1"/>
    <col min="36" max="36" width="5.5703125" style="573" customWidth="1"/>
    <col min="37" max="37" width="8.7109375" style="573" customWidth="1"/>
    <col min="38" max="38" width="9.5703125" style="573" customWidth="1"/>
    <col min="39" max="39" width="9" style="573" customWidth="1"/>
    <col min="40" max="40" width="11" style="573" customWidth="1"/>
    <col min="41" max="41" width="20.42578125" style="1701" customWidth="1"/>
    <col min="42" max="42" width="21.140625" style="1702" customWidth="1"/>
    <col min="43" max="43" width="23" style="1703" customWidth="1"/>
    <col min="44" max="16384" width="11.42578125" style="573"/>
  </cols>
  <sheetData>
    <row r="1" spans="1:63" ht="16.5" customHeight="1" x14ac:dyDescent="0.2">
      <c r="A1" s="3205" t="s">
        <v>1318</v>
      </c>
      <c r="B1" s="3206"/>
      <c r="C1" s="3206"/>
      <c r="D1" s="3206"/>
      <c r="E1" s="3206"/>
      <c r="F1" s="3206"/>
      <c r="G1" s="3206"/>
      <c r="H1" s="3206"/>
      <c r="I1" s="3206"/>
      <c r="J1" s="3206"/>
      <c r="K1" s="3206"/>
      <c r="L1" s="3206"/>
      <c r="M1" s="3206"/>
      <c r="N1" s="3206"/>
      <c r="O1" s="3206"/>
      <c r="P1" s="3206"/>
      <c r="Q1" s="3206"/>
      <c r="R1" s="3206"/>
      <c r="S1" s="3206"/>
      <c r="T1" s="3206"/>
      <c r="U1" s="3206"/>
      <c r="V1" s="3206"/>
      <c r="W1" s="3206"/>
      <c r="X1" s="3206"/>
      <c r="Y1" s="3206"/>
      <c r="Z1" s="3206"/>
      <c r="AA1" s="3206"/>
      <c r="AB1" s="3206"/>
      <c r="AC1" s="3206"/>
      <c r="AD1" s="3206"/>
      <c r="AE1" s="3206"/>
      <c r="AF1" s="3206"/>
      <c r="AG1" s="3206"/>
      <c r="AH1" s="3206"/>
      <c r="AI1" s="3206"/>
      <c r="AJ1" s="3206"/>
      <c r="AK1" s="3206"/>
      <c r="AL1" s="3206"/>
      <c r="AM1" s="3206"/>
      <c r="AN1" s="3206"/>
      <c r="AO1" s="3206"/>
      <c r="AP1" s="1477" t="s">
        <v>1</v>
      </c>
      <c r="AQ1" s="1478" t="s">
        <v>2</v>
      </c>
      <c r="AR1" s="1479"/>
      <c r="AS1" s="1479"/>
      <c r="AT1" s="1479"/>
      <c r="AU1" s="1479"/>
      <c r="AV1" s="1479"/>
      <c r="AW1" s="1479"/>
      <c r="AX1" s="1479"/>
      <c r="AY1" s="1479"/>
      <c r="AZ1" s="1479"/>
      <c r="BA1" s="1479"/>
      <c r="BB1" s="1479"/>
      <c r="BC1" s="1479"/>
      <c r="BD1" s="1479"/>
      <c r="BE1" s="1479"/>
      <c r="BF1" s="1479"/>
      <c r="BG1" s="1479"/>
      <c r="BH1" s="1479"/>
      <c r="BI1" s="1479"/>
      <c r="BJ1" s="1479"/>
      <c r="BK1" s="1479"/>
    </row>
    <row r="2" spans="1:63" ht="16.5" customHeight="1" x14ac:dyDescent="0.2">
      <c r="A2" s="3207"/>
      <c r="B2" s="3208"/>
      <c r="C2" s="3208"/>
      <c r="D2" s="3208"/>
      <c r="E2" s="3208"/>
      <c r="F2" s="3208"/>
      <c r="G2" s="3208"/>
      <c r="H2" s="3208"/>
      <c r="I2" s="3208"/>
      <c r="J2" s="3208"/>
      <c r="K2" s="3208"/>
      <c r="L2" s="3208"/>
      <c r="M2" s="3208"/>
      <c r="N2" s="3208"/>
      <c r="O2" s="3208"/>
      <c r="P2" s="3208"/>
      <c r="Q2" s="3208"/>
      <c r="R2" s="3208"/>
      <c r="S2" s="3208"/>
      <c r="T2" s="3208"/>
      <c r="U2" s="3208"/>
      <c r="V2" s="3208"/>
      <c r="W2" s="3208"/>
      <c r="X2" s="3208"/>
      <c r="Y2" s="3208"/>
      <c r="Z2" s="3208"/>
      <c r="AA2" s="3208"/>
      <c r="AB2" s="3208"/>
      <c r="AC2" s="3208"/>
      <c r="AD2" s="3208"/>
      <c r="AE2" s="3208"/>
      <c r="AF2" s="3208"/>
      <c r="AG2" s="3208"/>
      <c r="AH2" s="3208"/>
      <c r="AI2" s="3208"/>
      <c r="AJ2" s="3208"/>
      <c r="AK2" s="3208"/>
      <c r="AL2" s="3208"/>
      <c r="AM2" s="3208"/>
      <c r="AN2" s="3208"/>
      <c r="AO2" s="3208"/>
      <c r="AP2" s="1480" t="s">
        <v>3</v>
      </c>
      <c r="AQ2" s="1481">
        <v>6</v>
      </c>
      <c r="AR2" s="1479"/>
      <c r="AS2" s="1479"/>
      <c r="AT2" s="1479"/>
      <c r="AU2" s="1479"/>
      <c r="AV2" s="1479"/>
      <c r="AW2" s="1479"/>
      <c r="AX2" s="1479"/>
      <c r="AY2" s="1479"/>
      <c r="AZ2" s="1479"/>
      <c r="BA2" s="1479"/>
      <c r="BB2" s="1479"/>
      <c r="BC2" s="1479"/>
      <c r="BD2" s="1479"/>
      <c r="BE2" s="1479"/>
      <c r="BF2" s="1479"/>
      <c r="BG2" s="1479"/>
      <c r="BH2" s="1479"/>
      <c r="BI2" s="1479"/>
      <c r="BJ2" s="1479"/>
      <c r="BK2" s="1479"/>
    </row>
    <row r="3" spans="1:63" ht="16.5" customHeight="1" x14ac:dyDescent="0.2">
      <c r="A3" s="3207"/>
      <c r="B3" s="3208"/>
      <c r="C3" s="3208"/>
      <c r="D3" s="3208"/>
      <c r="E3" s="3208"/>
      <c r="F3" s="3208"/>
      <c r="G3" s="3208"/>
      <c r="H3" s="3208"/>
      <c r="I3" s="3208"/>
      <c r="J3" s="3208"/>
      <c r="K3" s="3208"/>
      <c r="L3" s="3208"/>
      <c r="M3" s="3208"/>
      <c r="N3" s="3208"/>
      <c r="O3" s="3208"/>
      <c r="P3" s="3208"/>
      <c r="Q3" s="3208"/>
      <c r="R3" s="3208"/>
      <c r="S3" s="3208"/>
      <c r="T3" s="3208"/>
      <c r="U3" s="3208"/>
      <c r="V3" s="3208"/>
      <c r="W3" s="3208"/>
      <c r="X3" s="3208"/>
      <c r="Y3" s="3208"/>
      <c r="Z3" s="3208"/>
      <c r="AA3" s="3208"/>
      <c r="AB3" s="3208"/>
      <c r="AC3" s="3208"/>
      <c r="AD3" s="3208"/>
      <c r="AE3" s="3208"/>
      <c r="AF3" s="3208"/>
      <c r="AG3" s="3208"/>
      <c r="AH3" s="3208"/>
      <c r="AI3" s="3208"/>
      <c r="AJ3" s="3208"/>
      <c r="AK3" s="3208"/>
      <c r="AL3" s="3208"/>
      <c r="AM3" s="3208"/>
      <c r="AN3" s="3208"/>
      <c r="AO3" s="3208"/>
      <c r="AP3" s="403" t="s">
        <v>5</v>
      </c>
      <c r="AQ3" s="1481" t="s">
        <v>6</v>
      </c>
      <c r="AR3" s="1479"/>
      <c r="AS3" s="1479"/>
      <c r="AT3" s="1479"/>
      <c r="AU3" s="1479"/>
      <c r="AV3" s="1479"/>
      <c r="AW3" s="1479"/>
      <c r="AX3" s="1479"/>
      <c r="AY3" s="1479"/>
      <c r="AZ3" s="1479"/>
      <c r="BA3" s="1479"/>
      <c r="BB3" s="1479"/>
      <c r="BC3" s="1479"/>
      <c r="BD3" s="1479"/>
      <c r="BE3" s="1479"/>
      <c r="BF3" s="1479"/>
      <c r="BG3" s="1479"/>
      <c r="BH3" s="1479"/>
      <c r="BI3" s="1479"/>
      <c r="BJ3" s="1479"/>
      <c r="BK3" s="1479"/>
    </row>
    <row r="4" spans="1:63" ht="16.5" customHeight="1" x14ac:dyDescent="0.2">
      <c r="A4" s="3209"/>
      <c r="B4" s="2775"/>
      <c r="C4" s="2775"/>
      <c r="D4" s="2775"/>
      <c r="E4" s="2775"/>
      <c r="F4" s="2775"/>
      <c r="G4" s="2775"/>
      <c r="H4" s="2775"/>
      <c r="I4" s="2775"/>
      <c r="J4" s="2775"/>
      <c r="K4" s="2775"/>
      <c r="L4" s="2775"/>
      <c r="M4" s="2775"/>
      <c r="N4" s="2775"/>
      <c r="O4" s="2775"/>
      <c r="P4" s="2775"/>
      <c r="Q4" s="2775"/>
      <c r="R4" s="2775"/>
      <c r="S4" s="2775"/>
      <c r="T4" s="2775"/>
      <c r="U4" s="2775"/>
      <c r="V4" s="2775"/>
      <c r="W4" s="2775"/>
      <c r="X4" s="2775"/>
      <c r="Y4" s="2775"/>
      <c r="Z4" s="2775"/>
      <c r="AA4" s="2775"/>
      <c r="AB4" s="2775"/>
      <c r="AC4" s="2775"/>
      <c r="AD4" s="2775"/>
      <c r="AE4" s="2775"/>
      <c r="AF4" s="2775"/>
      <c r="AG4" s="2775"/>
      <c r="AH4" s="2775"/>
      <c r="AI4" s="2775"/>
      <c r="AJ4" s="2775"/>
      <c r="AK4" s="2775"/>
      <c r="AL4" s="2775"/>
      <c r="AM4" s="2775"/>
      <c r="AN4" s="2775"/>
      <c r="AO4" s="2775"/>
      <c r="AP4" s="403" t="s">
        <v>7</v>
      </c>
      <c r="AQ4" s="1482" t="s">
        <v>8</v>
      </c>
      <c r="AR4" s="1479"/>
      <c r="AS4" s="1479"/>
      <c r="AT4" s="1479"/>
      <c r="AU4" s="1479"/>
      <c r="AV4" s="1479"/>
      <c r="AW4" s="1479"/>
      <c r="AX4" s="1479"/>
      <c r="AY4" s="1479"/>
      <c r="AZ4" s="1479"/>
      <c r="BA4" s="1479"/>
      <c r="BB4" s="1479"/>
      <c r="BC4" s="1479"/>
      <c r="BD4" s="1479"/>
      <c r="BE4" s="1479"/>
      <c r="BF4" s="1479"/>
      <c r="BG4" s="1479"/>
      <c r="BH4" s="1479"/>
      <c r="BI4" s="1479"/>
      <c r="BJ4" s="1479"/>
      <c r="BK4" s="1479"/>
    </row>
    <row r="5" spans="1:63" ht="18" customHeight="1" x14ac:dyDescent="0.2">
      <c r="A5" s="3210" t="s">
        <v>9</v>
      </c>
      <c r="B5" s="2776"/>
      <c r="C5" s="2776"/>
      <c r="D5" s="2776"/>
      <c r="E5" s="2776"/>
      <c r="F5" s="2776"/>
      <c r="G5" s="2776"/>
      <c r="H5" s="2776"/>
      <c r="I5" s="2776"/>
      <c r="J5" s="2776"/>
      <c r="K5" s="2776"/>
      <c r="L5" s="2776"/>
      <c r="M5" s="2776"/>
      <c r="N5" s="2777" t="s">
        <v>10</v>
      </c>
      <c r="O5" s="2777"/>
      <c r="P5" s="2777"/>
      <c r="Q5" s="2777"/>
      <c r="R5" s="2777"/>
      <c r="S5" s="2777"/>
      <c r="T5" s="2777"/>
      <c r="U5" s="2777"/>
      <c r="V5" s="2777"/>
      <c r="W5" s="2777"/>
      <c r="X5" s="2777"/>
      <c r="Y5" s="2777"/>
      <c r="Z5" s="2777"/>
      <c r="AA5" s="2777"/>
      <c r="AB5" s="2777"/>
      <c r="AC5" s="2777"/>
      <c r="AD5" s="2777"/>
      <c r="AE5" s="2777"/>
      <c r="AF5" s="2777"/>
      <c r="AG5" s="2777"/>
      <c r="AH5" s="2777"/>
      <c r="AI5" s="2777"/>
      <c r="AJ5" s="2777"/>
      <c r="AK5" s="2777"/>
      <c r="AL5" s="2777"/>
      <c r="AM5" s="2777"/>
      <c r="AN5" s="2777"/>
      <c r="AO5" s="2777"/>
      <c r="AP5" s="2777"/>
      <c r="AQ5" s="3213"/>
      <c r="AR5" s="1479"/>
      <c r="AS5" s="1479"/>
      <c r="AT5" s="1479"/>
      <c r="AU5" s="1479"/>
      <c r="AV5" s="1479"/>
      <c r="AW5" s="1479"/>
      <c r="AX5" s="1479"/>
      <c r="AY5" s="1479"/>
      <c r="AZ5" s="1479"/>
      <c r="BA5" s="1479"/>
      <c r="BB5" s="1479"/>
      <c r="BC5" s="1479"/>
      <c r="BD5" s="1479"/>
      <c r="BE5" s="1479"/>
      <c r="BF5" s="1479"/>
      <c r="BG5" s="1479"/>
      <c r="BH5" s="1479"/>
      <c r="BI5" s="1479"/>
      <c r="BJ5" s="1479"/>
      <c r="BK5" s="1479"/>
    </row>
    <row r="6" spans="1:63" ht="18.75" customHeight="1" x14ac:dyDescent="0.2">
      <c r="A6" s="3211"/>
      <c r="B6" s="3212"/>
      <c r="C6" s="3212"/>
      <c r="D6" s="3212"/>
      <c r="E6" s="3212"/>
      <c r="F6" s="3212"/>
      <c r="G6" s="3212"/>
      <c r="H6" s="3212"/>
      <c r="I6" s="3212"/>
      <c r="J6" s="3212"/>
      <c r="K6" s="3212"/>
      <c r="L6" s="3212"/>
      <c r="M6" s="3212"/>
      <c r="N6" s="1483"/>
      <c r="O6" s="1484"/>
      <c r="P6" s="1485"/>
      <c r="Q6" s="1486"/>
      <c r="R6" s="1486"/>
      <c r="S6" s="1485"/>
      <c r="T6" s="1485"/>
      <c r="U6" s="1487"/>
      <c r="V6" s="1488"/>
      <c r="W6" s="1489"/>
      <c r="X6" s="1489"/>
      <c r="Y6" s="3214" t="s">
        <v>11</v>
      </c>
      <c r="Z6" s="3215"/>
      <c r="AA6" s="3215"/>
      <c r="AB6" s="3215"/>
      <c r="AC6" s="3215"/>
      <c r="AD6" s="3215"/>
      <c r="AE6" s="3215"/>
      <c r="AF6" s="3215"/>
      <c r="AG6" s="3215"/>
      <c r="AH6" s="3215"/>
      <c r="AI6" s="3215"/>
      <c r="AJ6" s="3215"/>
      <c r="AK6" s="3215"/>
      <c r="AL6" s="3215"/>
      <c r="AM6" s="3216"/>
      <c r="AN6" s="1489"/>
      <c r="AO6" s="1486"/>
      <c r="AP6" s="1486"/>
      <c r="AQ6" s="1490"/>
      <c r="AR6" s="1479"/>
      <c r="AS6" s="1479"/>
      <c r="AT6" s="1479"/>
      <c r="AU6" s="1479"/>
      <c r="AV6" s="1479"/>
      <c r="AW6" s="1479"/>
      <c r="AX6" s="1479"/>
      <c r="AY6" s="1479"/>
      <c r="AZ6" s="1479"/>
      <c r="BA6" s="1479"/>
      <c r="BB6" s="1479"/>
      <c r="BC6" s="1479"/>
      <c r="BD6" s="1479"/>
      <c r="BE6" s="1479"/>
      <c r="BF6" s="1479"/>
      <c r="BG6" s="1479"/>
      <c r="BH6" s="1479"/>
      <c r="BI6" s="1479"/>
      <c r="BJ6" s="1479"/>
      <c r="BK6" s="1479"/>
    </row>
    <row r="7" spans="1:63" ht="56.25" customHeight="1" x14ac:dyDescent="0.2">
      <c r="A7" s="1491"/>
      <c r="B7" s="1489"/>
      <c r="C7" s="1489"/>
      <c r="D7" s="1489"/>
      <c r="E7" s="1489"/>
      <c r="F7" s="1489"/>
      <c r="G7" s="1489"/>
      <c r="H7" s="1489"/>
      <c r="I7" s="1489"/>
      <c r="J7" s="1489"/>
      <c r="K7" s="1487"/>
      <c r="L7" s="1489"/>
      <c r="M7" s="1489"/>
      <c r="N7" s="1483"/>
      <c r="O7" s="1484"/>
      <c r="P7" s="1485"/>
      <c r="Q7" s="1486"/>
      <c r="R7" s="1486"/>
      <c r="S7" s="1485"/>
      <c r="T7" s="1485"/>
      <c r="U7" s="1487"/>
      <c r="V7" s="1488"/>
      <c r="W7" s="1489"/>
      <c r="X7" s="1489"/>
      <c r="Y7" s="3217" t="s">
        <v>27</v>
      </c>
      <c r="Z7" s="3218"/>
      <c r="AA7" s="3219" t="s">
        <v>28</v>
      </c>
      <c r="AB7" s="3220"/>
      <c r="AC7" s="3220"/>
      <c r="AD7" s="3220"/>
      <c r="AE7" s="3221" t="s">
        <v>29</v>
      </c>
      <c r="AF7" s="3222"/>
      <c r="AG7" s="3222"/>
      <c r="AH7" s="3222"/>
      <c r="AI7" s="3222"/>
      <c r="AJ7" s="3222"/>
      <c r="AK7" s="3219" t="s">
        <v>30</v>
      </c>
      <c r="AL7" s="3220"/>
      <c r="AM7" s="3220"/>
      <c r="AN7" s="3223" t="s">
        <v>31</v>
      </c>
      <c r="AO7" s="1492"/>
      <c r="AP7" s="1492"/>
      <c r="AQ7" s="1490"/>
      <c r="AR7" s="1479"/>
      <c r="AS7" s="1479"/>
      <c r="AT7" s="1479"/>
      <c r="AU7" s="1479"/>
      <c r="AV7" s="1479"/>
      <c r="AW7" s="1479"/>
      <c r="AX7" s="1479"/>
      <c r="AY7" s="1479"/>
      <c r="AZ7" s="1479"/>
      <c r="BA7" s="1479"/>
      <c r="BB7" s="1479"/>
      <c r="BC7" s="1479"/>
      <c r="BD7" s="1479"/>
      <c r="BE7" s="1479"/>
      <c r="BF7" s="1479"/>
      <c r="BG7" s="1479"/>
      <c r="BH7" s="1479"/>
      <c r="BI7" s="1479"/>
      <c r="BJ7" s="1479"/>
      <c r="BK7" s="1479"/>
    </row>
    <row r="8" spans="1:63" s="1498" customFormat="1" ht="74.25" customHeight="1" x14ac:dyDescent="0.25">
      <c r="A8" s="3225" t="s">
        <v>12</v>
      </c>
      <c r="B8" s="3199" t="s">
        <v>13</v>
      </c>
      <c r="C8" s="3199"/>
      <c r="D8" s="3199" t="s">
        <v>12</v>
      </c>
      <c r="E8" s="3199" t="s">
        <v>14</v>
      </c>
      <c r="F8" s="3199"/>
      <c r="G8" s="3199" t="s">
        <v>12</v>
      </c>
      <c r="H8" s="3199" t="s">
        <v>15</v>
      </c>
      <c r="I8" s="3199"/>
      <c r="J8" s="3199" t="s">
        <v>12</v>
      </c>
      <c r="K8" s="3199" t="s">
        <v>16</v>
      </c>
      <c r="L8" s="3199" t="s">
        <v>17</v>
      </c>
      <c r="M8" s="1493" t="s">
        <v>1319</v>
      </c>
      <c r="N8" s="3199" t="s">
        <v>19</v>
      </c>
      <c r="O8" s="3199" t="s">
        <v>20</v>
      </c>
      <c r="P8" s="3199" t="s">
        <v>10</v>
      </c>
      <c r="Q8" s="3204" t="s">
        <v>21</v>
      </c>
      <c r="R8" s="3198" t="s">
        <v>22</v>
      </c>
      <c r="S8" s="3199" t="s">
        <v>23</v>
      </c>
      <c r="T8" s="3199" t="s">
        <v>24</v>
      </c>
      <c r="U8" s="3199" t="s">
        <v>25</v>
      </c>
      <c r="V8" s="1494" t="s">
        <v>1320</v>
      </c>
      <c r="W8" s="3200" t="s">
        <v>1321</v>
      </c>
      <c r="X8" s="3202" t="s">
        <v>1322</v>
      </c>
      <c r="Y8" s="1495" t="s">
        <v>35</v>
      </c>
      <c r="Z8" s="1495" t="s">
        <v>36</v>
      </c>
      <c r="AA8" s="1495" t="s">
        <v>37</v>
      </c>
      <c r="AB8" s="1495" t="s">
        <v>118</v>
      </c>
      <c r="AC8" s="1495" t="s">
        <v>1323</v>
      </c>
      <c r="AD8" s="1495" t="s">
        <v>120</v>
      </c>
      <c r="AE8" s="1495" t="s">
        <v>41</v>
      </c>
      <c r="AF8" s="1495" t="s">
        <v>42</v>
      </c>
      <c r="AG8" s="1495" t="s">
        <v>43</v>
      </c>
      <c r="AH8" s="1495" t="s">
        <v>44</v>
      </c>
      <c r="AI8" s="1495" t="s">
        <v>45</v>
      </c>
      <c r="AJ8" s="1495" t="s">
        <v>46</v>
      </c>
      <c r="AK8" s="1495" t="s">
        <v>47</v>
      </c>
      <c r="AL8" s="1495" t="s">
        <v>48</v>
      </c>
      <c r="AM8" s="1495" t="s">
        <v>49</v>
      </c>
      <c r="AN8" s="3224"/>
      <c r="AO8" s="1496" t="s">
        <v>32</v>
      </c>
      <c r="AP8" s="1496" t="s">
        <v>1324</v>
      </c>
      <c r="AQ8" s="3183" t="s">
        <v>34</v>
      </c>
      <c r="AR8" s="1497"/>
      <c r="AS8" s="1497"/>
      <c r="AT8" s="1497"/>
      <c r="AU8" s="1497"/>
      <c r="AV8" s="1497"/>
      <c r="AW8" s="1497"/>
      <c r="AX8" s="1497"/>
      <c r="AY8" s="1497"/>
      <c r="AZ8" s="1497"/>
      <c r="BA8" s="1497"/>
      <c r="BB8" s="1497"/>
      <c r="BC8" s="1497"/>
      <c r="BD8" s="1497"/>
      <c r="BE8" s="1497"/>
      <c r="BF8" s="1497"/>
      <c r="BG8" s="1497"/>
      <c r="BH8" s="1497"/>
      <c r="BI8" s="1497"/>
      <c r="BJ8" s="1497"/>
      <c r="BK8" s="1497"/>
    </row>
    <row r="9" spans="1:63" s="1498" customFormat="1" ht="47.25" customHeight="1" x14ac:dyDescent="0.25">
      <c r="A9" s="3225"/>
      <c r="B9" s="3199"/>
      <c r="C9" s="3199"/>
      <c r="D9" s="3199"/>
      <c r="E9" s="3199"/>
      <c r="F9" s="3199"/>
      <c r="G9" s="3199"/>
      <c r="H9" s="3199"/>
      <c r="I9" s="3199"/>
      <c r="J9" s="3199"/>
      <c r="K9" s="3199"/>
      <c r="L9" s="3199"/>
      <c r="M9" s="1499" t="s">
        <v>326</v>
      </c>
      <c r="N9" s="3199"/>
      <c r="O9" s="3199"/>
      <c r="P9" s="3199"/>
      <c r="Q9" s="3204"/>
      <c r="R9" s="3198"/>
      <c r="S9" s="3199"/>
      <c r="T9" s="3199"/>
      <c r="U9" s="3199"/>
      <c r="V9" s="1500" t="s">
        <v>327</v>
      </c>
      <c r="W9" s="3201"/>
      <c r="X9" s="3203"/>
      <c r="Y9" s="410" t="s">
        <v>326</v>
      </c>
      <c r="Z9" s="410" t="s">
        <v>326</v>
      </c>
      <c r="AA9" s="410" t="s">
        <v>326</v>
      </c>
      <c r="AB9" s="410" t="s">
        <v>326</v>
      </c>
      <c r="AC9" s="410" t="s">
        <v>326</v>
      </c>
      <c r="AD9" s="410" t="s">
        <v>326</v>
      </c>
      <c r="AE9" s="410" t="s">
        <v>326</v>
      </c>
      <c r="AF9" s="410" t="s">
        <v>326</v>
      </c>
      <c r="AG9" s="410" t="s">
        <v>326</v>
      </c>
      <c r="AH9" s="410" t="s">
        <v>326</v>
      </c>
      <c r="AI9" s="410" t="s">
        <v>326</v>
      </c>
      <c r="AJ9" s="410" t="s">
        <v>326</v>
      </c>
      <c r="AK9" s="410" t="s">
        <v>326</v>
      </c>
      <c r="AL9" s="410" t="s">
        <v>326</v>
      </c>
      <c r="AM9" s="410" t="s">
        <v>326</v>
      </c>
      <c r="AN9" s="410" t="s">
        <v>326</v>
      </c>
      <c r="AO9" s="1501" t="s">
        <v>326</v>
      </c>
      <c r="AP9" s="1501" t="s">
        <v>326</v>
      </c>
      <c r="AQ9" s="3183"/>
      <c r="AR9" s="1497"/>
      <c r="AS9" s="1497"/>
      <c r="AT9" s="1497"/>
      <c r="AU9" s="1497"/>
      <c r="AV9" s="1497"/>
      <c r="AW9" s="1497"/>
      <c r="AX9" s="1497"/>
      <c r="AY9" s="1497"/>
      <c r="AZ9" s="1497"/>
      <c r="BA9" s="1497"/>
      <c r="BB9" s="1497"/>
      <c r="BC9" s="1497"/>
      <c r="BD9" s="1497"/>
      <c r="BE9" s="1497"/>
      <c r="BF9" s="1497"/>
      <c r="BG9" s="1497"/>
      <c r="BH9" s="1497"/>
      <c r="BI9" s="1497"/>
      <c r="BJ9" s="1497"/>
      <c r="BK9" s="1497"/>
    </row>
    <row r="10" spans="1:63" s="1512" customFormat="1" ht="18.75" customHeight="1" x14ac:dyDescent="0.2">
      <c r="A10" s="1502">
        <v>4</v>
      </c>
      <c r="B10" s="415" t="s">
        <v>1325</v>
      </c>
      <c r="C10" s="415"/>
      <c r="D10" s="1503"/>
      <c r="E10" s="1503"/>
      <c r="F10" s="1503"/>
      <c r="G10" s="1503"/>
      <c r="H10" s="1503"/>
      <c r="I10" s="1503"/>
      <c r="J10" s="1504"/>
      <c r="K10" s="1505"/>
      <c r="L10" s="1506"/>
      <c r="M10" s="1503"/>
      <c r="N10" s="1507"/>
      <c r="O10" s="1504"/>
      <c r="P10" s="1506"/>
      <c r="Q10" s="1508"/>
      <c r="R10" s="1509"/>
      <c r="S10" s="1506"/>
      <c r="T10" s="1505"/>
      <c r="U10" s="1505"/>
      <c r="V10" s="1505"/>
      <c r="W10" s="1505"/>
      <c r="X10" s="1505"/>
      <c r="Y10" s="1503"/>
      <c r="Z10" s="1503"/>
      <c r="AA10" s="1503"/>
      <c r="AB10" s="1503"/>
      <c r="AC10" s="1503"/>
      <c r="AD10" s="1503"/>
      <c r="AE10" s="1503"/>
      <c r="AF10" s="1503"/>
      <c r="AG10" s="1503"/>
      <c r="AH10" s="1503"/>
      <c r="AI10" s="1503"/>
      <c r="AJ10" s="1503"/>
      <c r="AK10" s="1510"/>
      <c r="AL10" s="1510"/>
      <c r="AM10" s="1506"/>
      <c r="AN10" s="1506"/>
      <c r="AO10" s="1506"/>
      <c r="AP10" s="1506"/>
      <c r="AQ10" s="1511"/>
    </row>
    <row r="11" spans="1:63" s="1347" customFormat="1" ht="21.75" customHeight="1" x14ac:dyDescent="0.2">
      <c r="A11" s="3184"/>
      <c r="B11" s="3187"/>
      <c r="C11" s="3188"/>
      <c r="D11" s="1344">
        <v>23</v>
      </c>
      <c r="E11" s="1143" t="s">
        <v>1326</v>
      </c>
      <c r="F11" s="1143"/>
      <c r="G11" s="1513"/>
      <c r="H11" s="1513"/>
      <c r="I11" s="1513"/>
      <c r="J11" s="1514"/>
      <c r="K11" s="1515"/>
      <c r="L11" s="1516"/>
      <c r="M11" s="1513"/>
      <c r="N11" s="1517"/>
      <c r="O11" s="1514"/>
      <c r="P11" s="1516"/>
      <c r="Q11" s="1518"/>
      <c r="R11" s="1519"/>
      <c r="S11" s="1516"/>
      <c r="T11" s="1515"/>
      <c r="U11" s="1515"/>
      <c r="V11" s="1520"/>
      <c r="W11" s="1521"/>
      <c r="X11" s="1521"/>
      <c r="Y11" s="1513"/>
      <c r="Z11" s="1513"/>
      <c r="AA11" s="1513"/>
      <c r="AB11" s="1513"/>
      <c r="AC11" s="1513"/>
      <c r="AD11" s="1513"/>
      <c r="AE11" s="1513"/>
      <c r="AF11" s="1513"/>
      <c r="AG11" s="1513"/>
      <c r="AH11" s="1513"/>
      <c r="AI11" s="1513"/>
      <c r="AJ11" s="1513"/>
      <c r="AK11" s="1522"/>
      <c r="AL11" s="1522"/>
      <c r="AM11" s="1516"/>
      <c r="AN11" s="1516"/>
      <c r="AO11" s="1516"/>
      <c r="AP11" s="1516"/>
      <c r="AQ11" s="1523"/>
    </row>
    <row r="12" spans="1:63" s="1347" customFormat="1" ht="15.75" customHeight="1" x14ac:dyDescent="0.2">
      <c r="A12" s="3185"/>
      <c r="B12" s="3189"/>
      <c r="C12" s="3190"/>
      <c r="D12" s="3193"/>
      <c r="E12" s="3194"/>
      <c r="F12" s="3194"/>
      <c r="G12" s="1524">
        <v>75</v>
      </c>
      <c r="H12" s="1165" t="s">
        <v>1327</v>
      </c>
      <c r="I12" s="1165"/>
      <c r="J12" s="1525"/>
      <c r="K12" s="1127"/>
      <c r="L12" s="1526"/>
      <c r="M12" s="1527"/>
      <c r="N12" s="1528"/>
      <c r="O12" s="1529"/>
      <c r="P12" s="1125"/>
      <c r="Q12" s="1530"/>
      <c r="R12" s="1531"/>
      <c r="S12" s="1526"/>
      <c r="T12" s="1127"/>
      <c r="U12" s="1127"/>
      <c r="V12" s="1532"/>
      <c r="W12" s="1533"/>
      <c r="X12" s="1533"/>
      <c r="Y12" s="1527"/>
      <c r="Z12" s="1527"/>
      <c r="AA12" s="1527"/>
      <c r="AB12" s="1527"/>
      <c r="AC12" s="1527"/>
      <c r="AD12" s="1527"/>
      <c r="AE12" s="1527"/>
      <c r="AF12" s="1527"/>
      <c r="AG12" s="1527"/>
      <c r="AH12" s="1527"/>
      <c r="AI12" s="1527"/>
      <c r="AJ12" s="1527"/>
      <c r="AK12" s="1534"/>
      <c r="AL12" s="1534"/>
      <c r="AM12" s="1526"/>
      <c r="AN12" s="1526"/>
      <c r="AO12" s="1526"/>
      <c r="AP12" s="1526"/>
      <c r="AQ12" s="1535"/>
    </row>
    <row r="13" spans="1:63" s="399" customFormat="1" ht="33.75" customHeight="1" x14ac:dyDescent="0.2">
      <c r="A13" s="3185"/>
      <c r="B13" s="3189"/>
      <c r="C13" s="3190"/>
      <c r="D13" s="3193"/>
      <c r="E13" s="3194"/>
      <c r="F13" s="3194"/>
      <c r="G13" s="1347"/>
      <c r="H13" s="1536"/>
      <c r="I13" s="1537"/>
      <c r="J13" s="3166">
        <v>214</v>
      </c>
      <c r="K13" s="3047" t="s">
        <v>1328</v>
      </c>
      <c r="L13" s="3083" t="s">
        <v>1329</v>
      </c>
      <c r="M13" s="3080">
        <v>1</v>
      </c>
      <c r="N13" s="3195"/>
      <c r="O13" s="3197" t="s">
        <v>1330</v>
      </c>
      <c r="P13" s="3066" t="s">
        <v>1331</v>
      </c>
      <c r="Q13" s="3158">
        <f>SUM(V13:V14)/R13</f>
        <v>5.2487744082888388E-3</v>
      </c>
      <c r="R13" s="3132">
        <f>SUM(V13:V49)</f>
        <v>6668223337</v>
      </c>
      <c r="S13" s="3036" t="s">
        <v>1332</v>
      </c>
      <c r="T13" s="3036" t="s">
        <v>1333</v>
      </c>
      <c r="U13" s="3148" t="s">
        <v>1334</v>
      </c>
      <c r="V13" s="1538">
        <v>15000000</v>
      </c>
      <c r="W13" s="1539">
        <v>20</v>
      </c>
      <c r="X13" s="1540" t="s">
        <v>1335</v>
      </c>
      <c r="Y13" s="3116">
        <v>292684</v>
      </c>
      <c r="Z13" s="3176">
        <v>282326</v>
      </c>
      <c r="AA13" s="3177">
        <v>174947</v>
      </c>
      <c r="AB13" s="3177">
        <v>128988</v>
      </c>
      <c r="AC13" s="3177">
        <v>197432</v>
      </c>
      <c r="AD13" s="3180">
        <v>73643</v>
      </c>
      <c r="AE13" s="3173"/>
      <c r="AF13" s="3173"/>
      <c r="AG13" s="3099"/>
      <c r="AH13" s="3172"/>
      <c r="AI13" s="3172"/>
      <c r="AJ13" s="3172"/>
      <c r="AK13" s="3172"/>
      <c r="AL13" s="3172"/>
      <c r="AM13" s="3172"/>
      <c r="AN13" s="3116">
        <v>575010</v>
      </c>
      <c r="AO13" s="2956">
        <v>43480</v>
      </c>
      <c r="AP13" s="2956">
        <v>43819</v>
      </c>
      <c r="AQ13" s="3097" t="s">
        <v>1336</v>
      </c>
      <c r="AR13" s="3055"/>
      <c r="AS13" s="3163"/>
    </row>
    <row r="14" spans="1:63" s="399" customFormat="1" ht="34.5" customHeight="1" x14ac:dyDescent="0.2">
      <c r="A14" s="3185"/>
      <c r="B14" s="3189"/>
      <c r="C14" s="3190"/>
      <c r="D14" s="3193"/>
      <c r="E14" s="3194"/>
      <c r="F14" s="3194"/>
      <c r="G14" s="1347"/>
      <c r="H14" s="1541"/>
      <c r="I14" s="1542"/>
      <c r="J14" s="3168"/>
      <c r="K14" s="3049"/>
      <c r="L14" s="3084"/>
      <c r="M14" s="3022"/>
      <c r="N14" s="3196"/>
      <c r="O14" s="3197"/>
      <c r="P14" s="3015"/>
      <c r="Q14" s="3160"/>
      <c r="R14" s="3133"/>
      <c r="S14" s="3036"/>
      <c r="T14" s="3036"/>
      <c r="U14" s="3149"/>
      <c r="V14" s="1538">
        <v>20000000</v>
      </c>
      <c r="W14" s="1539">
        <v>92</v>
      </c>
      <c r="X14" s="1540" t="s">
        <v>1337</v>
      </c>
      <c r="Y14" s="3117"/>
      <c r="Z14" s="3174"/>
      <c r="AA14" s="3178"/>
      <c r="AB14" s="3178"/>
      <c r="AC14" s="3178"/>
      <c r="AD14" s="3181"/>
      <c r="AE14" s="3173"/>
      <c r="AF14" s="3173"/>
      <c r="AG14" s="3100"/>
      <c r="AH14" s="3172"/>
      <c r="AI14" s="3172"/>
      <c r="AJ14" s="3172"/>
      <c r="AK14" s="3172"/>
      <c r="AL14" s="3172"/>
      <c r="AM14" s="3172"/>
      <c r="AN14" s="3117"/>
      <c r="AO14" s="3008"/>
      <c r="AP14" s="3008"/>
      <c r="AQ14" s="3097"/>
      <c r="AR14" s="3055"/>
      <c r="AS14" s="3163"/>
    </row>
    <row r="15" spans="1:63" s="399" customFormat="1" ht="60" customHeight="1" x14ac:dyDescent="0.2">
      <c r="A15" s="3185"/>
      <c r="B15" s="3189"/>
      <c r="C15" s="3190"/>
      <c r="D15" s="3193"/>
      <c r="E15" s="3194"/>
      <c r="F15" s="3194"/>
      <c r="G15" s="1347"/>
      <c r="H15" s="1541"/>
      <c r="I15" s="1542"/>
      <c r="J15" s="1543">
        <v>215</v>
      </c>
      <c r="K15" s="1544" t="s">
        <v>1338</v>
      </c>
      <c r="L15" s="1545" t="s">
        <v>1339</v>
      </c>
      <c r="M15" s="1546">
        <v>2</v>
      </c>
      <c r="N15" s="3196"/>
      <c r="O15" s="3197"/>
      <c r="P15" s="3015"/>
      <c r="Q15" s="1547">
        <f>SUM(V15)/R13</f>
        <v>2.2494747464095024E-3</v>
      </c>
      <c r="R15" s="3133"/>
      <c r="S15" s="3036"/>
      <c r="T15" s="3036"/>
      <c r="U15" s="1548" t="s">
        <v>1340</v>
      </c>
      <c r="V15" s="1439">
        <v>15000000</v>
      </c>
      <c r="W15" s="1539">
        <v>20</v>
      </c>
      <c r="X15" s="1540" t="s">
        <v>1341</v>
      </c>
      <c r="Y15" s="3117"/>
      <c r="Z15" s="3174"/>
      <c r="AA15" s="3178"/>
      <c r="AB15" s="3178"/>
      <c r="AC15" s="3178"/>
      <c r="AD15" s="3181"/>
      <c r="AE15" s="3173"/>
      <c r="AF15" s="3173"/>
      <c r="AG15" s="3174"/>
      <c r="AH15" s="3173"/>
      <c r="AI15" s="3173"/>
      <c r="AJ15" s="3173"/>
      <c r="AK15" s="3173"/>
      <c r="AL15" s="3173"/>
      <c r="AM15" s="3173"/>
      <c r="AN15" s="3117"/>
      <c r="AO15" s="3008"/>
      <c r="AP15" s="3008"/>
      <c r="AQ15" s="3053"/>
      <c r="AR15" s="3055"/>
      <c r="AS15" s="3163"/>
    </row>
    <row r="16" spans="1:63" s="399" customFormat="1" ht="41.25" customHeight="1" x14ac:dyDescent="0.2">
      <c r="A16" s="3185"/>
      <c r="B16" s="3189"/>
      <c r="C16" s="3190"/>
      <c r="D16" s="3193"/>
      <c r="E16" s="3194"/>
      <c r="F16" s="3194"/>
      <c r="G16" s="1347"/>
      <c r="H16" s="1541"/>
      <c r="I16" s="1542"/>
      <c r="J16" s="3126">
        <v>216</v>
      </c>
      <c r="K16" s="3036" t="s">
        <v>1342</v>
      </c>
      <c r="L16" s="3089" t="s">
        <v>1343</v>
      </c>
      <c r="M16" s="3164">
        <v>1.994</v>
      </c>
      <c r="N16" s="3196"/>
      <c r="O16" s="3197"/>
      <c r="P16" s="3015"/>
      <c r="Q16" s="3165">
        <f>SUM(V16:V19)/R13</f>
        <v>0.17096008072712218</v>
      </c>
      <c r="R16" s="3133"/>
      <c r="S16" s="3036"/>
      <c r="T16" s="3036"/>
      <c r="U16" s="1548" t="s">
        <v>1344</v>
      </c>
      <c r="V16" s="1439">
        <v>0</v>
      </c>
      <c r="W16" s="1549">
        <v>20</v>
      </c>
      <c r="X16" s="722" t="s">
        <v>1335</v>
      </c>
      <c r="Y16" s="3117"/>
      <c r="Z16" s="3174"/>
      <c r="AA16" s="3178"/>
      <c r="AB16" s="3178"/>
      <c r="AC16" s="3178"/>
      <c r="AD16" s="3181"/>
      <c r="AE16" s="3173"/>
      <c r="AF16" s="3173"/>
      <c r="AG16" s="3174"/>
      <c r="AH16" s="3173"/>
      <c r="AI16" s="3173"/>
      <c r="AJ16" s="3173"/>
      <c r="AK16" s="3173"/>
      <c r="AL16" s="3173"/>
      <c r="AM16" s="3173"/>
      <c r="AN16" s="3117"/>
      <c r="AO16" s="3008"/>
      <c r="AP16" s="3008"/>
      <c r="AQ16" s="3053"/>
      <c r="AR16" s="3055"/>
      <c r="AS16" s="3163"/>
    </row>
    <row r="17" spans="1:45" s="399" customFormat="1" ht="44.25" customHeight="1" x14ac:dyDescent="0.2">
      <c r="A17" s="3185"/>
      <c r="B17" s="3189"/>
      <c r="C17" s="3190"/>
      <c r="D17" s="3193"/>
      <c r="E17" s="3194"/>
      <c r="F17" s="3194"/>
      <c r="G17" s="1347"/>
      <c r="H17" s="1541"/>
      <c r="I17" s="1542"/>
      <c r="J17" s="3126"/>
      <c r="K17" s="3036"/>
      <c r="L17" s="3089"/>
      <c r="M17" s="3164"/>
      <c r="N17" s="3196"/>
      <c r="O17" s="3197"/>
      <c r="P17" s="3015"/>
      <c r="Q17" s="3165"/>
      <c r="R17" s="3133"/>
      <c r="S17" s="3036"/>
      <c r="T17" s="3036"/>
      <c r="U17" s="1548" t="s">
        <v>1345</v>
      </c>
      <c r="V17" s="1439">
        <v>915000000</v>
      </c>
      <c r="W17" s="1549">
        <v>92</v>
      </c>
      <c r="X17" s="218" t="s">
        <v>1337</v>
      </c>
      <c r="Y17" s="3117"/>
      <c r="Z17" s="3174"/>
      <c r="AA17" s="3178"/>
      <c r="AB17" s="3178"/>
      <c r="AC17" s="3178"/>
      <c r="AD17" s="3181"/>
      <c r="AE17" s="3173"/>
      <c r="AF17" s="3173"/>
      <c r="AG17" s="3174"/>
      <c r="AH17" s="3173"/>
      <c r="AI17" s="3173"/>
      <c r="AJ17" s="3173"/>
      <c r="AK17" s="3173"/>
      <c r="AL17" s="3173"/>
      <c r="AM17" s="3173"/>
      <c r="AN17" s="3117"/>
      <c r="AO17" s="3008"/>
      <c r="AP17" s="3008"/>
      <c r="AQ17" s="3053"/>
      <c r="AR17" s="429"/>
      <c r="AS17" s="1360"/>
    </row>
    <row r="18" spans="1:45" s="399" customFormat="1" ht="51" customHeight="1" x14ac:dyDescent="0.2">
      <c r="A18" s="3185"/>
      <c r="B18" s="3189"/>
      <c r="C18" s="3190"/>
      <c r="D18" s="3193"/>
      <c r="E18" s="3194"/>
      <c r="F18" s="3194"/>
      <c r="G18" s="1347"/>
      <c r="H18" s="1541"/>
      <c r="I18" s="1542"/>
      <c r="J18" s="3126"/>
      <c r="K18" s="3036"/>
      <c r="L18" s="3089"/>
      <c r="M18" s="3164"/>
      <c r="N18" s="3196"/>
      <c r="O18" s="3197"/>
      <c r="P18" s="3015"/>
      <c r="Q18" s="3165"/>
      <c r="R18" s="3133"/>
      <c r="S18" s="3036"/>
      <c r="T18" s="3036"/>
      <c r="U18" s="1550" t="s">
        <v>1346</v>
      </c>
      <c r="V18" s="1538">
        <v>25000000</v>
      </c>
      <c r="W18" s="1549">
        <v>20</v>
      </c>
      <c r="X18" s="722" t="s">
        <v>1335</v>
      </c>
      <c r="Y18" s="3117"/>
      <c r="Z18" s="3174"/>
      <c r="AA18" s="3178"/>
      <c r="AB18" s="3178"/>
      <c r="AC18" s="3178"/>
      <c r="AD18" s="3181"/>
      <c r="AE18" s="3173"/>
      <c r="AF18" s="3173"/>
      <c r="AG18" s="3174"/>
      <c r="AH18" s="3173"/>
      <c r="AI18" s="3173"/>
      <c r="AJ18" s="3173"/>
      <c r="AK18" s="3173"/>
      <c r="AL18" s="3173"/>
      <c r="AM18" s="3173"/>
      <c r="AN18" s="3117"/>
      <c r="AO18" s="3008"/>
      <c r="AP18" s="3008"/>
      <c r="AQ18" s="3053"/>
      <c r="AR18" s="429"/>
      <c r="AS18" s="1360"/>
    </row>
    <row r="19" spans="1:45" s="399" customFormat="1" ht="42" customHeight="1" x14ac:dyDescent="0.2">
      <c r="A19" s="3185"/>
      <c r="B19" s="3189"/>
      <c r="C19" s="3190"/>
      <c r="D19" s="3193"/>
      <c r="E19" s="3194"/>
      <c r="F19" s="3194"/>
      <c r="G19" s="1347"/>
      <c r="H19" s="1541"/>
      <c r="I19" s="1542"/>
      <c r="J19" s="3126"/>
      <c r="K19" s="3036"/>
      <c r="L19" s="3089"/>
      <c r="M19" s="3164"/>
      <c r="N19" s="3196"/>
      <c r="O19" s="3197"/>
      <c r="P19" s="3015"/>
      <c r="Q19" s="3165"/>
      <c r="R19" s="3133"/>
      <c r="S19" s="3036"/>
      <c r="T19" s="3036"/>
      <c r="U19" s="1551" t="s">
        <v>1347</v>
      </c>
      <c r="V19" s="1538">
        <v>200000000</v>
      </c>
      <c r="W19" s="1549">
        <v>92</v>
      </c>
      <c r="X19" s="218" t="s">
        <v>1337</v>
      </c>
      <c r="Y19" s="3117"/>
      <c r="Z19" s="3174"/>
      <c r="AA19" s="3178"/>
      <c r="AB19" s="3178"/>
      <c r="AC19" s="3178"/>
      <c r="AD19" s="3181"/>
      <c r="AE19" s="3173"/>
      <c r="AF19" s="3173"/>
      <c r="AG19" s="3174"/>
      <c r="AH19" s="3173"/>
      <c r="AI19" s="3173"/>
      <c r="AJ19" s="3173"/>
      <c r="AK19" s="3173"/>
      <c r="AL19" s="3173"/>
      <c r="AM19" s="3173"/>
      <c r="AN19" s="3117"/>
      <c r="AO19" s="3008"/>
      <c r="AP19" s="3008"/>
      <c r="AQ19" s="3053"/>
      <c r="AR19" s="1347"/>
      <c r="AS19" s="1347"/>
    </row>
    <row r="20" spans="1:45" s="399" customFormat="1" ht="35.25" customHeight="1" x14ac:dyDescent="0.2">
      <c r="A20" s="3185"/>
      <c r="B20" s="3189"/>
      <c r="C20" s="3190"/>
      <c r="D20" s="3193"/>
      <c r="E20" s="3194"/>
      <c r="F20" s="3194"/>
      <c r="G20" s="1347"/>
      <c r="H20" s="1541"/>
      <c r="I20" s="1542"/>
      <c r="J20" s="3166">
        <v>217</v>
      </c>
      <c r="K20" s="3073" t="s">
        <v>1348</v>
      </c>
      <c r="L20" s="3169" t="s">
        <v>1349</v>
      </c>
      <c r="M20" s="3080">
        <v>5</v>
      </c>
      <c r="N20" s="1552"/>
      <c r="O20" s="3197"/>
      <c r="P20" s="3015"/>
      <c r="Q20" s="3145">
        <f>SUM(V20:V46)/R13</f>
        <v>0.80285603322467125</v>
      </c>
      <c r="R20" s="3133"/>
      <c r="S20" s="3036"/>
      <c r="T20" s="3065"/>
      <c r="U20" s="2644" t="s">
        <v>1350</v>
      </c>
      <c r="V20" s="1538">
        <v>2263240971</v>
      </c>
      <c r="W20" s="1539">
        <v>42</v>
      </c>
      <c r="X20" s="1540" t="s">
        <v>1351</v>
      </c>
      <c r="Y20" s="3117"/>
      <c r="Z20" s="3174"/>
      <c r="AA20" s="3178"/>
      <c r="AB20" s="3178"/>
      <c r="AC20" s="3178"/>
      <c r="AD20" s="3181"/>
      <c r="AE20" s="3173"/>
      <c r="AF20" s="3173"/>
      <c r="AG20" s="3174"/>
      <c r="AH20" s="3173"/>
      <c r="AI20" s="3173"/>
      <c r="AJ20" s="3173"/>
      <c r="AK20" s="3173"/>
      <c r="AL20" s="3173"/>
      <c r="AM20" s="3173"/>
      <c r="AN20" s="3117"/>
      <c r="AO20" s="3008"/>
      <c r="AP20" s="3008"/>
      <c r="AQ20" s="3053"/>
      <c r="AR20" s="1347"/>
      <c r="AS20" s="1347"/>
    </row>
    <row r="21" spans="1:45" s="399" customFormat="1" ht="28.5" x14ac:dyDescent="0.2">
      <c r="A21" s="3185"/>
      <c r="B21" s="3189"/>
      <c r="C21" s="3190"/>
      <c r="D21" s="3193"/>
      <c r="E21" s="3194"/>
      <c r="F21" s="3194"/>
      <c r="G21" s="1347"/>
      <c r="H21" s="1541"/>
      <c r="I21" s="1542"/>
      <c r="J21" s="3167"/>
      <c r="K21" s="3074"/>
      <c r="L21" s="3170"/>
      <c r="M21" s="3021"/>
      <c r="N21" s="1552"/>
      <c r="O21" s="3197"/>
      <c r="P21" s="3015"/>
      <c r="Q21" s="3146"/>
      <c r="R21" s="3133"/>
      <c r="S21" s="3036"/>
      <c r="T21" s="3065"/>
      <c r="U21" s="2645"/>
      <c r="V21" s="1538">
        <v>2135000000</v>
      </c>
      <c r="W21" s="1539">
        <v>92</v>
      </c>
      <c r="X21" s="1540" t="s">
        <v>1337</v>
      </c>
      <c r="Y21" s="3117"/>
      <c r="Z21" s="3174"/>
      <c r="AA21" s="3178"/>
      <c r="AB21" s="3178"/>
      <c r="AC21" s="3178"/>
      <c r="AD21" s="3181"/>
      <c r="AE21" s="3173"/>
      <c r="AF21" s="3173"/>
      <c r="AG21" s="3174"/>
      <c r="AH21" s="3173"/>
      <c r="AI21" s="3173"/>
      <c r="AJ21" s="3173"/>
      <c r="AK21" s="3173"/>
      <c r="AL21" s="3173"/>
      <c r="AM21" s="3173"/>
      <c r="AN21" s="3117"/>
      <c r="AO21" s="3008"/>
      <c r="AP21" s="3008"/>
      <c r="AQ21" s="3053"/>
      <c r="AR21" s="1347"/>
      <c r="AS21" s="1347"/>
    </row>
    <row r="22" spans="1:45" s="399" customFormat="1" ht="35.25" customHeight="1" x14ac:dyDescent="0.2">
      <c r="A22" s="3185"/>
      <c r="B22" s="3189"/>
      <c r="C22" s="3190"/>
      <c r="D22" s="3193"/>
      <c r="E22" s="3194"/>
      <c r="F22" s="3194"/>
      <c r="G22" s="1347"/>
      <c r="H22" s="1541"/>
      <c r="I22" s="1542"/>
      <c r="J22" s="3167"/>
      <c r="K22" s="3074"/>
      <c r="L22" s="3170"/>
      <c r="M22" s="3021"/>
      <c r="N22" s="1552"/>
      <c r="O22" s="3197"/>
      <c r="P22" s="3015"/>
      <c r="Q22" s="3146"/>
      <c r="R22" s="3133"/>
      <c r="S22" s="3036"/>
      <c r="T22" s="3065"/>
      <c r="U22" s="2644" t="s">
        <v>1352</v>
      </c>
      <c r="V22" s="1538">
        <v>103000000</v>
      </c>
      <c r="W22" s="1539">
        <v>42</v>
      </c>
      <c r="X22" s="1540" t="s">
        <v>1351</v>
      </c>
      <c r="Y22" s="3117"/>
      <c r="Z22" s="3174"/>
      <c r="AA22" s="3178"/>
      <c r="AB22" s="3178"/>
      <c r="AC22" s="3178"/>
      <c r="AD22" s="3181"/>
      <c r="AE22" s="3173"/>
      <c r="AF22" s="3173"/>
      <c r="AG22" s="3174"/>
      <c r="AH22" s="3173"/>
      <c r="AI22" s="3173"/>
      <c r="AJ22" s="3173"/>
      <c r="AK22" s="3173"/>
      <c r="AL22" s="3173"/>
      <c r="AM22" s="3173"/>
      <c r="AN22" s="3117"/>
      <c r="AO22" s="3008"/>
      <c r="AP22" s="3008"/>
      <c r="AQ22" s="3053"/>
      <c r="AR22" s="1347"/>
      <c r="AS22" s="1347"/>
    </row>
    <row r="23" spans="1:45" s="399" customFormat="1" ht="38.25" customHeight="1" x14ac:dyDescent="0.2">
      <c r="A23" s="3185"/>
      <c r="B23" s="3189"/>
      <c r="C23" s="3190"/>
      <c r="D23" s="3193"/>
      <c r="E23" s="3194"/>
      <c r="F23" s="3194"/>
      <c r="G23" s="1347"/>
      <c r="H23" s="1541"/>
      <c r="I23" s="1542"/>
      <c r="J23" s="3167"/>
      <c r="K23" s="3074"/>
      <c r="L23" s="3170"/>
      <c r="M23" s="3021"/>
      <c r="N23" s="1552"/>
      <c r="O23" s="3197"/>
      <c r="P23" s="3015"/>
      <c r="Q23" s="3146"/>
      <c r="R23" s="3133"/>
      <c r="S23" s="3036"/>
      <c r="T23" s="3065"/>
      <c r="U23" s="2645"/>
      <c r="V23" s="1105">
        <v>100382366</v>
      </c>
      <c r="W23" s="1539">
        <v>92</v>
      </c>
      <c r="X23" s="1540" t="s">
        <v>1337</v>
      </c>
      <c r="Y23" s="3117"/>
      <c r="Z23" s="3174"/>
      <c r="AA23" s="3178"/>
      <c r="AB23" s="3178"/>
      <c r="AC23" s="3178"/>
      <c r="AD23" s="3181"/>
      <c r="AE23" s="3173"/>
      <c r="AF23" s="3173"/>
      <c r="AG23" s="3174"/>
      <c r="AH23" s="3173"/>
      <c r="AI23" s="3173"/>
      <c r="AJ23" s="3173"/>
      <c r="AK23" s="3173"/>
      <c r="AL23" s="3173"/>
      <c r="AM23" s="3173"/>
      <c r="AN23" s="3117"/>
      <c r="AO23" s="3008"/>
      <c r="AP23" s="3008"/>
      <c r="AQ23" s="3053"/>
      <c r="AR23" s="1347"/>
      <c r="AS23" s="1347"/>
    </row>
    <row r="24" spans="1:45" s="399" customFormat="1" ht="34.5" customHeight="1" x14ac:dyDescent="0.2">
      <c r="A24" s="3185"/>
      <c r="B24" s="3189"/>
      <c r="C24" s="3190"/>
      <c r="D24" s="3193"/>
      <c r="E24" s="3194"/>
      <c r="F24" s="3194"/>
      <c r="G24" s="1347"/>
      <c r="H24" s="1541"/>
      <c r="I24" s="1542"/>
      <c r="J24" s="3167"/>
      <c r="K24" s="3074"/>
      <c r="L24" s="3170"/>
      <c r="M24" s="3021"/>
      <c r="N24" s="1552"/>
      <c r="O24" s="3197"/>
      <c r="P24" s="3015"/>
      <c r="Q24" s="3146"/>
      <c r="R24" s="3133"/>
      <c r="S24" s="3036"/>
      <c r="T24" s="3065"/>
      <c r="U24" s="2644" t="s">
        <v>1353</v>
      </c>
      <c r="V24" s="1538">
        <v>100000000</v>
      </c>
      <c r="W24" s="1539">
        <v>42</v>
      </c>
      <c r="X24" s="1540" t="s">
        <v>1351</v>
      </c>
      <c r="Y24" s="3117"/>
      <c r="Z24" s="3174"/>
      <c r="AA24" s="3178"/>
      <c r="AB24" s="3178"/>
      <c r="AC24" s="3178"/>
      <c r="AD24" s="3181"/>
      <c r="AE24" s="3173"/>
      <c r="AF24" s="3173"/>
      <c r="AG24" s="3174"/>
      <c r="AH24" s="3173"/>
      <c r="AI24" s="3173"/>
      <c r="AJ24" s="3173"/>
      <c r="AK24" s="3173"/>
      <c r="AL24" s="3173"/>
      <c r="AM24" s="3173"/>
      <c r="AN24" s="3117"/>
      <c r="AO24" s="3008"/>
      <c r="AP24" s="3008"/>
      <c r="AQ24" s="3053"/>
      <c r="AR24" s="1347"/>
      <c r="AS24" s="1347"/>
    </row>
    <row r="25" spans="1:45" s="399" customFormat="1" ht="39" customHeight="1" x14ac:dyDescent="0.2">
      <c r="A25" s="3185"/>
      <c r="B25" s="3189"/>
      <c r="C25" s="3190"/>
      <c r="D25" s="3193"/>
      <c r="E25" s="3194"/>
      <c r="F25" s="3194"/>
      <c r="G25" s="1347"/>
      <c r="H25" s="1541"/>
      <c r="I25" s="1542"/>
      <c r="J25" s="3167"/>
      <c r="K25" s="3074"/>
      <c r="L25" s="3170"/>
      <c r="M25" s="3021"/>
      <c r="N25" s="1553"/>
      <c r="O25" s="3197"/>
      <c r="P25" s="3015"/>
      <c r="Q25" s="3146"/>
      <c r="R25" s="3133"/>
      <c r="S25" s="3036"/>
      <c r="T25" s="3065"/>
      <c r="U25" s="2645"/>
      <c r="V25" s="1538">
        <v>0</v>
      </c>
      <c r="W25" s="1539">
        <v>92</v>
      </c>
      <c r="X25" s="1540" t="s">
        <v>1337</v>
      </c>
      <c r="Y25" s="3117"/>
      <c r="Z25" s="3174"/>
      <c r="AA25" s="3178"/>
      <c r="AB25" s="3178"/>
      <c r="AC25" s="3178"/>
      <c r="AD25" s="3181"/>
      <c r="AE25" s="3173"/>
      <c r="AF25" s="3173"/>
      <c r="AG25" s="3174"/>
      <c r="AH25" s="3173"/>
      <c r="AI25" s="3173"/>
      <c r="AJ25" s="3173"/>
      <c r="AK25" s="3173"/>
      <c r="AL25" s="3173"/>
      <c r="AM25" s="3173"/>
      <c r="AN25" s="3117"/>
      <c r="AO25" s="3008"/>
      <c r="AP25" s="3008"/>
      <c r="AQ25" s="3053"/>
      <c r="AR25" s="1347"/>
      <c r="AS25" s="1347"/>
    </row>
    <row r="26" spans="1:45" s="399" customFormat="1" ht="54" customHeight="1" x14ac:dyDescent="0.2">
      <c r="A26" s="3185"/>
      <c r="B26" s="3189"/>
      <c r="C26" s="3190"/>
      <c r="D26" s="3193"/>
      <c r="E26" s="3194"/>
      <c r="F26" s="3194"/>
      <c r="G26" s="1347"/>
      <c r="H26" s="1541"/>
      <c r="I26" s="1542"/>
      <c r="J26" s="3167"/>
      <c r="K26" s="3074"/>
      <c r="L26" s="3170"/>
      <c r="M26" s="3021"/>
      <c r="N26" s="1553"/>
      <c r="O26" s="3197"/>
      <c r="P26" s="3015"/>
      <c r="Q26" s="3146"/>
      <c r="R26" s="3133"/>
      <c r="S26" s="3036"/>
      <c r="T26" s="3065"/>
      <c r="U26" s="1554" t="s">
        <v>1354</v>
      </c>
      <c r="V26" s="1439">
        <v>0</v>
      </c>
      <c r="W26" s="1539">
        <v>42</v>
      </c>
      <c r="X26" s="1540" t="s">
        <v>1351</v>
      </c>
      <c r="Y26" s="3117"/>
      <c r="Z26" s="3174"/>
      <c r="AA26" s="3178"/>
      <c r="AB26" s="3178"/>
      <c r="AC26" s="3178"/>
      <c r="AD26" s="3181"/>
      <c r="AE26" s="3173"/>
      <c r="AF26" s="3173"/>
      <c r="AG26" s="3174"/>
      <c r="AH26" s="3173"/>
      <c r="AI26" s="3173"/>
      <c r="AJ26" s="3173"/>
      <c r="AK26" s="3173"/>
      <c r="AL26" s="3173"/>
      <c r="AM26" s="3173"/>
      <c r="AN26" s="3117"/>
      <c r="AO26" s="3008"/>
      <c r="AP26" s="3008"/>
      <c r="AQ26" s="3053"/>
      <c r="AR26" s="1347"/>
      <c r="AS26" s="1347"/>
    </row>
    <row r="27" spans="1:45" s="399" customFormat="1" ht="43.5" customHeight="1" x14ac:dyDescent="0.2">
      <c r="A27" s="3185"/>
      <c r="B27" s="3189"/>
      <c r="C27" s="3190"/>
      <c r="D27" s="3193"/>
      <c r="E27" s="3194"/>
      <c r="F27" s="3194"/>
      <c r="G27" s="1347"/>
      <c r="H27" s="1541"/>
      <c r="I27" s="1542"/>
      <c r="J27" s="3167"/>
      <c r="K27" s="3074"/>
      <c r="L27" s="3170"/>
      <c r="M27" s="3021"/>
      <c r="N27" s="1553" t="s">
        <v>1355</v>
      </c>
      <c r="O27" s="3197"/>
      <c r="P27" s="3015"/>
      <c r="Q27" s="3146"/>
      <c r="R27" s="3133"/>
      <c r="S27" s="3036"/>
      <c r="T27" s="3065"/>
      <c r="U27" s="2644" t="s">
        <v>1356</v>
      </c>
      <c r="V27" s="1538">
        <v>50000000</v>
      </c>
      <c r="W27" s="1539">
        <v>42</v>
      </c>
      <c r="X27" s="1540" t="s">
        <v>1351</v>
      </c>
      <c r="Y27" s="3117"/>
      <c r="Z27" s="3174"/>
      <c r="AA27" s="3178"/>
      <c r="AB27" s="3178"/>
      <c r="AC27" s="3178"/>
      <c r="AD27" s="3181"/>
      <c r="AE27" s="3173"/>
      <c r="AF27" s="3173"/>
      <c r="AG27" s="3174"/>
      <c r="AH27" s="3173"/>
      <c r="AI27" s="3173"/>
      <c r="AJ27" s="3173"/>
      <c r="AK27" s="3173"/>
      <c r="AL27" s="3173"/>
      <c r="AM27" s="3173"/>
      <c r="AN27" s="3117"/>
      <c r="AO27" s="3008"/>
      <c r="AP27" s="3008"/>
      <c r="AQ27" s="3053"/>
      <c r="AR27" s="1347"/>
      <c r="AS27" s="1347"/>
    </row>
    <row r="28" spans="1:45" s="399" customFormat="1" ht="40.5" customHeight="1" x14ac:dyDescent="0.2">
      <c r="A28" s="3185"/>
      <c r="B28" s="3189"/>
      <c r="C28" s="3190"/>
      <c r="D28" s="3193"/>
      <c r="E28" s="3194"/>
      <c r="F28" s="3194"/>
      <c r="G28" s="1347"/>
      <c r="H28" s="1541"/>
      <c r="I28" s="1542"/>
      <c r="J28" s="3167"/>
      <c r="K28" s="3074"/>
      <c r="L28" s="3170"/>
      <c r="M28" s="3021"/>
      <c r="N28" s="1553"/>
      <c r="O28" s="3197"/>
      <c r="P28" s="3015"/>
      <c r="Q28" s="3146"/>
      <c r="R28" s="3133"/>
      <c r="S28" s="3036"/>
      <c r="T28" s="3065"/>
      <c r="U28" s="2645"/>
      <c r="V28" s="1538">
        <v>47000000</v>
      </c>
      <c r="W28" s="1539">
        <v>92</v>
      </c>
      <c r="X28" s="1540" t="s">
        <v>1337</v>
      </c>
      <c r="Y28" s="3117"/>
      <c r="Z28" s="3174"/>
      <c r="AA28" s="3178"/>
      <c r="AB28" s="3178"/>
      <c r="AC28" s="3178"/>
      <c r="AD28" s="3181"/>
      <c r="AE28" s="3173"/>
      <c r="AF28" s="3173"/>
      <c r="AG28" s="3174"/>
      <c r="AH28" s="3173"/>
      <c r="AI28" s="3173"/>
      <c r="AJ28" s="3173"/>
      <c r="AK28" s="3173"/>
      <c r="AL28" s="3173"/>
      <c r="AM28" s="3173"/>
      <c r="AN28" s="3117"/>
      <c r="AO28" s="3008"/>
      <c r="AP28" s="3008"/>
      <c r="AQ28" s="3053"/>
      <c r="AR28" s="1347"/>
      <c r="AS28" s="1347"/>
    </row>
    <row r="29" spans="1:45" s="399" customFormat="1" ht="31.5" customHeight="1" x14ac:dyDescent="0.2">
      <c r="A29" s="3185"/>
      <c r="B29" s="3189"/>
      <c r="C29" s="3190"/>
      <c r="D29" s="3193"/>
      <c r="E29" s="3194"/>
      <c r="F29" s="3194"/>
      <c r="G29" s="1347"/>
      <c r="H29" s="1541"/>
      <c r="I29" s="1542"/>
      <c r="J29" s="3167"/>
      <c r="K29" s="3074"/>
      <c r="L29" s="3170"/>
      <c r="M29" s="3021"/>
      <c r="N29" s="1553"/>
      <c r="O29" s="3197"/>
      <c r="P29" s="3015"/>
      <c r="Q29" s="3146"/>
      <c r="R29" s="3133"/>
      <c r="S29" s="3036"/>
      <c r="T29" s="3065"/>
      <c r="U29" s="2644" t="s">
        <v>1357</v>
      </c>
      <c r="V29" s="1105">
        <v>35100000</v>
      </c>
      <c r="W29" s="1539">
        <v>42</v>
      </c>
      <c r="X29" s="1540" t="s">
        <v>1351</v>
      </c>
      <c r="Y29" s="3117"/>
      <c r="Z29" s="3174"/>
      <c r="AA29" s="3178"/>
      <c r="AB29" s="3178"/>
      <c r="AC29" s="3178"/>
      <c r="AD29" s="3181"/>
      <c r="AE29" s="3173"/>
      <c r="AF29" s="3173"/>
      <c r="AG29" s="3174"/>
      <c r="AH29" s="3173"/>
      <c r="AI29" s="3173"/>
      <c r="AJ29" s="3173"/>
      <c r="AK29" s="3173"/>
      <c r="AL29" s="3173"/>
      <c r="AM29" s="3173"/>
      <c r="AN29" s="3117"/>
      <c r="AO29" s="3008"/>
      <c r="AP29" s="3008"/>
      <c r="AQ29" s="3053"/>
      <c r="AR29" s="1347"/>
      <c r="AS29" s="1347"/>
    </row>
    <row r="30" spans="1:45" s="399" customFormat="1" ht="39.75" customHeight="1" x14ac:dyDescent="0.2">
      <c r="A30" s="3185"/>
      <c r="B30" s="3189"/>
      <c r="C30" s="3190"/>
      <c r="D30" s="3193"/>
      <c r="E30" s="3194"/>
      <c r="F30" s="3194"/>
      <c r="G30" s="1347"/>
      <c r="H30" s="1541"/>
      <c r="I30" s="1542"/>
      <c r="J30" s="3167"/>
      <c r="K30" s="3074"/>
      <c r="L30" s="3170"/>
      <c r="M30" s="3021"/>
      <c r="N30" s="1553"/>
      <c r="O30" s="3197"/>
      <c r="P30" s="3015"/>
      <c r="Q30" s="3146"/>
      <c r="R30" s="3133"/>
      <c r="S30" s="3036"/>
      <c r="T30" s="3065"/>
      <c r="U30" s="2645"/>
      <c r="V30" s="1105">
        <v>85000000</v>
      </c>
      <c r="W30" s="1539">
        <v>92</v>
      </c>
      <c r="X30" s="1540" t="s">
        <v>1337</v>
      </c>
      <c r="Y30" s="3117"/>
      <c r="Z30" s="3174"/>
      <c r="AA30" s="3178"/>
      <c r="AB30" s="3178"/>
      <c r="AC30" s="3178"/>
      <c r="AD30" s="3181"/>
      <c r="AE30" s="3173"/>
      <c r="AF30" s="3173"/>
      <c r="AG30" s="3174"/>
      <c r="AH30" s="3173"/>
      <c r="AI30" s="3173"/>
      <c r="AJ30" s="3173"/>
      <c r="AK30" s="3173"/>
      <c r="AL30" s="3173"/>
      <c r="AM30" s="3173"/>
      <c r="AN30" s="3117"/>
      <c r="AO30" s="3008"/>
      <c r="AP30" s="3008"/>
      <c r="AQ30" s="3053"/>
      <c r="AR30" s="1347"/>
      <c r="AS30" s="1347"/>
    </row>
    <row r="31" spans="1:45" s="399" customFormat="1" ht="31.5" customHeight="1" x14ac:dyDescent="0.2">
      <c r="A31" s="3185"/>
      <c r="B31" s="3189"/>
      <c r="C31" s="3190"/>
      <c r="D31" s="3193"/>
      <c r="E31" s="3194"/>
      <c r="F31" s="3194"/>
      <c r="G31" s="1347"/>
      <c r="H31" s="1541"/>
      <c r="I31" s="1542"/>
      <c r="J31" s="3167"/>
      <c r="K31" s="3074"/>
      <c r="L31" s="3170"/>
      <c r="M31" s="3021"/>
      <c r="N31" s="1553" t="s">
        <v>1358</v>
      </c>
      <c r="O31" s="3197"/>
      <c r="P31" s="3015"/>
      <c r="Q31" s="3146"/>
      <c r="R31" s="3133"/>
      <c r="S31" s="3036"/>
      <c r="T31" s="3065"/>
      <c r="U31" s="2644" t="s">
        <v>1359</v>
      </c>
      <c r="V31" s="1105">
        <v>20000000</v>
      </c>
      <c r="W31" s="1539">
        <v>42</v>
      </c>
      <c r="X31" s="1540" t="s">
        <v>1351</v>
      </c>
      <c r="Y31" s="3117"/>
      <c r="Z31" s="3174"/>
      <c r="AA31" s="3178"/>
      <c r="AB31" s="3178"/>
      <c r="AC31" s="3178"/>
      <c r="AD31" s="3181"/>
      <c r="AE31" s="3173"/>
      <c r="AF31" s="3173"/>
      <c r="AG31" s="3174"/>
      <c r="AH31" s="3173"/>
      <c r="AI31" s="3173"/>
      <c r="AJ31" s="3173"/>
      <c r="AK31" s="3173"/>
      <c r="AL31" s="3173"/>
      <c r="AM31" s="3173"/>
      <c r="AN31" s="3117"/>
      <c r="AO31" s="3008"/>
      <c r="AP31" s="3008"/>
      <c r="AQ31" s="3053"/>
      <c r="AR31" s="1347"/>
      <c r="AS31" s="1347"/>
    </row>
    <row r="32" spans="1:45" s="399" customFormat="1" ht="29.25" customHeight="1" x14ac:dyDescent="0.2">
      <c r="A32" s="3185"/>
      <c r="B32" s="3189"/>
      <c r="C32" s="3190"/>
      <c r="D32" s="3193"/>
      <c r="E32" s="3194"/>
      <c r="F32" s="3194"/>
      <c r="G32" s="1347"/>
      <c r="H32" s="1541"/>
      <c r="I32" s="1542"/>
      <c r="J32" s="3167"/>
      <c r="K32" s="3074"/>
      <c r="L32" s="3170"/>
      <c r="M32" s="3021"/>
      <c r="N32" s="1553"/>
      <c r="O32" s="3197"/>
      <c r="P32" s="3015"/>
      <c r="Q32" s="3146"/>
      <c r="R32" s="3133"/>
      <c r="S32" s="3036"/>
      <c r="T32" s="3065"/>
      <c r="U32" s="2645"/>
      <c r="V32" s="1105">
        <v>53000000</v>
      </c>
      <c r="W32" s="1539">
        <v>92</v>
      </c>
      <c r="X32" s="1540" t="s">
        <v>1337</v>
      </c>
      <c r="Y32" s="3117"/>
      <c r="Z32" s="3174"/>
      <c r="AA32" s="3178"/>
      <c r="AB32" s="3178"/>
      <c r="AC32" s="3178"/>
      <c r="AD32" s="3181"/>
      <c r="AE32" s="3173"/>
      <c r="AF32" s="3173"/>
      <c r="AG32" s="3174"/>
      <c r="AH32" s="3173"/>
      <c r="AI32" s="3173"/>
      <c r="AJ32" s="3173"/>
      <c r="AK32" s="3173"/>
      <c r="AL32" s="3173"/>
      <c r="AM32" s="3173"/>
      <c r="AN32" s="3117"/>
      <c r="AO32" s="3008"/>
      <c r="AP32" s="3008"/>
      <c r="AQ32" s="3053"/>
      <c r="AR32" s="1347"/>
      <c r="AS32" s="1347"/>
    </row>
    <row r="33" spans="1:45" s="399" customFormat="1" ht="43.5" customHeight="1" x14ac:dyDescent="0.2">
      <c r="A33" s="3185"/>
      <c r="B33" s="3189"/>
      <c r="C33" s="3190"/>
      <c r="D33" s="3193"/>
      <c r="E33" s="3194"/>
      <c r="F33" s="3194"/>
      <c r="G33" s="1347"/>
      <c r="H33" s="1541"/>
      <c r="I33" s="1542"/>
      <c r="J33" s="3167"/>
      <c r="K33" s="3074"/>
      <c r="L33" s="3170"/>
      <c r="M33" s="3021"/>
      <c r="N33" s="590"/>
      <c r="O33" s="3197"/>
      <c r="P33" s="3015"/>
      <c r="Q33" s="3146"/>
      <c r="R33" s="3133"/>
      <c r="S33" s="3036"/>
      <c r="T33" s="3065"/>
      <c r="U33" s="2644" t="s">
        <v>1360</v>
      </c>
      <c r="V33" s="1105">
        <v>0</v>
      </c>
      <c r="W33" s="1539">
        <v>42</v>
      </c>
      <c r="X33" s="1540" t="s">
        <v>1351</v>
      </c>
      <c r="Y33" s="3117"/>
      <c r="Z33" s="3174"/>
      <c r="AA33" s="3178"/>
      <c r="AB33" s="3178"/>
      <c r="AC33" s="3178"/>
      <c r="AD33" s="3181"/>
      <c r="AE33" s="3173"/>
      <c r="AF33" s="3173"/>
      <c r="AG33" s="3174"/>
      <c r="AH33" s="3173"/>
      <c r="AI33" s="3173"/>
      <c r="AJ33" s="3173"/>
      <c r="AK33" s="3173"/>
      <c r="AL33" s="3173"/>
      <c r="AM33" s="3173"/>
      <c r="AN33" s="3117"/>
      <c r="AO33" s="3008"/>
      <c r="AP33" s="3008"/>
      <c r="AQ33" s="3053"/>
      <c r="AR33" s="1347"/>
      <c r="AS33" s="1347"/>
    </row>
    <row r="34" spans="1:45" s="399" customFormat="1" ht="33" customHeight="1" x14ac:dyDescent="0.2">
      <c r="A34" s="3185"/>
      <c r="B34" s="3189"/>
      <c r="C34" s="3190"/>
      <c r="D34" s="3193"/>
      <c r="E34" s="3194"/>
      <c r="F34" s="3194"/>
      <c r="G34" s="1347"/>
      <c r="H34" s="1541"/>
      <c r="I34" s="1542"/>
      <c r="J34" s="3167"/>
      <c r="K34" s="3074"/>
      <c r="L34" s="3170"/>
      <c r="M34" s="3021"/>
      <c r="N34" s="1553"/>
      <c r="O34" s="3197"/>
      <c r="P34" s="3015"/>
      <c r="Q34" s="3146"/>
      <c r="R34" s="3133"/>
      <c r="S34" s="3036"/>
      <c r="T34" s="3065"/>
      <c r="U34" s="2645"/>
      <c r="V34" s="1105">
        <v>0</v>
      </c>
      <c r="W34" s="1539">
        <v>92</v>
      </c>
      <c r="X34" s="1540" t="s">
        <v>1337</v>
      </c>
      <c r="Y34" s="3117"/>
      <c r="Z34" s="3174"/>
      <c r="AA34" s="3178"/>
      <c r="AB34" s="3178"/>
      <c r="AC34" s="3178"/>
      <c r="AD34" s="3181"/>
      <c r="AE34" s="3173"/>
      <c r="AF34" s="3173"/>
      <c r="AG34" s="3174"/>
      <c r="AH34" s="3173"/>
      <c r="AI34" s="3173"/>
      <c r="AJ34" s="3173"/>
      <c r="AK34" s="3173"/>
      <c r="AL34" s="3173"/>
      <c r="AM34" s="3173"/>
      <c r="AN34" s="3117"/>
      <c r="AO34" s="3008"/>
      <c r="AP34" s="3008"/>
      <c r="AQ34" s="3053"/>
      <c r="AR34" s="1347"/>
      <c r="AS34" s="1347"/>
    </row>
    <row r="35" spans="1:45" s="399" customFormat="1" ht="40.5" customHeight="1" x14ac:dyDescent="0.2">
      <c r="A35" s="3185"/>
      <c r="B35" s="3189"/>
      <c r="C35" s="3190"/>
      <c r="D35" s="3193"/>
      <c r="E35" s="3194"/>
      <c r="F35" s="3194"/>
      <c r="G35" s="1347"/>
      <c r="H35" s="1541"/>
      <c r="I35" s="1542"/>
      <c r="J35" s="3167"/>
      <c r="K35" s="3074"/>
      <c r="L35" s="3170"/>
      <c r="M35" s="3021"/>
      <c r="N35" s="1553" t="s">
        <v>1361</v>
      </c>
      <c r="O35" s="3197"/>
      <c r="P35" s="3015"/>
      <c r="Q35" s="3146"/>
      <c r="R35" s="3133"/>
      <c r="S35" s="3036"/>
      <c r="T35" s="3065"/>
      <c r="U35" s="1554" t="s">
        <v>1362</v>
      </c>
      <c r="V35" s="1439">
        <v>0</v>
      </c>
      <c r="W35" s="1539">
        <v>42</v>
      </c>
      <c r="X35" s="1540" t="s">
        <v>1351</v>
      </c>
      <c r="Y35" s="3117"/>
      <c r="Z35" s="3174"/>
      <c r="AA35" s="3178"/>
      <c r="AB35" s="3178"/>
      <c r="AC35" s="3178"/>
      <c r="AD35" s="3181"/>
      <c r="AE35" s="3173"/>
      <c r="AF35" s="3173"/>
      <c r="AG35" s="3174"/>
      <c r="AH35" s="3173"/>
      <c r="AI35" s="3173"/>
      <c r="AJ35" s="3173"/>
      <c r="AK35" s="3173"/>
      <c r="AL35" s="3173"/>
      <c r="AM35" s="3173"/>
      <c r="AN35" s="3117"/>
      <c r="AO35" s="3008"/>
      <c r="AP35" s="3008"/>
      <c r="AQ35" s="3053"/>
      <c r="AR35" s="1347"/>
      <c r="AS35" s="1347"/>
    </row>
    <row r="36" spans="1:45" s="399" customFormat="1" ht="30" customHeight="1" x14ac:dyDescent="0.2">
      <c r="A36" s="3185"/>
      <c r="B36" s="3189"/>
      <c r="C36" s="3190"/>
      <c r="D36" s="3193"/>
      <c r="E36" s="3194"/>
      <c r="F36" s="3194"/>
      <c r="G36" s="1347"/>
      <c r="H36" s="1541"/>
      <c r="I36" s="1542"/>
      <c r="J36" s="3167"/>
      <c r="K36" s="3074"/>
      <c r="L36" s="3170"/>
      <c r="M36" s="3021"/>
      <c r="N36" s="1553"/>
      <c r="O36" s="3197"/>
      <c r="P36" s="3015"/>
      <c r="Q36" s="3146"/>
      <c r="R36" s="3133"/>
      <c r="S36" s="3036"/>
      <c r="T36" s="3065"/>
      <c r="U36" s="2644" t="s">
        <v>1363</v>
      </c>
      <c r="V36" s="1538">
        <v>146759029</v>
      </c>
      <c r="W36" s="1539">
        <v>42</v>
      </c>
      <c r="X36" s="1540" t="s">
        <v>1351</v>
      </c>
      <c r="Y36" s="3117"/>
      <c r="Z36" s="3174"/>
      <c r="AA36" s="3178"/>
      <c r="AB36" s="3178"/>
      <c r="AC36" s="3178"/>
      <c r="AD36" s="3181"/>
      <c r="AE36" s="3173"/>
      <c r="AF36" s="3173"/>
      <c r="AG36" s="3174"/>
      <c r="AH36" s="3173"/>
      <c r="AI36" s="3173"/>
      <c r="AJ36" s="3173"/>
      <c r="AK36" s="3173"/>
      <c r="AL36" s="3173"/>
      <c r="AM36" s="3173"/>
      <c r="AN36" s="3117"/>
      <c r="AO36" s="3008"/>
      <c r="AP36" s="3008"/>
      <c r="AQ36" s="3053"/>
      <c r="AR36" s="1347"/>
      <c r="AS36" s="1347"/>
    </row>
    <row r="37" spans="1:45" s="399" customFormat="1" ht="34.5" customHeight="1" x14ac:dyDescent="0.2">
      <c r="A37" s="3185"/>
      <c r="B37" s="3189"/>
      <c r="C37" s="3190"/>
      <c r="D37" s="3193"/>
      <c r="E37" s="3194"/>
      <c r="F37" s="3194"/>
      <c r="G37" s="1347"/>
      <c r="H37" s="1541"/>
      <c r="I37" s="1542"/>
      <c r="J37" s="3167"/>
      <c r="K37" s="3074"/>
      <c r="L37" s="3170"/>
      <c r="M37" s="3021"/>
      <c r="N37" s="1553"/>
      <c r="O37" s="3197"/>
      <c r="P37" s="3015"/>
      <c r="Q37" s="3146"/>
      <c r="R37" s="3133"/>
      <c r="S37" s="3036"/>
      <c r="T37" s="3065"/>
      <c r="U37" s="2645"/>
      <c r="V37" s="1538">
        <v>83240971</v>
      </c>
      <c r="W37" s="1539">
        <v>92</v>
      </c>
      <c r="X37" s="1540" t="s">
        <v>1337</v>
      </c>
      <c r="Y37" s="3117"/>
      <c r="Z37" s="3174"/>
      <c r="AA37" s="3178"/>
      <c r="AB37" s="3178"/>
      <c r="AC37" s="3178"/>
      <c r="AD37" s="3181"/>
      <c r="AE37" s="3173"/>
      <c r="AF37" s="3173"/>
      <c r="AG37" s="3174"/>
      <c r="AH37" s="3173"/>
      <c r="AI37" s="3173"/>
      <c r="AJ37" s="3173"/>
      <c r="AK37" s="3173"/>
      <c r="AL37" s="3173"/>
      <c r="AM37" s="3173"/>
      <c r="AN37" s="3117"/>
      <c r="AO37" s="3008"/>
      <c r="AP37" s="3008"/>
      <c r="AQ37" s="3053"/>
      <c r="AR37" s="1347"/>
      <c r="AS37" s="1347"/>
    </row>
    <row r="38" spans="1:45" s="399" customFormat="1" ht="51.75" customHeight="1" x14ac:dyDescent="0.2">
      <c r="A38" s="3185"/>
      <c r="B38" s="3189"/>
      <c r="C38" s="3190"/>
      <c r="D38" s="3193"/>
      <c r="E38" s="3194"/>
      <c r="F38" s="3194"/>
      <c r="G38" s="1347"/>
      <c r="H38" s="1541"/>
      <c r="I38" s="1542"/>
      <c r="J38" s="3167"/>
      <c r="K38" s="3074"/>
      <c r="L38" s="3170"/>
      <c r="M38" s="3021"/>
      <c r="N38" s="1555"/>
      <c r="O38" s="3197"/>
      <c r="P38" s="3015"/>
      <c r="Q38" s="3146"/>
      <c r="R38" s="3133"/>
      <c r="S38" s="3036"/>
      <c r="T38" s="3065"/>
      <c r="U38" s="1554" t="s">
        <v>1364</v>
      </c>
      <c r="V38" s="1105">
        <v>30000000</v>
      </c>
      <c r="W38" s="1539">
        <v>92</v>
      </c>
      <c r="X38" s="1540" t="s">
        <v>1337</v>
      </c>
      <c r="Y38" s="3117"/>
      <c r="Z38" s="3174"/>
      <c r="AA38" s="3178"/>
      <c r="AB38" s="3178"/>
      <c r="AC38" s="3178"/>
      <c r="AD38" s="3181"/>
      <c r="AE38" s="3173"/>
      <c r="AF38" s="3173"/>
      <c r="AG38" s="3174"/>
      <c r="AH38" s="3173"/>
      <c r="AI38" s="3173"/>
      <c r="AJ38" s="3173"/>
      <c r="AK38" s="3173"/>
      <c r="AL38" s="3173"/>
      <c r="AM38" s="3173"/>
      <c r="AN38" s="3117"/>
      <c r="AO38" s="3008"/>
      <c r="AP38" s="3008"/>
      <c r="AQ38" s="3053"/>
      <c r="AR38" s="1347"/>
      <c r="AS38" s="1347"/>
    </row>
    <row r="39" spans="1:45" s="399" customFormat="1" ht="33" customHeight="1" x14ac:dyDescent="0.2">
      <c r="A39" s="3185"/>
      <c r="B39" s="3189"/>
      <c r="C39" s="3190"/>
      <c r="D39" s="3193"/>
      <c r="E39" s="3194"/>
      <c r="F39" s="3194"/>
      <c r="G39" s="1347"/>
      <c r="H39" s="1541"/>
      <c r="I39" s="1542"/>
      <c r="J39" s="3167"/>
      <c r="K39" s="3074"/>
      <c r="L39" s="3170"/>
      <c r="M39" s="3021"/>
      <c r="N39" s="1555"/>
      <c r="O39" s="3197"/>
      <c r="P39" s="3015"/>
      <c r="Q39" s="3146"/>
      <c r="R39" s="3133"/>
      <c r="S39" s="3036"/>
      <c r="T39" s="3065"/>
      <c r="U39" s="2644" t="s">
        <v>1365</v>
      </c>
      <c r="V39" s="1105">
        <v>10900000</v>
      </c>
      <c r="W39" s="1539">
        <v>42</v>
      </c>
      <c r="X39" s="1540" t="s">
        <v>1351</v>
      </c>
      <c r="Y39" s="3117"/>
      <c r="Z39" s="3174"/>
      <c r="AA39" s="3178"/>
      <c r="AB39" s="3178"/>
      <c r="AC39" s="3178"/>
      <c r="AD39" s="3181"/>
      <c r="AE39" s="3173"/>
      <c r="AF39" s="3173"/>
      <c r="AG39" s="3174"/>
      <c r="AH39" s="3173"/>
      <c r="AI39" s="3173"/>
      <c r="AJ39" s="3173"/>
      <c r="AK39" s="3173"/>
      <c r="AL39" s="3173"/>
      <c r="AM39" s="3173"/>
      <c r="AN39" s="3117"/>
      <c r="AO39" s="3008"/>
      <c r="AP39" s="3008"/>
      <c r="AQ39" s="3053"/>
      <c r="AR39" s="1347"/>
      <c r="AS39" s="1347"/>
    </row>
    <row r="40" spans="1:45" s="399" customFormat="1" ht="42" customHeight="1" x14ac:dyDescent="0.2">
      <c r="A40" s="3185"/>
      <c r="B40" s="3189"/>
      <c r="C40" s="3190"/>
      <c r="D40" s="3193"/>
      <c r="E40" s="3194"/>
      <c r="F40" s="3194"/>
      <c r="G40" s="1347"/>
      <c r="H40" s="1541"/>
      <c r="I40" s="1542"/>
      <c r="J40" s="3167"/>
      <c r="K40" s="3074"/>
      <c r="L40" s="3170"/>
      <c r="M40" s="3021"/>
      <c r="N40" s="1555"/>
      <c r="O40" s="3197"/>
      <c r="P40" s="3015"/>
      <c r="Q40" s="3146"/>
      <c r="R40" s="3133"/>
      <c r="S40" s="3036"/>
      <c r="T40" s="3065"/>
      <c r="U40" s="2645"/>
      <c r="V40" s="1105">
        <v>10000000</v>
      </c>
      <c r="W40" s="1539">
        <v>92</v>
      </c>
      <c r="X40" s="1540" t="s">
        <v>1337</v>
      </c>
      <c r="Y40" s="3117"/>
      <c r="Z40" s="3174"/>
      <c r="AA40" s="3178"/>
      <c r="AB40" s="3178"/>
      <c r="AC40" s="3178"/>
      <c r="AD40" s="3181"/>
      <c r="AE40" s="3173"/>
      <c r="AF40" s="3173"/>
      <c r="AG40" s="3174"/>
      <c r="AH40" s="3173"/>
      <c r="AI40" s="3173"/>
      <c r="AJ40" s="3173"/>
      <c r="AK40" s="3173"/>
      <c r="AL40" s="3173"/>
      <c r="AM40" s="3173"/>
      <c r="AN40" s="3117"/>
      <c r="AO40" s="3008"/>
      <c r="AP40" s="3008"/>
      <c r="AQ40" s="3053"/>
      <c r="AR40" s="1347"/>
      <c r="AS40" s="1347"/>
    </row>
    <row r="41" spans="1:45" s="399" customFormat="1" ht="35.25" customHeight="1" x14ac:dyDescent="0.2">
      <c r="A41" s="3185"/>
      <c r="B41" s="3189"/>
      <c r="C41" s="3190"/>
      <c r="D41" s="3193"/>
      <c r="E41" s="3194"/>
      <c r="F41" s="3194"/>
      <c r="G41" s="1347"/>
      <c r="H41" s="1541"/>
      <c r="I41" s="1542"/>
      <c r="J41" s="3167"/>
      <c r="K41" s="3074"/>
      <c r="L41" s="3170"/>
      <c r="M41" s="3021"/>
      <c r="N41" s="1555"/>
      <c r="O41" s="3197"/>
      <c r="P41" s="3015"/>
      <c r="Q41" s="3146"/>
      <c r="R41" s="3133"/>
      <c r="S41" s="3036"/>
      <c r="T41" s="3065"/>
      <c r="U41" s="2644" t="s">
        <v>1366</v>
      </c>
      <c r="V41" s="1538">
        <v>10000000</v>
      </c>
      <c r="W41" s="1539">
        <v>42</v>
      </c>
      <c r="X41" s="1540" t="s">
        <v>1351</v>
      </c>
      <c r="Y41" s="3117"/>
      <c r="Z41" s="3174"/>
      <c r="AA41" s="3178"/>
      <c r="AB41" s="3178"/>
      <c r="AC41" s="3178"/>
      <c r="AD41" s="3181"/>
      <c r="AE41" s="3173"/>
      <c r="AF41" s="3173"/>
      <c r="AG41" s="3174"/>
      <c r="AH41" s="3173"/>
      <c r="AI41" s="3173"/>
      <c r="AJ41" s="3173"/>
      <c r="AK41" s="3173"/>
      <c r="AL41" s="3173"/>
      <c r="AM41" s="3173"/>
      <c r="AN41" s="3117"/>
      <c r="AO41" s="3008"/>
      <c r="AP41" s="3008"/>
      <c r="AQ41" s="3053"/>
      <c r="AR41" s="1347"/>
      <c r="AS41" s="1347"/>
    </row>
    <row r="42" spans="1:45" s="399" customFormat="1" ht="28.5" x14ac:dyDescent="0.2">
      <c r="A42" s="3185"/>
      <c r="B42" s="3189"/>
      <c r="C42" s="3190"/>
      <c r="D42" s="3193"/>
      <c r="E42" s="3194"/>
      <c r="F42" s="3194"/>
      <c r="G42" s="1347"/>
      <c r="H42" s="1541"/>
      <c r="I42" s="1542"/>
      <c r="J42" s="3167"/>
      <c r="K42" s="3074"/>
      <c r="L42" s="3170"/>
      <c r="M42" s="3021"/>
      <c r="N42" s="1555"/>
      <c r="O42" s="3197"/>
      <c r="P42" s="3015"/>
      <c r="Q42" s="3146"/>
      <c r="R42" s="3133"/>
      <c r="S42" s="3036"/>
      <c r="T42" s="3065"/>
      <c r="U42" s="2645"/>
      <c r="V42" s="1538">
        <v>10000000</v>
      </c>
      <c r="W42" s="1539">
        <v>92</v>
      </c>
      <c r="X42" s="1540" t="s">
        <v>1337</v>
      </c>
      <c r="Y42" s="3117"/>
      <c r="Z42" s="3174"/>
      <c r="AA42" s="3178"/>
      <c r="AB42" s="3178"/>
      <c r="AC42" s="3178"/>
      <c r="AD42" s="3181"/>
      <c r="AE42" s="3173"/>
      <c r="AF42" s="3173"/>
      <c r="AG42" s="3174"/>
      <c r="AH42" s="3173"/>
      <c r="AI42" s="3173"/>
      <c r="AJ42" s="3173"/>
      <c r="AK42" s="3173"/>
      <c r="AL42" s="3173"/>
      <c r="AM42" s="3173"/>
      <c r="AN42" s="3117"/>
      <c r="AO42" s="3008"/>
      <c r="AP42" s="3008"/>
      <c r="AQ42" s="3053"/>
      <c r="AR42" s="1347"/>
      <c r="AS42" s="1347"/>
    </row>
    <row r="43" spans="1:45" s="399" customFormat="1" ht="42.75" customHeight="1" x14ac:dyDescent="0.2">
      <c r="A43" s="3185"/>
      <c r="B43" s="3189"/>
      <c r="C43" s="3190"/>
      <c r="D43" s="3193"/>
      <c r="E43" s="3194"/>
      <c r="F43" s="3194"/>
      <c r="G43" s="1347"/>
      <c r="H43" s="1541"/>
      <c r="I43" s="1542"/>
      <c r="J43" s="3167"/>
      <c r="K43" s="3074"/>
      <c r="L43" s="3170"/>
      <c r="M43" s="3021"/>
      <c r="N43" s="1555"/>
      <c r="O43" s="3197"/>
      <c r="P43" s="3015"/>
      <c r="Q43" s="3146"/>
      <c r="R43" s="3133"/>
      <c r="S43" s="3036"/>
      <c r="T43" s="3065"/>
      <c r="U43" s="2644" t="s">
        <v>1367</v>
      </c>
      <c r="V43" s="1538">
        <v>10000000</v>
      </c>
      <c r="W43" s="1539">
        <v>42</v>
      </c>
      <c r="X43" s="1540" t="s">
        <v>1351</v>
      </c>
      <c r="Y43" s="3117"/>
      <c r="Z43" s="3174"/>
      <c r="AA43" s="3178"/>
      <c r="AB43" s="3178"/>
      <c r="AC43" s="3178"/>
      <c r="AD43" s="3181"/>
      <c r="AE43" s="3173"/>
      <c r="AF43" s="3173"/>
      <c r="AG43" s="3174"/>
      <c r="AH43" s="3173"/>
      <c r="AI43" s="3173"/>
      <c r="AJ43" s="3173"/>
      <c r="AK43" s="3173"/>
      <c r="AL43" s="3173"/>
      <c r="AM43" s="3173"/>
      <c r="AN43" s="3117"/>
      <c r="AO43" s="3008"/>
      <c r="AP43" s="3008"/>
      <c r="AQ43" s="3053"/>
      <c r="AR43" s="1347"/>
      <c r="AS43" s="1347"/>
    </row>
    <row r="44" spans="1:45" s="399" customFormat="1" ht="54" customHeight="1" x14ac:dyDescent="0.2">
      <c r="A44" s="3185"/>
      <c r="B44" s="3189"/>
      <c r="C44" s="3190"/>
      <c r="D44" s="3193"/>
      <c r="E44" s="3194"/>
      <c r="F44" s="3194"/>
      <c r="G44" s="1347"/>
      <c r="H44" s="1541"/>
      <c r="I44" s="1542"/>
      <c r="J44" s="3167"/>
      <c r="K44" s="3074"/>
      <c r="L44" s="3170"/>
      <c r="M44" s="3021"/>
      <c r="N44" s="1555"/>
      <c r="O44" s="3197"/>
      <c r="P44" s="3015"/>
      <c r="Q44" s="3146"/>
      <c r="R44" s="3133"/>
      <c r="S44" s="3036"/>
      <c r="T44" s="3065"/>
      <c r="U44" s="2645"/>
      <c r="V44" s="1538">
        <v>10000000</v>
      </c>
      <c r="W44" s="1539">
        <v>92</v>
      </c>
      <c r="X44" s="1540" t="s">
        <v>1337</v>
      </c>
      <c r="Y44" s="3117"/>
      <c r="Z44" s="3174"/>
      <c r="AA44" s="3178"/>
      <c r="AB44" s="3178"/>
      <c r="AC44" s="3178"/>
      <c r="AD44" s="3181"/>
      <c r="AE44" s="3173"/>
      <c r="AF44" s="3173"/>
      <c r="AG44" s="3174"/>
      <c r="AH44" s="3173"/>
      <c r="AI44" s="3173"/>
      <c r="AJ44" s="3173"/>
      <c r="AK44" s="3173"/>
      <c r="AL44" s="3173"/>
      <c r="AM44" s="3173"/>
      <c r="AN44" s="3117"/>
      <c r="AO44" s="3008"/>
      <c r="AP44" s="3008"/>
      <c r="AQ44" s="3053"/>
      <c r="AR44" s="1347"/>
      <c r="AS44" s="1347"/>
    </row>
    <row r="45" spans="1:45" s="399" customFormat="1" ht="44.25" customHeight="1" x14ac:dyDescent="0.2">
      <c r="A45" s="3185"/>
      <c r="B45" s="3189"/>
      <c r="C45" s="3190"/>
      <c r="D45" s="3193"/>
      <c r="E45" s="3194"/>
      <c r="F45" s="3194"/>
      <c r="G45" s="1347"/>
      <c r="H45" s="1541"/>
      <c r="I45" s="1542"/>
      <c r="J45" s="3167"/>
      <c r="K45" s="3074"/>
      <c r="L45" s="3170"/>
      <c r="M45" s="3021"/>
      <c r="N45" s="1555"/>
      <c r="O45" s="3197"/>
      <c r="P45" s="3015"/>
      <c r="Q45" s="3146"/>
      <c r="R45" s="3133"/>
      <c r="S45" s="3036"/>
      <c r="T45" s="3065"/>
      <c r="U45" s="2644" t="s">
        <v>1368</v>
      </c>
      <c r="V45" s="1105">
        <v>11000000</v>
      </c>
      <c r="W45" s="1539">
        <v>42</v>
      </c>
      <c r="X45" s="1540" t="s">
        <v>1351</v>
      </c>
      <c r="Y45" s="3117"/>
      <c r="Z45" s="3174"/>
      <c r="AA45" s="3178"/>
      <c r="AB45" s="3178"/>
      <c r="AC45" s="3178"/>
      <c r="AD45" s="3181"/>
      <c r="AE45" s="3173"/>
      <c r="AF45" s="3173"/>
      <c r="AG45" s="3174"/>
      <c r="AH45" s="3173"/>
      <c r="AI45" s="3173"/>
      <c r="AJ45" s="3173"/>
      <c r="AK45" s="3173"/>
      <c r="AL45" s="3173"/>
      <c r="AM45" s="3173"/>
      <c r="AN45" s="3117"/>
      <c r="AO45" s="3008"/>
      <c r="AP45" s="3008"/>
      <c r="AQ45" s="3053"/>
      <c r="AR45" s="1347"/>
      <c r="AS45" s="1347"/>
    </row>
    <row r="46" spans="1:45" s="399" customFormat="1" ht="28.5" x14ac:dyDescent="0.2">
      <c r="A46" s="3185"/>
      <c r="B46" s="3189"/>
      <c r="C46" s="3190"/>
      <c r="D46" s="3194"/>
      <c r="E46" s="3194"/>
      <c r="F46" s="3194"/>
      <c r="G46" s="1347"/>
      <c r="H46" s="1541"/>
      <c r="I46" s="1542"/>
      <c r="J46" s="3168"/>
      <c r="K46" s="3075"/>
      <c r="L46" s="3171"/>
      <c r="M46" s="3022"/>
      <c r="N46" s="1555"/>
      <c r="O46" s="3197"/>
      <c r="P46" s="3015"/>
      <c r="Q46" s="3147"/>
      <c r="R46" s="3133"/>
      <c r="S46" s="3036"/>
      <c r="T46" s="3065"/>
      <c r="U46" s="2645"/>
      <c r="V46" s="1105">
        <v>30000000</v>
      </c>
      <c r="W46" s="1539">
        <v>92</v>
      </c>
      <c r="X46" s="1540" t="s">
        <v>1337</v>
      </c>
      <c r="Y46" s="3117"/>
      <c r="Z46" s="3174"/>
      <c r="AA46" s="3178"/>
      <c r="AB46" s="3178"/>
      <c r="AC46" s="3178"/>
      <c r="AD46" s="3181"/>
      <c r="AE46" s="3173"/>
      <c r="AF46" s="3173"/>
      <c r="AG46" s="3174"/>
      <c r="AH46" s="3173"/>
      <c r="AI46" s="3173"/>
      <c r="AJ46" s="3173"/>
      <c r="AK46" s="3173"/>
      <c r="AL46" s="3173"/>
      <c r="AM46" s="3173"/>
      <c r="AN46" s="3117"/>
      <c r="AO46" s="3008"/>
      <c r="AP46" s="3008"/>
      <c r="AQ46" s="3053"/>
      <c r="AR46" s="1347"/>
      <c r="AS46" s="1347"/>
    </row>
    <row r="47" spans="1:45" s="399" customFormat="1" ht="47.25" customHeight="1" x14ac:dyDescent="0.2">
      <c r="A47" s="3185"/>
      <c r="B47" s="3189"/>
      <c r="C47" s="3190"/>
      <c r="D47" s="3194"/>
      <c r="E47" s="3194"/>
      <c r="F47" s="3194"/>
      <c r="G47" s="1347"/>
      <c r="H47" s="1541"/>
      <c r="I47" s="1542"/>
      <c r="J47" s="3126">
        <v>218</v>
      </c>
      <c r="K47" s="3036" t="s">
        <v>1369</v>
      </c>
      <c r="L47" s="3089" t="s">
        <v>1370</v>
      </c>
      <c r="M47" s="3087">
        <v>3</v>
      </c>
      <c r="N47" s="1555"/>
      <c r="O47" s="3197"/>
      <c r="P47" s="3015"/>
      <c r="Q47" s="3162">
        <f>SUM(V47:V49)/R13</f>
        <v>1.8685636893508266E-2</v>
      </c>
      <c r="R47" s="3133"/>
      <c r="S47" s="3036"/>
      <c r="T47" s="3036"/>
      <c r="U47" s="2644" t="s">
        <v>1371</v>
      </c>
      <c r="V47" s="1556">
        <v>45600000</v>
      </c>
      <c r="W47" s="1539">
        <v>20</v>
      </c>
      <c r="X47" s="1540" t="s">
        <v>1341</v>
      </c>
      <c r="Y47" s="3117"/>
      <c r="Z47" s="3174"/>
      <c r="AA47" s="3178"/>
      <c r="AB47" s="3178"/>
      <c r="AC47" s="3178"/>
      <c r="AD47" s="3181"/>
      <c r="AE47" s="3173"/>
      <c r="AF47" s="3173"/>
      <c r="AG47" s="3174"/>
      <c r="AH47" s="3173"/>
      <c r="AI47" s="3173"/>
      <c r="AJ47" s="3173"/>
      <c r="AK47" s="3173"/>
      <c r="AL47" s="3173"/>
      <c r="AM47" s="3173"/>
      <c r="AN47" s="3117"/>
      <c r="AO47" s="3008"/>
      <c r="AP47" s="3008"/>
      <c r="AQ47" s="3053"/>
      <c r="AR47" s="1347"/>
      <c r="AS47" s="1347"/>
    </row>
    <row r="48" spans="1:45" s="399" customFormat="1" ht="62.25" customHeight="1" x14ac:dyDescent="0.2">
      <c r="A48" s="3185"/>
      <c r="B48" s="3189"/>
      <c r="C48" s="3190"/>
      <c r="D48" s="3194"/>
      <c r="E48" s="3194"/>
      <c r="F48" s="3194"/>
      <c r="G48" s="1347"/>
      <c r="H48" s="1541"/>
      <c r="I48" s="1542"/>
      <c r="J48" s="3126"/>
      <c r="K48" s="3036"/>
      <c r="L48" s="3089"/>
      <c r="M48" s="3087"/>
      <c r="N48" s="1555"/>
      <c r="O48" s="3197"/>
      <c r="P48" s="3015"/>
      <c r="Q48" s="3162"/>
      <c r="R48" s="3133"/>
      <c r="S48" s="3036"/>
      <c r="T48" s="3036"/>
      <c r="U48" s="2645"/>
      <c r="V48" s="1556">
        <v>75000000</v>
      </c>
      <c r="W48" s="1557">
        <v>92</v>
      </c>
      <c r="X48" s="1540" t="s">
        <v>1337</v>
      </c>
      <c r="Y48" s="3117"/>
      <c r="Z48" s="3174"/>
      <c r="AA48" s="3178"/>
      <c r="AB48" s="3178"/>
      <c r="AC48" s="3178"/>
      <c r="AD48" s="3181"/>
      <c r="AE48" s="3173"/>
      <c r="AF48" s="3173"/>
      <c r="AG48" s="3174"/>
      <c r="AH48" s="3173"/>
      <c r="AI48" s="3173"/>
      <c r="AJ48" s="3173"/>
      <c r="AK48" s="3173"/>
      <c r="AL48" s="3173"/>
      <c r="AM48" s="3173"/>
      <c r="AN48" s="3117"/>
      <c r="AO48" s="3008"/>
      <c r="AP48" s="3008"/>
      <c r="AQ48" s="3053"/>
      <c r="AR48" s="1347"/>
      <c r="AS48" s="1347"/>
    </row>
    <row r="49" spans="1:45" s="399" customFormat="1" ht="82.5" customHeight="1" x14ac:dyDescent="0.2">
      <c r="A49" s="3185"/>
      <c r="B49" s="3189"/>
      <c r="C49" s="3190"/>
      <c r="D49" s="3194"/>
      <c r="E49" s="3194"/>
      <c r="F49" s="3194"/>
      <c r="G49" s="1347"/>
      <c r="H49" s="1558"/>
      <c r="I49" s="1559"/>
      <c r="J49" s="3126"/>
      <c r="K49" s="3036"/>
      <c r="L49" s="3089"/>
      <c r="M49" s="3080"/>
      <c r="N49" s="1555"/>
      <c r="O49" s="3197"/>
      <c r="P49" s="3015"/>
      <c r="Q49" s="3162"/>
      <c r="R49" s="3134"/>
      <c r="S49" s="3036"/>
      <c r="T49" s="3036"/>
      <c r="U49" s="1554" t="s">
        <v>1372</v>
      </c>
      <c r="V49" s="1560">
        <v>4000000</v>
      </c>
      <c r="W49" s="1557">
        <v>20</v>
      </c>
      <c r="X49" s="1561" t="s">
        <v>1341</v>
      </c>
      <c r="Y49" s="3118"/>
      <c r="Z49" s="3175"/>
      <c r="AA49" s="3179"/>
      <c r="AB49" s="3179"/>
      <c r="AC49" s="3179"/>
      <c r="AD49" s="3182"/>
      <c r="AE49" s="3173"/>
      <c r="AF49" s="3173"/>
      <c r="AG49" s="3175"/>
      <c r="AH49" s="3173"/>
      <c r="AI49" s="3173"/>
      <c r="AJ49" s="3173"/>
      <c r="AK49" s="3173"/>
      <c r="AL49" s="3173"/>
      <c r="AM49" s="3173"/>
      <c r="AN49" s="3118"/>
      <c r="AO49" s="2957"/>
      <c r="AP49" s="2957"/>
      <c r="AQ49" s="3053"/>
      <c r="AR49" s="1347"/>
      <c r="AS49" s="1347"/>
    </row>
    <row r="50" spans="1:45" s="1347" customFormat="1" ht="19.5" customHeight="1" x14ac:dyDescent="0.2">
      <c r="A50" s="3185"/>
      <c r="B50" s="3189"/>
      <c r="C50" s="3190"/>
      <c r="D50" s="3194"/>
      <c r="E50" s="3194"/>
      <c r="F50" s="3194"/>
      <c r="G50" s="1524">
        <v>76</v>
      </c>
      <c r="H50" s="1165" t="s">
        <v>1373</v>
      </c>
      <c r="I50" s="1165"/>
      <c r="J50" s="1562"/>
      <c r="K50" s="1563"/>
      <c r="L50" s="1564"/>
      <c r="M50" s="432"/>
      <c r="N50" s="1528"/>
      <c r="O50" s="1529"/>
      <c r="P50" s="1125"/>
      <c r="Q50" s="1565"/>
      <c r="R50" s="1566"/>
      <c r="S50" s="1564"/>
      <c r="T50" s="1563"/>
      <c r="U50" s="1563"/>
      <c r="V50" s="1129"/>
      <c r="W50" s="1567"/>
      <c r="X50" s="1567"/>
      <c r="Y50" s="1165"/>
      <c r="Z50" s="1165"/>
      <c r="AA50" s="1165"/>
      <c r="AB50" s="1165"/>
      <c r="AC50" s="1165"/>
      <c r="AD50" s="1165"/>
      <c r="AE50" s="1165"/>
      <c r="AF50" s="1165"/>
      <c r="AG50" s="1165"/>
      <c r="AH50" s="1165"/>
      <c r="AI50" s="1165"/>
      <c r="AJ50" s="1165"/>
      <c r="AK50" s="1357"/>
      <c r="AL50" s="1357"/>
      <c r="AM50" s="1357"/>
      <c r="AN50" s="1357"/>
      <c r="AO50" s="1357"/>
      <c r="AP50" s="1357"/>
      <c r="AQ50" s="1357"/>
    </row>
    <row r="51" spans="1:45" s="399" customFormat="1" ht="58.5" customHeight="1" x14ac:dyDescent="0.2">
      <c r="A51" s="3185"/>
      <c r="B51" s="3189"/>
      <c r="C51" s="3190"/>
      <c r="D51" s="3194"/>
      <c r="E51" s="3194"/>
      <c r="F51" s="3194"/>
      <c r="G51" s="1347"/>
      <c r="H51" s="1536"/>
      <c r="I51" s="1537"/>
      <c r="J51" s="3139">
        <v>219</v>
      </c>
      <c r="K51" s="3047" t="s">
        <v>1374</v>
      </c>
      <c r="L51" s="3047" t="s">
        <v>1375</v>
      </c>
      <c r="M51" s="3143">
        <v>11</v>
      </c>
      <c r="N51" s="1568"/>
      <c r="O51" s="3161" t="s">
        <v>1376</v>
      </c>
      <c r="P51" s="3066" t="s">
        <v>1377</v>
      </c>
      <c r="Q51" s="3158">
        <f>SUM(V51:V57)/R51</f>
        <v>0.48485153703513656</v>
      </c>
      <c r="R51" s="3132">
        <f>SUM(V51:V65)</f>
        <v>718838837</v>
      </c>
      <c r="S51" s="3036" t="s">
        <v>1378</v>
      </c>
      <c r="T51" s="3065" t="s">
        <v>1379</v>
      </c>
      <c r="U51" s="2644" t="s">
        <v>1380</v>
      </c>
      <c r="V51" s="1556">
        <v>50000000</v>
      </c>
      <c r="W51" s="1569" t="s">
        <v>1381</v>
      </c>
      <c r="X51" s="1570" t="s">
        <v>1382</v>
      </c>
      <c r="Y51" s="3102">
        <v>7650</v>
      </c>
      <c r="Z51" s="3102">
        <v>7350</v>
      </c>
      <c r="AA51" s="3102">
        <v>4564</v>
      </c>
      <c r="AB51" s="3102">
        <v>3365</v>
      </c>
      <c r="AC51" s="3102">
        <v>1921</v>
      </c>
      <c r="AD51" s="3102">
        <v>5150</v>
      </c>
      <c r="AE51" s="3150"/>
      <c r="AF51" s="3150"/>
      <c r="AG51" s="3150"/>
      <c r="AH51" s="3150"/>
      <c r="AI51" s="3150"/>
      <c r="AJ51" s="3150"/>
      <c r="AK51" s="3150"/>
      <c r="AL51" s="3150"/>
      <c r="AM51" s="3150"/>
      <c r="AN51" s="3031">
        <v>15000</v>
      </c>
      <c r="AO51" s="3005">
        <v>43480</v>
      </c>
      <c r="AP51" s="3005">
        <v>43600</v>
      </c>
      <c r="AQ51" s="3154" t="s">
        <v>1383</v>
      </c>
      <c r="AR51" s="1347"/>
      <c r="AS51" s="1347"/>
    </row>
    <row r="52" spans="1:45" s="399" customFormat="1" ht="51" customHeight="1" x14ac:dyDescent="0.2">
      <c r="A52" s="3185"/>
      <c r="B52" s="3189"/>
      <c r="C52" s="3190"/>
      <c r="D52" s="3194"/>
      <c r="E52" s="3194"/>
      <c r="F52" s="3194"/>
      <c r="G52" s="1347"/>
      <c r="H52" s="1541"/>
      <c r="I52" s="1542"/>
      <c r="J52" s="3140"/>
      <c r="K52" s="3048"/>
      <c r="L52" s="3048"/>
      <c r="M52" s="3143"/>
      <c r="N52" s="1571"/>
      <c r="O52" s="3136"/>
      <c r="P52" s="3015"/>
      <c r="Q52" s="3159"/>
      <c r="R52" s="3133"/>
      <c r="S52" s="3036"/>
      <c r="T52" s="3065"/>
      <c r="U52" s="2645"/>
      <c r="V52" s="1556">
        <v>130657749</v>
      </c>
      <c r="W52" s="1569" t="s">
        <v>1384</v>
      </c>
      <c r="X52" s="1570" t="s">
        <v>1337</v>
      </c>
      <c r="Y52" s="3123"/>
      <c r="Z52" s="3123"/>
      <c r="AA52" s="3123"/>
      <c r="AB52" s="3123"/>
      <c r="AC52" s="3123"/>
      <c r="AD52" s="3123"/>
      <c r="AE52" s="3151"/>
      <c r="AF52" s="3151"/>
      <c r="AG52" s="3151"/>
      <c r="AH52" s="3151"/>
      <c r="AI52" s="3151"/>
      <c r="AJ52" s="3151"/>
      <c r="AK52" s="3151"/>
      <c r="AL52" s="3151"/>
      <c r="AM52" s="3151"/>
      <c r="AN52" s="3032"/>
      <c r="AO52" s="3006"/>
      <c r="AP52" s="3006"/>
      <c r="AQ52" s="3155"/>
      <c r="AR52" s="1347"/>
      <c r="AS52" s="1347"/>
    </row>
    <row r="53" spans="1:45" s="399" customFormat="1" ht="50.25" customHeight="1" x14ac:dyDescent="0.2">
      <c r="A53" s="3185"/>
      <c r="B53" s="3189"/>
      <c r="C53" s="3190"/>
      <c r="D53" s="3194"/>
      <c r="E53" s="3194"/>
      <c r="F53" s="3194"/>
      <c r="G53" s="1347"/>
      <c r="H53" s="1541"/>
      <c r="I53" s="1542"/>
      <c r="J53" s="3140"/>
      <c r="K53" s="3048"/>
      <c r="L53" s="3048"/>
      <c r="M53" s="3143"/>
      <c r="N53" s="1571"/>
      <c r="O53" s="3136"/>
      <c r="P53" s="3015"/>
      <c r="Q53" s="3159"/>
      <c r="R53" s="3133"/>
      <c r="S53" s="3036"/>
      <c r="T53" s="3065"/>
      <c r="U53" s="2644" t="s">
        <v>1385</v>
      </c>
      <c r="V53" s="1556">
        <v>23500000</v>
      </c>
      <c r="W53" s="1572">
        <v>20</v>
      </c>
      <c r="X53" s="1573" t="s">
        <v>1386</v>
      </c>
      <c r="Y53" s="3123"/>
      <c r="Z53" s="3123"/>
      <c r="AA53" s="3123"/>
      <c r="AB53" s="3123"/>
      <c r="AC53" s="3123"/>
      <c r="AD53" s="3123"/>
      <c r="AE53" s="3151"/>
      <c r="AF53" s="3151"/>
      <c r="AG53" s="3151"/>
      <c r="AH53" s="3151"/>
      <c r="AI53" s="3151"/>
      <c r="AJ53" s="3151"/>
      <c r="AK53" s="3151"/>
      <c r="AL53" s="3151"/>
      <c r="AM53" s="3151"/>
      <c r="AN53" s="3032"/>
      <c r="AO53" s="3006"/>
      <c r="AP53" s="3006"/>
      <c r="AQ53" s="3155"/>
      <c r="AR53" s="1347"/>
      <c r="AS53" s="1347"/>
    </row>
    <row r="54" spans="1:45" s="399" customFormat="1" ht="41.25" customHeight="1" x14ac:dyDescent="0.2">
      <c r="A54" s="3185"/>
      <c r="B54" s="3189"/>
      <c r="C54" s="3190"/>
      <c r="D54" s="3194"/>
      <c r="E54" s="3194"/>
      <c r="F54" s="3194"/>
      <c r="G54" s="1347"/>
      <c r="H54" s="1541"/>
      <c r="I54" s="1542"/>
      <c r="J54" s="3140"/>
      <c r="K54" s="3048"/>
      <c r="L54" s="3048"/>
      <c r="M54" s="3143"/>
      <c r="N54" s="1571"/>
      <c r="O54" s="3136"/>
      <c r="P54" s="3015"/>
      <c r="Q54" s="3159"/>
      <c r="R54" s="3133"/>
      <c r="S54" s="3036"/>
      <c r="T54" s="3065"/>
      <c r="U54" s="2645"/>
      <c r="V54" s="1556">
        <v>55000000</v>
      </c>
      <c r="W54" s="1572">
        <v>92</v>
      </c>
      <c r="X54" s="1570" t="s">
        <v>1351</v>
      </c>
      <c r="Y54" s="3123"/>
      <c r="Z54" s="3123"/>
      <c r="AA54" s="3123"/>
      <c r="AB54" s="3123"/>
      <c r="AC54" s="3123"/>
      <c r="AD54" s="3123"/>
      <c r="AE54" s="3151"/>
      <c r="AF54" s="3151"/>
      <c r="AG54" s="3151"/>
      <c r="AH54" s="3151"/>
      <c r="AI54" s="3151"/>
      <c r="AJ54" s="3151"/>
      <c r="AK54" s="3151"/>
      <c r="AL54" s="3151"/>
      <c r="AM54" s="3151"/>
      <c r="AN54" s="3032"/>
      <c r="AO54" s="3006"/>
      <c r="AP54" s="3006"/>
      <c r="AQ54" s="3155"/>
      <c r="AR54" s="1347"/>
      <c r="AS54" s="1347"/>
    </row>
    <row r="55" spans="1:45" s="399" customFormat="1" ht="48" customHeight="1" x14ac:dyDescent="0.2">
      <c r="A55" s="3185"/>
      <c r="B55" s="3189"/>
      <c r="C55" s="3190"/>
      <c r="D55" s="3194"/>
      <c r="E55" s="3194"/>
      <c r="F55" s="3194"/>
      <c r="G55" s="1347"/>
      <c r="H55" s="1541"/>
      <c r="I55" s="1542"/>
      <c r="J55" s="3140"/>
      <c r="K55" s="3048"/>
      <c r="L55" s="3048"/>
      <c r="M55" s="3143"/>
      <c r="N55" s="1571"/>
      <c r="O55" s="3136"/>
      <c r="P55" s="3015"/>
      <c r="Q55" s="3159"/>
      <c r="R55" s="3133"/>
      <c r="S55" s="3036"/>
      <c r="T55" s="3065"/>
      <c r="U55" s="2644" t="s">
        <v>1387</v>
      </c>
      <c r="V55" s="1556">
        <v>23500000</v>
      </c>
      <c r="W55" s="1572">
        <v>20</v>
      </c>
      <c r="X55" s="1573" t="s">
        <v>1386</v>
      </c>
      <c r="Y55" s="3123"/>
      <c r="Z55" s="3123"/>
      <c r="AA55" s="3123"/>
      <c r="AB55" s="3123"/>
      <c r="AC55" s="3123"/>
      <c r="AD55" s="3123"/>
      <c r="AE55" s="3151"/>
      <c r="AF55" s="3151"/>
      <c r="AG55" s="3151"/>
      <c r="AH55" s="3151"/>
      <c r="AI55" s="3151"/>
      <c r="AJ55" s="3151"/>
      <c r="AK55" s="3151"/>
      <c r="AL55" s="3151"/>
      <c r="AM55" s="3151"/>
      <c r="AN55" s="3032"/>
      <c r="AO55" s="3006"/>
      <c r="AP55" s="3006"/>
      <c r="AQ55" s="3155"/>
      <c r="AR55" s="3055"/>
      <c r="AS55" s="1347"/>
    </row>
    <row r="56" spans="1:45" s="399" customFormat="1" ht="42" customHeight="1" x14ac:dyDescent="0.2">
      <c r="A56" s="3185"/>
      <c r="B56" s="3189"/>
      <c r="C56" s="3190"/>
      <c r="D56" s="3194"/>
      <c r="E56" s="3194"/>
      <c r="F56" s="3194"/>
      <c r="G56" s="1347"/>
      <c r="H56" s="1541"/>
      <c r="I56" s="1542"/>
      <c r="J56" s="3140"/>
      <c r="K56" s="3048"/>
      <c r="L56" s="3048"/>
      <c r="M56" s="3143"/>
      <c r="N56" s="1571" t="s">
        <v>1388</v>
      </c>
      <c r="O56" s="3136"/>
      <c r="P56" s="3015"/>
      <c r="Q56" s="3159"/>
      <c r="R56" s="3133"/>
      <c r="S56" s="3036"/>
      <c r="T56" s="3065"/>
      <c r="U56" s="2645"/>
      <c r="V56" s="1556">
        <v>62872366</v>
      </c>
      <c r="W56" s="1574" t="s">
        <v>1384</v>
      </c>
      <c r="X56" s="1570" t="s">
        <v>1337</v>
      </c>
      <c r="Y56" s="3123"/>
      <c r="Z56" s="3123"/>
      <c r="AA56" s="3123"/>
      <c r="AB56" s="3123"/>
      <c r="AC56" s="3123"/>
      <c r="AD56" s="3123"/>
      <c r="AE56" s="3151"/>
      <c r="AF56" s="3151"/>
      <c r="AG56" s="3151"/>
      <c r="AH56" s="3151"/>
      <c r="AI56" s="3151"/>
      <c r="AJ56" s="3151"/>
      <c r="AK56" s="3151"/>
      <c r="AL56" s="3151"/>
      <c r="AM56" s="3151"/>
      <c r="AN56" s="3032"/>
      <c r="AO56" s="3006"/>
      <c r="AP56" s="3006"/>
      <c r="AQ56" s="3155"/>
      <c r="AR56" s="3055"/>
      <c r="AS56" s="1347"/>
    </row>
    <row r="57" spans="1:45" s="399" customFormat="1" ht="48.75" customHeight="1" x14ac:dyDescent="0.2">
      <c r="A57" s="3185"/>
      <c r="B57" s="3189"/>
      <c r="C57" s="3190"/>
      <c r="D57" s="3194"/>
      <c r="E57" s="3194"/>
      <c r="F57" s="3194"/>
      <c r="G57" s="1347"/>
      <c r="H57" s="1541"/>
      <c r="I57" s="1542"/>
      <c r="J57" s="3141"/>
      <c r="K57" s="3049"/>
      <c r="L57" s="3049"/>
      <c r="M57" s="3144"/>
      <c r="N57" s="1571"/>
      <c r="O57" s="3136"/>
      <c r="P57" s="3015"/>
      <c r="Q57" s="3160"/>
      <c r="R57" s="3133"/>
      <c r="S57" s="3036"/>
      <c r="T57" s="3065"/>
      <c r="U57" s="1554" t="s">
        <v>1389</v>
      </c>
      <c r="V57" s="1560">
        <v>3000000</v>
      </c>
      <c r="W57" s="1572">
        <v>20</v>
      </c>
      <c r="X57" s="1573" t="s">
        <v>1386</v>
      </c>
      <c r="Y57" s="3123"/>
      <c r="Z57" s="3123"/>
      <c r="AA57" s="3123"/>
      <c r="AB57" s="3123"/>
      <c r="AC57" s="3123"/>
      <c r="AD57" s="3123"/>
      <c r="AE57" s="3151"/>
      <c r="AF57" s="3151"/>
      <c r="AG57" s="3151"/>
      <c r="AH57" s="3151"/>
      <c r="AI57" s="3151"/>
      <c r="AJ57" s="3151"/>
      <c r="AK57" s="3151"/>
      <c r="AL57" s="3151"/>
      <c r="AM57" s="3151"/>
      <c r="AN57" s="3032"/>
      <c r="AO57" s="3006"/>
      <c r="AP57" s="3006"/>
      <c r="AQ57" s="3155"/>
      <c r="AR57" s="3055"/>
      <c r="AS57" s="1347"/>
    </row>
    <row r="58" spans="1:45" s="399" customFormat="1" ht="66" customHeight="1" x14ac:dyDescent="0.2">
      <c r="A58" s="3185"/>
      <c r="B58" s="3189"/>
      <c r="C58" s="3190"/>
      <c r="D58" s="3194"/>
      <c r="E58" s="3194"/>
      <c r="F58" s="3194"/>
      <c r="G58" s="1347"/>
      <c r="H58" s="1541"/>
      <c r="I58" s="1542"/>
      <c r="J58" s="3139">
        <v>220</v>
      </c>
      <c r="K58" s="3047" t="s">
        <v>1390</v>
      </c>
      <c r="L58" s="3073" t="s">
        <v>1391</v>
      </c>
      <c r="M58" s="3142">
        <v>12</v>
      </c>
      <c r="N58" s="1571"/>
      <c r="O58" s="3136"/>
      <c r="P58" s="3015"/>
      <c r="Q58" s="3145">
        <f>SUM(V58:V64)/R51</f>
        <v>0.50123713891657751</v>
      </c>
      <c r="R58" s="3133"/>
      <c r="S58" s="3036"/>
      <c r="T58" s="3036"/>
      <c r="U58" s="3148" t="s">
        <v>1392</v>
      </c>
      <c r="V58" s="1556">
        <v>26290000</v>
      </c>
      <c r="W58" s="1572">
        <v>20</v>
      </c>
      <c r="X58" s="1573" t="s">
        <v>1386</v>
      </c>
      <c r="Y58" s="3123"/>
      <c r="Z58" s="3123"/>
      <c r="AA58" s="3123"/>
      <c r="AB58" s="3123"/>
      <c r="AC58" s="3123"/>
      <c r="AD58" s="3123"/>
      <c r="AE58" s="3152"/>
      <c r="AF58" s="3152"/>
      <c r="AG58" s="3152"/>
      <c r="AH58" s="3152"/>
      <c r="AI58" s="3152"/>
      <c r="AJ58" s="3152"/>
      <c r="AK58" s="3152"/>
      <c r="AL58" s="3152"/>
      <c r="AM58" s="3152"/>
      <c r="AN58" s="3032"/>
      <c r="AO58" s="3006"/>
      <c r="AP58" s="3006"/>
      <c r="AQ58" s="3156"/>
      <c r="AR58" s="3055"/>
      <c r="AS58" s="1347"/>
    </row>
    <row r="59" spans="1:45" s="399" customFormat="1" ht="58.5" customHeight="1" x14ac:dyDescent="0.2">
      <c r="A59" s="3185"/>
      <c r="B59" s="3189"/>
      <c r="C59" s="3190"/>
      <c r="D59" s="3194"/>
      <c r="E59" s="3194"/>
      <c r="F59" s="3194"/>
      <c r="G59" s="1347"/>
      <c r="H59" s="1541"/>
      <c r="I59" s="1542"/>
      <c r="J59" s="3140"/>
      <c r="K59" s="3048"/>
      <c r="L59" s="3074"/>
      <c r="M59" s="3143"/>
      <c r="N59" s="1571"/>
      <c r="O59" s="3136"/>
      <c r="P59" s="3015"/>
      <c r="Q59" s="3146"/>
      <c r="R59" s="3133"/>
      <c r="S59" s="3036"/>
      <c r="T59" s="3036"/>
      <c r="U59" s="3149"/>
      <c r="V59" s="1556">
        <v>130940708</v>
      </c>
      <c r="W59" s="1574" t="s">
        <v>1384</v>
      </c>
      <c r="X59" s="1570" t="s">
        <v>1337</v>
      </c>
      <c r="Y59" s="3123"/>
      <c r="Z59" s="3123"/>
      <c r="AA59" s="3123"/>
      <c r="AB59" s="3123"/>
      <c r="AC59" s="3123"/>
      <c r="AD59" s="3123"/>
      <c r="AE59" s="3152"/>
      <c r="AF59" s="3152"/>
      <c r="AG59" s="3152"/>
      <c r="AH59" s="3152"/>
      <c r="AI59" s="3152"/>
      <c r="AJ59" s="3152"/>
      <c r="AK59" s="3152"/>
      <c r="AL59" s="3152"/>
      <c r="AM59" s="3152"/>
      <c r="AN59" s="3032"/>
      <c r="AO59" s="3006"/>
      <c r="AP59" s="3006"/>
      <c r="AQ59" s="3156"/>
      <c r="AR59" s="429"/>
      <c r="AS59" s="1347"/>
    </row>
    <row r="60" spans="1:45" s="399" customFormat="1" ht="55.5" customHeight="1" x14ac:dyDescent="0.2">
      <c r="A60" s="3185"/>
      <c r="B60" s="3189"/>
      <c r="C60" s="3190"/>
      <c r="D60" s="3194"/>
      <c r="E60" s="3194"/>
      <c r="F60" s="3194"/>
      <c r="G60" s="1347"/>
      <c r="H60" s="1541"/>
      <c r="I60" s="1542"/>
      <c r="J60" s="3140"/>
      <c r="K60" s="3048"/>
      <c r="L60" s="3074"/>
      <c r="M60" s="3143"/>
      <c r="N60" s="1571" t="s">
        <v>1393</v>
      </c>
      <c r="O60" s="3136"/>
      <c r="P60" s="3015"/>
      <c r="Q60" s="3146"/>
      <c r="R60" s="3133"/>
      <c r="S60" s="3036"/>
      <c r="T60" s="3036"/>
      <c r="U60" s="1575" t="s">
        <v>1394</v>
      </c>
      <c r="V60" s="1560">
        <v>30812000</v>
      </c>
      <c r="W60" s="1574" t="s">
        <v>1384</v>
      </c>
      <c r="X60" s="1570" t="s">
        <v>1337</v>
      </c>
      <c r="Y60" s="3123"/>
      <c r="Z60" s="3123"/>
      <c r="AA60" s="3123"/>
      <c r="AB60" s="3123"/>
      <c r="AC60" s="3123"/>
      <c r="AD60" s="3123"/>
      <c r="AE60" s="3152"/>
      <c r="AF60" s="3152"/>
      <c r="AG60" s="3152"/>
      <c r="AH60" s="3152"/>
      <c r="AI60" s="3152"/>
      <c r="AJ60" s="3152"/>
      <c r="AK60" s="3152"/>
      <c r="AL60" s="3152"/>
      <c r="AM60" s="3152"/>
      <c r="AN60" s="3032"/>
      <c r="AO60" s="3006"/>
      <c r="AP60" s="3006"/>
      <c r="AQ60" s="3156"/>
      <c r="AR60" s="429"/>
      <c r="AS60" s="1347"/>
    </row>
    <row r="61" spans="1:45" s="399" customFormat="1" ht="48.75" customHeight="1" x14ac:dyDescent="0.2">
      <c r="A61" s="3185"/>
      <c r="B61" s="3189"/>
      <c r="C61" s="3190"/>
      <c r="D61" s="3194"/>
      <c r="E61" s="3194"/>
      <c r="F61" s="3194"/>
      <c r="G61" s="1347"/>
      <c r="H61" s="1541"/>
      <c r="I61" s="1542"/>
      <c r="J61" s="3140"/>
      <c r="K61" s="3048"/>
      <c r="L61" s="3074"/>
      <c r="M61" s="3143"/>
      <c r="N61" s="1576"/>
      <c r="O61" s="3136"/>
      <c r="P61" s="3015"/>
      <c r="Q61" s="3146"/>
      <c r="R61" s="3133"/>
      <c r="S61" s="3036"/>
      <c r="T61" s="3036"/>
      <c r="U61" s="3148" t="s">
        <v>1385</v>
      </c>
      <c r="V61" s="1556">
        <v>26290000</v>
      </c>
      <c r="W61" s="1572">
        <v>20</v>
      </c>
      <c r="X61" s="1573" t="s">
        <v>1386</v>
      </c>
      <c r="Y61" s="3123"/>
      <c r="Z61" s="3123"/>
      <c r="AA61" s="3123"/>
      <c r="AB61" s="3123"/>
      <c r="AC61" s="3123"/>
      <c r="AD61" s="3123"/>
      <c r="AE61" s="3152"/>
      <c r="AF61" s="3152"/>
      <c r="AG61" s="3152"/>
      <c r="AH61" s="3152"/>
      <c r="AI61" s="3152"/>
      <c r="AJ61" s="3152"/>
      <c r="AK61" s="3152"/>
      <c r="AL61" s="3152"/>
      <c r="AM61" s="3152"/>
      <c r="AN61" s="3032"/>
      <c r="AO61" s="3006"/>
      <c r="AP61" s="3006"/>
      <c r="AQ61" s="3156"/>
      <c r="AR61" s="1347"/>
      <c r="AS61" s="1347"/>
    </row>
    <row r="62" spans="1:45" s="399" customFormat="1" ht="42.75" x14ac:dyDescent="0.2">
      <c r="A62" s="3185"/>
      <c r="B62" s="3189"/>
      <c r="C62" s="3190"/>
      <c r="D62" s="3194"/>
      <c r="E62" s="3194"/>
      <c r="F62" s="3194"/>
      <c r="G62" s="1347"/>
      <c r="H62" s="1541"/>
      <c r="I62" s="1542"/>
      <c r="J62" s="3140"/>
      <c r="K62" s="3048"/>
      <c r="L62" s="3074"/>
      <c r="M62" s="3143"/>
      <c r="N62" s="1571"/>
      <c r="O62" s="3136"/>
      <c r="P62" s="3015"/>
      <c r="Q62" s="3146"/>
      <c r="R62" s="3133"/>
      <c r="S62" s="3036"/>
      <c r="T62" s="3036"/>
      <c r="U62" s="3149"/>
      <c r="V62" s="1556">
        <v>36044666</v>
      </c>
      <c r="W62" s="1574" t="s">
        <v>1384</v>
      </c>
      <c r="X62" s="1570" t="s">
        <v>1395</v>
      </c>
      <c r="Y62" s="3123"/>
      <c r="Z62" s="3123"/>
      <c r="AA62" s="3123"/>
      <c r="AB62" s="3123"/>
      <c r="AC62" s="3123"/>
      <c r="AD62" s="3123"/>
      <c r="AE62" s="3152"/>
      <c r="AF62" s="3152"/>
      <c r="AG62" s="3152"/>
      <c r="AH62" s="3152"/>
      <c r="AI62" s="3152"/>
      <c r="AJ62" s="3152"/>
      <c r="AK62" s="3152"/>
      <c r="AL62" s="3152"/>
      <c r="AM62" s="3152"/>
      <c r="AN62" s="3032"/>
      <c r="AO62" s="3006"/>
      <c r="AP62" s="3006"/>
      <c r="AQ62" s="3156"/>
      <c r="AR62" s="1347"/>
      <c r="AS62" s="1347"/>
    </row>
    <row r="63" spans="1:45" s="399" customFormat="1" ht="38.25" customHeight="1" x14ac:dyDescent="0.2">
      <c r="A63" s="3185"/>
      <c r="B63" s="3189"/>
      <c r="C63" s="3190"/>
      <c r="D63" s="3194"/>
      <c r="E63" s="3194"/>
      <c r="F63" s="3194"/>
      <c r="G63" s="1347"/>
      <c r="H63" s="1541"/>
      <c r="I63" s="1542"/>
      <c r="J63" s="3140"/>
      <c r="K63" s="3048"/>
      <c r="L63" s="3074"/>
      <c r="M63" s="3143"/>
      <c r="N63" s="1576"/>
      <c r="O63" s="3136"/>
      <c r="P63" s="3015"/>
      <c r="Q63" s="3146"/>
      <c r="R63" s="3133"/>
      <c r="S63" s="3036"/>
      <c r="T63" s="3036"/>
      <c r="U63" s="3148" t="s">
        <v>1387</v>
      </c>
      <c r="V63" s="1556">
        <v>26290000</v>
      </c>
      <c r="W63" s="1572">
        <v>20</v>
      </c>
      <c r="X63" s="1573" t="s">
        <v>1396</v>
      </c>
      <c r="Y63" s="3123"/>
      <c r="Z63" s="3123"/>
      <c r="AA63" s="3123"/>
      <c r="AB63" s="3123"/>
      <c r="AC63" s="3123"/>
      <c r="AD63" s="3123"/>
      <c r="AE63" s="3152"/>
      <c r="AF63" s="3152"/>
      <c r="AG63" s="3152"/>
      <c r="AH63" s="3152"/>
      <c r="AI63" s="3152"/>
      <c r="AJ63" s="3152"/>
      <c r="AK63" s="3152"/>
      <c r="AL63" s="3152"/>
      <c r="AM63" s="3152"/>
      <c r="AN63" s="3032"/>
      <c r="AO63" s="3006"/>
      <c r="AP63" s="3006"/>
      <c r="AQ63" s="3156"/>
      <c r="AR63" s="1347"/>
      <c r="AS63" s="1347"/>
    </row>
    <row r="64" spans="1:45" s="399" customFormat="1" ht="30" x14ac:dyDescent="0.2">
      <c r="A64" s="3185"/>
      <c r="B64" s="3189"/>
      <c r="C64" s="3190"/>
      <c r="D64" s="3194"/>
      <c r="E64" s="3194"/>
      <c r="F64" s="3194"/>
      <c r="G64" s="1347"/>
      <c r="H64" s="1541"/>
      <c r="I64" s="1542"/>
      <c r="J64" s="3141"/>
      <c r="K64" s="3049"/>
      <c r="L64" s="3075"/>
      <c r="M64" s="3144"/>
      <c r="N64" s="1571"/>
      <c r="O64" s="3136"/>
      <c r="P64" s="3015"/>
      <c r="Q64" s="3147"/>
      <c r="R64" s="3133"/>
      <c r="S64" s="3036"/>
      <c r="T64" s="3036"/>
      <c r="U64" s="3149"/>
      <c r="V64" s="1556">
        <v>83641348</v>
      </c>
      <c r="W64" s="1574" t="s">
        <v>1384</v>
      </c>
      <c r="X64" s="1570" t="s">
        <v>1337</v>
      </c>
      <c r="Y64" s="3123"/>
      <c r="Z64" s="3123"/>
      <c r="AA64" s="3123"/>
      <c r="AB64" s="3123"/>
      <c r="AC64" s="3123"/>
      <c r="AD64" s="3123"/>
      <c r="AE64" s="3152"/>
      <c r="AF64" s="3152"/>
      <c r="AG64" s="3152"/>
      <c r="AH64" s="3152"/>
      <c r="AI64" s="3152"/>
      <c r="AJ64" s="3152"/>
      <c r="AK64" s="3152"/>
      <c r="AL64" s="3152"/>
      <c r="AM64" s="3152"/>
      <c r="AN64" s="3032"/>
      <c r="AO64" s="3006"/>
      <c r="AP64" s="3006"/>
      <c r="AQ64" s="3156"/>
      <c r="AR64" s="1347"/>
      <c r="AS64" s="1347"/>
    </row>
    <row r="65" spans="1:45" s="399" customFormat="1" ht="82.5" customHeight="1" x14ac:dyDescent="0.2">
      <c r="A65" s="3185"/>
      <c r="B65" s="3189"/>
      <c r="C65" s="3190"/>
      <c r="D65" s="3194"/>
      <c r="E65" s="3194"/>
      <c r="F65" s="3194"/>
      <c r="G65" s="1347"/>
      <c r="H65" s="1558"/>
      <c r="I65" s="1559"/>
      <c r="J65" s="1577">
        <v>222</v>
      </c>
      <c r="K65" s="1578" t="s">
        <v>1397</v>
      </c>
      <c r="L65" s="1578" t="s">
        <v>1398</v>
      </c>
      <c r="M65" s="1579">
        <v>1</v>
      </c>
      <c r="N65" s="1580"/>
      <c r="O65" s="3136"/>
      <c r="P65" s="3015"/>
      <c r="Q65" s="1547">
        <f>SUM(V65)/R51</f>
        <v>1.3911324048285944E-2</v>
      </c>
      <c r="R65" s="3134"/>
      <c r="S65" s="3036"/>
      <c r="T65" s="3036"/>
      <c r="U65" s="1548" t="s">
        <v>1399</v>
      </c>
      <c r="V65" s="1538">
        <v>10000000</v>
      </c>
      <c r="W65" s="1572">
        <v>20</v>
      </c>
      <c r="X65" s="1573" t="s">
        <v>1386</v>
      </c>
      <c r="Y65" s="3123"/>
      <c r="Z65" s="3123"/>
      <c r="AA65" s="3123"/>
      <c r="AB65" s="3123"/>
      <c r="AC65" s="3123"/>
      <c r="AD65" s="3123"/>
      <c r="AE65" s="3153"/>
      <c r="AF65" s="3153"/>
      <c r="AG65" s="3153"/>
      <c r="AH65" s="3153"/>
      <c r="AI65" s="3153"/>
      <c r="AJ65" s="3153"/>
      <c r="AK65" s="3153"/>
      <c r="AL65" s="3153"/>
      <c r="AM65" s="3153"/>
      <c r="AN65" s="3032"/>
      <c r="AO65" s="3007"/>
      <c r="AP65" s="3007"/>
      <c r="AQ65" s="3157"/>
      <c r="AR65" s="1347"/>
      <c r="AS65" s="1347"/>
    </row>
    <row r="66" spans="1:45" s="1347" customFormat="1" ht="15" customHeight="1" x14ac:dyDescent="0.2">
      <c r="A66" s="3185"/>
      <c r="B66" s="3189"/>
      <c r="C66" s="3190"/>
      <c r="D66" s="1581">
        <v>24</v>
      </c>
      <c r="E66" s="424" t="s">
        <v>1400</v>
      </c>
      <c r="F66" s="424"/>
      <c r="G66" s="1513"/>
      <c r="H66" s="1513"/>
      <c r="I66" s="1513"/>
      <c r="J66" s="1582"/>
      <c r="K66" s="1583"/>
      <c r="L66" s="1584"/>
      <c r="M66" s="1585"/>
      <c r="N66" s="1517"/>
      <c r="O66" s="1514"/>
      <c r="P66" s="1516"/>
      <c r="Q66" s="1586"/>
      <c r="R66" s="1587"/>
      <c r="S66" s="1584"/>
      <c r="T66" s="1583"/>
      <c r="U66" s="1583"/>
      <c r="V66" s="1588"/>
      <c r="W66" s="1589"/>
      <c r="X66" s="1589"/>
      <c r="Y66" s="1520"/>
      <c r="Z66" s="1520"/>
      <c r="AA66" s="1520"/>
      <c r="AB66" s="1520"/>
      <c r="AC66" s="1520"/>
      <c r="AD66" s="1520"/>
      <c r="AE66" s="1520"/>
      <c r="AF66" s="1520"/>
      <c r="AG66" s="1520"/>
      <c r="AH66" s="1520"/>
      <c r="AI66" s="1520"/>
      <c r="AJ66" s="1520"/>
      <c r="AK66" s="1520"/>
      <c r="AL66" s="1522"/>
      <c r="AM66" s="1516"/>
      <c r="AN66" s="1516"/>
      <c r="AO66" s="1516"/>
      <c r="AP66" s="1516"/>
      <c r="AQ66" s="1523"/>
    </row>
    <row r="67" spans="1:45" s="1347" customFormat="1" ht="15" customHeight="1" x14ac:dyDescent="0.2">
      <c r="A67" s="3185"/>
      <c r="B67" s="3189"/>
      <c r="C67" s="3190"/>
      <c r="D67" s="3105"/>
      <c r="E67" s="3105"/>
      <c r="F67" s="3105"/>
      <c r="G67" s="1524">
        <v>78</v>
      </c>
      <c r="H67" s="1165" t="s">
        <v>1401</v>
      </c>
      <c r="I67" s="1165"/>
      <c r="J67" s="1525"/>
      <c r="K67" s="1127"/>
      <c r="L67" s="1526"/>
      <c r="M67" s="1527"/>
      <c r="N67" s="1528"/>
      <c r="O67" s="1529"/>
      <c r="P67" s="1125"/>
      <c r="Q67" s="1530"/>
      <c r="R67" s="1590"/>
      <c r="S67" s="1526"/>
      <c r="T67" s="1127"/>
      <c r="U67" s="1127"/>
      <c r="V67" s="1129"/>
      <c r="W67" s="1591"/>
      <c r="X67" s="1591"/>
      <c r="Y67" s="1355"/>
      <c r="Z67" s="1355"/>
      <c r="AA67" s="1355"/>
      <c r="AB67" s="1355"/>
      <c r="AC67" s="1355"/>
      <c r="AD67" s="1355"/>
      <c r="AE67" s="1355"/>
      <c r="AF67" s="1355"/>
      <c r="AG67" s="1355"/>
      <c r="AH67" s="1355"/>
      <c r="AI67" s="1355"/>
      <c r="AJ67" s="1355"/>
      <c r="AK67" s="1355"/>
      <c r="AL67" s="1355"/>
      <c r="AM67" s="1355"/>
      <c r="AN67" s="1355"/>
      <c r="AO67" s="1355"/>
      <c r="AP67" s="1355"/>
      <c r="AQ67" s="1592"/>
    </row>
    <row r="68" spans="1:45" s="399" customFormat="1" ht="77.25" customHeight="1" x14ac:dyDescent="0.25">
      <c r="A68" s="3185"/>
      <c r="B68" s="3189"/>
      <c r="C68" s="3190"/>
      <c r="D68" s="3105"/>
      <c r="E68" s="3105"/>
      <c r="F68" s="3105"/>
      <c r="G68" s="1593"/>
      <c r="H68" s="1594"/>
      <c r="I68" s="1595"/>
      <c r="J68" s="3111">
        <v>226</v>
      </c>
      <c r="K68" s="3088" t="s">
        <v>1402</v>
      </c>
      <c r="L68" s="3089" t="s">
        <v>1403</v>
      </c>
      <c r="M68" s="3127">
        <v>12</v>
      </c>
      <c r="N68" s="1596"/>
      <c r="O68" s="3136" t="s">
        <v>1404</v>
      </c>
      <c r="P68" s="3015" t="s">
        <v>1405</v>
      </c>
      <c r="Q68" s="3128">
        <f>SUM(V68:V77)/R68</f>
        <v>0.55679287305122493</v>
      </c>
      <c r="R68" s="3132">
        <f>SUM(V68:V91)</f>
        <v>449000000</v>
      </c>
      <c r="S68" s="3036" t="s">
        <v>1406</v>
      </c>
      <c r="T68" s="3065" t="s">
        <v>1407</v>
      </c>
      <c r="U68" s="1554" t="s">
        <v>1408</v>
      </c>
      <c r="V68" s="1538">
        <v>6500000</v>
      </c>
      <c r="W68" s="1597">
        <v>20</v>
      </c>
      <c r="X68" s="1598" t="s">
        <v>1409</v>
      </c>
      <c r="Y68" s="3033">
        <v>1199</v>
      </c>
      <c r="Z68" s="3033">
        <v>1151</v>
      </c>
      <c r="AA68" s="3114">
        <v>715</v>
      </c>
      <c r="AB68" s="3114">
        <v>527</v>
      </c>
      <c r="AC68" s="3033">
        <v>301</v>
      </c>
      <c r="AD68" s="3033">
        <v>807</v>
      </c>
      <c r="AE68" s="3114"/>
      <c r="AF68" s="3114"/>
      <c r="AG68" s="3114"/>
      <c r="AH68" s="3114"/>
      <c r="AI68" s="3114"/>
      <c r="AJ68" s="3114"/>
      <c r="AK68" s="3114">
        <v>2350</v>
      </c>
      <c r="AL68" s="3114"/>
      <c r="AM68" s="3114"/>
      <c r="AN68" s="3116">
        <v>2350</v>
      </c>
      <c r="AO68" s="3059">
        <v>43475</v>
      </c>
      <c r="AP68" s="3059">
        <v>43819</v>
      </c>
      <c r="AQ68" s="3009" t="s">
        <v>1383</v>
      </c>
      <c r="AR68" s="1347"/>
      <c r="AS68" s="1347"/>
    </row>
    <row r="69" spans="1:45" s="399" customFormat="1" ht="52.5" customHeight="1" x14ac:dyDescent="0.25">
      <c r="A69" s="3185"/>
      <c r="B69" s="3189"/>
      <c r="C69" s="3190"/>
      <c r="D69" s="3105"/>
      <c r="E69" s="3105"/>
      <c r="F69" s="3105"/>
      <c r="G69" s="1599"/>
      <c r="H69" s="1600"/>
      <c r="I69" s="1601"/>
      <c r="J69" s="3111"/>
      <c r="K69" s="3088"/>
      <c r="L69" s="3089"/>
      <c r="M69" s="3127"/>
      <c r="N69" s="1596"/>
      <c r="O69" s="3136"/>
      <c r="P69" s="3015"/>
      <c r="Q69" s="3128"/>
      <c r="R69" s="3133"/>
      <c r="S69" s="3036"/>
      <c r="T69" s="3065"/>
      <c r="U69" s="1554" t="s">
        <v>1410</v>
      </c>
      <c r="V69" s="1538">
        <v>5000000</v>
      </c>
      <c r="W69" s="1539">
        <v>20</v>
      </c>
      <c r="X69" s="1602" t="s">
        <v>62</v>
      </c>
      <c r="Y69" s="3034"/>
      <c r="Z69" s="3034"/>
      <c r="AA69" s="3115"/>
      <c r="AB69" s="3115"/>
      <c r="AC69" s="3034"/>
      <c r="AD69" s="3034"/>
      <c r="AE69" s="3115"/>
      <c r="AF69" s="3115"/>
      <c r="AG69" s="3115"/>
      <c r="AH69" s="3115"/>
      <c r="AI69" s="3115"/>
      <c r="AJ69" s="3115"/>
      <c r="AK69" s="3115"/>
      <c r="AL69" s="3115"/>
      <c r="AM69" s="3115"/>
      <c r="AN69" s="3117"/>
      <c r="AO69" s="3060"/>
      <c r="AP69" s="3060"/>
      <c r="AQ69" s="3053"/>
      <c r="AR69" s="1347"/>
      <c r="AS69" s="1347"/>
    </row>
    <row r="70" spans="1:45" s="399" customFormat="1" ht="24.75" customHeight="1" x14ac:dyDescent="0.25">
      <c r="A70" s="3185"/>
      <c r="B70" s="3189"/>
      <c r="C70" s="3190"/>
      <c r="D70" s="3105"/>
      <c r="E70" s="3105"/>
      <c r="F70" s="3105"/>
      <c r="G70" s="1599"/>
      <c r="H70" s="1600"/>
      <c r="I70" s="1601"/>
      <c r="J70" s="3111"/>
      <c r="K70" s="3088"/>
      <c r="L70" s="3089"/>
      <c r="M70" s="3127"/>
      <c r="N70" s="1596"/>
      <c r="O70" s="3136"/>
      <c r="P70" s="3015"/>
      <c r="Q70" s="3128"/>
      <c r="R70" s="3133"/>
      <c r="S70" s="3036"/>
      <c r="T70" s="3065"/>
      <c r="U70" s="3109" t="s">
        <v>1411</v>
      </c>
      <c r="V70" s="1538">
        <v>50000000</v>
      </c>
      <c r="W70" s="1539">
        <v>20</v>
      </c>
      <c r="X70" s="1602"/>
      <c r="Y70" s="3034"/>
      <c r="Z70" s="3034"/>
      <c r="AA70" s="3115"/>
      <c r="AB70" s="3115"/>
      <c r="AC70" s="3034"/>
      <c r="AD70" s="3034"/>
      <c r="AE70" s="3115"/>
      <c r="AF70" s="3115"/>
      <c r="AG70" s="3115"/>
      <c r="AH70" s="3115"/>
      <c r="AI70" s="3115"/>
      <c r="AJ70" s="3115"/>
      <c r="AK70" s="3115"/>
      <c r="AL70" s="3115"/>
      <c r="AM70" s="3115"/>
      <c r="AN70" s="3117"/>
      <c r="AO70" s="3060"/>
      <c r="AP70" s="3060"/>
      <c r="AQ70" s="3053"/>
      <c r="AR70" s="1347"/>
      <c r="AS70" s="1347"/>
    </row>
    <row r="71" spans="1:45" s="399" customFormat="1" ht="33" customHeight="1" x14ac:dyDescent="0.25">
      <c r="A71" s="3185"/>
      <c r="B71" s="3189"/>
      <c r="C71" s="3190"/>
      <c r="D71" s="3105"/>
      <c r="E71" s="3105"/>
      <c r="F71" s="3105"/>
      <c r="G71" s="1599"/>
      <c r="H71" s="1600"/>
      <c r="I71" s="1601"/>
      <c r="J71" s="3111"/>
      <c r="K71" s="3088"/>
      <c r="L71" s="3089"/>
      <c r="M71" s="3127"/>
      <c r="N71" s="1596"/>
      <c r="O71" s="3136"/>
      <c r="P71" s="3015"/>
      <c r="Q71" s="3128"/>
      <c r="R71" s="3133"/>
      <c r="S71" s="3036"/>
      <c r="T71" s="3065"/>
      <c r="U71" s="3110"/>
      <c r="V71" s="1603">
        <v>20000000</v>
      </c>
      <c r="W71" s="1557">
        <v>88</v>
      </c>
      <c r="X71" s="1602" t="s">
        <v>62</v>
      </c>
      <c r="Y71" s="3034"/>
      <c r="Z71" s="3034"/>
      <c r="AA71" s="3115"/>
      <c r="AB71" s="3115"/>
      <c r="AC71" s="3034"/>
      <c r="AD71" s="3034"/>
      <c r="AE71" s="3115"/>
      <c r="AF71" s="3115"/>
      <c r="AG71" s="3115"/>
      <c r="AH71" s="3115"/>
      <c r="AI71" s="3115"/>
      <c r="AJ71" s="3115"/>
      <c r="AK71" s="3115"/>
      <c r="AL71" s="3115"/>
      <c r="AM71" s="3115"/>
      <c r="AN71" s="3117"/>
      <c r="AO71" s="3060"/>
      <c r="AP71" s="3060"/>
      <c r="AQ71" s="3053"/>
      <c r="AR71" s="3055"/>
      <c r="AS71" s="1347"/>
    </row>
    <row r="72" spans="1:45" s="399" customFormat="1" ht="108.75" customHeight="1" x14ac:dyDescent="0.25">
      <c r="A72" s="3185"/>
      <c r="B72" s="3189"/>
      <c r="C72" s="3190"/>
      <c r="D72" s="3105"/>
      <c r="E72" s="3105"/>
      <c r="F72" s="3105"/>
      <c r="G72" s="1599"/>
      <c r="H72" s="1600"/>
      <c r="I72" s="1601"/>
      <c r="J72" s="3111"/>
      <c r="K72" s="3088"/>
      <c r="L72" s="3089"/>
      <c r="M72" s="3127"/>
      <c r="N72" s="1596"/>
      <c r="O72" s="3136"/>
      <c r="P72" s="3015"/>
      <c r="Q72" s="3128"/>
      <c r="R72" s="3133"/>
      <c r="S72" s="3036"/>
      <c r="T72" s="3065"/>
      <c r="U72" s="1554" t="s">
        <v>1412</v>
      </c>
      <c r="V72" s="1538">
        <v>9250000</v>
      </c>
      <c r="W72" s="1539">
        <v>20</v>
      </c>
      <c r="X72" s="1602" t="s">
        <v>62</v>
      </c>
      <c r="Y72" s="3034"/>
      <c r="Z72" s="3034"/>
      <c r="AA72" s="3115"/>
      <c r="AB72" s="3115"/>
      <c r="AC72" s="3034"/>
      <c r="AD72" s="3034"/>
      <c r="AE72" s="3115"/>
      <c r="AF72" s="3115"/>
      <c r="AG72" s="3115"/>
      <c r="AH72" s="3115"/>
      <c r="AI72" s="3115"/>
      <c r="AJ72" s="3115"/>
      <c r="AK72" s="3115"/>
      <c r="AL72" s="3115"/>
      <c r="AM72" s="3115"/>
      <c r="AN72" s="3117"/>
      <c r="AO72" s="3060"/>
      <c r="AP72" s="3060"/>
      <c r="AQ72" s="3053"/>
      <c r="AR72" s="3055"/>
      <c r="AS72" s="1347"/>
    </row>
    <row r="73" spans="1:45" s="399" customFormat="1" ht="62.25" customHeight="1" x14ac:dyDescent="0.25">
      <c r="A73" s="3185"/>
      <c r="B73" s="3189"/>
      <c r="C73" s="3190"/>
      <c r="D73" s="3105"/>
      <c r="E73" s="3105"/>
      <c r="F73" s="3105"/>
      <c r="G73" s="1599"/>
      <c r="H73" s="1600"/>
      <c r="I73" s="1601"/>
      <c r="J73" s="3111"/>
      <c r="K73" s="3088"/>
      <c r="L73" s="3089"/>
      <c r="M73" s="3127"/>
      <c r="N73" s="1596"/>
      <c r="O73" s="3136"/>
      <c r="P73" s="3015"/>
      <c r="Q73" s="3128"/>
      <c r="R73" s="3133"/>
      <c r="S73" s="3036"/>
      <c r="T73" s="3065"/>
      <c r="U73" s="1554" t="s">
        <v>1413</v>
      </c>
      <c r="V73" s="1538">
        <v>10000000</v>
      </c>
      <c r="W73" s="1539">
        <v>20</v>
      </c>
      <c r="X73" s="1602" t="s">
        <v>62</v>
      </c>
      <c r="Y73" s="3034"/>
      <c r="Z73" s="3034"/>
      <c r="AA73" s="3115"/>
      <c r="AB73" s="3115"/>
      <c r="AC73" s="3034"/>
      <c r="AD73" s="3034"/>
      <c r="AE73" s="3115"/>
      <c r="AF73" s="3115"/>
      <c r="AG73" s="3115"/>
      <c r="AH73" s="3115"/>
      <c r="AI73" s="3115"/>
      <c r="AJ73" s="3115"/>
      <c r="AK73" s="3115"/>
      <c r="AL73" s="3115"/>
      <c r="AM73" s="3115"/>
      <c r="AN73" s="3117"/>
      <c r="AO73" s="3060"/>
      <c r="AP73" s="3060"/>
      <c r="AQ73" s="3053"/>
      <c r="AR73" s="3055"/>
      <c r="AS73" s="1347"/>
    </row>
    <row r="74" spans="1:45" s="399" customFormat="1" ht="60" customHeight="1" x14ac:dyDescent="0.25">
      <c r="A74" s="3185"/>
      <c r="B74" s="3189"/>
      <c r="C74" s="3190"/>
      <c r="D74" s="3105"/>
      <c r="E74" s="3105"/>
      <c r="F74" s="3105"/>
      <c r="G74" s="1599"/>
      <c r="H74" s="1600"/>
      <c r="I74" s="1601"/>
      <c r="J74" s="3111"/>
      <c r="K74" s="3088"/>
      <c r="L74" s="3089"/>
      <c r="M74" s="3127"/>
      <c r="N74" s="1596"/>
      <c r="O74" s="3136"/>
      <c r="P74" s="3015"/>
      <c r="Q74" s="3128"/>
      <c r="R74" s="3133"/>
      <c r="S74" s="3036"/>
      <c r="T74" s="3065"/>
      <c r="U74" s="1554" t="s">
        <v>1414</v>
      </c>
      <c r="V74" s="1538">
        <v>6250000</v>
      </c>
      <c r="W74" s="1539">
        <v>20</v>
      </c>
      <c r="X74" s="1602" t="s">
        <v>62</v>
      </c>
      <c r="Y74" s="3034"/>
      <c r="Z74" s="3034"/>
      <c r="AA74" s="3115"/>
      <c r="AB74" s="3115"/>
      <c r="AC74" s="3034"/>
      <c r="AD74" s="3034"/>
      <c r="AE74" s="3115"/>
      <c r="AF74" s="3115"/>
      <c r="AG74" s="3115"/>
      <c r="AH74" s="3115"/>
      <c r="AI74" s="3115"/>
      <c r="AJ74" s="3115"/>
      <c r="AK74" s="3115"/>
      <c r="AL74" s="3115"/>
      <c r="AM74" s="3115"/>
      <c r="AN74" s="3117"/>
      <c r="AO74" s="3060"/>
      <c r="AP74" s="3060"/>
      <c r="AQ74" s="3053"/>
      <c r="AR74" s="1347"/>
      <c r="AS74" s="1347"/>
    </row>
    <row r="75" spans="1:45" s="399" customFormat="1" ht="29.25" customHeight="1" x14ac:dyDescent="0.25">
      <c r="A75" s="3185"/>
      <c r="B75" s="3189"/>
      <c r="C75" s="3190"/>
      <c r="D75" s="3105"/>
      <c r="E75" s="3105"/>
      <c r="F75" s="3105"/>
      <c r="G75" s="1599"/>
      <c r="H75" s="1600"/>
      <c r="I75" s="1601"/>
      <c r="J75" s="3111"/>
      <c r="K75" s="3088"/>
      <c r="L75" s="3089"/>
      <c r="M75" s="3127"/>
      <c r="N75" s="1596"/>
      <c r="O75" s="3136"/>
      <c r="P75" s="3015"/>
      <c r="Q75" s="3128"/>
      <c r="R75" s="3133"/>
      <c r="S75" s="3036"/>
      <c r="T75" s="3065"/>
      <c r="U75" s="2644" t="s">
        <v>1415</v>
      </c>
      <c r="V75" s="1604">
        <v>98000000</v>
      </c>
      <c r="W75" s="1539">
        <v>20</v>
      </c>
      <c r="X75" s="1602" t="s">
        <v>62</v>
      </c>
      <c r="Y75" s="3034"/>
      <c r="Z75" s="3034"/>
      <c r="AA75" s="3115"/>
      <c r="AB75" s="3115"/>
      <c r="AC75" s="3034"/>
      <c r="AD75" s="3034"/>
      <c r="AE75" s="3115"/>
      <c r="AF75" s="3115"/>
      <c r="AG75" s="3115"/>
      <c r="AH75" s="3115"/>
      <c r="AI75" s="3115"/>
      <c r="AJ75" s="3115"/>
      <c r="AK75" s="3115"/>
      <c r="AL75" s="3115"/>
      <c r="AM75" s="3115"/>
      <c r="AN75" s="3117"/>
      <c r="AO75" s="3060"/>
      <c r="AP75" s="3060"/>
      <c r="AQ75" s="3053"/>
      <c r="AR75" s="1347"/>
      <c r="AS75" s="1347"/>
    </row>
    <row r="76" spans="1:45" s="399" customFormat="1" ht="41.25" customHeight="1" x14ac:dyDescent="0.25">
      <c r="A76" s="3185"/>
      <c r="B76" s="3189"/>
      <c r="C76" s="3190"/>
      <c r="D76" s="3105"/>
      <c r="E76" s="3105"/>
      <c r="F76" s="3105"/>
      <c r="G76" s="1599"/>
      <c r="H76" s="1600"/>
      <c r="I76" s="1601"/>
      <c r="J76" s="3111"/>
      <c r="K76" s="3088"/>
      <c r="L76" s="3089"/>
      <c r="M76" s="3127"/>
      <c r="N76" s="1596"/>
      <c r="O76" s="3136"/>
      <c r="P76" s="3015"/>
      <c r="Q76" s="3128"/>
      <c r="R76" s="3133"/>
      <c r="S76" s="3036"/>
      <c r="T76" s="3065"/>
      <c r="U76" s="2645"/>
      <c r="V76" s="1604">
        <v>30000000</v>
      </c>
      <c r="W76" s="1539">
        <v>88</v>
      </c>
      <c r="X76" s="1602" t="s">
        <v>1416</v>
      </c>
      <c r="Y76" s="3034"/>
      <c r="Z76" s="3034"/>
      <c r="AA76" s="3115"/>
      <c r="AB76" s="3115"/>
      <c r="AC76" s="3034"/>
      <c r="AD76" s="3034"/>
      <c r="AE76" s="3115"/>
      <c r="AF76" s="3115"/>
      <c r="AG76" s="3115"/>
      <c r="AH76" s="3115"/>
      <c r="AI76" s="3115"/>
      <c r="AJ76" s="3115"/>
      <c r="AK76" s="3115"/>
      <c r="AL76" s="3115"/>
      <c r="AM76" s="3115"/>
      <c r="AN76" s="3117"/>
      <c r="AO76" s="3060"/>
      <c r="AP76" s="3060"/>
      <c r="AQ76" s="3053"/>
      <c r="AR76" s="1347"/>
      <c r="AS76" s="1347"/>
    </row>
    <row r="77" spans="1:45" s="399" customFormat="1" ht="33" customHeight="1" x14ac:dyDescent="0.25">
      <c r="A77" s="3185"/>
      <c r="B77" s="3189"/>
      <c r="C77" s="3190"/>
      <c r="D77" s="3105"/>
      <c r="E77" s="3105"/>
      <c r="F77" s="3105"/>
      <c r="G77" s="1599"/>
      <c r="H77" s="1600"/>
      <c r="I77" s="1601"/>
      <c r="J77" s="3111"/>
      <c r="K77" s="3088"/>
      <c r="L77" s="3089"/>
      <c r="M77" s="3127"/>
      <c r="N77" s="1596"/>
      <c r="O77" s="3136"/>
      <c r="P77" s="3015"/>
      <c r="Q77" s="3128"/>
      <c r="R77" s="3133"/>
      <c r="S77" s="3036"/>
      <c r="T77" s="3065"/>
      <c r="U77" s="1554" t="s">
        <v>1417</v>
      </c>
      <c r="V77" s="1538">
        <v>15000000</v>
      </c>
      <c r="W77" s="1539">
        <v>20</v>
      </c>
      <c r="X77" s="1602" t="s">
        <v>62</v>
      </c>
      <c r="Y77" s="3034"/>
      <c r="Z77" s="3034"/>
      <c r="AA77" s="3115"/>
      <c r="AB77" s="3115"/>
      <c r="AC77" s="3034"/>
      <c r="AD77" s="3034"/>
      <c r="AE77" s="3115"/>
      <c r="AF77" s="3115"/>
      <c r="AG77" s="3115"/>
      <c r="AH77" s="3115"/>
      <c r="AI77" s="3115"/>
      <c r="AJ77" s="3115"/>
      <c r="AK77" s="3115"/>
      <c r="AL77" s="3115"/>
      <c r="AM77" s="3115"/>
      <c r="AN77" s="3117"/>
      <c r="AO77" s="3060"/>
      <c r="AP77" s="3060"/>
      <c r="AQ77" s="3053"/>
      <c r="AR77" s="1347"/>
      <c r="AS77" s="1347"/>
    </row>
    <row r="78" spans="1:45" s="399" customFormat="1" ht="53.25" customHeight="1" x14ac:dyDescent="0.25">
      <c r="A78" s="3185"/>
      <c r="B78" s="3189"/>
      <c r="C78" s="3190"/>
      <c r="D78" s="3105"/>
      <c r="E78" s="3105"/>
      <c r="F78" s="3105"/>
      <c r="G78" s="1599"/>
      <c r="H78" s="1600"/>
      <c r="I78" s="1601"/>
      <c r="J78" s="3126">
        <v>227</v>
      </c>
      <c r="K78" s="3036" t="s">
        <v>1418</v>
      </c>
      <c r="L78" s="3089" t="s">
        <v>1419</v>
      </c>
      <c r="M78" s="3127">
        <v>12</v>
      </c>
      <c r="N78" s="1596"/>
      <c r="O78" s="3136"/>
      <c r="P78" s="3015"/>
      <c r="Q78" s="3130">
        <f>SUM(V78:V79)/R68</f>
        <v>8.9086859688195991E-2</v>
      </c>
      <c r="R78" s="3133"/>
      <c r="S78" s="3036"/>
      <c r="T78" s="3065"/>
      <c r="U78" s="1554" t="s">
        <v>1420</v>
      </c>
      <c r="V78" s="1439">
        <v>20000000</v>
      </c>
      <c r="W78" s="1539">
        <v>20</v>
      </c>
      <c r="X78" s="1602" t="s">
        <v>62</v>
      </c>
      <c r="Y78" s="3034"/>
      <c r="Z78" s="3034"/>
      <c r="AA78" s="3115"/>
      <c r="AB78" s="3115"/>
      <c r="AC78" s="3034"/>
      <c r="AD78" s="3034"/>
      <c r="AE78" s="3115"/>
      <c r="AF78" s="3115"/>
      <c r="AG78" s="3115"/>
      <c r="AH78" s="3115"/>
      <c r="AI78" s="3115"/>
      <c r="AJ78" s="3115"/>
      <c r="AK78" s="3115"/>
      <c r="AL78" s="3115"/>
      <c r="AM78" s="3115"/>
      <c r="AN78" s="3117"/>
      <c r="AO78" s="3060"/>
      <c r="AP78" s="3060"/>
      <c r="AQ78" s="3053"/>
      <c r="AR78" s="1347"/>
      <c r="AS78" s="1347"/>
    </row>
    <row r="79" spans="1:45" s="399" customFormat="1" ht="50.25" customHeight="1" x14ac:dyDescent="0.25">
      <c r="A79" s="3185"/>
      <c r="B79" s="3189"/>
      <c r="C79" s="3190"/>
      <c r="D79" s="3105"/>
      <c r="E79" s="3105"/>
      <c r="F79" s="3105"/>
      <c r="G79" s="1599"/>
      <c r="H79" s="1600"/>
      <c r="I79" s="1601"/>
      <c r="J79" s="3126"/>
      <c r="K79" s="3036"/>
      <c r="L79" s="3089"/>
      <c r="M79" s="3127"/>
      <c r="N79" s="1596"/>
      <c r="O79" s="3136"/>
      <c r="P79" s="3015"/>
      <c r="Q79" s="3130"/>
      <c r="R79" s="3133"/>
      <c r="S79" s="3036"/>
      <c r="T79" s="3065"/>
      <c r="U79" s="1554" t="s">
        <v>1421</v>
      </c>
      <c r="V79" s="1439">
        <v>20000000</v>
      </c>
      <c r="W79" s="1539">
        <v>20</v>
      </c>
      <c r="X79" s="1602" t="s">
        <v>62</v>
      </c>
      <c r="Y79" s="3034"/>
      <c r="Z79" s="3034"/>
      <c r="AA79" s="3115"/>
      <c r="AB79" s="3115"/>
      <c r="AC79" s="3034"/>
      <c r="AD79" s="3034"/>
      <c r="AE79" s="3115"/>
      <c r="AF79" s="3115"/>
      <c r="AG79" s="3115"/>
      <c r="AH79" s="3115"/>
      <c r="AI79" s="3115"/>
      <c r="AJ79" s="3115"/>
      <c r="AK79" s="3115"/>
      <c r="AL79" s="3115"/>
      <c r="AM79" s="3115"/>
      <c r="AN79" s="3117"/>
      <c r="AO79" s="3060"/>
      <c r="AP79" s="3060"/>
      <c r="AQ79" s="3053"/>
      <c r="AR79" s="1347"/>
      <c r="AS79" s="1347"/>
    </row>
    <row r="80" spans="1:45" s="399" customFormat="1" ht="43.5" customHeight="1" x14ac:dyDescent="0.25">
      <c r="A80" s="3185"/>
      <c r="B80" s="3189"/>
      <c r="C80" s="3190"/>
      <c r="D80" s="3105"/>
      <c r="E80" s="3105"/>
      <c r="F80" s="3105"/>
      <c r="G80" s="1599"/>
      <c r="H80" s="1600"/>
      <c r="I80" s="1601"/>
      <c r="J80" s="3126">
        <v>228</v>
      </c>
      <c r="K80" s="3089" t="s">
        <v>1422</v>
      </c>
      <c r="L80" s="3089" t="s">
        <v>1423</v>
      </c>
      <c r="M80" s="3127">
        <v>2</v>
      </c>
      <c r="N80" s="1605" t="s">
        <v>1424</v>
      </c>
      <c r="O80" s="3136"/>
      <c r="P80" s="3015"/>
      <c r="Q80" s="3130">
        <f>SUM(V80:V85)/R68</f>
        <v>8.9086859688195991E-2</v>
      </c>
      <c r="R80" s="3133"/>
      <c r="S80" s="3036"/>
      <c r="T80" s="3065"/>
      <c r="U80" s="1554" t="s">
        <v>1425</v>
      </c>
      <c r="V80" s="1439">
        <v>7400000</v>
      </c>
      <c r="W80" s="1539">
        <v>20</v>
      </c>
      <c r="X80" s="1602" t="s">
        <v>62</v>
      </c>
      <c r="Y80" s="3034"/>
      <c r="Z80" s="3034"/>
      <c r="AA80" s="3115"/>
      <c r="AB80" s="3115"/>
      <c r="AC80" s="3034"/>
      <c r="AD80" s="3034"/>
      <c r="AE80" s="3115"/>
      <c r="AF80" s="3115"/>
      <c r="AG80" s="3115"/>
      <c r="AH80" s="3115"/>
      <c r="AI80" s="3115"/>
      <c r="AJ80" s="3115"/>
      <c r="AK80" s="3115"/>
      <c r="AL80" s="3115"/>
      <c r="AM80" s="3115"/>
      <c r="AN80" s="3117"/>
      <c r="AO80" s="3060"/>
      <c r="AP80" s="3060"/>
      <c r="AQ80" s="3053"/>
      <c r="AR80" s="1347"/>
      <c r="AS80" s="1347"/>
    </row>
    <row r="81" spans="1:45" s="399" customFormat="1" ht="52.5" customHeight="1" x14ac:dyDescent="0.25">
      <c r="A81" s="3185"/>
      <c r="B81" s="3189"/>
      <c r="C81" s="3190"/>
      <c r="D81" s="3105"/>
      <c r="E81" s="3105"/>
      <c r="F81" s="3105"/>
      <c r="G81" s="1599"/>
      <c r="H81" s="1600"/>
      <c r="I81" s="1601"/>
      <c r="J81" s="3126"/>
      <c r="K81" s="3089"/>
      <c r="L81" s="3089"/>
      <c r="M81" s="3127"/>
      <c r="N81" s="1605"/>
      <c r="O81" s="3136"/>
      <c r="P81" s="3015"/>
      <c r="Q81" s="3130"/>
      <c r="R81" s="3133"/>
      <c r="S81" s="3036"/>
      <c r="T81" s="3065"/>
      <c r="U81" s="1554" t="s">
        <v>1426</v>
      </c>
      <c r="V81" s="1439">
        <v>18700000</v>
      </c>
      <c r="W81" s="1539">
        <v>20</v>
      </c>
      <c r="X81" s="1602" t="s">
        <v>62</v>
      </c>
      <c r="Y81" s="3034"/>
      <c r="Z81" s="3034"/>
      <c r="AA81" s="3115"/>
      <c r="AB81" s="3115"/>
      <c r="AC81" s="3034"/>
      <c r="AD81" s="3034"/>
      <c r="AE81" s="3115"/>
      <c r="AF81" s="3115"/>
      <c r="AG81" s="3115"/>
      <c r="AH81" s="3115"/>
      <c r="AI81" s="3115"/>
      <c r="AJ81" s="3115"/>
      <c r="AK81" s="3115"/>
      <c r="AL81" s="3115"/>
      <c r="AM81" s="3115"/>
      <c r="AN81" s="3117"/>
      <c r="AO81" s="3060"/>
      <c r="AP81" s="3060"/>
      <c r="AQ81" s="3053"/>
      <c r="AR81" s="1347"/>
      <c r="AS81" s="1347"/>
    </row>
    <row r="82" spans="1:45" s="399" customFormat="1" ht="46.5" customHeight="1" x14ac:dyDescent="0.25">
      <c r="A82" s="3185"/>
      <c r="B82" s="3189"/>
      <c r="C82" s="3190"/>
      <c r="D82" s="3105"/>
      <c r="E82" s="3105"/>
      <c r="F82" s="3105"/>
      <c r="G82" s="1599"/>
      <c r="H82" s="1600"/>
      <c r="I82" s="1601"/>
      <c r="J82" s="3126"/>
      <c r="K82" s="3089"/>
      <c r="L82" s="3089"/>
      <c r="M82" s="3127"/>
      <c r="N82" s="1605" t="s">
        <v>1427</v>
      </c>
      <c r="O82" s="3136"/>
      <c r="P82" s="3015"/>
      <c r="Q82" s="3130"/>
      <c r="R82" s="3133"/>
      <c r="S82" s="3036"/>
      <c r="T82" s="3065"/>
      <c r="U82" s="1554" t="s">
        <v>1428</v>
      </c>
      <c r="V82" s="1439">
        <v>6000000</v>
      </c>
      <c r="W82" s="1539">
        <v>20</v>
      </c>
      <c r="X82" s="1602" t="s">
        <v>62</v>
      </c>
      <c r="Y82" s="3034"/>
      <c r="Z82" s="3034"/>
      <c r="AA82" s="3115"/>
      <c r="AB82" s="3115"/>
      <c r="AC82" s="3034"/>
      <c r="AD82" s="3034"/>
      <c r="AE82" s="3115"/>
      <c r="AF82" s="3115"/>
      <c r="AG82" s="3115"/>
      <c r="AH82" s="3115"/>
      <c r="AI82" s="3115"/>
      <c r="AJ82" s="3115"/>
      <c r="AK82" s="3115"/>
      <c r="AL82" s="3115"/>
      <c r="AM82" s="3115"/>
      <c r="AN82" s="3117"/>
      <c r="AO82" s="3060"/>
      <c r="AP82" s="3060"/>
      <c r="AQ82" s="3053"/>
      <c r="AR82" s="1347"/>
      <c r="AS82" s="1347"/>
    </row>
    <row r="83" spans="1:45" s="399" customFormat="1" ht="58.5" customHeight="1" x14ac:dyDescent="0.25">
      <c r="A83" s="3185"/>
      <c r="B83" s="3189"/>
      <c r="C83" s="3190"/>
      <c r="D83" s="3105"/>
      <c r="E83" s="3105"/>
      <c r="F83" s="3105"/>
      <c r="G83" s="1599"/>
      <c r="H83" s="1600"/>
      <c r="I83" s="1601"/>
      <c r="J83" s="3126"/>
      <c r="K83" s="3089"/>
      <c r="L83" s="3089"/>
      <c r="M83" s="3127"/>
      <c r="N83" s="1605"/>
      <c r="O83" s="3136"/>
      <c r="P83" s="3015"/>
      <c r="Q83" s="3130"/>
      <c r="R83" s="3133"/>
      <c r="S83" s="3036"/>
      <c r="T83" s="3065"/>
      <c r="U83" s="1554" t="s">
        <v>1429</v>
      </c>
      <c r="V83" s="1439">
        <v>2500000</v>
      </c>
      <c r="W83" s="1539">
        <v>20</v>
      </c>
      <c r="X83" s="1602" t="s">
        <v>62</v>
      </c>
      <c r="Y83" s="3034"/>
      <c r="Z83" s="3034"/>
      <c r="AA83" s="3115"/>
      <c r="AB83" s="3115"/>
      <c r="AC83" s="3034"/>
      <c r="AD83" s="3034"/>
      <c r="AE83" s="3115"/>
      <c r="AF83" s="3115"/>
      <c r="AG83" s="3115"/>
      <c r="AH83" s="3115"/>
      <c r="AI83" s="3115"/>
      <c r="AJ83" s="3115"/>
      <c r="AK83" s="3115"/>
      <c r="AL83" s="3115"/>
      <c r="AM83" s="3115"/>
      <c r="AN83" s="3117"/>
      <c r="AO83" s="3060"/>
      <c r="AP83" s="3060"/>
      <c r="AQ83" s="3053"/>
      <c r="AR83" s="1347"/>
      <c r="AS83" s="1347"/>
    </row>
    <row r="84" spans="1:45" s="399" customFormat="1" ht="66.75" customHeight="1" x14ac:dyDescent="0.25">
      <c r="A84" s="3185"/>
      <c r="B84" s="3189"/>
      <c r="C84" s="3190"/>
      <c r="D84" s="3105"/>
      <c r="E84" s="3105"/>
      <c r="F84" s="3105"/>
      <c r="G84" s="1599"/>
      <c r="H84" s="1600"/>
      <c r="I84" s="1601"/>
      <c r="J84" s="3053"/>
      <c r="K84" s="3138"/>
      <c r="L84" s="3138"/>
      <c r="M84" s="3010"/>
      <c r="N84" s="1596"/>
      <c r="O84" s="3136"/>
      <c r="P84" s="3015"/>
      <c r="Q84" s="3135"/>
      <c r="R84" s="3133"/>
      <c r="S84" s="3036"/>
      <c r="T84" s="3065"/>
      <c r="U84" s="1554" t="s">
        <v>1430</v>
      </c>
      <c r="V84" s="1439">
        <v>2000000</v>
      </c>
      <c r="W84" s="1539">
        <v>20</v>
      </c>
      <c r="X84" s="1602" t="s">
        <v>62</v>
      </c>
      <c r="Y84" s="3034"/>
      <c r="Z84" s="3034"/>
      <c r="AA84" s="3115"/>
      <c r="AB84" s="3115"/>
      <c r="AC84" s="3034"/>
      <c r="AD84" s="3034"/>
      <c r="AE84" s="3115"/>
      <c r="AF84" s="3115"/>
      <c r="AG84" s="3115"/>
      <c r="AH84" s="3115"/>
      <c r="AI84" s="3115"/>
      <c r="AJ84" s="3115"/>
      <c r="AK84" s="3115"/>
      <c r="AL84" s="3115"/>
      <c r="AM84" s="3115"/>
      <c r="AN84" s="3117"/>
      <c r="AO84" s="3060"/>
      <c r="AP84" s="3060"/>
      <c r="AQ84" s="3053"/>
      <c r="AR84" s="1347"/>
      <c r="AS84" s="1347"/>
    </row>
    <row r="85" spans="1:45" s="399" customFormat="1" ht="36.75" customHeight="1" x14ac:dyDescent="0.25">
      <c r="A85" s="3185"/>
      <c r="B85" s="3189"/>
      <c r="C85" s="3190"/>
      <c r="D85" s="3105"/>
      <c r="E85" s="3105"/>
      <c r="F85" s="3105"/>
      <c r="G85" s="1599"/>
      <c r="H85" s="1600"/>
      <c r="I85" s="1601"/>
      <c r="J85" s="3053"/>
      <c r="K85" s="3138"/>
      <c r="L85" s="3138"/>
      <c r="M85" s="3010"/>
      <c r="N85" s="1596"/>
      <c r="O85" s="3136"/>
      <c r="P85" s="3015"/>
      <c r="Q85" s="3135"/>
      <c r="R85" s="3133"/>
      <c r="S85" s="3036"/>
      <c r="T85" s="3065"/>
      <c r="U85" s="1554" t="s">
        <v>1417</v>
      </c>
      <c r="V85" s="1439">
        <v>3400000</v>
      </c>
      <c r="W85" s="1539">
        <v>20</v>
      </c>
      <c r="X85" s="1602" t="s">
        <v>62</v>
      </c>
      <c r="Y85" s="3034"/>
      <c r="Z85" s="3034"/>
      <c r="AA85" s="3115"/>
      <c r="AB85" s="3115"/>
      <c r="AC85" s="3034"/>
      <c r="AD85" s="3034"/>
      <c r="AE85" s="3115"/>
      <c r="AF85" s="3115"/>
      <c r="AG85" s="3115"/>
      <c r="AH85" s="3115"/>
      <c r="AI85" s="3115"/>
      <c r="AJ85" s="3115"/>
      <c r="AK85" s="3115"/>
      <c r="AL85" s="3115"/>
      <c r="AM85" s="3115"/>
      <c r="AN85" s="3117"/>
      <c r="AO85" s="3060"/>
      <c r="AP85" s="3060"/>
      <c r="AQ85" s="3053"/>
      <c r="AR85" s="1347"/>
      <c r="AS85" s="1347"/>
    </row>
    <row r="86" spans="1:45" s="399" customFormat="1" ht="62.25" customHeight="1" x14ac:dyDescent="0.25">
      <c r="A86" s="3185"/>
      <c r="B86" s="3189"/>
      <c r="C86" s="3190"/>
      <c r="D86" s="3105"/>
      <c r="E86" s="3105"/>
      <c r="F86" s="3105"/>
      <c r="G86" s="1599"/>
      <c r="H86" s="1600"/>
      <c r="I86" s="1601"/>
      <c r="J86" s="3126">
        <v>229</v>
      </c>
      <c r="K86" s="3036" t="s">
        <v>1431</v>
      </c>
      <c r="L86" s="3089" t="s">
        <v>1432</v>
      </c>
      <c r="M86" s="3127">
        <v>13</v>
      </c>
      <c r="N86" s="1596"/>
      <c r="O86" s="3136"/>
      <c r="P86" s="3015"/>
      <c r="Q86" s="3128">
        <f>SUM(V86:V87)/R68</f>
        <v>0.1447661469933185</v>
      </c>
      <c r="R86" s="3133"/>
      <c r="S86" s="3036"/>
      <c r="T86" s="3065"/>
      <c r="U86" s="1554" t="s">
        <v>1433</v>
      </c>
      <c r="V86" s="1439">
        <v>15400000</v>
      </c>
      <c r="W86" s="1539">
        <v>20</v>
      </c>
      <c r="X86" s="1602" t="s">
        <v>62</v>
      </c>
      <c r="Y86" s="3034"/>
      <c r="Z86" s="3034"/>
      <c r="AA86" s="3115"/>
      <c r="AB86" s="3115"/>
      <c r="AC86" s="3034"/>
      <c r="AD86" s="3034"/>
      <c r="AE86" s="3115"/>
      <c r="AF86" s="3115"/>
      <c r="AG86" s="3115"/>
      <c r="AH86" s="3115"/>
      <c r="AI86" s="3115"/>
      <c r="AJ86" s="3115"/>
      <c r="AK86" s="3115"/>
      <c r="AL86" s="3115"/>
      <c r="AM86" s="3115"/>
      <c r="AN86" s="3117"/>
      <c r="AO86" s="3060"/>
      <c r="AP86" s="3060"/>
      <c r="AQ86" s="3053"/>
      <c r="AR86" s="1347"/>
      <c r="AS86" s="1347"/>
    </row>
    <row r="87" spans="1:45" s="399" customFormat="1" ht="69.75" customHeight="1" x14ac:dyDescent="0.25">
      <c r="A87" s="3185"/>
      <c r="B87" s="3189"/>
      <c r="C87" s="3190"/>
      <c r="D87" s="3105"/>
      <c r="E87" s="3105"/>
      <c r="F87" s="3105"/>
      <c r="G87" s="1599"/>
      <c r="H87" s="1600"/>
      <c r="I87" s="1601"/>
      <c r="J87" s="3126"/>
      <c r="K87" s="3036"/>
      <c r="L87" s="3089"/>
      <c r="M87" s="3127"/>
      <c r="N87" s="1596"/>
      <c r="O87" s="3136"/>
      <c r="P87" s="3015"/>
      <c r="Q87" s="3128"/>
      <c r="R87" s="3133"/>
      <c r="S87" s="3036"/>
      <c r="T87" s="3065"/>
      <c r="U87" s="1554" t="s">
        <v>1434</v>
      </c>
      <c r="V87" s="1439">
        <v>49600000</v>
      </c>
      <c r="W87" s="1539">
        <v>20</v>
      </c>
      <c r="X87" s="1602" t="s">
        <v>62</v>
      </c>
      <c r="Y87" s="3034"/>
      <c r="Z87" s="3034"/>
      <c r="AA87" s="3115"/>
      <c r="AB87" s="3115"/>
      <c r="AC87" s="3034"/>
      <c r="AD87" s="3034"/>
      <c r="AE87" s="3115"/>
      <c r="AF87" s="3115"/>
      <c r="AG87" s="3115"/>
      <c r="AH87" s="3115"/>
      <c r="AI87" s="3115"/>
      <c r="AJ87" s="3115"/>
      <c r="AK87" s="3115"/>
      <c r="AL87" s="3115"/>
      <c r="AM87" s="3115"/>
      <c r="AN87" s="3117"/>
      <c r="AO87" s="3060"/>
      <c r="AP87" s="3060"/>
      <c r="AQ87" s="3053"/>
      <c r="AR87" s="1347"/>
      <c r="AS87" s="1347"/>
    </row>
    <row r="88" spans="1:45" s="399" customFormat="1" ht="51" customHeight="1" x14ac:dyDescent="0.25">
      <c r="A88" s="3185"/>
      <c r="B88" s="3189"/>
      <c r="C88" s="3190"/>
      <c r="D88" s="3105"/>
      <c r="E88" s="3105"/>
      <c r="F88" s="3105"/>
      <c r="G88" s="1599"/>
      <c r="H88" s="1600"/>
      <c r="I88" s="1601"/>
      <c r="J88" s="3126">
        <v>230</v>
      </c>
      <c r="K88" s="3089" t="s">
        <v>1435</v>
      </c>
      <c r="L88" s="3089" t="s">
        <v>1436</v>
      </c>
      <c r="M88" s="3129">
        <v>1</v>
      </c>
      <c r="N88" s="1596"/>
      <c r="O88" s="3136"/>
      <c r="P88" s="3015"/>
      <c r="Q88" s="3128">
        <f>SUM(V88:V91)/R68</f>
        <v>0.12026726057906459</v>
      </c>
      <c r="R88" s="3133"/>
      <c r="S88" s="3036"/>
      <c r="T88" s="3065"/>
      <c r="U88" s="1554" t="s">
        <v>1437</v>
      </c>
      <c r="V88" s="1439">
        <v>17000000</v>
      </c>
      <c r="W88" s="1539">
        <v>20</v>
      </c>
      <c r="X88" s="1602" t="s">
        <v>62</v>
      </c>
      <c r="Y88" s="3034"/>
      <c r="Z88" s="3034"/>
      <c r="AA88" s="3115"/>
      <c r="AB88" s="3115"/>
      <c r="AC88" s="3034"/>
      <c r="AD88" s="3034"/>
      <c r="AE88" s="3115"/>
      <c r="AF88" s="3115"/>
      <c r="AG88" s="3115"/>
      <c r="AH88" s="3115"/>
      <c r="AI88" s="3115"/>
      <c r="AJ88" s="3115"/>
      <c r="AK88" s="3115"/>
      <c r="AL88" s="3115"/>
      <c r="AM88" s="3115"/>
      <c r="AN88" s="3117"/>
      <c r="AO88" s="3060"/>
      <c r="AP88" s="3060"/>
      <c r="AQ88" s="3053"/>
      <c r="AR88" s="1347"/>
      <c r="AS88" s="1347"/>
    </row>
    <row r="89" spans="1:45" s="399" customFormat="1" ht="51" customHeight="1" x14ac:dyDescent="0.25">
      <c r="A89" s="3185"/>
      <c r="B89" s="3189"/>
      <c r="C89" s="3190"/>
      <c r="D89" s="3105"/>
      <c r="E89" s="3105"/>
      <c r="F89" s="3105"/>
      <c r="G89" s="1599"/>
      <c r="H89" s="1600"/>
      <c r="I89" s="1601"/>
      <c r="J89" s="3126"/>
      <c r="K89" s="3089"/>
      <c r="L89" s="3089"/>
      <c r="M89" s="3129"/>
      <c r="N89" s="1596"/>
      <c r="O89" s="3136"/>
      <c r="P89" s="3015"/>
      <c r="Q89" s="3128"/>
      <c r="R89" s="3133"/>
      <c r="S89" s="3036"/>
      <c r="T89" s="3065"/>
      <c r="U89" s="1554" t="s">
        <v>1438</v>
      </c>
      <c r="V89" s="1439">
        <v>10000000</v>
      </c>
      <c r="W89" s="1539">
        <v>20</v>
      </c>
      <c r="X89" s="1602" t="s">
        <v>62</v>
      </c>
      <c r="Y89" s="3034"/>
      <c r="Z89" s="3034"/>
      <c r="AA89" s="3115"/>
      <c r="AB89" s="3115"/>
      <c r="AC89" s="3034"/>
      <c r="AD89" s="3034"/>
      <c r="AE89" s="3115"/>
      <c r="AF89" s="3115"/>
      <c r="AG89" s="3115"/>
      <c r="AH89" s="3115"/>
      <c r="AI89" s="3115"/>
      <c r="AJ89" s="3115"/>
      <c r="AK89" s="3115"/>
      <c r="AL89" s="3115"/>
      <c r="AM89" s="3115"/>
      <c r="AN89" s="3117"/>
      <c r="AO89" s="3060"/>
      <c r="AP89" s="3060"/>
      <c r="AQ89" s="3053"/>
      <c r="AR89" s="1347"/>
      <c r="AS89" s="1347"/>
    </row>
    <row r="90" spans="1:45" s="399" customFormat="1" ht="41.25" customHeight="1" x14ac:dyDescent="0.25">
      <c r="A90" s="3185"/>
      <c r="B90" s="3189"/>
      <c r="C90" s="3190"/>
      <c r="D90" s="3105"/>
      <c r="E90" s="3105"/>
      <c r="F90" s="3105"/>
      <c r="G90" s="1599"/>
      <c r="H90" s="1600"/>
      <c r="I90" s="1601"/>
      <c r="J90" s="3126"/>
      <c r="K90" s="3089"/>
      <c r="L90" s="3089"/>
      <c r="M90" s="3129"/>
      <c r="N90" s="1596"/>
      <c r="O90" s="3136"/>
      <c r="P90" s="3015"/>
      <c r="Q90" s="3128"/>
      <c r="R90" s="3133"/>
      <c r="S90" s="3036"/>
      <c r="T90" s="3065"/>
      <c r="U90" s="1554" t="s">
        <v>1439</v>
      </c>
      <c r="V90" s="1439">
        <v>22000000</v>
      </c>
      <c r="W90" s="1539">
        <v>20</v>
      </c>
      <c r="X90" s="1602" t="s">
        <v>62</v>
      </c>
      <c r="Y90" s="3034"/>
      <c r="Z90" s="3034"/>
      <c r="AA90" s="3115"/>
      <c r="AB90" s="3115"/>
      <c r="AC90" s="3034"/>
      <c r="AD90" s="3034"/>
      <c r="AE90" s="3115"/>
      <c r="AF90" s="3115"/>
      <c r="AG90" s="3115"/>
      <c r="AH90" s="3115"/>
      <c r="AI90" s="3115"/>
      <c r="AJ90" s="3115"/>
      <c r="AK90" s="3115"/>
      <c r="AL90" s="3115"/>
      <c r="AM90" s="3115"/>
      <c r="AN90" s="3117"/>
      <c r="AO90" s="3060"/>
      <c r="AP90" s="3060"/>
      <c r="AQ90" s="3053"/>
      <c r="AR90" s="1347"/>
      <c r="AS90" s="1347"/>
    </row>
    <row r="91" spans="1:45" s="399" customFormat="1" ht="30.75" customHeight="1" x14ac:dyDescent="0.25">
      <c r="A91" s="3185"/>
      <c r="B91" s="3189"/>
      <c r="C91" s="3190"/>
      <c r="D91" s="3105"/>
      <c r="E91" s="3105"/>
      <c r="F91" s="3105"/>
      <c r="G91" s="1606"/>
      <c r="H91" s="1607"/>
      <c r="I91" s="1608"/>
      <c r="J91" s="3126"/>
      <c r="K91" s="3089"/>
      <c r="L91" s="3089"/>
      <c r="M91" s="3129"/>
      <c r="N91" s="1609"/>
      <c r="O91" s="3137"/>
      <c r="P91" s="3016"/>
      <c r="Q91" s="3128"/>
      <c r="R91" s="3134"/>
      <c r="S91" s="3036"/>
      <c r="T91" s="3065"/>
      <c r="U91" s="1554" t="s">
        <v>1417</v>
      </c>
      <c r="V91" s="1439">
        <v>5000000</v>
      </c>
      <c r="W91" s="1539">
        <v>20</v>
      </c>
      <c r="X91" s="1602" t="s">
        <v>62</v>
      </c>
      <c r="Y91" s="3035"/>
      <c r="Z91" s="3035"/>
      <c r="AA91" s="3131"/>
      <c r="AB91" s="3131"/>
      <c r="AC91" s="3035"/>
      <c r="AD91" s="3035"/>
      <c r="AE91" s="3131"/>
      <c r="AF91" s="3131"/>
      <c r="AG91" s="3131"/>
      <c r="AH91" s="3131"/>
      <c r="AI91" s="3131"/>
      <c r="AJ91" s="3131"/>
      <c r="AK91" s="3131"/>
      <c r="AL91" s="3131"/>
      <c r="AM91" s="3131"/>
      <c r="AN91" s="3118"/>
      <c r="AO91" s="3086"/>
      <c r="AP91" s="3086"/>
      <c r="AQ91" s="3053"/>
      <c r="AR91" s="1347"/>
      <c r="AS91" s="1347"/>
    </row>
    <row r="92" spans="1:45" s="1347" customFormat="1" ht="15" customHeight="1" x14ac:dyDescent="0.2">
      <c r="A92" s="3185"/>
      <c r="B92" s="3189"/>
      <c r="C92" s="3190"/>
      <c r="D92" s="3105"/>
      <c r="E92" s="3105"/>
      <c r="F92" s="3105"/>
      <c r="G92" s="1524">
        <v>79</v>
      </c>
      <c r="H92" s="1165" t="s">
        <v>1440</v>
      </c>
      <c r="I92" s="1165"/>
      <c r="J92" s="1562"/>
      <c r="K92" s="1563"/>
      <c r="L92" s="1564"/>
      <c r="M92" s="1610"/>
      <c r="N92" s="1528"/>
      <c r="O92" s="1611"/>
      <c r="P92" s="1125"/>
      <c r="Q92" s="1565"/>
      <c r="R92" s="1566"/>
      <c r="S92" s="1564"/>
      <c r="T92" s="1563"/>
      <c r="U92" s="1563"/>
      <c r="V92" s="1612"/>
      <c r="W92" s="1591"/>
      <c r="X92" s="1591"/>
      <c r="Y92" s="1355"/>
      <c r="Z92" s="1355"/>
      <c r="AA92" s="1355"/>
      <c r="AB92" s="1355"/>
      <c r="AC92" s="1355"/>
      <c r="AD92" s="1355"/>
      <c r="AE92" s="1355"/>
      <c r="AF92" s="1355"/>
      <c r="AG92" s="1355"/>
      <c r="AH92" s="1355"/>
      <c r="AI92" s="1355"/>
      <c r="AJ92" s="1355"/>
      <c r="AK92" s="1355"/>
      <c r="AL92" s="1355"/>
      <c r="AM92" s="1355"/>
      <c r="AN92" s="1355"/>
      <c r="AO92" s="1355"/>
      <c r="AP92" s="1355"/>
      <c r="AQ92" s="1592"/>
    </row>
    <row r="93" spans="1:45" s="399" customFormat="1" ht="55.5" customHeight="1" x14ac:dyDescent="0.2">
      <c r="A93" s="3185"/>
      <c r="B93" s="3189"/>
      <c r="C93" s="3190"/>
      <c r="D93" s="3105"/>
      <c r="E93" s="3105"/>
      <c r="F93" s="3105"/>
      <c r="G93" s="1347"/>
      <c r="H93" s="1536"/>
      <c r="I93" s="1537"/>
      <c r="J93" s="3111">
        <v>231</v>
      </c>
      <c r="K93" s="3089" t="s">
        <v>1441</v>
      </c>
      <c r="L93" s="3089" t="s">
        <v>1442</v>
      </c>
      <c r="M93" s="3087">
        <v>1</v>
      </c>
      <c r="N93" s="1613"/>
      <c r="O93" s="3125" t="s">
        <v>1443</v>
      </c>
      <c r="P93" s="3066" t="s">
        <v>1444</v>
      </c>
      <c r="Q93" s="3119">
        <f>SUM(V93:V94)/R93</f>
        <v>0.10344827586206896</v>
      </c>
      <c r="R93" s="3064">
        <f>SUM(V93:V100)</f>
        <v>58000000</v>
      </c>
      <c r="S93" s="3036" t="s">
        <v>1445</v>
      </c>
      <c r="T93" s="3036" t="s">
        <v>1446</v>
      </c>
      <c r="U93" s="1554" t="s">
        <v>1447</v>
      </c>
      <c r="V93" s="1614">
        <v>3000000</v>
      </c>
      <c r="W93" s="1539" t="s">
        <v>61</v>
      </c>
      <c r="X93" s="1573" t="s">
        <v>1409</v>
      </c>
      <c r="Y93" s="3120">
        <v>638</v>
      </c>
      <c r="Z93" s="3102">
        <v>612</v>
      </c>
      <c r="AA93" s="3114">
        <v>380</v>
      </c>
      <c r="AB93" s="3114">
        <v>280</v>
      </c>
      <c r="AC93" s="3114">
        <v>161</v>
      </c>
      <c r="AD93" s="3114">
        <v>429</v>
      </c>
      <c r="AE93" s="3114"/>
      <c r="AF93" s="3114"/>
      <c r="AG93" s="3114"/>
      <c r="AH93" s="3114"/>
      <c r="AI93" s="3114"/>
      <c r="AJ93" s="3114"/>
      <c r="AK93" s="3114"/>
      <c r="AL93" s="3114"/>
      <c r="AM93" s="3114"/>
      <c r="AN93" s="3116">
        <v>1250</v>
      </c>
      <c r="AO93" s="3005">
        <v>43490</v>
      </c>
      <c r="AP93" s="3005">
        <v>43819</v>
      </c>
      <c r="AQ93" s="3009" t="s">
        <v>1383</v>
      </c>
      <c r="AR93" s="1347"/>
      <c r="AS93" s="1347"/>
    </row>
    <row r="94" spans="1:45" s="399" customFormat="1" ht="68.25" customHeight="1" x14ac:dyDescent="0.2">
      <c r="A94" s="3185"/>
      <c r="B94" s="3189"/>
      <c r="C94" s="3190"/>
      <c r="D94" s="3105"/>
      <c r="E94" s="3105"/>
      <c r="F94" s="3105"/>
      <c r="G94" s="1347"/>
      <c r="H94" s="1541"/>
      <c r="I94" s="1542"/>
      <c r="J94" s="3111"/>
      <c r="K94" s="3089"/>
      <c r="L94" s="3089"/>
      <c r="M94" s="3087"/>
      <c r="N94" s="1615"/>
      <c r="O94" s="3027"/>
      <c r="P94" s="3015"/>
      <c r="Q94" s="3119"/>
      <c r="R94" s="3011"/>
      <c r="S94" s="3036"/>
      <c r="T94" s="3036"/>
      <c r="U94" s="1554" t="s">
        <v>1448</v>
      </c>
      <c r="V94" s="1614">
        <v>3000000</v>
      </c>
      <c r="W94" s="1616">
        <v>20</v>
      </c>
      <c r="X94" s="1573" t="s">
        <v>62</v>
      </c>
      <c r="Y94" s="3121"/>
      <c r="Z94" s="3123"/>
      <c r="AA94" s="3115"/>
      <c r="AB94" s="3115"/>
      <c r="AC94" s="3115"/>
      <c r="AD94" s="3115"/>
      <c r="AE94" s="3115"/>
      <c r="AF94" s="3115"/>
      <c r="AG94" s="3115"/>
      <c r="AH94" s="3115"/>
      <c r="AI94" s="3115"/>
      <c r="AJ94" s="3115"/>
      <c r="AK94" s="3115"/>
      <c r="AL94" s="3115"/>
      <c r="AM94" s="3115"/>
      <c r="AN94" s="3117"/>
      <c r="AO94" s="3006"/>
      <c r="AP94" s="3006"/>
      <c r="AQ94" s="3010"/>
      <c r="AR94" s="1347"/>
      <c r="AS94" s="1347"/>
    </row>
    <row r="95" spans="1:45" s="399" customFormat="1" ht="33" customHeight="1" x14ac:dyDescent="0.2">
      <c r="A95" s="3185"/>
      <c r="B95" s="3189"/>
      <c r="C95" s="3190"/>
      <c r="D95" s="3105"/>
      <c r="E95" s="3105"/>
      <c r="F95" s="3105"/>
      <c r="G95" s="1347"/>
      <c r="H95" s="1541"/>
      <c r="I95" s="1542"/>
      <c r="J95" s="3111">
        <v>232</v>
      </c>
      <c r="K95" s="3089" t="s">
        <v>1449</v>
      </c>
      <c r="L95" s="3089" t="s">
        <v>1450</v>
      </c>
      <c r="M95" s="3087">
        <v>12</v>
      </c>
      <c r="N95" s="1615" t="s">
        <v>1451</v>
      </c>
      <c r="O95" s="3027"/>
      <c r="P95" s="3015"/>
      <c r="Q95" s="3119">
        <f>SUM(V95:V98)/R93</f>
        <v>0.7068965517241379</v>
      </c>
      <c r="R95" s="3011"/>
      <c r="S95" s="3036"/>
      <c r="T95" s="3036"/>
      <c r="U95" s="2644" t="s">
        <v>1452</v>
      </c>
      <c r="V95" s="1617">
        <v>5000000</v>
      </c>
      <c r="W95" s="1616">
        <v>20</v>
      </c>
      <c r="X95" s="1573" t="s">
        <v>62</v>
      </c>
      <c r="Y95" s="3121"/>
      <c r="Z95" s="3123"/>
      <c r="AA95" s="3115"/>
      <c r="AB95" s="3115"/>
      <c r="AC95" s="3115"/>
      <c r="AD95" s="3115"/>
      <c r="AE95" s="3115"/>
      <c r="AF95" s="3115"/>
      <c r="AG95" s="3115"/>
      <c r="AH95" s="3115"/>
      <c r="AI95" s="3115"/>
      <c r="AJ95" s="3115"/>
      <c r="AK95" s="3115"/>
      <c r="AL95" s="3115"/>
      <c r="AM95" s="3115"/>
      <c r="AN95" s="3117"/>
      <c r="AO95" s="3006"/>
      <c r="AP95" s="3006"/>
      <c r="AQ95" s="3010"/>
      <c r="AR95" s="1347"/>
      <c r="AS95" s="1347"/>
    </row>
    <row r="96" spans="1:45" s="399" customFormat="1" ht="30.75" customHeight="1" x14ac:dyDescent="0.2">
      <c r="A96" s="3185"/>
      <c r="B96" s="3189"/>
      <c r="C96" s="3190"/>
      <c r="D96" s="3105"/>
      <c r="E96" s="3105"/>
      <c r="F96" s="3105"/>
      <c r="G96" s="1347"/>
      <c r="H96" s="1541"/>
      <c r="I96" s="1542"/>
      <c r="J96" s="3111"/>
      <c r="K96" s="3089"/>
      <c r="L96" s="3089"/>
      <c r="M96" s="3087"/>
      <c r="N96" s="1615"/>
      <c r="O96" s="3027"/>
      <c r="P96" s="3015"/>
      <c r="Q96" s="3119"/>
      <c r="R96" s="3011"/>
      <c r="S96" s="3036"/>
      <c r="T96" s="3036"/>
      <c r="U96" s="2645"/>
      <c r="V96" s="1617">
        <v>30000000</v>
      </c>
      <c r="W96" s="1616">
        <v>88</v>
      </c>
      <c r="X96" s="1573" t="s">
        <v>1453</v>
      </c>
      <c r="Y96" s="3121"/>
      <c r="Z96" s="3123"/>
      <c r="AA96" s="3115"/>
      <c r="AB96" s="3115"/>
      <c r="AC96" s="3115"/>
      <c r="AD96" s="3115"/>
      <c r="AE96" s="3115"/>
      <c r="AF96" s="3115"/>
      <c r="AG96" s="3115"/>
      <c r="AH96" s="3115"/>
      <c r="AI96" s="3115"/>
      <c r="AJ96" s="3115"/>
      <c r="AK96" s="3115"/>
      <c r="AL96" s="3115"/>
      <c r="AM96" s="3115"/>
      <c r="AN96" s="3117"/>
      <c r="AO96" s="3006"/>
      <c r="AP96" s="3006"/>
      <c r="AQ96" s="3010"/>
      <c r="AR96" s="1347"/>
      <c r="AS96" s="1347"/>
    </row>
    <row r="97" spans="1:45" s="399" customFormat="1" ht="64.5" customHeight="1" x14ac:dyDescent="0.2">
      <c r="A97" s="3185"/>
      <c r="B97" s="3189"/>
      <c r="C97" s="3190"/>
      <c r="D97" s="3105"/>
      <c r="E97" s="3105"/>
      <c r="F97" s="3105"/>
      <c r="G97" s="1347"/>
      <c r="H97" s="1541"/>
      <c r="I97" s="1542"/>
      <c r="J97" s="3111"/>
      <c r="K97" s="3089"/>
      <c r="L97" s="3089"/>
      <c r="M97" s="3087"/>
      <c r="O97" s="3027"/>
      <c r="P97" s="3015"/>
      <c r="Q97" s="3119"/>
      <c r="R97" s="3011"/>
      <c r="S97" s="3036"/>
      <c r="T97" s="3036"/>
      <c r="U97" s="1554" t="s">
        <v>1454</v>
      </c>
      <c r="V97" s="1614">
        <v>5000000</v>
      </c>
      <c r="W97" s="1616">
        <v>20</v>
      </c>
      <c r="X97" s="1573" t="s">
        <v>62</v>
      </c>
      <c r="Y97" s="3121"/>
      <c r="Z97" s="3123"/>
      <c r="AA97" s="3115"/>
      <c r="AB97" s="3115"/>
      <c r="AC97" s="3115"/>
      <c r="AD97" s="3115"/>
      <c r="AE97" s="3115"/>
      <c r="AF97" s="3115"/>
      <c r="AG97" s="3115"/>
      <c r="AH97" s="3115"/>
      <c r="AI97" s="3115"/>
      <c r="AJ97" s="3115"/>
      <c r="AK97" s="3115"/>
      <c r="AL97" s="3115"/>
      <c r="AM97" s="3115"/>
      <c r="AN97" s="3117"/>
      <c r="AO97" s="3006"/>
      <c r="AP97" s="3006"/>
      <c r="AQ97" s="3010"/>
      <c r="AR97" s="3055"/>
      <c r="AS97" s="1347"/>
    </row>
    <row r="98" spans="1:45" s="399" customFormat="1" ht="31.5" customHeight="1" x14ac:dyDescent="0.2">
      <c r="A98" s="3185"/>
      <c r="B98" s="3189"/>
      <c r="C98" s="3190"/>
      <c r="D98" s="3105"/>
      <c r="E98" s="3105"/>
      <c r="F98" s="3105"/>
      <c r="G98" s="1347"/>
      <c r="H98" s="1541"/>
      <c r="I98" s="1542"/>
      <c r="J98" s="3111"/>
      <c r="K98" s="3089"/>
      <c r="L98" s="3089"/>
      <c r="M98" s="3087"/>
      <c r="N98" s="1615"/>
      <c r="O98" s="3027"/>
      <c r="P98" s="3015"/>
      <c r="Q98" s="3119"/>
      <c r="R98" s="3011"/>
      <c r="S98" s="3036"/>
      <c r="T98" s="3036"/>
      <c r="U98" s="1618" t="s">
        <v>1417</v>
      </c>
      <c r="V98" s="1614">
        <v>1000000</v>
      </c>
      <c r="W98" s="1616">
        <v>20</v>
      </c>
      <c r="X98" s="1573" t="s">
        <v>62</v>
      </c>
      <c r="Y98" s="3121"/>
      <c r="Z98" s="3123"/>
      <c r="AA98" s="3115"/>
      <c r="AB98" s="3115"/>
      <c r="AC98" s="3115"/>
      <c r="AD98" s="3115"/>
      <c r="AE98" s="3115"/>
      <c r="AF98" s="3115"/>
      <c r="AG98" s="3115"/>
      <c r="AH98" s="3115"/>
      <c r="AI98" s="3115"/>
      <c r="AJ98" s="3115"/>
      <c r="AK98" s="3115"/>
      <c r="AL98" s="3115"/>
      <c r="AM98" s="3115"/>
      <c r="AN98" s="3117"/>
      <c r="AO98" s="3006"/>
      <c r="AP98" s="3006"/>
      <c r="AQ98" s="3010"/>
      <c r="AR98" s="3055"/>
      <c r="AS98" s="1347"/>
    </row>
    <row r="99" spans="1:45" s="399" customFormat="1" ht="45" customHeight="1" x14ac:dyDescent="0.2">
      <c r="A99" s="3185"/>
      <c r="B99" s="3189"/>
      <c r="C99" s="3190"/>
      <c r="D99" s="3105"/>
      <c r="E99" s="3105"/>
      <c r="F99" s="3105"/>
      <c r="G99" s="1347"/>
      <c r="H99" s="1541"/>
      <c r="I99" s="1542"/>
      <c r="J99" s="3111">
        <v>233</v>
      </c>
      <c r="K99" s="3089" t="s">
        <v>1455</v>
      </c>
      <c r="L99" s="3089" t="s">
        <v>1456</v>
      </c>
      <c r="M99" s="3087">
        <v>1</v>
      </c>
      <c r="N99" s="1615" t="s">
        <v>1457</v>
      </c>
      <c r="O99" s="3027"/>
      <c r="P99" s="3015"/>
      <c r="Q99" s="3112">
        <f>SUM(V99:V101)/R93</f>
        <v>0.18965517241379309</v>
      </c>
      <c r="R99" s="3011"/>
      <c r="S99" s="3036"/>
      <c r="T99" s="3036"/>
      <c r="U99" s="1554" t="s">
        <v>1458</v>
      </c>
      <c r="V99" s="1617">
        <v>8000000</v>
      </c>
      <c r="W99" s="1616">
        <v>20</v>
      </c>
      <c r="X99" s="1573" t="s">
        <v>62</v>
      </c>
      <c r="Y99" s="3121"/>
      <c r="Z99" s="3123"/>
      <c r="AA99" s="3115"/>
      <c r="AB99" s="3115"/>
      <c r="AC99" s="3115"/>
      <c r="AD99" s="3115"/>
      <c r="AE99" s="3115"/>
      <c r="AF99" s="3115"/>
      <c r="AG99" s="3115"/>
      <c r="AH99" s="3115"/>
      <c r="AI99" s="3115"/>
      <c r="AJ99" s="3115"/>
      <c r="AK99" s="3115"/>
      <c r="AL99" s="3115"/>
      <c r="AM99" s="3115"/>
      <c r="AN99" s="3117"/>
      <c r="AO99" s="3006"/>
      <c r="AP99" s="3006"/>
      <c r="AQ99" s="3010"/>
      <c r="AR99" s="1347"/>
      <c r="AS99" s="1347"/>
    </row>
    <row r="100" spans="1:45" s="399" customFormat="1" ht="39.75" customHeight="1" x14ac:dyDescent="0.2">
      <c r="A100" s="3185"/>
      <c r="B100" s="3189"/>
      <c r="C100" s="3190"/>
      <c r="D100" s="3105"/>
      <c r="E100" s="3105"/>
      <c r="F100" s="3105"/>
      <c r="G100" s="1347"/>
      <c r="H100" s="1558"/>
      <c r="I100" s="1559"/>
      <c r="J100" s="3111"/>
      <c r="K100" s="3089"/>
      <c r="L100" s="3089"/>
      <c r="M100" s="3087"/>
      <c r="N100" s="1615"/>
      <c r="O100" s="3027"/>
      <c r="P100" s="3015"/>
      <c r="Q100" s="3113"/>
      <c r="R100" s="3012"/>
      <c r="S100" s="3036"/>
      <c r="T100" s="3036"/>
      <c r="U100" s="1554" t="s">
        <v>1459</v>
      </c>
      <c r="V100" s="1617">
        <v>3000000</v>
      </c>
      <c r="W100" s="1616">
        <v>20</v>
      </c>
      <c r="X100" s="1573" t="s">
        <v>62</v>
      </c>
      <c r="Y100" s="3122"/>
      <c r="Z100" s="3124"/>
      <c r="AA100" s="3115"/>
      <c r="AB100" s="3115"/>
      <c r="AC100" s="3115"/>
      <c r="AD100" s="3115"/>
      <c r="AE100" s="3115"/>
      <c r="AF100" s="3115"/>
      <c r="AG100" s="3115"/>
      <c r="AH100" s="3115"/>
      <c r="AI100" s="3115"/>
      <c r="AJ100" s="3115"/>
      <c r="AK100" s="3115"/>
      <c r="AL100" s="3115"/>
      <c r="AM100" s="3115"/>
      <c r="AN100" s="3118"/>
      <c r="AO100" s="3007"/>
      <c r="AP100" s="3007"/>
      <c r="AQ100" s="3010"/>
      <c r="AR100" s="1347"/>
      <c r="AS100" s="1347"/>
    </row>
    <row r="101" spans="1:45" s="1347" customFormat="1" ht="15" customHeight="1" x14ac:dyDescent="0.2">
      <c r="A101" s="3185"/>
      <c r="B101" s="3189"/>
      <c r="C101" s="3190"/>
      <c r="D101" s="3105"/>
      <c r="E101" s="3105"/>
      <c r="F101" s="3105"/>
      <c r="G101" s="1524">
        <v>80</v>
      </c>
      <c r="H101" s="1165" t="s">
        <v>1460</v>
      </c>
      <c r="I101" s="1165"/>
      <c r="J101" s="1562"/>
      <c r="K101" s="1563"/>
      <c r="L101" s="1564"/>
      <c r="M101" s="1610"/>
      <c r="N101" s="1528"/>
      <c r="O101" s="1529"/>
      <c r="P101" s="1125"/>
      <c r="Q101" s="1125"/>
      <c r="R101" s="1566"/>
      <c r="S101" s="1564"/>
      <c r="T101" s="1563"/>
      <c r="U101" s="1563"/>
      <c r="V101" s="1129"/>
      <c r="W101" s="1130"/>
      <c r="X101" s="1130"/>
      <c r="Y101" s="1165"/>
      <c r="Z101" s="1165"/>
      <c r="AA101" s="1165"/>
      <c r="AB101" s="1165"/>
      <c r="AC101" s="1165"/>
      <c r="AD101" s="1165"/>
      <c r="AE101" s="1165"/>
      <c r="AF101" s="1165"/>
      <c r="AG101" s="1165"/>
      <c r="AH101" s="1165"/>
      <c r="AI101" s="1165"/>
      <c r="AJ101" s="1165"/>
      <c r="AK101" s="1357"/>
      <c r="AL101" s="1357"/>
      <c r="AM101" s="1357"/>
      <c r="AN101" s="1357"/>
      <c r="AO101" s="1357"/>
      <c r="AP101" s="1357"/>
      <c r="AQ101" s="1619"/>
    </row>
    <row r="102" spans="1:45" s="399" customFormat="1" ht="61.5" customHeight="1" x14ac:dyDescent="0.2">
      <c r="A102" s="3185"/>
      <c r="B102" s="3189"/>
      <c r="C102" s="3190"/>
      <c r="D102" s="3105"/>
      <c r="E102" s="3105"/>
      <c r="F102" s="3105"/>
      <c r="G102" s="1347"/>
      <c r="H102" s="1536"/>
      <c r="I102" s="1537"/>
      <c r="J102" s="3087">
        <v>234</v>
      </c>
      <c r="K102" s="3088" t="s">
        <v>1461</v>
      </c>
      <c r="L102" s="3088" t="s">
        <v>1462</v>
      </c>
      <c r="M102" s="3042">
        <v>2</v>
      </c>
      <c r="N102" s="1615"/>
      <c r="O102" s="3027" t="s">
        <v>1463</v>
      </c>
      <c r="P102" s="3015" t="s">
        <v>1464</v>
      </c>
      <c r="Q102" s="3040">
        <f>SUM(V102:V103)/R102</f>
        <v>0.26315789473684209</v>
      </c>
      <c r="R102" s="3064">
        <f>SUM(V102:V114)</f>
        <v>38000000</v>
      </c>
      <c r="S102" s="3036" t="s">
        <v>1465</v>
      </c>
      <c r="T102" s="3036" t="s">
        <v>1466</v>
      </c>
      <c r="U102" s="1548" t="s">
        <v>1467</v>
      </c>
      <c r="V102" s="1614">
        <v>5000000</v>
      </c>
      <c r="W102" s="1620" t="s">
        <v>61</v>
      </c>
      <c r="X102" s="1621" t="s">
        <v>1409</v>
      </c>
      <c r="Y102" s="3037">
        <v>638</v>
      </c>
      <c r="Z102" s="3031">
        <v>612</v>
      </c>
      <c r="AA102" s="3031">
        <v>380</v>
      </c>
      <c r="AB102" s="3031">
        <v>280</v>
      </c>
      <c r="AC102" s="3031">
        <v>161</v>
      </c>
      <c r="AD102" s="3031">
        <v>429</v>
      </c>
      <c r="AE102" s="3031"/>
      <c r="AF102" s="3031"/>
      <c r="AG102" s="3031"/>
      <c r="AH102" s="3031"/>
      <c r="AI102" s="3031"/>
      <c r="AJ102" s="3031"/>
      <c r="AK102" s="3031"/>
      <c r="AL102" s="3031"/>
      <c r="AM102" s="3031"/>
      <c r="AN102" s="3033">
        <v>1250</v>
      </c>
      <c r="AO102" s="3005">
        <v>43475</v>
      </c>
      <c r="AP102" s="3005">
        <v>43809</v>
      </c>
      <c r="AQ102" s="3009" t="s">
        <v>1383</v>
      </c>
      <c r="AR102" s="1347"/>
      <c r="AS102" s="1347"/>
    </row>
    <row r="103" spans="1:45" s="399" customFormat="1" ht="55.5" customHeight="1" x14ac:dyDescent="0.2">
      <c r="A103" s="3185"/>
      <c r="B103" s="3189"/>
      <c r="C103" s="3190"/>
      <c r="D103" s="3105"/>
      <c r="E103" s="3105"/>
      <c r="F103" s="3105"/>
      <c r="G103" s="1347"/>
      <c r="H103" s="1541"/>
      <c r="I103" s="1542"/>
      <c r="J103" s="3087"/>
      <c r="K103" s="3088"/>
      <c r="L103" s="3088"/>
      <c r="M103" s="3042"/>
      <c r="N103" s="1615"/>
      <c r="O103" s="3027"/>
      <c r="P103" s="3015"/>
      <c r="Q103" s="3040"/>
      <c r="R103" s="3011"/>
      <c r="S103" s="3036"/>
      <c r="T103" s="3036"/>
      <c r="U103" s="1548" t="s">
        <v>1468</v>
      </c>
      <c r="V103" s="1614">
        <v>5000000</v>
      </c>
      <c r="W103" s="1622">
        <v>20</v>
      </c>
      <c r="X103" s="1621" t="s">
        <v>62</v>
      </c>
      <c r="Y103" s="3038"/>
      <c r="Z103" s="3032"/>
      <c r="AA103" s="3032"/>
      <c r="AB103" s="3032"/>
      <c r="AC103" s="3032"/>
      <c r="AD103" s="3032"/>
      <c r="AE103" s="3032"/>
      <c r="AF103" s="3032"/>
      <c r="AG103" s="3032"/>
      <c r="AH103" s="3032"/>
      <c r="AI103" s="3032"/>
      <c r="AJ103" s="3032"/>
      <c r="AK103" s="3032"/>
      <c r="AL103" s="3032"/>
      <c r="AM103" s="3032"/>
      <c r="AN103" s="3034"/>
      <c r="AO103" s="3006"/>
      <c r="AP103" s="3006"/>
      <c r="AQ103" s="3010"/>
      <c r="AR103" s="3055"/>
      <c r="AS103" s="1347"/>
    </row>
    <row r="104" spans="1:45" s="399" customFormat="1" ht="34.5" customHeight="1" x14ac:dyDescent="0.2">
      <c r="A104" s="3185"/>
      <c r="B104" s="3189"/>
      <c r="C104" s="3190"/>
      <c r="D104" s="3105"/>
      <c r="E104" s="3105"/>
      <c r="F104" s="3105"/>
      <c r="G104" s="1347"/>
      <c r="H104" s="1541"/>
      <c r="I104" s="1542"/>
      <c r="J104" s="3087">
        <v>235</v>
      </c>
      <c r="K104" s="3088" t="s">
        <v>1469</v>
      </c>
      <c r="L104" s="3089" t="s">
        <v>1470</v>
      </c>
      <c r="M104" s="3042">
        <v>2</v>
      </c>
      <c r="N104" s="1615" t="s">
        <v>1471</v>
      </c>
      <c r="O104" s="3027"/>
      <c r="P104" s="3015"/>
      <c r="Q104" s="3040">
        <f>SUM(V104:V114)/R102</f>
        <v>0.73684210526315785</v>
      </c>
      <c r="R104" s="3011"/>
      <c r="S104" s="3036"/>
      <c r="T104" s="3065"/>
      <c r="U104" s="3109" t="s">
        <v>1472</v>
      </c>
      <c r="V104" s="1614">
        <v>2000000</v>
      </c>
      <c r="W104" s="1622">
        <v>20</v>
      </c>
      <c r="X104" s="1621" t="s">
        <v>62</v>
      </c>
      <c r="Y104" s="3038"/>
      <c r="Z104" s="3032"/>
      <c r="AA104" s="3032"/>
      <c r="AB104" s="3032"/>
      <c r="AC104" s="3032"/>
      <c r="AD104" s="3032"/>
      <c r="AE104" s="3032"/>
      <c r="AF104" s="3032"/>
      <c r="AG104" s="3032"/>
      <c r="AH104" s="3032"/>
      <c r="AI104" s="3032"/>
      <c r="AJ104" s="3032"/>
      <c r="AK104" s="3032"/>
      <c r="AL104" s="3032"/>
      <c r="AM104" s="3032"/>
      <c r="AN104" s="3034"/>
      <c r="AO104" s="3006"/>
      <c r="AP104" s="3006"/>
      <c r="AQ104" s="3010"/>
      <c r="AR104" s="3055"/>
      <c r="AS104" s="1347"/>
    </row>
    <row r="105" spans="1:45" s="399" customFormat="1" ht="34.5" customHeight="1" x14ac:dyDescent="0.2">
      <c r="A105" s="3185"/>
      <c r="B105" s="3189"/>
      <c r="C105" s="3190"/>
      <c r="D105" s="3105"/>
      <c r="E105" s="3105"/>
      <c r="F105" s="3105"/>
      <c r="G105" s="1347"/>
      <c r="H105" s="1541"/>
      <c r="I105" s="1542"/>
      <c r="J105" s="3087"/>
      <c r="K105" s="3088"/>
      <c r="L105" s="3089"/>
      <c r="M105" s="3042"/>
      <c r="N105" s="1623"/>
      <c r="O105" s="3027"/>
      <c r="P105" s="3015"/>
      <c r="Q105" s="3040"/>
      <c r="R105" s="3011"/>
      <c r="S105" s="3036"/>
      <c r="T105" s="3065"/>
      <c r="U105" s="3110"/>
      <c r="V105" s="1614">
        <v>400000</v>
      </c>
      <c r="W105" s="1622">
        <v>88</v>
      </c>
      <c r="X105" s="1621"/>
      <c r="Y105" s="3038"/>
      <c r="Z105" s="3032"/>
      <c r="AA105" s="3032"/>
      <c r="AB105" s="3032"/>
      <c r="AC105" s="3032"/>
      <c r="AD105" s="3032"/>
      <c r="AE105" s="3032"/>
      <c r="AF105" s="3032"/>
      <c r="AG105" s="3032"/>
      <c r="AH105" s="3032"/>
      <c r="AI105" s="3032"/>
      <c r="AJ105" s="3032"/>
      <c r="AK105" s="3032"/>
      <c r="AL105" s="3032"/>
      <c r="AM105" s="3032"/>
      <c r="AN105" s="3034"/>
      <c r="AO105" s="3006"/>
      <c r="AP105" s="3006"/>
      <c r="AQ105" s="3010"/>
      <c r="AR105" s="3055"/>
      <c r="AS105" s="1347"/>
    </row>
    <row r="106" spans="1:45" s="399" customFormat="1" ht="24.75" customHeight="1" x14ac:dyDescent="0.2">
      <c r="A106" s="3185"/>
      <c r="B106" s="3189"/>
      <c r="C106" s="3190"/>
      <c r="D106" s="3105"/>
      <c r="E106" s="3105"/>
      <c r="F106" s="3105"/>
      <c r="G106" s="1347"/>
      <c r="H106" s="1541"/>
      <c r="I106" s="1542"/>
      <c r="J106" s="3087"/>
      <c r="K106" s="3088"/>
      <c r="L106" s="3089"/>
      <c r="M106" s="3042"/>
      <c r="O106" s="3027"/>
      <c r="P106" s="3015"/>
      <c r="Q106" s="3040"/>
      <c r="R106" s="3011"/>
      <c r="S106" s="3036"/>
      <c r="T106" s="3065"/>
      <c r="U106" s="1554" t="s">
        <v>1473</v>
      </c>
      <c r="V106" s="1614">
        <v>5000000</v>
      </c>
      <c r="W106" s="1622">
        <v>20</v>
      </c>
      <c r="X106" s="1621" t="s">
        <v>62</v>
      </c>
      <c r="Y106" s="3038"/>
      <c r="Z106" s="3032"/>
      <c r="AA106" s="3032"/>
      <c r="AB106" s="3032"/>
      <c r="AC106" s="3032"/>
      <c r="AD106" s="3032"/>
      <c r="AE106" s="3032"/>
      <c r="AF106" s="3032"/>
      <c r="AG106" s="3032"/>
      <c r="AH106" s="3032"/>
      <c r="AI106" s="3032"/>
      <c r="AJ106" s="3032"/>
      <c r="AK106" s="3032"/>
      <c r="AL106" s="3032"/>
      <c r="AM106" s="3032"/>
      <c r="AN106" s="3034"/>
      <c r="AO106" s="3006"/>
      <c r="AP106" s="3006"/>
      <c r="AQ106" s="3010"/>
      <c r="AR106" s="3055"/>
      <c r="AS106" s="1347"/>
    </row>
    <row r="107" spans="1:45" s="399" customFormat="1" ht="29.25" customHeight="1" x14ac:dyDescent="0.2">
      <c r="A107" s="3185"/>
      <c r="B107" s="3189"/>
      <c r="C107" s="3190"/>
      <c r="D107" s="3105"/>
      <c r="E107" s="3105"/>
      <c r="F107" s="3105"/>
      <c r="G107" s="1347"/>
      <c r="H107" s="1541"/>
      <c r="I107" s="1542"/>
      <c r="J107" s="3087"/>
      <c r="K107" s="3088"/>
      <c r="L107" s="3089"/>
      <c r="M107" s="3042"/>
      <c r="N107" s="1615" t="s">
        <v>1474</v>
      </c>
      <c r="O107" s="3027"/>
      <c r="P107" s="3015"/>
      <c r="Q107" s="3040"/>
      <c r="R107" s="3011"/>
      <c r="S107" s="3036"/>
      <c r="T107" s="3065"/>
      <c r="U107" s="3109" t="s">
        <v>1475</v>
      </c>
      <c r="V107" s="1614">
        <v>4000000</v>
      </c>
      <c r="W107" s="1622">
        <v>20</v>
      </c>
      <c r="X107" s="1621" t="s">
        <v>62</v>
      </c>
      <c r="Y107" s="3038"/>
      <c r="Z107" s="3032"/>
      <c r="AA107" s="3032"/>
      <c r="AB107" s="3032"/>
      <c r="AC107" s="3032"/>
      <c r="AD107" s="3032"/>
      <c r="AE107" s="3032"/>
      <c r="AF107" s="3032"/>
      <c r="AG107" s="3032"/>
      <c r="AH107" s="3032"/>
      <c r="AI107" s="3032"/>
      <c r="AJ107" s="3032"/>
      <c r="AK107" s="3032"/>
      <c r="AL107" s="3032"/>
      <c r="AM107" s="3032"/>
      <c r="AN107" s="3034"/>
      <c r="AO107" s="3006"/>
      <c r="AP107" s="3006"/>
      <c r="AQ107" s="3010"/>
      <c r="AR107" s="1347"/>
      <c r="AS107" s="1347"/>
    </row>
    <row r="108" spans="1:45" s="399" customFormat="1" ht="30" customHeight="1" x14ac:dyDescent="0.2">
      <c r="A108" s="3185"/>
      <c r="B108" s="3189"/>
      <c r="C108" s="3190"/>
      <c r="D108" s="3105"/>
      <c r="E108" s="3105"/>
      <c r="F108" s="3105"/>
      <c r="G108" s="1347"/>
      <c r="H108" s="1541"/>
      <c r="I108" s="1542"/>
      <c r="J108" s="3087"/>
      <c r="K108" s="3088"/>
      <c r="L108" s="3089"/>
      <c r="M108" s="3042"/>
      <c r="N108" s="1615"/>
      <c r="O108" s="3027"/>
      <c r="P108" s="3015"/>
      <c r="Q108" s="3040"/>
      <c r="R108" s="3011"/>
      <c r="S108" s="3036"/>
      <c r="T108" s="3065"/>
      <c r="U108" s="3110"/>
      <c r="V108" s="1614">
        <v>9600000</v>
      </c>
      <c r="W108" s="1622">
        <v>88</v>
      </c>
      <c r="X108" s="1621"/>
      <c r="Y108" s="3038"/>
      <c r="Z108" s="3032"/>
      <c r="AA108" s="3032"/>
      <c r="AB108" s="3032"/>
      <c r="AC108" s="3032"/>
      <c r="AD108" s="3032"/>
      <c r="AE108" s="3032"/>
      <c r="AF108" s="3032"/>
      <c r="AG108" s="3032"/>
      <c r="AH108" s="3032"/>
      <c r="AI108" s="3032"/>
      <c r="AJ108" s="3032"/>
      <c r="AK108" s="3032"/>
      <c r="AL108" s="3032"/>
      <c r="AM108" s="3032"/>
      <c r="AN108" s="3034"/>
      <c r="AO108" s="3006"/>
      <c r="AP108" s="3006"/>
      <c r="AQ108" s="3010"/>
      <c r="AR108" s="1347"/>
      <c r="AS108" s="1347"/>
    </row>
    <row r="109" spans="1:45" s="399" customFormat="1" ht="21.75" customHeight="1" x14ac:dyDescent="0.2">
      <c r="A109" s="3185"/>
      <c r="B109" s="3189"/>
      <c r="C109" s="3190"/>
      <c r="D109" s="3105"/>
      <c r="E109" s="3105"/>
      <c r="F109" s="3105"/>
      <c r="G109" s="1347"/>
      <c r="H109" s="1541"/>
      <c r="I109" s="1542"/>
      <c r="J109" s="3087"/>
      <c r="K109" s="3088"/>
      <c r="L109" s="3089"/>
      <c r="M109" s="3042"/>
      <c r="N109" s="1615"/>
      <c r="O109" s="3027"/>
      <c r="P109" s="3015"/>
      <c r="Q109" s="3040"/>
      <c r="R109" s="3011"/>
      <c r="S109" s="3036"/>
      <c r="T109" s="3065"/>
      <c r="U109" s="1554" t="s">
        <v>1476</v>
      </c>
      <c r="V109" s="1614">
        <v>1000000</v>
      </c>
      <c r="W109" s="1622">
        <v>20</v>
      </c>
      <c r="X109" s="1621" t="s">
        <v>62</v>
      </c>
      <c r="Y109" s="3038"/>
      <c r="Z109" s="3032"/>
      <c r="AA109" s="3032"/>
      <c r="AB109" s="3032"/>
      <c r="AC109" s="3032"/>
      <c r="AD109" s="3032"/>
      <c r="AE109" s="3032"/>
      <c r="AF109" s="3032"/>
      <c r="AG109" s="3032"/>
      <c r="AH109" s="3032"/>
      <c r="AI109" s="3032"/>
      <c r="AJ109" s="3032"/>
      <c r="AK109" s="3032"/>
      <c r="AL109" s="3032"/>
      <c r="AM109" s="3032"/>
      <c r="AN109" s="3034"/>
      <c r="AO109" s="3006"/>
      <c r="AP109" s="3006"/>
      <c r="AQ109" s="3010"/>
      <c r="AR109" s="1347"/>
      <c r="AS109" s="1347"/>
    </row>
    <row r="110" spans="1:45" s="399" customFormat="1" ht="27.75" customHeight="1" x14ac:dyDescent="0.2">
      <c r="A110" s="3185"/>
      <c r="B110" s="3189"/>
      <c r="C110" s="3190"/>
      <c r="D110" s="3105"/>
      <c r="E110" s="3105"/>
      <c r="F110" s="3105"/>
      <c r="G110" s="1347"/>
      <c r="H110" s="1541"/>
      <c r="I110" s="1542"/>
      <c r="J110" s="3087"/>
      <c r="K110" s="3088"/>
      <c r="L110" s="3089"/>
      <c r="M110" s="3042"/>
      <c r="N110" s="1615"/>
      <c r="O110" s="3027"/>
      <c r="P110" s="3015"/>
      <c r="Q110" s="3040"/>
      <c r="R110" s="3011"/>
      <c r="S110" s="3036"/>
      <c r="T110" s="3065"/>
      <c r="U110" s="1554" t="s">
        <v>1477</v>
      </c>
      <c r="V110" s="1614">
        <v>1000000</v>
      </c>
      <c r="W110" s="1622">
        <v>20</v>
      </c>
      <c r="X110" s="1621" t="s">
        <v>62</v>
      </c>
      <c r="Y110" s="3038"/>
      <c r="Z110" s="3032"/>
      <c r="AA110" s="3032"/>
      <c r="AB110" s="3032"/>
      <c r="AC110" s="3032"/>
      <c r="AD110" s="3032"/>
      <c r="AE110" s="3032"/>
      <c r="AF110" s="3032"/>
      <c r="AG110" s="3032"/>
      <c r="AH110" s="3032"/>
      <c r="AI110" s="3032"/>
      <c r="AJ110" s="3032"/>
      <c r="AK110" s="3032"/>
      <c r="AL110" s="3032"/>
      <c r="AM110" s="3032"/>
      <c r="AN110" s="3034"/>
      <c r="AO110" s="3006"/>
      <c r="AP110" s="3006"/>
      <c r="AQ110" s="3010"/>
      <c r="AR110" s="1347"/>
      <c r="AS110" s="1347"/>
    </row>
    <row r="111" spans="1:45" s="399" customFormat="1" ht="27" customHeight="1" x14ac:dyDescent="0.2">
      <c r="A111" s="3185"/>
      <c r="B111" s="3189"/>
      <c r="C111" s="3190"/>
      <c r="D111" s="3105"/>
      <c r="E111" s="3105"/>
      <c r="F111" s="3105"/>
      <c r="G111" s="1347"/>
      <c r="H111" s="1541"/>
      <c r="I111" s="1542"/>
      <c r="J111" s="3087"/>
      <c r="K111" s="3088"/>
      <c r="L111" s="3089"/>
      <c r="M111" s="3042"/>
      <c r="N111" s="1615"/>
      <c r="O111" s="3027"/>
      <c r="P111" s="3015"/>
      <c r="Q111" s="3040"/>
      <c r="R111" s="3011"/>
      <c r="S111" s="3036"/>
      <c r="T111" s="3065"/>
      <c r="U111" s="2644" t="s">
        <v>1478</v>
      </c>
      <c r="V111" s="1624">
        <v>2000000</v>
      </c>
      <c r="W111" s="1622">
        <v>20</v>
      </c>
      <c r="X111" s="1621" t="s">
        <v>62</v>
      </c>
      <c r="Y111" s="3038"/>
      <c r="Z111" s="3032"/>
      <c r="AA111" s="3032"/>
      <c r="AB111" s="3032"/>
      <c r="AC111" s="3032"/>
      <c r="AD111" s="3032"/>
      <c r="AE111" s="3032"/>
      <c r="AF111" s="3032"/>
      <c r="AG111" s="3032"/>
      <c r="AH111" s="3032"/>
      <c r="AI111" s="3032"/>
      <c r="AJ111" s="3032"/>
      <c r="AK111" s="3032"/>
      <c r="AL111" s="3032"/>
      <c r="AM111" s="3032"/>
      <c r="AN111" s="3034"/>
      <c r="AO111" s="3006"/>
      <c r="AP111" s="3006"/>
      <c r="AQ111" s="3010"/>
      <c r="AR111" s="1347"/>
      <c r="AS111" s="1347"/>
    </row>
    <row r="112" spans="1:45" s="399" customFormat="1" ht="28.5" customHeight="1" x14ac:dyDescent="0.2">
      <c r="A112" s="3185"/>
      <c r="B112" s="3189"/>
      <c r="C112" s="3190"/>
      <c r="D112" s="3105"/>
      <c r="E112" s="3105"/>
      <c r="F112" s="3105"/>
      <c r="G112" s="1347"/>
      <c r="H112" s="1541"/>
      <c r="I112" s="1542"/>
      <c r="J112" s="3087"/>
      <c r="K112" s="3088"/>
      <c r="L112" s="3089"/>
      <c r="M112" s="3042"/>
      <c r="N112" s="1615"/>
      <c r="O112" s="3027"/>
      <c r="P112" s="3015"/>
      <c r="Q112" s="3040"/>
      <c r="R112" s="3011"/>
      <c r="S112" s="3036"/>
      <c r="T112" s="3065"/>
      <c r="U112" s="2645"/>
      <c r="V112" s="1624">
        <v>0</v>
      </c>
      <c r="W112" s="1622">
        <v>88</v>
      </c>
      <c r="X112" s="1621" t="s">
        <v>1479</v>
      </c>
      <c r="Y112" s="3038"/>
      <c r="Z112" s="3032"/>
      <c r="AA112" s="3032"/>
      <c r="AB112" s="3032"/>
      <c r="AC112" s="3032"/>
      <c r="AD112" s="3032"/>
      <c r="AE112" s="3032"/>
      <c r="AF112" s="3032"/>
      <c r="AG112" s="3032"/>
      <c r="AH112" s="3032"/>
      <c r="AI112" s="3032"/>
      <c r="AJ112" s="3032"/>
      <c r="AK112" s="3032"/>
      <c r="AL112" s="3032"/>
      <c r="AM112" s="3032"/>
      <c r="AN112" s="3034"/>
      <c r="AO112" s="3006"/>
      <c r="AP112" s="3006"/>
      <c r="AQ112" s="3010"/>
      <c r="AR112" s="1347"/>
      <c r="AS112" s="1347"/>
    </row>
    <row r="113" spans="1:45" s="399" customFormat="1" ht="30.75" customHeight="1" x14ac:dyDescent="0.2">
      <c r="A113" s="3185"/>
      <c r="B113" s="3189"/>
      <c r="C113" s="3190"/>
      <c r="D113" s="3105"/>
      <c r="E113" s="3105"/>
      <c r="F113" s="3105"/>
      <c r="G113" s="1347"/>
      <c r="H113" s="1541"/>
      <c r="I113" s="1542"/>
      <c r="J113" s="3087"/>
      <c r="K113" s="3088"/>
      <c r="L113" s="3089"/>
      <c r="M113" s="3042"/>
      <c r="N113" s="1615"/>
      <c r="O113" s="3027"/>
      <c r="P113" s="3015"/>
      <c r="Q113" s="3040"/>
      <c r="R113" s="3011"/>
      <c r="S113" s="3036"/>
      <c r="T113" s="3065"/>
      <c r="U113" s="2644" t="s">
        <v>1480</v>
      </c>
      <c r="V113" s="1624">
        <v>3000000</v>
      </c>
      <c r="W113" s="1625">
        <v>20</v>
      </c>
      <c r="X113" s="1626" t="s">
        <v>62</v>
      </c>
      <c r="Y113" s="3038"/>
      <c r="Z113" s="3032"/>
      <c r="AA113" s="3032"/>
      <c r="AB113" s="3032"/>
      <c r="AC113" s="3032"/>
      <c r="AD113" s="3032"/>
      <c r="AE113" s="3032"/>
      <c r="AF113" s="3032"/>
      <c r="AG113" s="3032"/>
      <c r="AH113" s="3032"/>
      <c r="AI113" s="3032"/>
      <c r="AJ113" s="3032"/>
      <c r="AK113" s="3032"/>
      <c r="AL113" s="3032"/>
      <c r="AM113" s="3032"/>
      <c r="AN113" s="3034"/>
      <c r="AO113" s="3006"/>
      <c r="AP113" s="3006"/>
      <c r="AQ113" s="3010"/>
      <c r="AR113" s="1347"/>
      <c r="AS113" s="1347"/>
    </row>
    <row r="114" spans="1:45" s="399" customFormat="1" ht="31.5" customHeight="1" x14ac:dyDescent="0.2">
      <c r="A114" s="3185"/>
      <c r="B114" s="3189"/>
      <c r="C114" s="3190"/>
      <c r="D114" s="3105"/>
      <c r="E114" s="3105"/>
      <c r="F114" s="3105"/>
      <c r="G114" s="1347"/>
      <c r="H114" s="1558"/>
      <c r="I114" s="1559"/>
      <c r="J114" s="3087"/>
      <c r="K114" s="3088"/>
      <c r="L114" s="3089"/>
      <c r="M114" s="3042"/>
      <c r="N114" s="1615"/>
      <c r="O114" s="3027"/>
      <c r="P114" s="3015"/>
      <c r="Q114" s="3040"/>
      <c r="R114" s="3012"/>
      <c r="S114" s="3036"/>
      <c r="T114" s="3065"/>
      <c r="U114" s="2645"/>
      <c r="V114" s="1624">
        <v>0</v>
      </c>
      <c r="W114" s="1625">
        <v>88</v>
      </c>
      <c r="X114" s="1621" t="s">
        <v>1479</v>
      </c>
      <c r="Y114" s="3038"/>
      <c r="Z114" s="3032"/>
      <c r="AA114" s="3032"/>
      <c r="AB114" s="3032"/>
      <c r="AC114" s="3032"/>
      <c r="AD114" s="3032"/>
      <c r="AE114" s="3032"/>
      <c r="AF114" s="3032"/>
      <c r="AG114" s="3032"/>
      <c r="AH114" s="3032"/>
      <c r="AI114" s="3032"/>
      <c r="AJ114" s="3032"/>
      <c r="AK114" s="3032"/>
      <c r="AL114" s="3032"/>
      <c r="AM114" s="3032"/>
      <c r="AN114" s="3035"/>
      <c r="AO114" s="3007"/>
      <c r="AP114" s="3007"/>
      <c r="AQ114" s="3010"/>
      <c r="AR114" s="1347"/>
      <c r="AS114" s="1347"/>
    </row>
    <row r="115" spans="1:45" s="1347" customFormat="1" ht="15" customHeight="1" x14ac:dyDescent="0.2">
      <c r="A115" s="3185"/>
      <c r="B115" s="3189"/>
      <c r="C115" s="3190"/>
      <c r="D115" s="1581">
        <v>25</v>
      </c>
      <c r="E115" s="424" t="s">
        <v>1481</v>
      </c>
      <c r="F115" s="424"/>
      <c r="G115" s="1513"/>
      <c r="H115" s="1513"/>
      <c r="I115" s="1513"/>
      <c r="J115" s="1582"/>
      <c r="K115" s="1583"/>
      <c r="L115" s="1584"/>
      <c r="M115" s="1585"/>
      <c r="N115" s="1517"/>
      <c r="O115" s="1514"/>
      <c r="P115" s="1516"/>
      <c r="Q115" s="1586"/>
      <c r="R115" s="1587" t="s">
        <v>1482</v>
      </c>
      <c r="S115" s="1584"/>
      <c r="T115" s="1583"/>
      <c r="U115" s="1583"/>
      <c r="V115" s="1588"/>
      <c r="W115" s="1589"/>
      <c r="X115" s="1589"/>
      <c r="Y115" s="1513"/>
      <c r="Z115" s="1513"/>
      <c r="AA115" s="1513"/>
      <c r="AB115" s="1513"/>
      <c r="AC115" s="1513"/>
      <c r="AD115" s="1513"/>
      <c r="AE115" s="1513"/>
      <c r="AF115" s="1513"/>
      <c r="AG115" s="1513"/>
      <c r="AH115" s="1513"/>
      <c r="AI115" s="1513"/>
      <c r="AJ115" s="1513"/>
      <c r="AK115" s="1513"/>
      <c r="AL115" s="1522"/>
      <c r="AM115" s="1516"/>
      <c r="AN115" s="1516"/>
      <c r="AO115" s="1516"/>
      <c r="AP115" s="1516"/>
      <c r="AQ115" s="1523"/>
    </row>
    <row r="116" spans="1:45" s="1347" customFormat="1" ht="15" customHeight="1" x14ac:dyDescent="0.2">
      <c r="A116" s="3185"/>
      <c r="B116" s="3189"/>
      <c r="C116" s="3190"/>
      <c r="D116" s="3105"/>
      <c r="E116" s="3105"/>
      <c r="F116" s="3105"/>
      <c r="G116" s="1524">
        <v>81</v>
      </c>
      <c r="H116" s="1165" t="s">
        <v>1483</v>
      </c>
      <c r="I116" s="1165"/>
      <c r="J116" s="1525"/>
      <c r="K116" s="1127"/>
      <c r="L116" s="1526"/>
      <c r="M116" s="1527"/>
      <c r="N116" s="1528"/>
      <c r="O116" s="1529"/>
      <c r="P116" s="1125"/>
      <c r="Q116" s="1530"/>
      <c r="R116" s="1590"/>
      <c r="S116" s="1526"/>
      <c r="T116" s="1127"/>
      <c r="U116" s="1127"/>
      <c r="V116" s="1129"/>
      <c r="W116" s="1591"/>
      <c r="X116" s="1591"/>
      <c r="Y116" s="1355"/>
      <c r="Z116" s="1355"/>
      <c r="AA116" s="1355"/>
      <c r="AB116" s="1355"/>
      <c r="AC116" s="1355"/>
      <c r="AD116" s="1355"/>
      <c r="AE116" s="1355"/>
      <c r="AF116" s="1355"/>
      <c r="AG116" s="1355"/>
      <c r="AH116" s="1355"/>
      <c r="AI116" s="1355"/>
      <c r="AJ116" s="1355"/>
      <c r="AK116" s="1357"/>
      <c r="AL116" s="1357"/>
      <c r="AM116" s="1125"/>
      <c r="AN116" s="1125"/>
      <c r="AO116" s="1125"/>
      <c r="AP116" s="1125"/>
      <c r="AQ116" s="1358"/>
    </row>
    <row r="117" spans="1:45" s="399" customFormat="1" ht="51" customHeight="1" x14ac:dyDescent="0.2">
      <c r="A117" s="3185"/>
      <c r="B117" s="3189"/>
      <c r="C117" s="3190"/>
      <c r="D117" s="3105"/>
      <c r="E117" s="3105"/>
      <c r="F117" s="3105"/>
      <c r="G117" s="1347"/>
      <c r="H117" s="1536"/>
      <c r="I117" s="1537"/>
      <c r="J117" s="3043">
        <v>236</v>
      </c>
      <c r="K117" s="3047" t="s">
        <v>1484</v>
      </c>
      <c r="L117" s="3047" t="s">
        <v>1485</v>
      </c>
      <c r="M117" s="3043">
        <v>3</v>
      </c>
      <c r="N117" s="1627"/>
      <c r="O117" s="3027" t="s">
        <v>1486</v>
      </c>
      <c r="P117" s="3015" t="s">
        <v>1487</v>
      </c>
      <c r="Q117" s="1628">
        <f>SUM(V117)/R117</f>
        <v>0.10655249612215607</v>
      </c>
      <c r="R117" s="3106">
        <f>SUM(V117:V141)</f>
        <v>955866861</v>
      </c>
      <c r="S117" s="3036" t="s">
        <v>1488</v>
      </c>
      <c r="T117" s="3036" t="s">
        <v>1489</v>
      </c>
      <c r="U117" s="3083" t="s">
        <v>1490</v>
      </c>
      <c r="V117" s="1560">
        <v>101850000</v>
      </c>
      <c r="W117" s="1629" t="s">
        <v>61</v>
      </c>
      <c r="X117" s="1621" t="s">
        <v>1409</v>
      </c>
      <c r="Y117" s="3102">
        <v>9110</v>
      </c>
      <c r="Z117" s="3102">
        <v>8787</v>
      </c>
      <c r="AA117" s="3033">
        <v>4273</v>
      </c>
      <c r="AB117" s="3102">
        <v>3599</v>
      </c>
      <c r="AC117" s="3102">
        <v>7463</v>
      </c>
      <c r="AD117" s="3102">
        <v>2562</v>
      </c>
      <c r="AE117" s="3099"/>
      <c r="AF117" s="3099"/>
      <c r="AG117" s="3099"/>
      <c r="AH117" s="3099"/>
      <c r="AI117" s="3099"/>
      <c r="AJ117" s="3099"/>
      <c r="AK117" s="3099"/>
      <c r="AL117" s="3099"/>
      <c r="AM117" s="3099"/>
      <c r="AN117" s="3033">
        <v>17897</v>
      </c>
      <c r="AO117" s="3005">
        <v>43480</v>
      </c>
      <c r="AP117" s="3005">
        <v>43819</v>
      </c>
      <c r="AQ117" s="3009" t="s">
        <v>1383</v>
      </c>
      <c r="AR117" s="1347"/>
      <c r="AS117" s="1347"/>
    </row>
    <row r="118" spans="1:45" s="399" customFormat="1" ht="51" customHeight="1" x14ac:dyDescent="0.2">
      <c r="A118" s="3185"/>
      <c r="B118" s="3189"/>
      <c r="C118" s="3190"/>
      <c r="D118" s="3105"/>
      <c r="E118" s="3105"/>
      <c r="F118" s="3105"/>
      <c r="G118" s="1347"/>
      <c r="H118" s="1541"/>
      <c r="I118" s="1542"/>
      <c r="J118" s="3024"/>
      <c r="K118" s="3049"/>
      <c r="L118" s="3049"/>
      <c r="M118" s="3024"/>
      <c r="N118" s="1627"/>
      <c r="O118" s="3027"/>
      <c r="P118" s="3015"/>
      <c r="Q118" s="1628">
        <f>SUM(V118)/R117</f>
        <v>7.793930414332044E-2</v>
      </c>
      <c r="R118" s="3107"/>
      <c r="S118" s="3036"/>
      <c r="T118" s="3036"/>
      <c r="U118" s="3084"/>
      <c r="V118" s="1560">
        <v>74499598</v>
      </c>
      <c r="W118" s="1629">
        <v>88</v>
      </c>
      <c r="X118" s="1621" t="s">
        <v>1479</v>
      </c>
      <c r="Y118" s="3103"/>
      <c r="Z118" s="3103"/>
      <c r="AA118" s="3034"/>
      <c r="AB118" s="3103"/>
      <c r="AC118" s="3103"/>
      <c r="AD118" s="3103"/>
      <c r="AE118" s="3100"/>
      <c r="AF118" s="3100"/>
      <c r="AG118" s="3100"/>
      <c r="AH118" s="3100"/>
      <c r="AI118" s="3100"/>
      <c r="AJ118" s="3100"/>
      <c r="AK118" s="3100"/>
      <c r="AL118" s="3100"/>
      <c r="AM118" s="3100"/>
      <c r="AN118" s="3034"/>
      <c r="AO118" s="3006"/>
      <c r="AP118" s="3006"/>
      <c r="AQ118" s="3009"/>
      <c r="AR118" s="1347"/>
      <c r="AS118" s="1347"/>
    </row>
    <row r="119" spans="1:45" s="399" customFormat="1" ht="40.5" customHeight="1" x14ac:dyDescent="0.2">
      <c r="A119" s="3185"/>
      <c r="B119" s="3189"/>
      <c r="C119" s="3190"/>
      <c r="D119" s="3105"/>
      <c r="E119" s="3105"/>
      <c r="F119" s="3105"/>
      <c r="G119" s="1347"/>
      <c r="H119" s="1541"/>
      <c r="I119" s="1542"/>
      <c r="J119" s="3087">
        <v>237</v>
      </c>
      <c r="K119" s="3088" t="s">
        <v>1491</v>
      </c>
      <c r="L119" s="3089" t="s">
        <v>1492</v>
      </c>
      <c r="M119" s="3098">
        <v>5</v>
      </c>
      <c r="N119" s="1627"/>
      <c r="O119" s="3027"/>
      <c r="P119" s="3015"/>
      <c r="Q119" s="3085">
        <f>SUM(V119:V120)/R117</f>
        <v>2.0923416027914792E-2</v>
      </c>
      <c r="R119" s="3107"/>
      <c r="S119" s="3036"/>
      <c r="T119" s="3036"/>
      <c r="U119" s="1548" t="s">
        <v>1493</v>
      </c>
      <c r="V119" s="1560">
        <v>10000000</v>
      </c>
      <c r="W119" s="1622">
        <v>20</v>
      </c>
      <c r="X119" s="1621" t="s">
        <v>62</v>
      </c>
      <c r="Y119" s="3103"/>
      <c r="Z119" s="3103"/>
      <c r="AA119" s="3034"/>
      <c r="AB119" s="3103"/>
      <c r="AC119" s="3103"/>
      <c r="AD119" s="3103"/>
      <c r="AE119" s="3100"/>
      <c r="AF119" s="3100"/>
      <c r="AG119" s="3100"/>
      <c r="AH119" s="3100"/>
      <c r="AI119" s="3100"/>
      <c r="AJ119" s="3100"/>
      <c r="AK119" s="3100"/>
      <c r="AL119" s="3100"/>
      <c r="AM119" s="3100"/>
      <c r="AN119" s="3034"/>
      <c r="AO119" s="3006"/>
      <c r="AP119" s="3006"/>
      <c r="AQ119" s="3097"/>
      <c r="AR119" s="3055"/>
      <c r="AS119" s="1347"/>
    </row>
    <row r="120" spans="1:45" s="399" customFormat="1" ht="59.25" customHeight="1" x14ac:dyDescent="0.2">
      <c r="A120" s="3185"/>
      <c r="B120" s="3189"/>
      <c r="C120" s="3190"/>
      <c r="D120" s="3105"/>
      <c r="E120" s="3105"/>
      <c r="F120" s="3105"/>
      <c r="G120" s="1347"/>
      <c r="H120" s="1541"/>
      <c r="I120" s="1542"/>
      <c r="J120" s="3087"/>
      <c r="K120" s="3088"/>
      <c r="L120" s="3089"/>
      <c r="M120" s="3098"/>
      <c r="N120" s="1627"/>
      <c r="O120" s="3027"/>
      <c r="P120" s="3015"/>
      <c r="Q120" s="3085"/>
      <c r="R120" s="3107"/>
      <c r="S120" s="3036"/>
      <c r="T120" s="3036"/>
      <c r="U120" s="1548" t="s">
        <v>1494</v>
      </c>
      <c r="V120" s="1560">
        <v>10000000</v>
      </c>
      <c r="W120" s="1622">
        <v>20</v>
      </c>
      <c r="X120" s="1621" t="s">
        <v>62</v>
      </c>
      <c r="Y120" s="3103"/>
      <c r="Z120" s="3103"/>
      <c r="AA120" s="3034"/>
      <c r="AB120" s="3103"/>
      <c r="AC120" s="3103"/>
      <c r="AD120" s="3103"/>
      <c r="AE120" s="3100"/>
      <c r="AF120" s="3100"/>
      <c r="AG120" s="3100"/>
      <c r="AH120" s="3100"/>
      <c r="AI120" s="3100"/>
      <c r="AJ120" s="3100"/>
      <c r="AK120" s="3100"/>
      <c r="AL120" s="3100"/>
      <c r="AM120" s="3100"/>
      <c r="AN120" s="3034"/>
      <c r="AO120" s="3006"/>
      <c r="AP120" s="3006"/>
      <c r="AQ120" s="3097"/>
      <c r="AR120" s="3055"/>
      <c r="AS120" s="1347"/>
    </row>
    <row r="121" spans="1:45" s="399" customFormat="1" ht="35.25" customHeight="1" x14ac:dyDescent="0.2">
      <c r="A121" s="3185"/>
      <c r="B121" s="3189"/>
      <c r="C121" s="3190"/>
      <c r="D121" s="3105"/>
      <c r="E121" s="3105"/>
      <c r="F121" s="3105"/>
      <c r="G121" s="1347"/>
      <c r="H121" s="1541"/>
      <c r="I121" s="1542"/>
      <c r="J121" s="3087">
        <v>238</v>
      </c>
      <c r="K121" s="3088" t="s">
        <v>1495</v>
      </c>
      <c r="L121" s="3089" t="s">
        <v>1496</v>
      </c>
      <c r="M121" s="3087">
        <v>12</v>
      </c>
      <c r="N121" s="1627"/>
      <c r="O121" s="3027"/>
      <c r="P121" s="3015"/>
      <c r="Q121" s="3040">
        <f>SUM(V121:V127)/R117</f>
        <v>8.1501187224441288E-2</v>
      </c>
      <c r="R121" s="3107"/>
      <c r="S121" s="3036"/>
      <c r="T121" s="3036"/>
      <c r="U121" s="3083" t="s">
        <v>1497</v>
      </c>
      <c r="V121" s="1560">
        <v>18440166</v>
      </c>
      <c r="W121" s="1622">
        <v>20</v>
      </c>
      <c r="X121" s="1621" t="s">
        <v>62</v>
      </c>
      <c r="Y121" s="3103"/>
      <c r="Z121" s="3103"/>
      <c r="AA121" s="3034"/>
      <c r="AB121" s="3103"/>
      <c r="AC121" s="3103"/>
      <c r="AD121" s="3103"/>
      <c r="AE121" s="3100"/>
      <c r="AF121" s="3100"/>
      <c r="AG121" s="3100"/>
      <c r="AH121" s="3100"/>
      <c r="AI121" s="3100"/>
      <c r="AJ121" s="3100"/>
      <c r="AK121" s="3100"/>
      <c r="AL121" s="3100"/>
      <c r="AM121" s="3100"/>
      <c r="AN121" s="3034"/>
      <c r="AO121" s="3006"/>
      <c r="AP121" s="3006"/>
      <c r="AQ121" s="3097"/>
      <c r="AR121" s="3055"/>
      <c r="AS121" s="1347"/>
    </row>
    <row r="122" spans="1:45" s="399" customFormat="1" ht="35.25" customHeight="1" x14ac:dyDescent="0.2">
      <c r="A122" s="3185"/>
      <c r="B122" s="3189"/>
      <c r="C122" s="3190"/>
      <c r="D122" s="3105"/>
      <c r="E122" s="3105"/>
      <c r="F122" s="3105"/>
      <c r="G122" s="1347"/>
      <c r="H122" s="1541"/>
      <c r="I122" s="1542"/>
      <c r="J122" s="3087"/>
      <c r="K122" s="3088"/>
      <c r="L122" s="3089"/>
      <c r="M122" s="3087"/>
      <c r="N122" s="1627"/>
      <c r="O122" s="3027"/>
      <c r="P122" s="3015"/>
      <c r="Q122" s="3040"/>
      <c r="R122" s="3107"/>
      <c r="S122" s="3036"/>
      <c r="T122" s="3036"/>
      <c r="U122" s="3084"/>
      <c r="V122" s="1560">
        <v>20000000</v>
      </c>
      <c r="W122" s="1622">
        <v>88</v>
      </c>
      <c r="X122" s="1621" t="s">
        <v>1479</v>
      </c>
      <c r="Y122" s="3103"/>
      <c r="Z122" s="3103"/>
      <c r="AA122" s="3034"/>
      <c r="AB122" s="3103"/>
      <c r="AC122" s="3103"/>
      <c r="AD122" s="3103"/>
      <c r="AE122" s="3100"/>
      <c r="AF122" s="3100"/>
      <c r="AG122" s="3100"/>
      <c r="AH122" s="3100"/>
      <c r="AI122" s="3100"/>
      <c r="AJ122" s="3100"/>
      <c r="AK122" s="3100"/>
      <c r="AL122" s="3100"/>
      <c r="AM122" s="3100"/>
      <c r="AN122" s="3034"/>
      <c r="AO122" s="3006"/>
      <c r="AP122" s="3006"/>
      <c r="AQ122" s="3097"/>
      <c r="AR122" s="429"/>
      <c r="AS122" s="1347"/>
    </row>
    <row r="123" spans="1:45" s="399" customFormat="1" ht="33.75" customHeight="1" x14ac:dyDescent="0.2">
      <c r="A123" s="3185"/>
      <c r="B123" s="3189"/>
      <c r="C123" s="3190"/>
      <c r="D123" s="3105"/>
      <c r="E123" s="3105"/>
      <c r="F123" s="3105"/>
      <c r="G123" s="1347"/>
      <c r="H123" s="1541"/>
      <c r="I123" s="1542"/>
      <c r="J123" s="3087"/>
      <c r="K123" s="3088"/>
      <c r="L123" s="3089"/>
      <c r="M123" s="3087"/>
      <c r="N123" s="1627"/>
      <c r="O123" s="3027"/>
      <c r="P123" s="3015"/>
      <c r="Q123" s="3040"/>
      <c r="R123" s="3107"/>
      <c r="S123" s="3036"/>
      <c r="T123" s="3036"/>
      <c r="U123" s="3083" t="s">
        <v>1498</v>
      </c>
      <c r="V123" s="1560">
        <v>0</v>
      </c>
      <c r="W123" s="1622">
        <v>20</v>
      </c>
      <c r="X123" s="1621" t="s">
        <v>62</v>
      </c>
      <c r="Y123" s="3103"/>
      <c r="Z123" s="3103"/>
      <c r="AA123" s="3034"/>
      <c r="AB123" s="3103"/>
      <c r="AC123" s="3103"/>
      <c r="AD123" s="3103"/>
      <c r="AE123" s="3100"/>
      <c r="AF123" s="3100"/>
      <c r="AG123" s="3100"/>
      <c r="AH123" s="3100"/>
      <c r="AI123" s="3100"/>
      <c r="AJ123" s="3100"/>
      <c r="AK123" s="3100"/>
      <c r="AL123" s="3100"/>
      <c r="AM123" s="3100"/>
      <c r="AN123" s="3034"/>
      <c r="AO123" s="3006"/>
      <c r="AP123" s="3006"/>
      <c r="AQ123" s="3097"/>
      <c r="AR123" s="1347"/>
      <c r="AS123" s="1347"/>
    </row>
    <row r="124" spans="1:45" s="399" customFormat="1" ht="33.75" customHeight="1" x14ac:dyDescent="0.2">
      <c r="A124" s="3185"/>
      <c r="B124" s="3189"/>
      <c r="C124" s="3190"/>
      <c r="D124" s="3105"/>
      <c r="E124" s="3105"/>
      <c r="F124" s="3105"/>
      <c r="G124" s="1347"/>
      <c r="H124" s="1541"/>
      <c r="I124" s="1542"/>
      <c r="J124" s="3087"/>
      <c r="K124" s="3088"/>
      <c r="L124" s="3089"/>
      <c r="M124" s="3087"/>
      <c r="N124" s="1627"/>
      <c r="O124" s="3027"/>
      <c r="P124" s="3015"/>
      <c r="Q124" s="3040"/>
      <c r="R124" s="3107"/>
      <c r="S124" s="3036"/>
      <c r="T124" s="3036"/>
      <c r="U124" s="3084"/>
      <c r="V124" s="1560">
        <v>15000000</v>
      </c>
      <c r="W124" s="1622">
        <v>88</v>
      </c>
      <c r="X124" s="1621" t="s">
        <v>1479</v>
      </c>
      <c r="Y124" s="3103"/>
      <c r="Z124" s="3103"/>
      <c r="AA124" s="3034"/>
      <c r="AB124" s="3103"/>
      <c r="AC124" s="3103"/>
      <c r="AD124" s="3103"/>
      <c r="AE124" s="3100"/>
      <c r="AF124" s="3100"/>
      <c r="AG124" s="3100"/>
      <c r="AH124" s="3100"/>
      <c r="AI124" s="3100"/>
      <c r="AJ124" s="3100"/>
      <c r="AK124" s="3100"/>
      <c r="AL124" s="3100"/>
      <c r="AM124" s="3100"/>
      <c r="AN124" s="3034"/>
      <c r="AO124" s="3006"/>
      <c r="AP124" s="3006"/>
      <c r="AQ124" s="3097"/>
      <c r="AR124" s="1347"/>
      <c r="AS124" s="1347"/>
    </row>
    <row r="125" spans="1:45" s="399" customFormat="1" ht="43.5" customHeight="1" x14ac:dyDescent="0.2">
      <c r="A125" s="3185"/>
      <c r="B125" s="3189"/>
      <c r="C125" s="3190"/>
      <c r="D125" s="3105"/>
      <c r="E125" s="3105"/>
      <c r="F125" s="3105"/>
      <c r="G125" s="1347"/>
      <c r="H125" s="1541"/>
      <c r="I125" s="1542"/>
      <c r="J125" s="3087"/>
      <c r="K125" s="3088"/>
      <c r="L125" s="3089"/>
      <c r="M125" s="3087"/>
      <c r="N125" s="1627"/>
      <c r="O125" s="3027"/>
      <c r="P125" s="3015"/>
      <c r="Q125" s="3040"/>
      <c r="R125" s="3107"/>
      <c r="S125" s="3036"/>
      <c r="T125" s="3036"/>
      <c r="U125" s="1548" t="s">
        <v>1499</v>
      </c>
      <c r="V125" s="1560">
        <v>13000000</v>
      </c>
      <c r="W125" s="1622">
        <v>20</v>
      </c>
      <c r="X125" s="1621" t="s">
        <v>62</v>
      </c>
      <c r="Y125" s="3103"/>
      <c r="Z125" s="3103"/>
      <c r="AA125" s="3034"/>
      <c r="AB125" s="3103"/>
      <c r="AC125" s="3103"/>
      <c r="AD125" s="3103"/>
      <c r="AE125" s="3100"/>
      <c r="AF125" s="3100"/>
      <c r="AG125" s="3100"/>
      <c r="AH125" s="3100"/>
      <c r="AI125" s="3100"/>
      <c r="AJ125" s="3100"/>
      <c r="AK125" s="3100"/>
      <c r="AL125" s="3100"/>
      <c r="AM125" s="3100"/>
      <c r="AN125" s="3034"/>
      <c r="AO125" s="3006"/>
      <c r="AP125" s="3006"/>
      <c r="AQ125" s="3097"/>
      <c r="AR125" s="1347"/>
      <c r="AS125" s="1347"/>
    </row>
    <row r="126" spans="1:45" s="399" customFormat="1" ht="27" customHeight="1" x14ac:dyDescent="0.2">
      <c r="A126" s="3185"/>
      <c r="B126" s="3189"/>
      <c r="C126" s="3190"/>
      <c r="D126" s="3105"/>
      <c r="E126" s="3105"/>
      <c r="F126" s="3105"/>
      <c r="G126" s="1347"/>
      <c r="H126" s="1541"/>
      <c r="I126" s="1542"/>
      <c r="J126" s="3087"/>
      <c r="K126" s="3088"/>
      <c r="L126" s="3089"/>
      <c r="M126" s="3087"/>
      <c r="N126" s="1627"/>
      <c r="O126" s="3027"/>
      <c r="P126" s="3015"/>
      <c r="Q126" s="3040"/>
      <c r="R126" s="3107"/>
      <c r="S126" s="3036"/>
      <c r="T126" s="3036"/>
      <c r="U126" s="1548" t="s">
        <v>1500</v>
      </c>
      <c r="V126" s="1560">
        <v>1464118</v>
      </c>
      <c r="W126" s="1622">
        <v>20</v>
      </c>
      <c r="X126" s="1621" t="s">
        <v>62</v>
      </c>
      <c r="Y126" s="3103"/>
      <c r="Z126" s="3103"/>
      <c r="AA126" s="3034"/>
      <c r="AB126" s="3103"/>
      <c r="AC126" s="3103"/>
      <c r="AD126" s="3103"/>
      <c r="AE126" s="3100"/>
      <c r="AF126" s="3100"/>
      <c r="AG126" s="3100"/>
      <c r="AH126" s="3100"/>
      <c r="AI126" s="3100"/>
      <c r="AJ126" s="3100"/>
      <c r="AK126" s="3100"/>
      <c r="AL126" s="3100"/>
      <c r="AM126" s="3100"/>
      <c r="AN126" s="3034"/>
      <c r="AO126" s="3006"/>
      <c r="AP126" s="3006"/>
      <c r="AQ126" s="3097"/>
      <c r="AR126" s="1347"/>
      <c r="AS126" s="1347"/>
    </row>
    <row r="127" spans="1:45" s="399" customFormat="1" ht="55.5" customHeight="1" x14ac:dyDescent="0.2">
      <c r="A127" s="3185"/>
      <c r="B127" s="3189"/>
      <c r="C127" s="3190"/>
      <c r="D127" s="3105"/>
      <c r="E127" s="3105"/>
      <c r="F127" s="3105"/>
      <c r="G127" s="1347"/>
      <c r="H127" s="1541"/>
      <c r="I127" s="1542"/>
      <c r="J127" s="3087"/>
      <c r="K127" s="3088"/>
      <c r="L127" s="3089"/>
      <c r="M127" s="3087"/>
      <c r="N127" s="1630" t="s">
        <v>1501</v>
      </c>
      <c r="O127" s="3027"/>
      <c r="P127" s="3015"/>
      <c r="Q127" s="3040"/>
      <c r="R127" s="3107"/>
      <c r="S127" s="3036"/>
      <c r="T127" s="3036"/>
      <c r="U127" s="1548" t="s">
        <v>1502</v>
      </c>
      <c r="V127" s="1560">
        <f>8800000+1200000</f>
        <v>10000000</v>
      </c>
      <c r="W127" s="1622">
        <v>20</v>
      </c>
      <c r="X127" s="1621" t="s">
        <v>62</v>
      </c>
      <c r="Y127" s="3103"/>
      <c r="Z127" s="3103"/>
      <c r="AA127" s="3034"/>
      <c r="AB127" s="3103"/>
      <c r="AC127" s="3103"/>
      <c r="AD127" s="3103"/>
      <c r="AE127" s="3100"/>
      <c r="AF127" s="3100"/>
      <c r="AG127" s="3100"/>
      <c r="AH127" s="3100"/>
      <c r="AI127" s="3100"/>
      <c r="AJ127" s="3100"/>
      <c r="AK127" s="3100"/>
      <c r="AL127" s="3100"/>
      <c r="AM127" s="3100"/>
      <c r="AN127" s="3034"/>
      <c r="AO127" s="3006"/>
      <c r="AP127" s="3006"/>
      <c r="AQ127" s="3097"/>
      <c r="AR127" s="1347"/>
      <c r="AS127" s="1347"/>
    </row>
    <row r="128" spans="1:45" s="399" customFormat="1" ht="27" customHeight="1" x14ac:dyDescent="0.2">
      <c r="A128" s="3185"/>
      <c r="B128" s="3189"/>
      <c r="C128" s="3190"/>
      <c r="D128" s="3105"/>
      <c r="E128" s="3105"/>
      <c r="F128" s="3105"/>
      <c r="G128" s="1347"/>
      <c r="H128" s="1541"/>
      <c r="I128" s="1542"/>
      <c r="J128" s="3080">
        <v>239</v>
      </c>
      <c r="K128" s="3081" t="s">
        <v>1503</v>
      </c>
      <c r="L128" s="3081" t="s">
        <v>1504</v>
      </c>
      <c r="M128" s="3091">
        <v>1.98</v>
      </c>
      <c r="N128" s="1627"/>
      <c r="O128" s="3027"/>
      <c r="P128" s="3015"/>
      <c r="Q128" s="1631">
        <f>SUM(V128)/R117</f>
        <v>7.8253575944401313E-2</v>
      </c>
      <c r="R128" s="3107"/>
      <c r="S128" s="3036"/>
      <c r="T128" s="3036"/>
      <c r="U128" s="3083" t="s">
        <v>1505</v>
      </c>
      <c r="V128" s="1560">
        <v>74800000</v>
      </c>
      <c r="W128" s="1622">
        <v>20</v>
      </c>
      <c r="X128" s="1616" t="s">
        <v>62</v>
      </c>
      <c r="Y128" s="3103"/>
      <c r="Z128" s="3103"/>
      <c r="AA128" s="3034"/>
      <c r="AB128" s="3103"/>
      <c r="AC128" s="3103"/>
      <c r="AD128" s="3103"/>
      <c r="AE128" s="3100"/>
      <c r="AF128" s="3100"/>
      <c r="AG128" s="3100"/>
      <c r="AH128" s="3100"/>
      <c r="AI128" s="3100"/>
      <c r="AJ128" s="3100"/>
      <c r="AK128" s="3100"/>
      <c r="AL128" s="3100"/>
      <c r="AM128" s="3100"/>
      <c r="AN128" s="3034"/>
      <c r="AO128" s="3006"/>
      <c r="AP128" s="3006"/>
      <c r="AQ128" s="3097"/>
      <c r="AR128" s="1347"/>
      <c r="AS128" s="1347"/>
    </row>
    <row r="129" spans="1:45" s="399" customFormat="1" ht="24.75" customHeight="1" x14ac:dyDescent="0.2">
      <c r="A129" s="3185"/>
      <c r="B129" s="3189"/>
      <c r="C129" s="3190"/>
      <c r="D129" s="3105"/>
      <c r="E129" s="3105"/>
      <c r="F129" s="3105"/>
      <c r="G129" s="1347"/>
      <c r="H129" s="1541"/>
      <c r="I129" s="1542"/>
      <c r="J129" s="3021"/>
      <c r="K129" s="3090"/>
      <c r="L129" s="3090"/>
      <c r="M129" s="3092"/>
      <c r="N129" s="1627"/>
      <c r="O129" s="3027"/>
      <c r="P129" s="3015"/>
      <c r="Q129" s="1631">
        <f>SUM(V129)/R117</f>
        <v>2.0923416027914792E-2</v>
      </c>
      <c r="R129" s="3107"/>
      <c r="S129" s="3036"/>
      <c r="T129" s="3036"/>
      <c r="U129" s="3094"/>
      <c r="V129" s="1560">
        <v>20000000</v>
      </c>
      <c r="W129" s="1622">
        <v>88</v>
      </c>
      <c r="X129" s="1616" t="s">
        <v>1479</v>
      </c>
      <c r="Y129" s="3103"/>
      <c r="Z129" s="3103"/>
      <c r="AA129" s="3034"/>
      <c r="AB129" s="3103"/>
      <c r="AC129" s="3103"/>
      <c r="AD129" s="3103"/>
      <c r="AE129" s="3100"/>
      <c r="AF129" s="3100"/>
      <c r="AG129" s="3100"/>
      <c r="AH129" s="3100"/>
      <c r="AI129" s="3100"/>
      <c r="AJ129" s="3100"/>
      <c r="AK129" s="3100"/>
      <c r="AL129" s="3100"/>
      <c r="AM129" s="3100"/>
      <c r="AN129" s="3034"/>
      <c r="AO129" s="3006"/>
      <c r="AP129" s="3006"/>
      <c r="AQ129" s="3097"/>
      <c r="AR129" s="1347"/>
      <c r="AS129" s="1347"/>
    </row>
    <row r="130" spans="1:45" s="399" customFormat="1" ht="35.25" customHeight="1" x14ac:dyDescent="0.2">
      <c r="A130" s="3185"/>
      <c r="B130" s="3189"/>
      <c r="C130" s="3190"/>
      <c r="D130" s="3105"/>
      <c r="E130" s="3105"/>
      <c r="F130" s="3105"/>
      <c r="G130" s="1347"/>
      <c r="H130" s="1541"/>
      <c r="I130" s="1542"/>
      <c r="J130" s="3022"/>
      <c r="K130" s="3082"/>
      <c r="L130" s="3082"/>
      <c r="M130" s="3093"/>
      <c r="N130" s="1627"/>
      <c r="O130" s="3027"/>
      <c r="P130" s="3015"/>
      <c r="Q130" s="1631">
        <f>SUM(V130)/R117</f>
        <v>0.17783361881817555</v>
      </c>
      <c r="R130" s="3107"/>
      <c r="S130" s="3036"/>
      <c r="T130" s="3036"/>
      <c r="U130" s="3084"/>
      <c r="V130" s="1560">
        <v>169985263</v>
      </c>
      <c r="W130" s="1622">
        <v>163</v>
      </c>
      <c r="X130" s="1616" t="s">
        <v>1506</v>
      </c>
      <c r="Y130" s="3103"/>
      <c r="Z130" s="3103"/>
      <c r="AA130" s="3034"/>
      <c r="AB130" s="3103"/>
      <c r="AC130" s="3103"/>
      <c r="AD130" s="3103"/>
      <c r="AE130" s="3100"/>
      <c r="AF130" s="3100"/>
      <c r="AG130" s="3100"/>
      <c r="AH130" s="3100"/>
      <c r="AI130" s="3100"/>
      <c r="AJ130" s="3100"/>
      <c r="AK130" s="3100"/>
      <c r="AL130" s="3100"/>
      <c r="AM130" s="3100"/>
      <c r="AN130" s="3034"/>
      <c r="AO130" s="3006"/>
      <c r="AP130" s="3006"/>
      <c r="AQ130" s="3097"/>
      <c r="AR130" s="1347"/>
      <c r="AS130" s="1347"/>
    </row>
    <row r="131" spans="1:45" s="399" customFormat="1" ht="38.25" customHeight="1" x14ac:dyDescent="0.2">
      <c r="A131" s="3185"/>
      <c r="B131" s="3189"/>
      <c r="C131" s="3190"/>
      <c r="D131" s="3105"/>
      <c r="E131" s="3105"/>
      <c r="F131" s="3105"/>
      <c r="G131" s="1347"/>
      <c r="H131" s="1541"/>
      <c r="I131" s="1542"/>
      <c r="J131" s="3087">
        <v>240</v>
      </c>
      <c r="K131" s="3088" t="s">
        <v>1507</v>
      </c>
      <c r="L131" s="3095" t="s">
        <v>1508</v>
      </c>
      <c r="M131" s="3096">
        <v>1</v>
      </c>
      <c r="N131" s="1627"/>
      <c r="O131" s="3027"/>
      <c r="P131" s="3015"/>
      <c r="Q131" s="3040">
        <f>SUM(V131:V141)/R117</f>
        <v>0.43607298569167574</v>
      </c>
      <c r="R131" s="3107"/>
      <c r="S131" s="3036"/>
      <c r="T131" s="3036"/>
      <c r="U131" s="1548" t="s">
        <v>1509</v>
      </c>
      <c r="V131" s="1560">
        <v>6819300</v>
      </c>
      <c r="W131" s="1622">
        <v>20</v>
      </c>
      <c r="X131" s="1616" t="s">
        <v>62</v>
      </c>
      <c r="Y131" s="3103"/>
      <c r="Z131" s="3103"/>
      <c r="AA131" s="3034"/>
      <c r="AB131" s="3103"/>
      <c r="AC131" s="3103"/>
      <c r="AD131" s="3103"/>
      <c r="AE131" s="3100"/>
      <c r="AF131" s="3100"/>
      <c r="AG131" s="3100"/>
      <c r="AH131" s="3100"/>
      <c r="AI131" s="3100"/>
      <c r="AJ131" s="3100"/>
      <c r="AK131" s="3100"/>
      <c r="AL131" s="3100"/>
      <c r="AM131" s="3100"/>
      <c r="AN131" s="3034"/>
      <c r="AO131" s="3006"/>
      <c r="AP131" s="3006"/>
      <c r="AQ131" s="3097"/>
      <c r="AR131" s="1347"/>
      <c r="AS131" s="1347"/>
    </row>
    <row r="132" spans="1:45" s="399" customFormat="1" ht="38.25" customHeight="1" x14ac:dyDescent="0.2">
      <c r="A132" s="3185"/>
      <c r="B132" s="3189"/>
      <c r="C132" s="3190"/>
      <c r="D132" s="3105"/>
      <c r="E132" s="3105"/>
      <c r="F132" s="3105"/>
      <c r="G132" s="1347"/>
      <c r="H132" s="1541"/>
      <c r="I132" s="1542"/>
      <c r="J132" s="3087"/>
      <c r="K132" s="3088"/>
      <c r="L132" s="3095"/>
      <c r="M132" s="3096"/>
      <c r="N132" s="1627"/>
      <c r="O132" s="3027"/>
      <c r="P132" s="3015"/>
      <c r="Q132" s="3040"/>
      <c r="R132" s="3107"/>
      <c r="S132" s="3036"/>
      <c r="T132" s="3036"/>
      <c r="U132" s="3083" t="s">
        <v>1510</v>
      </c>
      <c r="V132" s="1560">
        <v>69987918</v>
      </c>
      <c r="W132" s="1622">
        <v>20</v>
      </c>
      <c r="X132" s="1616" t="s">
        <v>62</v>
      </c>
      <c r="Y132" s="3103"/>
      <c r="Z132" s="3103"/>
      <c r="AA132" s="3034"/>
      <c r="AB132" s="3103"/>
      <c r="AC132" s="3103"/>
      <c r="AD132" s="3103"/>
      <c r="AE132" s="3100"/>
      <c r="AF132" s="3100"/>
      <c r="AG132" s="3100"/>
      <c r="AH132" s="3100"/>
      <c r="AI132" s="3100"/>
      <c r="AJ132" s="3100"/>
      <c r="AK132" s="3100"/>
      <c r="AL132" s="3100"/>
      <c r="AM132" s="3100"/>
      <c r="AN132" s="3034"/>
      <c r="AO132" s="3006"/>
      <c r="AP132" s="3006"/>
      <c r="AQ132" s="3097"/>
      <c r="AR132" s="1347"/>
      <c r="AS132" s="1347"/>
    </row>
    <row r="133" spans="1:45" s="399" customFormat="1" ht="38.25" customHeight="1" x14ac:dyDescent="0.2">
      <c r="A133" s="3185"/>
      <c r="B133" s="3189"/>
      <c r="C133" s="3190"/>
      <c r="D133" s="3105"/>
      <c r="E133" s="3105"/>
      <c r="F133" s="3105"/>
      <c r="G133" s="1347"/>
      <c r="H133" s="1541"/>
      <c r="I133" s="1542"/>
      <c r="J133" s="3087"/>
      <c r="K133" s="3088"/>
      <c r="L133" s="3095"/>
      <c r="M133" s="3096"/>
      <c r="N133" s="1627"/>
      <c r="O133" s="3027"/>
      <c r="P133" s="3015"/>
      <c r="Q133" s="3040"/>
      <c r="R133" s="3107"/>
      <c r="S133" s="3036"/>
      <c r="T133" s="3036"/>
      <c r="U133" s="3084"/>
      <c r="V133" s="1560">
        <v>42996000</v>
      </c>
      <c r="W133" s="1622">
        <v>88</v>
      </c>
      <c r="X133" s="1616" t="s">
        <v>1479</v>
      </c>
      <c r="Y133" s="3103"/>
      <c r="Z133" s="3103"/>
      <c r="AA133" s="3034"/>
      <c r="AB133" s="3103"/>
      <c r="AC133" s="3103"/>
      <c r="AD133" s="3103"/>
      <c r="AE133" s="3100"/>
      <c r="AF133" s="3100"/>
      <c r="AG133" s="3100"/>
      <c r="AH133" s="3100"/>
      <c r="AI133" s="3100"/>
      <c r="AJ133" s="3100"/>
      <c r="AK133" s="3100"/>
      <c r="AL133" s="3100"/>
      <c r="AM133" s="3100"/>
      <c r="AN133" s="3034"/>
      <c r="AO133" s="3006"/>
      <c r="AP133" s="3006"/>
      <c r="AQ133" s="3097"/>
      <c r="AR133" s="1347"/>
      <c r="AS133" s="1347"/>
    </row>
    <row r="134" spans="1:45" s="399" customFormat="1" ht="30.75" customHeight="1" x14ac:dyDescent="0.2">
      <c r="A134" s="3185"/>
      <c r="B134" s="3189"/>
      <c r="C134" s="3190"/>
      <c r="D134" s="3105"/>
      <c r="E134" s="3105"/>
      <c r="F134" s="3105"/>
      <c r="G134" s="1347"/>
      <c r="H134" s="1541"/>
      <c r="I134" s="1542"/>
      <c r="J134" s="3087"/>
      <c r="K134" s="3088"/>
      <c r="L134" s="3095"/>
      <c r="M134" s="3096"/>
      <c r="N134" s="1627"/>
      <c r="O134" s="3027"/>
      <c r="P134" s="3015"/>
      <c r="Q134" s="3040"/>
      <c r="R134" s="3107"/>
      <c r="S134" s="3036"/>
      <c r="T134" s="3036"/>
      <c r="U134" s="3083" t="s">
        <v>1511</v>
      </c>
      <c r="V134" s="1560">
        <v>23969533</v>
      </c>
      <c r="W134" s="1622">
        <v>20</v>
      </c>
      <c r="X134" s="1616" t="s">
        <v>62</v>
      </c>
      <c r="Y134" s="3103"/>
      <c r="Z134" s="3103"/>
      <c r="AA134" s="3034"/>
      <c r="AB134" s="3103"/>
      <c r="AC134" s="3103"/>
      <c r="AD134" s="3103"/>
      <c r="AE134" s="3100"/>
      <c r="AF134" s="3100"/>
      <c r="AG134" s="3100"/>
      <c r="AH134" s="3100"/>
      <c r="AI134" s="3100"/>
      <c r="AJ134" s="3100"/>
      <c r="AK134" s="3100"/>
      <c r="AL134" s="3100"/>
      <c r="AM134" s="3100"/>
      <c r="AN134" s="3034"/>
      <c r="AO134" s="3006"/>
      <c r="AP134" s="3006"/>
      <c r="AQ134" s="3097"/>
      <c r="AR134" s="1347"/>
      <c r="AS134" s="1347"/>
    </row>
    <row r="135" spans="1:45" s="399" customFormat="1" ht="30.75" customHeight="1" x14ac:dyDescent="0.2">
      <c r="A135" s="3185"/>
      <c r="B135" s="3189"/>
      <c r="C135" s="3190"/>
      <c r="D135" s="3105"/>
      <c r="E135" s="3105"/>
      <c r="F135" s="3105"/>
      <c r="G135" s="1347"/>
      <c r="H135" s="1541"/>
      <c r="I135" s="1542"/>
      <c r="J135" s="3087"/>
      <c r="K135" s="3088"/>
      <c r="L135" s="3095"/>
      <c r="M135" s="3096"/>
      <c r="N135" s="1627"/>
      <c r="O135" s="3027"/>
      <c r="P135" s="3015"/>
      <c r="Q135" s="3040"/>
      <c r="R135" s="3107"/>
      <c r="S135" s="3036"/>
      <c r="T135" s="3036"/>
      <c r="U135" s="3084"/>
      <c r="V135" s="1560">
        <v>16788000</v>
      </c>
      <c r="W135" s="1622">
        <v>88</v>
      </c>
      <c r="X135" s="1616" t="s">
        <v>1479</v>
      </c>
      <c r="Y135" s="3103"/>
      <c r="Z135" s="3103"/>
      <c r="AA135" s="3034"/>
      <c r="AB135" s="3103"/>
      <c r="AC135" s="3103"/>
      <c r="AD135" s="3103"/>
      <c r="AE135" s="3100"/>
      <c r="AF135" s="3100"/>
      <c r="AG135" s="3100"/>
      <c r="AH135" s="3100"/>
      <c r="AI135" s="3100"/>
      <c r="AJ135" s="3100"/>
      <c r="AK135" s="3100"/>
      <c r="AL135" s="3100"/>
      <c r="AM135" s="3100"/>
      <c r="AN135" s="3034"/>
      <c r="AO135" s="3006"/>
      <c r="AP135" s="3006"/>
      <c r="AQ135" s="3097"/>
      <c r="AR135" s="1347"/>
      <c r="AS135" s="1347"/>
    </row>
    <row r="136" spans="1:45" s="399" customFormat="1" ht="46.5" customHeight="1" x14ac:dyDescent="0.2">
      <c r="A136" s="3185"/>
      <c r="B136" s="3189"/>
      <c r="C136" s="3190"/>
      <c r="D136" s="3105"/>
      <c r="E136" s="3105"/>
      <c r="F136" s="3105"/>
      <c r="G136" s="1347"/>
      <c r="H136" s="1541"/>
      <c r="I136" s="1542"/>
      <c r="J136" s="3087"/>
      <c r="K136" s="3088"/>
      <c r="L136" s="3095"/>
      <c r="M136" s="3096"/>
      <c r="N136" s="1627"/>
      <c r="O136" s="3027"/>
      <c r="P136" s="3015"/>
      <c r="Q136" s="3040"/>
      <c r="R136" s="3107"/>
      <c r="S136" s="3036"/>
      <c r="T136" s="3036"/>
      <c r="U136" s="1548" t="s">
        <v>1512</v>
      </c>
      <c r="V136" s="1560">
        <v>53000000</v>
      </c>
      <c r="W136" s="1622">
        <v>20</v>
      </c>
      <c r="X136" s="1616" t="s">
        <v>62</v>
      </c>
      <c r="Y136" s="3103"/>
      <c r="Z136" s="3103"/>
      <c r="AA136" s="3034"/>
      <c r="AB136" s="3103"/>
      <c r="AC136" s="3103"/>
      <c r="AD136" s="3103"/>
      <c r="AE136" s="3100"/>
      <c r="AF136" s="3100"/>
      <c r="AG136" s="3100"/>
      <c r="AH136" s="3100"/>
      <c r="AI136" s="3100"/>
      <c r="AJ136" s="3100"/>
      <c r="AK136" s="3100"/>
      <c r="AL136" s="3100"/>
      <c r="AM136" s="3100"/>
      <c r="AN136" s="3034"/>
      <c r="AO136" s="3006"/>
      <c r="AP136" s="3006"/>
      <c r="AQ136" s="3097"/>
      <c r="AR136" s="1347"/>
      <c r="AS136" s="1347"/>
    </row>
    <row r="137" spans="1:45" s="399" customFormat="1" ht="22.5" customHeight="1" x14ac:dyDescent="0.2">
      <c r="A137" s="3185"/>
      <c r="B137" s="3189"/>
      <c r="C137" s="3190"/>
      <c r="D137" s="3105"/>
      <c r="E137" s="3105"/>
      <c r="F137" s="3105"/>
      <c r="G137" s="1347"/>
      <c r="H137" s="1541"/>
      <c r="I137" s="1542"/>
      <c r="J137" s="3087"/>
      <c r="K137" s="3088"/>
      <c r="L137" s="3095"/>
      <c r="M137" s="3096"/>
      <c r="N137" s="1627"/>
      <c r="O137" s="3027"/>
      <c r="P137" s="3015"/>
      <c r="Q137" s="3040"/>
      <c r="R137" s="3107"/>
      <c r="S137" s="3036"/>
      <c r="T137" s="3036"/>
      <c r="U137" s="3083" t="s">
        <v>1513</v>
      </c>
      <c r="V137" s="1560">
        <v>61788000</v>
      </c>
      <c r="W137" s="1622">
        <v>20</v>
      </c>
      <c r="X137" s="1616" t="s">
        <v>62</v>
      </c>
      <c r="Y137" s="3103"/>
      <c r="Z137" s="3103"/>
      <c r="AA137" s="3034"/>
      <c r="AB137" s="3103"/>
      <c r="AC137" s="3103"/>
      <c r="AD137" s="3103"/>
      <c r="AE137" s="3100"/>
      <c r="AF137" s="3100"/>
      <c r="AG137" s="3100"/>
      <c r="AH137" s="3100"/>
      <c r="AI137" s="3100"/>
      <c r="AJ137" s="3100"/>
      <c r="AK137" s="3100"/>
      <c r="AL137" s="3100"/>
      <c r="AM137" s="3100"/>
      <c r="AN137" s="3034"/>
      <c r="AO137" s="3006"/>
      <c r="AP137" s="3006"/>
      <c r="AQ137" s="3097"/>
      <c r="AR137" s="1347"/>
      <c r="AS137" s="1347"/>
    </row>
    <row r="138" spans="1:45" s="399" customFormat="1" ht="24" customHeight="1" x14ac:dyDescent="0.2">
      <c r="A138" s="3185"/>
      <c r="B138" s="3189"/>
      <c r="C138" s="3190"/>
      <c r="D138" s="3105"/>
      <c r="E138" s="3105"/>
      <c r="F138" s="3105"/>
      <c r="G138" s="1347"/>
      <c r="H138" s="1541"/>
      <c r="I138" s="1542"/>
      <c r="J138" s="3087"/>
      <c r="K138" s="3088"/>
      <c r="L138" s="3095"/>
      <c r="M138" s="3096"/>
      <c r="N138" s="1627"/>
      <c r="O138" s="3027"/>
      <c r="P138" s="3015"/>
      <c r="Q138" s="3040"/>
      <c r="R138" s="3107"/>
      <c r="S138" s="3036"/>
      <c r="T138" s="3036"/>
      <c r="U138" s="3084"/>
      <c r="V138" s="1560">
        <v>36822000</v>
      </c>
      <c r="W138" s="1622">
        <v>88</v>
      </c>
      <c r="X138" s="1616" t="s">
        <v>1479</v>
      </c>
      <c r="Y138" s="3103"/>
      <c r="Z138" s="3103"/>
      <c r="AA138" s="3034"/>
      <c r="AB138" s="3103"/>
      <c r="AC138" s="3103"/>
      <c r="AD138" s="3103"/>
      <c r="AE138" s="3100"/>
      <c r="AF138" s="3100"/>
      <c r="AG138" s="3100"/>
      <c r="AH138" s="3100"/>
      <c r="AI138" s="3100"/>
      <c r="AJ138" s="3100"/>
      <c r="AK138" s="3100"/>
      <c r="AL138" s="3100"/>
      <c r="AM138" s="3100"/>
      <c r="AN138" s="3034"/>
      <c r="AO138" s="3006"/>
      <c r="AP138" s="3006"/>
      <c r="AQ138" s="3097"/>
      <c r="AR138" s="1347"/>
      <c r="AS138" s="1347"/>
    </row>
    <row r="139" spans="1:45" s="399" customFormat="1" ht="27.75" customHeight="1" x14ac:dyDescent="0.2">
      <c r="A139" s="3185"/>
      <c r="B139" s="3189"/>
      <c r="C139" s="3190"/>
      <c r="D139" s="3105"/>
      <c r="E139" s="3105"/>
      <c r="F139" s="3105"/>
      <c r="G139" s="1347"/>
      <c r="H139" s="1541"/>
      <c r="I139" s="1542"/>
      <c r="J139" s="3087"/>
      <c r="K139" s="3088"/>
      <c r="L139" s="3095"/>
      <c r="M139" s="3096"/>
      <c r="N139" s="1627"/>
      <c r="O139" s="3027"/>
      <c r="P139" s="3015"/>
      <c r="Q139" s="3040"/>
      <c r="R139" s="3107"/>
      <c r="S139" s="3036"/>
      <c r="T139" s="3036"/>
      <c r="U139" s="3083" t="s">
        <v>1514</v>
      </c>
      <c r="V139" s="1560">
        <v>51681882</v>
      </c>
      <c r="W139" s="1622">
        <v>20</v>
      </c>
      <c r="X139" s="1616" t="s">
        <v>62</v>
      </c>
      <c r="Y139" s="3103"/>
      <c r="Z139" s="3103"/>
      <c r="AA139" s="3034"/>
      <c r="AB139" s="3103"/>
      <c r="AC139" s="3103"/>
      <c r="AD139" s="3103"/>
      <c r="AE139" s="3100"/>
      <c r="AF139" s="3100"/>
      <c r="AG139" s="3100"/>
      <c r="AH139" s="3100"/>
      <c r="AI139" s="3100"/>
      <c r="AJ139" s="3100"/>
      <c r="AK139" s="3100"/>
      <c r="AL139" s="3100"/>
      <c r="AM139" s="3100"/>
      <c r="AN139" s="3034"/>
      <c r="AO139" s="3006"/>
      <c r="AP139" s="3006"/>
      <c r="AQ139" s="3097"/>
      <c r="AR139" s="1347"/>
      <c r="AS139" s="1347"/>
    </row>
    <row r="140" spans="1:45" s="399" customFormat="1" ht="30" customHeight="1" x14ac:dyDescent="0.2">
      <c r="A140" s="3185"/>
      <c r="B140" s="3189"/>
      <c r="C140" s="3190"/>
      <c r="D140" s="3105"/>
      <c r="E140" s="3105"/>
      <c r="F140" s="3105"/>
      <c r="G140" s="1347"/>
      <c r="H140" s="1541"/>
      <c r="I140" s="1542"/>
      <c r="J140" s="3087"/>
      <c r="K140" s="3088"/>
      <c r="L140" s="3095"/>
      <c r="M140" s="3096"/>
      <c r="N140" s="1627"/>
      <c r="O140" s="3027"/>
      <c r="P140" s="3015"/>
      <c r="Q140" s="3040"/>
      <c r="R140" s="3107"/>
      <c r="S140" s="3036"/>
      <c r="T140" s="3036"/>
      <c r="U140" s="3084"/>
      <c r="V140" s="1560">
        <v>42076000</v>
      </c>
      <c r="W140" s="1622">
        <v>88</v>
      </c>
      <c r="X140" s="1616" t="s">
        <v>1479</v>
      </c>
      <c r="Y140" s="3103"/>
      <c r="Z140" s="3103"/>
      <c r="AA140" s="3034"/>
      <c r="AB140" s="3103"/>
      <c r="AC140" s="3103"/>
      <c r="AD140" s="3103"/>
      <c r="AE140" s="3100"/>
      <c r="AF140" s="3100"/>
      <c r="AG140" s="3100"/>
      <c r="AH140" s="3100"/>
      <c r="AI140" s="3100"/>
      <c r="AJ140" s="3100"/>
      <c r="AK140" s="3100"/>
      <c r="AL140" s="3100"/>
      <c r="AM140" s="3100"/>
      <c r="AN140" s="3034"/>
      <c r="AO140" s="3006"/>
      <c r="AP140" s="3006"/>
      <c r="AQ140" s="3097"/>
      <c r="AR140" s="1347"/>
      <c r="AS140" s="1347"/>
    </row>
    <row r="141" spans="1:45" s="399" customFormat="1" ht="31.5" customHeight="1" x14ac:dyDescent="0.2">
      <c r="A141" s="3185"/>
      <c r="B141" s="3189"/>
      <c r="C141" s="3190"/>
      <c r="D141" s="3105"/>
      <c r="E141" s="3105"/>
      <c r="F141" s="3105"/>
      <c r="G141" s="1347"/>
      <c r="H141" s="1558"/>
      <c r="I141" s="1559"/>
      <c r="J141" s="3087"/>
      <c r="K141" s="3088"/>
      <c r="L141" s="3095"/>
      <c r="M141" s="3096"/>
      <c r="N141" s="1627"/>
      <c r="O141" s="3027"/>
      <c r="P141" s="3015"/>
      <c r="Q141" s="3040"/>
      <c r="R141" s="3108"/>
      <c r="S141" s="3036"/>
      <c r="T141" s="3036"/>
      <c r="U141" s="1548" t="s">
        <v>1353</v>
      </c>
      <c r="V141" s="1560">
        <v>10899083</v>
      </c>
      <c r="W141" s="1622">
        <v>20</v>
      </c>
      <c r="X141" s="1616" t="s">
        <v>62</v>
      </c>
      <c r="Y141" s="3104"/>
      <c r="Z141" s="3104"/>
      <c r="AA141" s="3035"/>
      <c r="AB141" s="3104"/>
      <c r="AC141" s="3104"/>
      <c r="AD141" s="3104"/>
      <c r="AE141" s="3101"/>
      <c r="AF141" s="3101"/>
      <c r="AG141" s="3101"/>
      <c r="AH141" s="3101"/>
      <c r="AI141" s="3101"/>
      <c r="AJ141" s="3101"/>
      <c r="AK141" s="3101"/>
      <c r="AL141" s="3101"/>
      <c r="AM141" s="3101"/>
      <c r="AN141" s="3035"/>
      <c r="AO141" s="3007"/>
      <c r="AP141" s="3007"/>
      <c r="AQ141" s="3097"/>
      <c r="AR141" s="1347"/>
      <c r="AS141" s="1347"/>
    </row>
    <row r="142" spans="1:45" s="1347" customFormat="1" ht="15" customHeight="1" x14ac:dyDescent="0.2">
      <c r="A142" s="3185"/>
      <c r="B142" s="3189"/>
      <c r="C142" s="3190"/>
      <c r="D142" s="3105"/>
      <c r="E142" s="3105"/>
      <c r="F142" s="3105"/>
      <c r="G142" s="1524">
        <v>82</v>
      </c>
      <c r="H142" s="1165" t="s">
        <v>1515</v>
      </c>
      <c r="I142" s="1165"/>
      <c r="J142" s="1562"/>
      <c r="K142" s="1563"/>
      <c r="L142" s="1564"/>
      <c r="M142" s="1610"/>
      <c r="N142" s="1528"/>
      <c r="O142" s="1529"/>
      <c r="P142" s="1125"/>
      <c r="Q142" s="1565"/>
      <c r="R142" s="1566"/>
      <c r="S142" s="1564"/>
      <c r="T142" s="1563"/>
      <c r="U142" s="1563"/>
      <c r="V142" s="1129"/>
      <c r="W142" s="1591"/>
      <c r="X142" s="1591"/>
      <c r="Y142" s="1355"/>
      <c r="Z142" s="1355"/>
      <c r="AA142" s="1355"/>
      <c r="AB142" s="1355"/>
      <c r="AC142" s="1355"/>
      <c r="AD142" s="1355"/>
      <c r="AE142" s="1355"/>
      <c r="AF142" s="1355"/>
      <c r="AG142" s="1355"/>
      <c r="AH142" s="1355"/>
      <c r="AI142" s="1355"/>
      <c r="AJ142" s="1355"/>
      <c r="AK142" s="1355"/>
      <c r="AL142" s="1355"/>
      <c r="AM142" s="1125"/>
      <c r="AN142" s="1125"/>
      <c r="AO142" s="1125"/>
      <c r="AP142" s="1125"/>
      <c r="AQ142" s="1358"/>
    </row>
    <row r="143" spans="1:45" s="399" customFormat="1" ht="42" customHeight="1" x14ac:dyDescent="0.2">
      <c r="A143" s="3185"/>
      <c r="B143" s="3189"/>
      <c r="C143" s="3190"/>
      <c r="D143" s="3105"/>
      <c r="E143" s="3105"/>
      <c r="F143" s="3105"/>
      <c r="G143" s="1347"/>
      <c r="H143" s="1536"/>
      <c r="I143" s="1537"/>
      <c r="J143" s="3087">
        <v>241</v>
      </c>
      <c r="K143" s="3088" t="s">
        <v>1516</v>
      </c>
      <c r="L143" s="3089" t="s">
        <v>1517</v>
      </c>
      <c r="M143" s="3042">
        <v>1</v>
      </c>
      <c r="N143" s="3039" t="s">
        <v>1518</v>
      </c>
      <c r="O143" s="3027" t="s">
        <v>1519</v>
      </c>
      <c r="P143" s="3015" t="s">
        <v>1520</v>
      </c>
      <c r="Q143" s="3085">
        <f>SUM(V143:V144)/R143</f>
        <v>0.43641444500979354</v>
      </c>
      <c r="R143" s="3064">
        <f>SUM(V143:V146)</f>
        <v>84323515</v>
      </c>
      <c r="S143" s="3036" t="s">
        <v>1521</v>
      </c>
      <c r="T143" s="3036" t="s">
        <v>1522</v>
      </c>
      <c r="U143" s="1548" t="s">
        <v>1523</v>
      </c>
      <c r="V143" s="1560">
        <v>8540200</v>
      </c>
      <c r="W143" s="1629" t="s">
        <v>61</v>
      </c>
      <c r="X143" s="1616" t="s">
        <v>1409</v>
      </c>
      <c r="Y143" s="3037">
        <v>1632</v>
      </c>
      <c r="Z143" s="3031">
        <v>1568</v>
      </c>
      <c r="AA143" s="3031">
        <v>974</v>
      </c>
      <c r="AB143" s="3031">
        <v>718</v>
      </c>
      <c r="AC143" s="3031">
        <v>410</v>
      </c>
      <c r="AD143" s="3031">
        <v>1098</v>
      </c>
      <c r="AE143" s="3031"/>
      <c r="AF143" s="3031"/>
      <c r="AG143" s="3031"/>
      <c r="AH143" s="3031"/>
      <c r="AI143" s="3031"/>
      <c r="AJ143" s="3031"/>
      <c r="AK143" s="3031"/>
      <c r="AL143" s="3031"/>
      <c r="AM143" s="3031"/>
      <c r="AN143" s="3033">
        <v>3200</v>
      </c>
      <c r="AO143" s="3059">
        <v>43480</v>
      </c>
      <c r="AP143" s="3059">
        <v>43819</v>
      </c>
      <c r="AQ143" s="3009" t="s">
        <v>1336</v>
      </c>
      <c r="AR143" s="1347"/>
      <c r="AS143" s="1347"/>
    </row>
    <row r="144" spans="1:45" s="399" customFormat="1" ht="45.75" customHeight="1" x14ac:dyDescent="0.2">
      <c r="A144" s="3185"/>
      <c r="B144" s="3189"/>
      <c r="C144" s="3190"/>
      <c r="D144" s="3105"/>
      <c r="E144" s="3105"/>
      <c r="F144" s="3105"/>
      <c r="G144" s="1347"/>
      <c r="H144" s="1541"/>
      <c r="I144" s="1542"/>
      <c r="J144" s="3087"/>
      <c r="K144" s="3088"/>
      <c r="L144" s="3089"/>
      <c r="M144" s="3042"/>
      <c r="N144" s="3039"/>
      <c r="O144" s="3027"/>
      <c r="P144" s="3015"/>
      <c r="Q144" s="3085"/>
      <c r="R144" s="3011"/>
      <c r="S144" s="3036"/>
      <c r="T144" s="3036"/>
      <c r="U144" s="1548" t="s">
        <v>1524</v>
      </c>
      <c r="V144" s="1560">
        <v>28259800</v>
      </c>
      <c r="W144" s="1622">
        <v>20</v>
      </c>
      <c r="X144" s="1616" t="s">
        <v>62</v>
      </c>
      <c r="Y144" s="3038"/>
      <c r="Z144" s="3032"/>
      <c r="AA144" s="3032"/>
      <c r="AB144" s="3032"/>
      <c r="AC144" s="3032"/>
      <c r="AD144" s="3032"/>
      <c r="AE144" s="3032"/>
      <c r="AF144" s="3032"/>
      <c r="AG144" s="3032"/>
      <c r="AH144" s="3032"/>
      <c r="AI144" s="3032"/>
      <c r="AJ144" s="3032"/>
      <c r="AK144" s="3032"/>
      <c r="AL144" s="3032"/>
      <c r="AM144" s="3032"/>
      <c r="AN144" s="3034"/>
      <c r="AO144" s="3060"/>
      <c r="AP144" s="3060"/>
      <c r="AQ144" s="3010"/>
      <c r="AR144" s="3055"/>
      <c r="AS144" s="1347"/>
    </row>
    <row r="145" spans="1:45" s="399" customFormat="1" ht="40.5" customHeight="1" x14ac:dyDescent="0.2">
      <c r="A145" s="3185"/>
      <c r="B145" s="3189"/>
      <c r="C145" s="3190"/>
      <c r="D145" s="3105"/>
      <c r="E145" s="3105"/>
      <c r="F145" s="3105"/>
      <c r="G145" s="1347"/>
      <c r="H145" s="1541"/>
      <c r="I145" s="1542"/>
      <c r="J145" s="3080">
        <v>242</v>
      </c>
      <c r="K145" s="3081" t="s">
        <v>1525</v>
      </c>
      <c r="L145" s="3083" t="s">
        <v>1526</v>
      </c>
      <c r="M145" s="3043">
        <v>1</v>
      </c>
      <c r="N145" s="3039"/>
      <c r="O145" s="3027"/>
      <c r="P145" s="3015"/>
      <c r="Q145" s="3085">
        <f>SUM(V145:V146)/R143</f>
        <v>0.56358555499020646</v>
      </c>
      <c r="R145" s="3011"/>
      <c r="S145" s="3036"/>
      <c r="T145" s="3036"/>
      <c r="U145" s="1548" t="s">
        <v>1527</v>
      </c>
      <c r="V145" s="1560">
        <v>3000000</v>
      </c>
      <c r="W145" s="1622">
        <v>20</v>
      </c>
      <c r="X145" s="1616" t="s">
        <v>62</v>
      </c>
      <c r="Y145" s="3038"/>
      <c r="Z145" s="3032"/>
      <c r="AA145" s="3032"/>
      <c r="AB145" s="3032"/>
      <c r="AC145" s="3032"/>
      <c r="AD145" s="3032"/>
      <c r="AE145" s="3032"/>
      <c r="AF145" s="3032"/>
      <c r="AG145" s="3032"/>
      <c r="AH145" s="3032"/>
      <c r="AI145" s="3032"/>
      <c r="AJ145" s="3032"/>
      <c r="AK145" s="3032"/>
      <c r="AL145" s="3032"/>
      <c r="AM145" s="3032"/>
      <c r="AN145" s="3034"/>
      <c r="AO145" s="3060"/>
      <c r="AP145" s="3060"/>
      <c r="AQ145" s="3010"/>
      <c r="AR145" s="3055"/>
      <c r="AS145" s="1347"/>
    </row>
    <row r="146" spans="1:45" s="399" customFormat="1" ht="36.75" customHeight="1" x14ac:dyDescent="0.2">
      <c r="A146" s="3185"/>
      <c r="B146" s="3189"/>
      <c r="C146" s="3190"/>
      <c r="D146" s="3105"/>
      <c r="E146" s="3105"/>
      <c r="F146" s="3105"/>
      <c r="G146" s="1347"/>
      <c r="H146" s="1558"/>
      <c r="I146" s="1559"/>
      <c r="J146" s="3022"/>
      <c r="K146" s="3082"/>
      <c r="L146" s="3084"/>
      <c r="M146" s="3024"/>
      <c r="N146" s="3039"/>
      <c r="O146" s="3027"/>
      <c r="P146" s="3015"/>
      <c r="Q146" s="3085"/>
      <c r="R146" s="3012"/>
      <c r="S146" s="3036"/>
      <c r="T146" s="3036"/>
      <c r="U146" s="1548" t="s">
        <v>1528</v>
      </c>
      <c r="V146" s="1560">
        <v>44523515</v>
      </c>
      <c r="W146" s="1622">
        <v>20</v>
      </c>
      <c r="X146" s="1616" t="s">
        <v>62</v>
      </c>
      <c r="Y146" s="3038"/>
      <c r="Z146" s="3032"/>
      <c r="AA146" s="3032"/>
      <c r="AB146" s="3032"/>
      <c r="AC146" s="3032"/>
      <c r="AD146" s="3032"/>
      <c r="AE146" s="3032"/>
      <c r="AF146" s="3032"/>
      <c r="AG146" s="3032"/>
      <c r="AH146" s="3032"/>
      <c r="AI146" s="3032"/>
      <c r="AJ146" s="3032"/>
      <c r="AK146" s="3032"/>
      <c r="AL146" s="3032"/>
      <c r="AM146" s="3032"/>
      <c r="AN146" s="3035"/>
      <c r="AO146" s="3086"/>
      <c r="AP146" s="3086"/>
      <c r="AQ146" s="3010"/>
      <c r="AR146" s="3055"/>
      <c r="AS146" s="1347"/>
    </row>
    <row r="147" spans="1:45" s="1347" customFormat="1" ht="15" customHeight="1" x14ac:dyDescent="0.2">
      <c r="A147" s="3185"/>
      <c r="B147" s="3189"/>
      <c r="C147" s="3190"/>
      <c r="D147" s="1581">
        <v>27</v>
      </c>
      <c r="E147" s="1632" t="s">
        <v>1529</v>
      </c>
      <c r="F147" s="1632"/>
      <c r="G147" s="1633"/>
      <c r="H147" s="1633"/>
      <c r="I147" s="1513"/>
      <c r="J147" s="1582"/>
      <c r="K147" s="1583"/>
      <c r="L147" s="1584"/>
      <c r="M147" s="1585"/>
      <c r="N147" s="1517"/>
      <c r="O147" s="1514"/>
      <c r="P147" s="1516"/>
      <c r="Q147" s="1586"/>
      <c r="R147" s="1587"/>
      <c r="S147" s="1584"/>
      <c r="T147" s="1583"/>
      <c r="U147" s="1583"/>
      <c r="V147" s="1588"/>
      <c r="W147" s="1634"/>
      <c r="X147" s="1634"/>
      <c r="Y147" s="1516"/>
      <c r="Z147" s="1516"/>
      <c r="AA147" s="1516"/>
      <c r="AB147" s="1516"/>
      <c r="AC147" s="1516"/>
      <c r="AD147" s="1516"/>
      <c r="AE147" s="1516"/>
      <c r="AF147" s="1516"/>
      <c r="AG147" s="1516"/>
      <c r="AH147" s="1516"/>
      <c r="AI147" s="1516"/>
      <c r="AJ147" s="1516"/>
      <c r="AK147" s="1516"/>
      <c r="AL147" s="1516"/>
      <c r="AM147" s="1516"/>
      <c r="AN147" s="1516"/>
      <c r="AO147" s="1516"/>
      <c r="AP147" s="1516"/>
      <c r="AQ147" s="1523"/>
    </row>
    <row r="148" spans="1:45" s="1347" customFormat="1" ht="15" customHeight="1" x14ac:dyDescent="0.2">
      <c r="A148" s="3185"/>
      <c r="B148" s="3189"/>
      <c r="C148" s="3190"/>
      <c r="D148" s="3067"/>
      <c r="E148" s="3068"/>
      <c r="F148" s="3068"/>
      <c r="G148" s="1524">
        <v>85</v>
      </c>
      <c r="H148" s="1165" t="s">
        <v>1530</v>
      </c>
      <c r="I148" s="1165"/>
      <c r="J148" s="1525"/>
      <c r="K148" s="1127"/>
      <c r="L148" s="1526"/>
      <c r="M148" s="1527"/>
      <c r="N148" s="1528"/>
      <c r="O148" s="1529"/>
      <c r="P148" s="1125"/>
      <c r="Q148" s="1530"/>
      <c r="R148" s="1590"/>
      <c r="S148" s="1526"/>
      <c r="T148" s="1127"/>
      <c r="U148" s="1127"/>
      <c r="V148" s="1129"/>
      <c r="W148" s="1591"/>
      <c r="X148" s="1591"/>
      <c r="Y148" s="1355"/>
      <c r="Z148" s="1355"/>
      <c r="AA148" s="1355"/>
      <c r="AB148" s="1355"/>
      <c r="AC148" s="1355"/>
      <c r="AD148" s="1355"/>
      <c r="AE148" s="1355"/>
      <c r="AF148" s="1355"/>
      <c r="AG148" s="1355"/>
      <c r="AH148" s="1355"/>
      <c r="AI148" s="1355"/>
      <c r="AJ148" s="1355"/>
      <c r="AK148" s="1355"/>
      <c r="AL148" s="1355"/>
      <c r="AM148" s="1355"/>
      <c r="AN148" s="1355"/>
      <c r="AO148" s="1355"/>
      <c r="AP148" s="1355"/>
      <c r="AQ148" s="1592"/>
    </row>
    <row r="149" spans="1:45" s="399" customFormat="1" ht="27.75" customHeight="1" x14ac:dyDescent="0.2">
      <c r="A149" s="3185"/>
      <c r="B149" s="3189"/>
      <c r="C149" s="3190"/>
      <c r="D149" s="3069"/>
      <c r="E149" s="3070"/>
      <c r="F149" s="3070"/>
      <c r="G149" s="1347"/>
      <c r="H149" s="1536"/>
      <c r="I149" s="1537"/>
      <c r="J149" s="3043">
        <v>250</v>
      </c>
      <c r="K149" s="3073" t="s">
        <v>1531</v>
      </c>
      <c r="L149" s="3076" t="s">
        <v>1532</v>
      </c>
      <c r="M149" s="3043">
        <v>3</v>
      </c>
      <c r="N149" s="3079" t="s">
        <v>1533</v>
      </c>
      <c r="O149" s="3027" t="s">
        <v>1534</v>
      </c>
      <c r="P149" s="3015" t="s">
        <v>1535</v>
      </c>
      <c r="Q149" s="3045">
        <f>SUM(V149:V162)/R149</f>
        <v>0.50827490823121779</v>
      </c>
      <c r="R149" s="3064">
        <f>SUM(V149:V175)</f>
        <v>700271633</v>
      </c>
      <c r="S149" s="3036" t="s">
        <v>1536</v>
      </c>
      <c r="T149" s="3036" t="s">
        <v>1537</v>
      </c>
      <c r="U149" s="2644" t="s">
        <v>1538</v>
      </c>
      <c r="V149" s="1556">
        <v>65420000</v>
      </c>
      <c r="W149" s="1635">
        <v>20</v>
      </c>
      <c r="X149" s="1636" t="s">
        <v>1409</v>
      </c>
      <c r="Y149" s="3061">
        <v>5202</v>
      </c>
      <c r="Z149" s="3056">
        <v>4998</v>
      </c>
      <c r="AA149" s="3056">
        <v>3103</v>
      </c>
      <c r="AB149" s="3056">
        <v>2288</v>
      </c>
      <c r="AC149" s="3056">
        <v>1306</v>
      </c>
      <c r="AD149" s="3056">
        <v>3503</v>
      </c>
      <c r="AE149" s="3056"/>
      <c r="AF149" s="3056"/>
      <c r="AG149" s="3056"/>
      <c r="AH149" s="3056"/>
      <c r="AI149" s="3056"/>
      <c r="AJ149" s="3056"/>
      <c r="AK149" s="3056"/>
      <c r="AL149" s="3056"/>
      <c r="AM149" s="3056"/>
      <c r="AN149" s="3033">
        <v>10200</v>
      </c>
      <c r="AO149" s="3059">
        <v>43753</v>
      </c>
      <c r="AP149" s="3005">
        <v>43758</v>
      </c>
      <c r="AQ149" s="3009" t="s">
        <v>1383</v>
      </c>
      <c r="AR149" s="1347"/>
      <c r="AS149" s="1347"/>
    </row>
    <row r="150" spans="1:45" s="399" customFormat="1" ht="24.75" customHeight="1" x14ac:dyDescent="0.2">
      <c r="A150" s="3185"/>
      <c r="B150" s="3189"/>
      <c r="C150" s="3190"/>
      <c r="D150" s="3069"/>
      <c r="E150" s="3070"/>
      <c r="F150" s="3070"/>
      <c r="G150" s="1347"/>
      <c r="H150" s="1541"/>
      <c r="I150" s="1542"/>
      <c r="J150" s="3023"/>
      <c r="K150" s="3074"/>
      <c r="L150" s="3077"/>
      <c r="M150" s="3023"/>
      <c r="N150" s="3039"/>
      <c r="O150" s="3027"/>
      <c r="P150" s="3015"/>
      <c r="Q150" s="3029"/>
      <c r="R150" s="3011"/>
      <c r="S150" s="3036"/>
      <c r="T150" s="3036"/>
      <c r="U150" s="2645"/>
      <c r="V150" s="1556">
        <v>62420000</v>
      </c>
      <c r="W150" s="1635">
        <v>88</v>
      </c>
      <c r="X150" s="1636" t="s">
        <v>1479</v>
      </c>
      <c r="Y150" s="3061"/>
      <c r="Z150" s="3056"/>
      <c r="AA150" s="3056"/>
      <c r="AB150" s="3056"/>
      <c r="AC150" s="3056"/>
      <c r="AD150" s="3056"/>
      <c r="AE150" s="3056"/>
      <c r="AF150" s="3056"/>
      <c r="AG150" s="3056"/>
      <c r="AH150" s="3056"/>
      <c r="AI150" s="3056"/>
      <c r="AJ150" s="3056"/>
      <c r="AK150" s="3056"/>
      <c r="AL150" s="3056"/>
      <c r="AM150" s="3056"/>
      <c r="AN150" s="3034"/>
      <c r="AO150" s="3060"/>
      <c r="AP150" s="3006"/>
      <c r="AQ150" s="3009"/>
      <c r="AR150" s="1347"/>
      <c r="AS150" s="1347"/>
    </row>
    <row r="151" spans="1:45" s="399" customFormat="1" ht="29.25" customHeight="1" x14ac:dyDescent="0.2">
      <c r="A151" s="3185"/>
      <c r="B151" s="3189"/>
      <c r="C151" s="3190"/>
      <c r="D151" s="3069"/>
      <c r="E151" s="3070"/>
      <c r="F151" s="3070"/>
      <c r="G151" s="1347"/>
      <c r="H151" s="1541"/>
      <c r="I151" s="1542"/>
      <c r="J151" s="3023"/>
      <c r="K151" s="3074"/>
      <c r="L151" s="3077"/>
      <c r="M151" s="3023"/>
      <c r="N151" s="3039"/>
      <c r="O151" s="3027"/>
      <c r="P151" s="3015"/>
      <c r="Q151" s="3029"/>
      <c r="R151" s="3011"/>
      <c r="S151" s="3036"/>
      <c r="T151" s="3036"/>
      <c r="U151" s="2644" t="s">
        <v>1539</v>
      </c>
      <c r="V151" s="1556">
        <v>28000000</v>
      </c>
      <c r="W151" s="1622">
        <v>20</v>
      </c>
      <c r="X151" s="1616" t="s">
        <v>62</v>
      </c>
      <c r="Y151" s="3062"/>
      <c r="Z151" s="3057"/>
      <c r="AA151" s="3057"/>
      <c r="AB151" s="3057"/>
      <c r="AC151" s="3057"/>
      <c r="AD151" s="3057"/>
      <c r="AE151" s="3057"/>
      <c r="AF151" s="3057"/>
      <c r="AG151" s="3057"/>
      <c r="AH151" s="3057"/>
      <c r="AI151" s="3057"/>
      <c r="AJ151" s="3057"/>
      <c r="AK151" s="3057"/>
      <c r="AL151" s="3057"/>
      <c r="AM151" s="3057"/>
      <c r="AN151" s="3034"/>
      <c r="AO151" s="3060"/>
      <c r="AP151" s="3006"/>
      <c r="AQ151" s="3053"/>
      <c r="AR151" s="3055"/>
      <c r="AS151" s="1347"/>
    </row>
    <row r="152" spans="1:45" s="399" customFormat="1" ht="27.75" customHeight="1" x14ac:dyDescent="0.2">
      <c r="A152" s="3185"/>
      <c r="B152" s="3189"/>
      <c r="C152" s="3190"/>
      <c r="D152" s="3069"/>
      <c r="E152" s="3070"/>
      <c r="F152" s="3070"/>
      <c r="G152" s="1347"/>
      <c r="H152" s="1541"/>
      <c r="I152" s="1542"/>
      <c r="J152" s="3023"/>
      <c r="K152" s="3074"/>
      <c r="L152" s="3077"/>
      <c r="M152" s="3023"/>
      <c r="N152" s="3039"/>
      <c r="O152" s="3027"/>
      <c r="P152" s="3015"/>
      <c r="Q152" s="3029"/>
      <c r="R152" s="3011"/>
      <c r="S152" s="3036"/>
      <c r="T152" s="3036"/>
      <c r="U152" s="2645"/>
      <c r="V152" s="1556">
        <v>28000000</v>
      </c>
      <c r="W152" s="1622">
        <v>88</v>
      </c>
      <c r="X152" s="1636" t="s">
        <v>1479</v>
      </c>
      <c r="Y152" s="3062"/>
      <c r="Z152" s="3057"/>
      <c r="AA152" s="3057"/>
      <c r="AB152" s="3057"/>
      <c r="AC152" s="3057"/>
      <c r="AD152" s="3057"/>
      <c r="AE152" s="3057"/>
      <c r="AF152" s="3057"/>
      <c r="AG152" s="3057"/>
      <c r="AH152" s="3057"/>
      <c r="AI152" s="3057"/>
      <c r="AJ152" s="3057"/>
      <c r="AK152" s="3057"/>
      <c r="AL152" s="3057"/>
      <c r="AM152" s="3057"/>
      <c r="AN152" s="3034"/>
      <c r="AO152" s="3060"/>
      <c r="AP152" s="3006"/>
      <c r="AQ152" s="3053"/>
      <c r="AR152" s="3055"/>
      <c r="AS152" s="1347"/>
    </row>
    <row r="153" spans="1:45" s="399" customFormat="1" ht="30" customHeight="1" x14ac:dyDescent="0.2">
      <c r="A153" s="3185"/>
      <c r="B153" s="3189"/>
      <c r="C153" s="3190"/>
      <c r="D153" s="3069"/>
      <c r="E153" s="3070"/>
      <c r="F153" s="3070"/>
      <c r="G153" s="1347"/>
      <c r="H153" s="1541"/>
      <c r="I153" s="1542"/>
      <c r="J153" s="3023"/>
      <c r="K153" s="3074"/>
      <c r="L153" s="3077"/>
      <c r="M153" s="3023"/>
      <c r="N153" s="3039"/>
      <c r="O153" s="3027"/>
      <c r="P153" s="3015"/>
      <c r="Q153" s="3029"/>
      <c r="R153" s="3011"/>
      <c r="S153" s="3036"/>
      <c r="T153" s="3036"/>
      <c r="U153" s="2644" t="s">
        <v>1540</v>
      </c>
      <c r="V153" s="1637">
        <v>5000000</v>
      </c>
      <c r="W153" s="1622">
        <v>20</v>
      </c>
      <c r="X153" s="1616" t="s">
        <v>62</v>
      </c>
      <c r="Y153" s="3062"/>
      <c r="Z153" s="3057"/>
      <c r="AA153" s="3057"/>
      <c r="AB153" s="3057"/>
      <c r="AC153" s="3057"/>
      <c r="AD153" s="3057"/>
      <c r="AE153" s="3057"/>
      <c r="AF153" s="3057"/>
      <c r="AG153" s="3057"/>
      <c r="AH153" s="3057"/>
      <c r="AI153" s="3057"/>
      <c r="AJ153" s="3057"/>
      <c r="AK153" s="3057"/>
      <c r="AL153" s="3057"/>
      <c r="AM153" s="3057"/>
      <c r="AN153" s="3034"/>
      <c r="AO153" s="3060"/>
      <c r="AP153" s="3006"/>
      <c r="AQ153" s="3053"/>
      <c r="AR153" s="3055"/>
      <c r="AS153" s="1347"/>
    </row>
    <row r="154" spans="1:45" s="399" customFormat="1" ht="30.75" customHeight="1" x14ac:dyDescent="0.2">
      <c r="A154" s="3185"/>
      <c r="B154" s="3189"/>
      <c r="C154" s="3190"/>
      <c r="D154" s="3069"/>
      <c r="E154" s="3070"/>
      <c r="F154" s="3070"/>
      <c r="G154" s="1347"/>
      <c r="H154" s="1541"/>
      <c r="I154" s="1542"/>
      <c r="J154" s="3023"/>
      <c r="K154" s="3074"/>
      <c r="L154" s="3077"/>
      <c r="M154" s="3023"/>
      <c r="N154" s="3039"/>
      <c r="O154" s="3027"/>
      <c r="P154" s="3015"/>
      <c r="Q154" s="3029"/>
      <c r="R154" s="3011"/>
      <c r="S154" s="3036"/>
      <c r="T154" s="3036"/>
      <c r="U154" s="2645"/>
      <c r="V154" s="1637">
        <v>5000000</v>
      </c>
      <c r="W154" s="1622">
        <v>88</v>
      </c>
      <c r="X154" s="1636" t="s">
        <v>1479</v>
      </c>
      <c r="Y154" s="3062"/>
      <c r="Z154" s="3057"/>
      <c r="AA154" s="3057"/>
      <c r="AB154" s="3057"/>
      <c r="AC154" s="3057"/>
      <c r="AD154" s="3057"/>
      <c r="AE154" s="3057"/>
      <c r="AF154" s="3057"/>
      <c r="AG154" s="3057"/>
      <c r="AH154" s="3057"/>
      <c r="AI154" s="3057"/>
      <c r="AJ154" s="3057"/>
      <c r="AK154" s="3057"/>
      <c r="AL154" s="3057"/>
      <c r="AM154" s="3057"/>
      <c r="AN154" s="3034"/>
      <c r="AO154" s="3060"/>
      <c r="AP154" s="3006"/>
      <c r="AQ154" s="3053"/>
      <c r="AR154" s="3055"/>
      <c r="AS154" s="1347"/>
    </row>
    <row r="155" spans="1:45" s="399" customFormat="1" ht="28.5" customHeight="1" x14ac:dyDescent="0.2">
      <c r="A155" s="3185"/>
      <c r="B155" s="3189"/>
      <c r="C155" s="3190"/>
      <c r="D155" s="3069"/>
      <c r="E155" s="3070"/>
      <c r="F155" s="3070"/>
      <c r="G155" s="1347"/>
      <c r="H155" s="1541"/>
      <c r="I155" s="1542"/>
      <c r="J155" s="3023"/>
      <c r="K155" s="3074"/>
      <c r="L155" s="3077"/>
      <c r="M155" s="3023"/>
      <c r="N155" s="3039"/>
      <c r="O155" s="3027"/>
      <c r="P155" s="3015"/>
      <c r="Q155" s="3029"/>
      <c r="R155" s="3011"/>
      <c r="S155" s="3036"/>
      <c r="T155" s="3036"/>
      <c r="U155" s="2644" t="s">
        <v>1541</v>
      </c>
      <c r="V155" s="1556">
        <v>11400000</v>
      </c>
      <c r="W155" s="1622">
        <v>20</v>
      </c>
      <c r="X155" s="1616" t="s">
        <v>62</v>
      </c>
      <c r="Y155" s="3062"/>
      <c r="Z155" s="3057"/>
      <c r="AA155" s="3057"/>
      <c r="AB155" s="3057"/>
      <c r="AC155" s="3057"/>
      <c r="AD155" s="3057"/>
      <c r="AE155" s="3057"/>
      <c r="AF155" s="3057"/>
      <c r="AG155" s="3057"/>
      <c r="AH155" s="3057"/>
      <c r="AI155" s="3057"/>
      <c r="AJ155" s="3057"/>
      <c r="AK155" s="3057"/>
      <c r="AL155" s="3057"/>
      <c r="AM155" s="3057"/>
      <c r="AN155" s="3034"/>
      <c r="AO155" s="3060"/>
      <c r="AP155" s="3006"/>
      <c r="AQ155" s="3053"/>
      <c r="AR155" s="3055"/>
      <c r="AS155" s="1347"/>
    </row>
    <row r="156" spans="1:45" s="399" customFormat="1" ht="30.75" customHeight="1" x14ac:dyDescent="0.2">
      <c r="A156" s="3185"/>
      <c r="B156" s="3189"/>
      <c r="C156" s="3190"/>
      <c r="D156" s="3069"/>
      <c r="E156" s="3070"/>
      <c r="F156" s="3070"/>
      <c r="G156" s="1347"/>
      <c r="H156" s="1541"/>
      <c r="I156" s="1542"/>
      <c r="J156" s="3023"/>
      <c r="K156" s="3074"/>
      <c r="L156" s="3077"/>
      <c r="M156" s="3023"/>
      <c r="N156" s="3039"/>
      <c r="O156" s="3027"/>
      <c r="P156" s="3015"/>
      <c r="Q156" s="3029"/>
      <c r="R156" s="3011"/>
      <c r="S156" s="3036"/>
      <c r="T156" s="3036"/>
      <c r="U156" s="2645"/>
      <c r="V156" s="1556">
        <v>10000000</v>
      </c>
      <c r="W156" s="1622">
        <v>88</v>
      </c>
      <c r="X156" s="1636" t="s">
        <v>1479</v>
      </c>
      <c r="Y156" s="3062"/>
      <c r="Z156" s="3057"/>
      <c r="AA156" s="3057"/>
      <c r="AB156" s="3057"/>
      <c r="AC156" s="3057"/>
      <c r="AD156" s="3057"/>
      <c r="AE156" s="3057"/>
      <c r="AF156" s="3057"/>
      <c r="AG156" s="3057"/>
      <c r="AH156" s="3057"/>
      <c r="AI156" s="3057"/>
      <c r="AJ156" s="3057"/>
      <c r="AK156" s="3057"/>
      <c r="AL156" s="3057"/>
      <c r="AM156" s="3057"/>
      <c r="AN156" s="3034"/>
      <c r="AO156" s="3060"/>
      <c r="AP156" s="3006"/>
      <c r="AQ156" s="3053"/>
      <c r="AR156" s="3055"/>
      <c r="AS156" s="1347"/>
    </row>
    <row r="157" spans="1:45" s="399" customFormat="1" ht="35.25" customHeight="1" x14ac:dyDescent="0.2">
      <c r="A157" s="3185"/>
      <c r="B157" s="3189"/>
      <c r="C157" s="3190"/>
      <c r="D157" s="3069"/>
      <c r="E157" s="3070"/>
      <c r="F157" s="3070"/>
      <c r="G157" s="1347"/>
      <c r="H157" s="1541"/>
      <c r="I157" s="1542"/>
      <c r="J157" s="3023"/>
      <c r="K157" s="3074"/>
      <c r="L157" s="3077"/>
      <c r="M157" s="3023"/>
      <c r="N157" s="3039"/>
      <c r="O157" s="3027"/>
      <c r="P157" s="3015"/>
      <c r="Q157" s="3029"/>
      <c r="R157" s="3011"/>
      <c r="S157" s="3036"/>
      <c r="T157" s="3036"/>
      <c r="U157" s="1554" t="s">
        <v>1542</v>
      </c>
      <c r="V157" s="1560">
        <v>5000000</v>
      </c>
      <c r="W157" s="1622">
        <v>20</v>
      </c>
      <c r="X157" s="1616" t="s">
        <v>62</v>
      </c>
      <c r="Y157" s="3062"/>
      <c r="Z157" s="3057"/>
      <c r="AA157" s="3057"/>
      <c r="AB157" s="3057"/>
      <c r="AC157" s="3057"/>
      <c r="AD157" s="3057"/>
      <c r="AE157" s="3057"/>
      <c r="AF157" s="3057"/>
      <c r="AG157" s="3057"/>
      <c r="AH157" s="3057"/>
      <c r="AI157" s="3057"/>
      <c r="AJ157" s="3057"/>
      <c r="AK157" s="3057"/>
      <c r="AL157" s="3057"/>
      <c r="AM157" s="3057"/>
      <c r="AN157" s="3034"/>
      <c r="AO157" s="3060"/>
      <c r="AP157" s="3006"/>
      <c r="AQ157" s="3053"/>
      <c r="AR157" s="3055"/>
      <c r="AS157" s="1347"/>
    </row>
    <row r="158" spans="1:45" s="399" customFormat="1" ht="41.25" customHeight="1" x14ac:dyDescent="0.2">
      <c r="A158" s="3185"/>
      <c r="B158" s="3189"/>
      <c r="C158" s="3190"/>
      <c r="D158" s="3069"/>
      <c r="E158" s="3070"/>
      <c r="F158" s="3070"/>
      <c r="G158" s="1347"/>
      <c r="H158" s="1541"/>
      <c r="I158" s="1542"/>
      <c r="J158" s="3023"/>
      <c r="K158" s="3074"/>
      <c r="L158" s="3077"/>
      <c r="M158" s="3023"/>
      <c r="N158" s="3039"/>
      <c r="O158" s="3027"/>
      <c r="P158" s="3015"/>
      <c r="Q158" s="3029"/>
      <c r="R158" s="3011"/>
      <c r="S158" s="3036"/>
      <c r="T158" s="3036"/>
      <c r="U158" s="1554" t="s">
        <v>1543</v>
      </c>
      <c r="V158" s="1560">
        <v>12000000</v>
      </c>
      <c r="W158" s="1622">
        <v>20</v>
      </c>
      <c r="X158" s="1616" t="s">
        <v>62</v>
      </c>
      <c r="Y158" s="3062"/>
      <c r="Z158" s="3057"/>
      <c r="AA158" s="3057"/>
      <c r="AB158" s="3057"/>
      <c r="AC158" s="3057"/>
      <c r="AD158" s="3057"/>
      <c r="AE158" s="3057"/>
      <c r="AF158" s="3057"/>
      <c r="AG158" s="3057"/>
      <c r="AH158" s="3057"/>
      <c r="AI158" s="3057"/>
      <c r="AJ158" s="3057"/>
      <c r="AK158" s="3057"/>
      <c r="AL158" s="3057"/>
      <c r="AM158" s="3057"/>
      <c r="AN158" s="3034"/>
      <c r="AO158" s="3060"/>
      <c r="AP158" s="3006"/>
      <c r="AQ158" s="3053"/>
      <c r="AR158" s="3055"/>
      <c r="AS158" s="1347"/>
    </row>
    <row r="159" spans="1:45" s="399" customFormat="1" ht="30" customHeight="1" x14ac:dyDescent="0.2">
      <c r="A159" s="3185"/>
      <c r="B159" s="3189"/>
      <c r="C159" s="3190"/>
      <c r="D159" s="3069"/>
      <c r="E159" s="3070"/>
      <c r="F159" s="3070"/>
      <c r="G159" s="1347"/>
      <c r="H159" s="1541"/>
      <c r="I159" s="1542"/>
      <c r="J159" s="3023"/>
      <c r="K159" s="3074"/>
      <c r="L159" s="3077"/>
      <c r="M159" s="3023"/>
      <c r="N159" s="3039"/>
      <c r="O159" s="3027"/>
      <c r="P159" s="3015"/>
      <c r="Q159" s="3029"/>
      <c r="R159" s="3011"/>
      <c r="S159" s="3036"/>
      <c r="T159" s="3036"/>
      <c r="U159" s="2644" t="s">
        <v>1544</v>
      </c>
      <c r="V159" s="1556">
        <v>40000000</v>
      </c>
      <c r="W159" s="1622">
        <v>20</v>
      </c>
      <c r="X159" s="1616" t="s">
        <v>62</v>
      </c>
      <c r="Y159" s="3062"/>
      <c r="Z159" s="3057"/>
      <c r="AA159" s="3057"/>
      <c r="AB159" s="3057"/>
      <c r="AC159" s="3057"/>
      <c r="AD159" s="3057"/>
      <c r="AE159" s="3057"/>
      <c r="AF159" s="3057"/>
      <c r="AG159" s="3057"/>
      <c r="AH159" s="3057"/>
      <c r="AI159" s="3057"/>
      <c r="AJ159" s="3057"/>
      <c r="AK159" s="3057"/>
      <c r="AL159" s="3057"/>
      <c r="AM159" s="3057"/>
      <c r="AN159" s="3034"/>
      <c r="AO159" s="3060"/>
      <c r="AP159" s="3006"/>
      <c r="AQ159" s="3053"/>
      <c r="AR159" s="1347"/>
      <c r="AS159" s="1347"/>
    </row>
    <row r="160" spans="1:45" s="399" customFormat="1" ht="27.75" customHeight="1" x14ac:dyDescent="0.2">
      <c r="A160" s="3185"/>
      <c r="B160" s="3189"/>
      <c r="C160" s="3190"/>
      <c r="D160" s="3069"/>
      <c r="E160" s="3070"/>
      <c r="F160" s="3070"/>
      <c r="G160" s="1347"/>
      <c r="H160" s="1541"/>
      <c r="I160" s="1542"/>
      <c r="J160" s="3023"/>
      <c r="K160" s="3074"/>
      <c r="L160" s="3077"/>
      <c r="M160" s="3023"/>
      <c r="N160" s="3039"/>
      <c r="O160" s="3027"/>
      <c r="P160" s="3015"/>
      <c r="Q160" s="3029"/>
      <c r="R160" s="3011"/>
      <c r="S160" s="3036"/>
      <c r="T160" s="3036"/>
      <c r="U160" s="2645"/>
      <c r="V160" s="1556">
        <v>43690500</v>
      </c>
      <c r="W160" s="1622">
        <v>88</v>
      </c>
      <c r="X160" s="1636" t="s">
        <v>1479</v>
      </c>
      <c r="Y160" s="3062"/>
      <c r="Z160" s="3057"/>
      <c r="AA160" s="3057"/>
      <c r="AB160" s="3057"/>
      <c r="AC160" s="3057"/>
      <c r="AD160" s="3057"/>
      <c r="AE160" s="3057"/>
      <c r="AF160" s="3057"/>
      <c r="AG160" s="3057"/>
      <c r="AH160" s="3057"/>
      <c r="AI160" s="3057"/>
      <c r="AJ160" s="3057"/>
      <c r="AK160" s="3057"/>
      <c r="AL160" s="3057"/>
      <c r="AM160" s="3057"/>
      <c r="AN160" s="3034"/>
      <c r="AO160" s="3060"/>
      <c r="AP160" s="3006"/>
      <c r="AQ160" s="3053"/>
      <c r="AR160" s="1347"/>
      <c r="AS160" s="1347"/>
    </row>
    <row r="161" spans="1:45" s="399" customFormat="1" ht="27" customHeight="1" x14ac:dyDescent="0.2">
      <c r="A161" s="3185"/>
      <c r="B161" s="3189"/>
      <c r="C161" s="3190"/>
      <c r="D161" s="3069"/>
      <c r="E161" s="3070"/>
      <c r="F161" s="3070"/>
      <c r="G161" s="1347"/>
      <c r="H161" s="1541"/>
      <c r="I161" s="1542"/>
      <c r="J161" s="3023"/>
      <c r="K161" s="3074"/>
      <c r="L161" s="3077"/>
      <c r="M161" s="3023"/>
      <c r="N161" s="3039"/>
      <c r="O161" s="3027"/>
      <c r="P161" s="3015"/>
      <c r="Q161" s="3029"/>
      <c r="R161" s="3011"/>
      <c r="S161" s="3036"/>
      <c r="T161" s="3036"/>
      <c r="U161" s="2644" t="s">
        <v>1545</v>
      </c>
      <c r="V161" s="1556">
        <v>20000000</v>
      </c>
      <c r="W161" s="1622">
        <v>20</v>
      </c>
      <c r="X161" s="1616" t="s">
        <v>62</v>
      </c>
      <c r="Y161" s="3062"/>
      <c r="Z161" s="3057"/>
      <c r="AA161" s="3057"/>
      <c r="AB161" s="3057"/>
      <c r="AC161" s="3057"/>
      <c r="AD161" s="3057"/>
      <c r="AE161" s="3057"/>
      <c r="AF161" s="3057"/>
      <c r="AG161" s="3057"/>
      <c r="AH161" s="3057"/>
      <c r="AI161" s="3057"/>
      <c r="AJ161" s="3057"/>
      <c r="AK161" s="3057"/>
      <c r="AL161" s="3057"/>
      <c r="AM161" s="3057"/>
      <c r="AN161" s="3034"/>
      <c r="AO161" s="3060"/>
      <c r="AP161" s="3006"/>
      <c r="AQ161" s="3053"/>
      <c r="AR161" s="1347"/>
      <c r="AS161" s="1347"/>
    </row>
    <row r="162" spans="1:45" s="399" customFormat="1" ht="27" customHeight="1" x14ac:dyDescent="0.2">
      <c r="A162" s="3185"/>
      <c r="B162" s="3189"/>
      <c r="C162" s="3190"/>
      <c r="D162" s="3069"/>
      <c r="E162" s="3070"/>
      <c r="F162" s="3070"/>
      <c r="G162" s="1347"/>
      <c r="H162" s="1541"/>
      <c r="I162" s="1542"/>
      <c r="J162" s="3024"/>
      <c r="K162" s="3075"/>
      <c r="L162" s="3078"/>
      <c r="M162" s="3024"/>
      <c r="N162" s="3039"/>
      <c r="O162" s="3027"/>
      <c r="P162" s="3015"/>
      <c r="Q162" s="3030"/>
      <c r="R162" s="3011"/>
      <c r="S162" s="3036"/>
      <c r="T162" s="3036"/>
      <c r="U162" s="2645"/>
      <c r="V162" s="1556">
        <v>20000000</v>
      </c>
      <c r="W162" s="1622">
        <v>88</v>
      </c>
      <c r="X162" s="1636" t="s">
        <v>1479</v>
      </c>
      <c r="Y162" s="3062"/>
      <c r="Z162" s="3057"/>
      <c r="AA162" s="3057"/>
      <c r="AB162" s="3057"/>
      <c r="AC162" s="3057"/>
      <c r="AD162" s="3057"/>
      <c r="AE162" s="3057"/>
      <c r="AF162" s="3057"/>
      <c r="AG162" s="3057"/>
      <c r="AH162" s="3057"/>
      <c r="AI162" s="3057"/>
      <c r="AJ162" s="3057"/>
      <c r="AK162" s="3057"/>
      <c r="AL162" s="3057"/>
      <c r="AM162" s="3057"/>
      <c r="AN162" s="3034"/>
      <c r="AO162" s="3060"/>
      <c r="AP162" s="3006"/>
      <c r="AQ162" s="3053"/>
      <c r="AR162" s="1347"/>
      <c r="AS162" s="1347"/>
    </row>
    <row r="163" spans="1:45" s="399" customFormat="1" ht="42" customHeight="1" x14ac:dyDescent="0.2">
      <c r="A163" s="3185"/>
      <c r="B163" s="3189"/>
      <c r="C163" s="3190"/>
      <c r="D163" s="3069"/>
      <c r="E163" s="3070"/>
      <c r="F163" s="3070"/>
      <c r="G163" s="1347"/>
      <c r="H163" s="1541"/>
      <c r="I163" s="1542"/>
      <c r="J163" s="3042">
        <v>251</v>
      </c>
      <c r="K163" s="3036" t="s">
        <v>1546</v>
      </c>
      <c r="L163" s="3036" t="s">
        <v>1547</v>
      </c>
      <c r="M163" s="3042">
        <v>1</v>
      </c>
      <c r="N163" s="3039"/>
      <c r="O163" s="3027"/>
      <c r="P163" s="3015"/>
      <c r="Q163" s="3040">
        <f>SUM(V163:V167)/R149</f>
        <v>7.0958179167026181E-2</v>
      </c>
      <c r="R163" s="3011"/>
      <c r="S163" s="3036"/>
      <c r="T163" s="3036"/>
      <c r="U163" s="1554" t="s">
        <v>1548</v>
      </c>
      <c r="V163" s="1560">
        <v>18000000</v>
      </c>
      <c r="W163" s="1622">
        <v>20</v>
      </c>
      <c r="X163" s="1616" t="s">
        <v>62</v>
      </c>
      <c r="Y163" s="3062"/>
      <c r="Z163" s="3057"/>
      <c r="AA163" s="3057"/>
      <c r="AB163" s="3057"/>
      <c r="AC163" s="3057"/>
      <c r="AD163" s="3057"/>
      <c r="AE163" s="3057"/>
      <c r="AF163" s="3057"/>
      <c r="AG163" s="3057"/>
      <c r="AH163" s="3057"/>
      <c r="AI163" s="3057"/>
      <c r="AJ163" s="3057"/>
      <c r="AK163" s="3057"/>
      <c r="AL163" s="3057"/>
      <c r="AM163" s="3057"/>
      <c r="AN163" s="3034"/>
      <c r="AO163" s="3060"/>
      <c r="AP163" s="3006"/>
      <c r="AQ163" s="3053"/>
      <c r="AR163" s="1347"/>
      <c r="AS163" s="1347"/>
    </row>
    <row r="164" spans="1:45" s="399" customFormat="1" ht="46.5" customHeight="1" x14ac:dyDescent="0.2">
      <c r="A164" s="3185"/>
      <c r="B164" s="3189"/>
      <c r="C164" s="3190"/>
      <c r="D164" s="3069"/>
      <c r="E164" s="3070"/>
      <c r="F164" s="3070"/>
      <c r="G164" s="1347"/>
      <c r="H164" s="1541"/>
      <c r="I164" s="1542"/>
      <c r="J164" s="3042"/>
      <c r="K164" s="3036"/>
      <c r="L164" s="3036"/>
      <c r="M164" s="3042"/>
      <c r="N164" s="3039"/>
      <c r="O164" s="3027"/>
      <c r="P164" s="3015"/>
      <c r="Q164" s="3040"/>
      <c r="R164" s="3011"/>
      <c r="S164" s="3036"/>
      <c r="T164" s="3036"/>
      <c r="U164" s="1554" t="s">
        <v>1549</v>
      </c>
      <c r="V164" s="1560">
        <v>5000000</v>
      </c>
      <c r="W164" s="1622">
        <v>20</v>
      </c>
      <c r="X164" s="1616" t="s">
        <v>62</v>
      </c>
      <c r="Y164" s="3062"/>
      <c r="Z164" s="3057"/>
      <c r="AA164" s="3057"/>
      <c r="AB164" s="3057"/>
      <c r="AC164" s="3057"/>
      <c r="AD164" s="3057"/>
      <c r="AE164" s="3057"/>
      <c r="AF164" s="3057"/>
      <c r="AG164" s="3057"/>
      <c r="AH164" s="3057"/>
      <c r="AI164" s="3057"/>
      <c r="AJ164" s="3057"/>
      <c r="AK164" s="3057"/>
      <c r="AL164" s="3057"/>
      <c r="AM164" s="3057"/>
      <c r="AN164" s="3034"/>
      <c r="AO164" s="3060"/>
      <c r="AP164" s="3006"/>
      <c r="AQ164" s="3053"/>
      <c r="AR164" s="1347"/>
      <c r="AS164" s="1347"/>
    </row>
    <row r="165" spans="1:45" s="399" customFormat="1" ht="52.5" customHeight="1" x14ac:dyDescent="0.2">
      <c r="A165" s="3185"/>
      <c r="B165" s="3189"/>
      <c r="C165" s="3190"/>
      <c r="D165" s="3069"/>
      <c r="E165" s="3070"/>
      <c r="F165" s="3070"/>
      <c r="G165" s="1347"/>
      <c r="H165" s="1541"/>
      <c r="I165" s="1542"/>
      <c r="J165" s="3042"/>
      <c r="K165" s="3036"/>
      <c r="L165" s="3036"/>
      <c r="M165" s="3042"/>
      <c r="N165" s="3039"/>
      <c r="O165" s="3027"/>
      <c r="P165" s="3015"/>
      <c r="Q165" s="3040"/>
      <c r="R165" s="3011"/>
      <c r="S165" s="3036"/>
      <c r="T165" s="3036"/>
      <c r="U165" s="1554" t="s">
        <v>1550</v>
      </c>
      <c r="V165" s="1560">
        <v>14690000</v>
      </c>
      <c r="W165" s="1622">
        <v>20</v>
      </c>
      <c r="X165" s="1616" t="s">
        <v>62</v>
      </c>
      <c r="Y165" s="3062"/>
      <c r="Z165" s="3057"/>
      <c r="AA165" s="3057"/>
      <c r="AB165" s="3057"/>
      <c r="AC165" s="3057"/>
      <c r="AD165" s="3057"/>
      <c r="AE165" s="3057"/>
      <c r="AF165" s="3057"/>
      <c r="AG165" s="3057"/>
      <c r="AH165" s="3057"/>
      <c r="AI165" s="3057"/>
      <c r="AJ165" s="3057"/>
      <c r="AK165" s="3057"/>
      <c r="AL165" s="3057"/>
      <c r="AM165" s="3057"/>
      <c r="AN165" s="3034"/>
      <c r="AO165" s="3060"/>
      <c r="AP165" s="3006"/>
      <c r="AQ165" s="3053"/>
      <c r="AR165" s="1347"/>
      <c r="AS165" s="1347"/>
    </row>
    <row r="166" spans="1:45" s="399" customFormat="1" ht="33" customHeight="1" x14ac:dyDescent="0.2">
      <c r="A166" s="3185"/>
      <c r="B166" s="3189"/>
      <c r="C166" s="3190"/>
      <c r="D166" s="3069"/>
      <c r="E166" s="3070"/>
      <c r="F166" s="3070"/>
      <c r="G166" s="1347"/>
      <c r="H166" s="1541"/>
      <c r="I166" s="1542"/>
      <c r="J166" s="3042"/>
      <c r="K166" s="3036"/>
      <c r="L166" s="3036"/>
      <c r="M166" s="3042"/>
      <c r="N166" s="3039"/>
      <c r="O166" s="3027"/>
      <c r="P166" s="3015"/>
      <c r="Q166" s="3040"/>
      <c r="R166" s="3011"/>
      <c r="S166" s="3036"/>
      <c r="T166" s="3036"/>
      <c r="U166" s="1554" t="s">
        <v>1551</v>
      </c>
      <c r="V166" s="1560">
        <v>5000000</v>
      </c>
      <c r="W166" s="1622">
        <v>20</v>
      </c>
      <c r="X166" s="1616" t="s">
        <v>62</v>
      </c>
      <c r="Y166" s="3062"/>
      <c r="Z166" s="3057"/>
      <c r="AA166" s="3057"/>
      <c r="AB166" s="3057"/>
      <c r="AC166" s="3057"/>
      <c r="AD166" s="3057"/>
      <c r="AE166" s="3057"/>
      <c r="AF166" s="3057"/>
      <c r="AG166" s="3057"/>
      <c r="AH166" s="3057"/>
      <c r="AI166" s="3057"/>
      <c r="AJ166" s="3057"/>
      <c r="AK166" s="3057"/>
      <c r="AL166" s="3057"/>
      <c r="AM166" s="3057"/>
      <c r="AN166" s="3034"/>
      <c r="AO166" s="3060"/>
      <c r="AP166" s="3006"/>
      <c r="AQ166" s="3053"/>
      <c r="AR166" s="1347"/>
      <c r="AS166" s="1347"/>
    </row>
    <row r="167" spans="1:45" s="399" customFormat="1" ht="39.75" customHeight="1" x14ac:dyDescent="0.2">
      <c r="A167" s="3185"/>
      <c r="B167" s="3189"/>
      <c r="C167" s="3190"/>
      <c r="D167" s="3069"/>
      <c r="E167" s="3070"/>
      <c r="F167" s="3070"/>
      <c r="G167" s="1347"/>
      <c r="H167" s="1541"/>
      <c r="I167" s="1542"/>
      <c r="J167" s="3042"/>
      <c r="K167" s="3036"/>
      <c r="L167" s="3036"/>
      <c r="M167" s="3042"/>
      <c r="N167" s="3039"/>
      <c r="O167" s="3027"/>
      <c r="P167" s="3015"/>
      <c r="Q167" s="3040"/>
      <c r="R167" s="3011"/>
      <c r="S167" s="3036"/>
      <c r="T167" s="3036"/>
      <c r="U167" s="1554" t="s">
        <v>1552</v>
      </c>
      <c r="V167" s="1560">
        <v>7000000</v>
      </c>
      <c r="W167" s="1622">
        <v>20</v>
      </c>
      <c r="X167" s="1616" t="s">
        <v>62</v>
      </c>
      <c r="Y167" s="3062"/>
      <c r="Z167" s="3057"/>
      <c r="AA167" s="3057"/>
      <c r="AB167" s="3057"/>
      <c r="AC167" s="3057"/>
      <c r="AD167" s="3057"/>
      <c r="AE167" s="3057"/>
      <c r="AF167" s="3057"/>
      <c r="AG167" s="3057"/>
      <c r="AH167" s="3057"/>
      <c r="AI167" s="3057"/>
      <c r="AJ167" s="3057"/>
      <c r="AK167" s="3057"/>
      <c r="AL167" s="3057"/>
      <c r="AM167" s="3057"/>
      <c r="AN167" s="3034"/>
      <c r="AO167" s="3060"/>
      <c r="AP167" s="3006"/>
      <c r="AQ167" s="3053"/>
      <c r="AR167" s="1347"/>
      <c r="AS167" s="1347"/>
    </row>
    <row r="168" spans="1:45" s="399" customFormat="1" ht="66" customHeight="1" x14ac:dyDescent="0.2">
      <c r="A168" s="3185"/>
      <c r="B168" s="3189"/>
      <c r="C168" s="3190"/>
      <c r="D168" s="3069"/>
      <c r="E168" s="3070"/>
      <c r="F168" s="3070"/>
      <c r="G168" s="1347"/>
      <c r="H168" s="1541"/>
      <c r="I168" s="1542"/>
      <c r="J168" s="1546">
        <v>252</v>
      </c>
      <c r="K168" s="1544" t="s">
        <v>1553</v>
      </c>
      <c r="L168" s="1544" t="s">
        <v>1554</v>
      </c>
      <c r="M168" s="1546">
        <v>1</v>
      </c>
      <c r="N168" s="3039"/>
      <c r="O168" s="3027"/>
      <c r="P168" s="3015"/>
      <c r="Q168" s="1631">
        <f>SUM(V168)/R149</f>
        <v>3.5486229669965799E-2</v>
      </c>
      <c r="R168" s="3011"/>
      <c r="S168" s="3036"/>
      <c r="T168" s="3036"/>
      <c r="U168" s="1638" t="s">
        <v>1555</v>
      </c>
      <c r="V168" s="1560">
        <v>24850000</v>
      </c>
      <c r="W168" s="1622">
        <v>20</v>
      </c>
      <c r="X168" s="1616" t="s">
        <v>62</v>
      </c>
      <c r="Y168" s="3062"/>
      <c r="Z168" s="3057"/>
      <c r="AA168" s="3057"/>
      <c r="AB168" s="3057"/>
      <c r="AC168" s="3057"/>
      <c r="AD168" s="3057"/>
      <c r="AE168" s="3057"/>
      <c r="AF168" s="3057"/>
      <c r="AG168" s="3057"/>
      <c r="AH168" s="3057"/>
      <c r="AI168" s="3057"/>
      <c r="AJ168" s="3057"/>
      <c r="AK168" s="3057"/>
      <c r="AL168" s="3057"/>
      <c r="AM168" s="3057"/>
      <c r="AN168" s="3034"/>
      <c r="AO168" s="3060"/>
      <c r="AP168" s="3006"/>
      <c r="AQ168" s="3053"/>
      <c r="AR168" s="1347"/>
      <c r="AS168" s="1347"/>
    </row>
    <row r="169" spans="1:45" s="399" customFormat="1" ht="26.25" customHeight="1" x14ac:dyDescent="0.2">
      <c r="A169" s="3185"/>
      <c r="B169" s="3189"/>
      <c r="C169" s="3190"/>
      <c r="D169" s="3069"/>
      <c r="E169" s="3070"/>
      <c r="F169" s="3070"/>
      <c r="G169" s="1347"/>
      <c r="H169" s="1541"/>
      <c r="I169" s="1542"/>
      <c r="J169" s="3043">
        <v>253</v>
      </c>
      <c r="K169" s="3047" t="s">
        <v>1556</v>
      </c>
      <c r="L169" s="3047" t="s">
        <v>1557</v>
      </c>
      <c r="M169" s="3050">
        <v>0.5</v>
      </c>
      <c r="N169" s="3039"/>
      <c r="O169" s="3027"/>
      <c r="P169" s="3015"/>
      <c r="Q169" s="3045">
        <f>SUM(V169:V171)/R149</f>
        <v>0.34272414973005194</v>
      </c>
      <c r="R169" s="3011"/>
      <c r="S169" s="3036"/>
      <c r="T169" s="3065"/>
      <c r="U169" s="2644" t="s">
        <v>1558</v>
      </c>
      <c r="V169" s="1148">
        <v>85000000</v>
      </c>
      <c r="W169" s="1622">
        <v>20</v>
      </c>
      <c r="X169" s="1616" t="s">
        <v>62</v>
      </c>
      <c r="Y169" s="3062"/>
      <c r="Z169" s="3057"/>
      <c r="AA169" s="3057"/>
      <c r="AB169" s="3057"/>
      <c r="AC169" s="3057"/>
      <c r="AD169" s="3057"/>
      <c r="AE169" s="3057"/>
      <c r="AF169" s="3057"/>
      <c r="AG169" s="3057"/>
      <c r="AH169" s="3057"/>
      <c r="AI169" s="3057"/>
      <c r="AJ169" s="3057"/>
      <c r="AK169" s="3057"/>
      <c r="AL169" s="3057"/>
      <c r="AM169" s="3057"/>
      <c r="AN169" s="3034"/>
      <c r="AO169" s="3060"/>
      <c r="AP169" s="3006"/>
      <c r="AQ169" s="3053"/>
      <c r="AR169" s="1347"/>
      <c r="AS169" s="1347"/>
    </row>
    <row r="170" spans="1:45" s="399" customFormat="1" ht="27.75" customHeight="1" x14ac:dyDescent="0.2">
      <c r="A170" s="3185"/>
      <c r="B170" s="3189"/>
      <c r="C170" s="3190"/>
      <c r="D170" s="3069"/>
      <c r="E170" s="3070"/>
      <c r="F170" s="3070"/>
      <c r="G170" s="1347"/>
      <c r="H170" s="1541"/>
      <c r="I170" s="1542"/>
      <c r="J170" s="3023"/>
      <c r="K170" s="3048"/>
      <c r="L170" s="3048"/>
      <c r="M170" s="3051"/>
      <c r="N170" s="3039"/>
      <c r="O170" s="3027"/>
      <c r="P170" s="3015"/>
      <c r="Q170" s="3029"/>
      <c r="R170" s="3011"/>
      <c r="S170" s="3036"/>
      <c r="T170" s="3065"/>
      <c r="U170" s="2645"/>
      <c r="V170" s="1639">
        <v>140000000</v>
      </c>
      <c r="W170" s="1622">
        <v>88</v>
      </c>
      <c r="X170" s="1616" t="s">
        <v>1479</v>
      </c>
      <c r="Y170" s="3062"/>
      <c r="Z170" s="3057"/>
      <c r="AA170" s="3057"/>
      <c r="AB170" s="3057"/>
      <c r="AC170" s="3057"/>
      <c r="AD170" s="3057"/>
      <c r="AE170" s="3057"/>
      <c r="AF170" s="3057"/>
      <c r="AG170" s="3057"/>
      <c r="AH170" s="3057"/>
      <c r="AI170" s="3057"/>
      <c r="AJ170" s="3057"/>
      <c r="AK170" s="3057"/>
      <c r="AL170" s="3057"/>
      <c r="AM170" s="3057"/>
      <c r="AN170" s="3034"/>
      <c r="AO170" s="3060"/>
      <c r="AP170" s="3006"/>
      <c r="AQ170" s="3053"/>
      <c r="AR170" s="1347"/>
      <c r="AS170" s="1347"/>
    </row>
    <row r="171" spans="1:45" s="399" customFormat="1" ht="37.5" customHeight="1" x14ac:dyDescent="0.2">
      <c r="A171" s="3185"/>
      <c r="B171" s="3189"/>
      <c r="C171" s="3190"/>
      <c r="D171" s="3069"/>
      <c r="E171" s="3070"/>
      <c r="F171" s="3070"/>
      <c r="G171" s="1347"/>
      <c r="H171" s="1541"/>
      <c r="I171" s="1542"/>
      <c r="J171" s="3024"/>
      <c r="K171" s="3049"/>
      <c r="L171" s="3049"/>
      <c r="M171" s="3052"/>
      <c r="N171" s="3039"/>
      <c r="O171" s="3027"/>
      <c r="P171" s="3015"/>
      <c r="Q171" s="3030"/>
      <c r="R171" s="3011"/>
      <c r="S171" s="3036"/>
      <c r="T171" s="3065"/>
      <c r="U171" s="1618" t="s">
        <v>1559</v>
      </c>
      <c r="V171" s="1560">
        <v>15000000</v>
      </c>
      <c r="W171" s="1622">
        <v>20</v>
      </c>
      <c r="X171" s="1616" t="s">
        <v>62</v>
      </c>
      <c r="Y171" s="3062"/>
      <c r="Z171" s="3057"/>
      <c r="AA171" s="3057"/>
      <c r="AB171" s="3057"/>
      <c r="AC171" s="3057"/>
      <c r="AD171" s="3057"/>
      <c r="AE171" s="3057"/>
      <c r="AF171" s="3057"/>
      <c r="AG171" s="3057"/>
      <c r="AH171" s="3057"/>
      <c r="AI171" s="3057"/>
      <c r="AJ171" s="3057"/>
      <c r="AK171" s="3057"/>
      <c r="AL171" s="3057"/>
      <c r="AM171" s="3057"/>
      <c r="AN171" s="3034"/>
      <c r="AO171" s="3060"/>
      <c r="AP171" s="3006"/>
      <c r="AQ171" s="3053"/>
      <c r="AR171" s="1347"/>
      <c r="AS171" s="1347"/>
    </row>
    <row r="172" spans="1:45" s="399" customFormat="1" ht="43.5" customHeight="1" x14ac:dyDescent="0.2">
      <c r="A172" s="3185"/>
      <c r="B172" s="3189"/>
      <c r="C172" s="3190"/>
      <c r="D172" s="3069"/>
      <c r="E172" s="3070"/>
      <c r="F172" s="3070"/>
      <c r="G172" s="1347"/>
      <c r="H172" s="1541"/>
      <c r="I172" s="1542"/>
      <c r="J172" s="3042">
        <v>254</v>
      </c>
      <c r="K172" s="3036" t="s">
        <v>1560</v>
      </c>
      <c r="L172" s="3036" t="s">
        <v>1561</v>
      </c>
      <c r="M172" s="3042">
        <v>1</v>
      </c>
      <c r="N172" s="3039"/>
      <c r="O172" s="3027"/>
      <c r="P172" s="3015"/>
      <c r="Q172" s="3045">
        <f>SUM(V172:V175)/R149</f>
        <v>4.25565332017383E-2</v>
      </c>
      <c r="R172" s="3011"/>
      <c r="S172" s="3036"/>
      <c r="T172" s="3065"/>
      <c r="U172" s="1554" t="s">
        <v>1562</v>
      </c>
      <c r="V172" s="1560">
        <v>17101133</v>
      </c>
      <c r="W172" s="1622">
        <v>20</v>
      </c>
      <c r="X172" s="1616" t="s">
        <v>62</v>
      </c>
      <c r="Y172" s="3062"/>
      <c r="Z172" s="3057"/>
      <c r="AA172" s="3057"/>
      <c r="AB172" s="3057"/>
      <c r="AC172" s="3057"/>
      <c r="AD172" s="3057"/>
      <c r="AE172" s="3057"/>
      <c r="AF172" s="3057"/>
      <c r="AG172" s="3057"/>
      <c r="AH172" s="3057"/>
      <c r="AI172" s="3057"/>
      <c r="AJ172" s="3057"/>
      <c r="AK172" s="3057"/>
      <c r="AL172" s="3057"/>
      <c r="AM172" s="3057"/>
      <c r="AN172" s="3034"/>
      <c r="AO172" s="3060"/>
      <c r="AP172" s="3006"/>
      <c r="AQ172" s="3053"/>
      <c r="AR172" s="1347"/>
      <c r="AS172" s="1347"/>
    </row>
    <row r="173" spans="1:45" s="399" customFormat="1" ht="36" customHeight="1" x14ac:dyDescent="0.2">
      <c r="A173" s="3185"/>
      <c r="B173" s="3189"/>
      <c r="C173" s="3190"/>
      <c r="D173" s="3069"/>
      <c r="E173" s="3070"/>
      <c r="F173" s="3070"/>
      <c r="G173" s="1347"/>
      <c r="H173" s="1541"/>
      <c r="I173" s="1542"/>
      <c r="J173" s="3042"/>
      <c r="K173" s="3036"/>
      <c r="L173" s="3036"/>
      <c r="M173" s="3042"/>
      <c r="N173" s="3039"/>
      <c r="O173" s="3027"/>
      <c r="P173" s="3015"/>
      <c r="Q173" s="3029"/>
      <c r="R173" s="3011"/>
      <c r="S173" s="3036"/>
      <c r="T173" s="3065"/>
      <c r="U173" s="1554" t="s">
        <v>1563</v>
      </c>
      <c r="V173" s="1560">
        <v>5000000</v>
      </c>
      <c r="W173" s="1622">
        <v>20</v>
      </c>
      <c r="X173" s="1616" t="s">
        <v>62</v>
      </c>
      <c r="Y173" s="3062"/>
      <c r="Z173" s="3057"/>
      <c r="AA173" s="3057"/>
      <c r="AB173" s="3057"/>
      <c r="AC173" s="3057"/>
      <c r="AD173" s="3057"/>
      <c r="AE173" s="3057"/>
      <c r="AF173" s="3057"/>
      <c r="AG173" s="3057"/>
      <c r="AH173" s="3057"/>
      <c r="AI173" s="3057"/>
      <c r="AJ173" s="3057"/>
      <c r="AK173" s="3057"/>
      <c r="AL173" s="3057"/>
      <c r="AM173" s="3057"/>
      <c r="AN173" s="3034"/>
      <c r="AO173" s="3060"/>
      <c r="AP173" s="3006"/>
      <c r="AQ173" s="3053"/>
      <c r="AR173" s="1347"/>
      <c r="AS173" s="1347"/>
    </row>
    <row r="174" spans="1:45" s="399" customFormat="1" ht="39.75" customHeight="1" x14ac:dyDescent="0.2">
      <c r="A174" s="3185"/>
      <c r="B174" s="3189"/>
      <c r="C174" s="3190"/>
      <c r="D174" s="3069"/>
      <c r="E174" s="3070"/>
      <c r="F174" s="3070"/>
      <c r="G174" s="1347"/>
      <c r="H174" s="1541"/>
      <c r="I174" s="1542"/>
      <c r="J174" s="3042"/>
      <c r="K174" s="3036"/>
      <c r="L174" s="3036"/>
      <c r="M174" s="3042"/>
      <c r="N174" s="3039"/>
      <c r="O174" s="3027"/>
      <c r="P174" s="3015"/>
      <c r="Q174" s="3029"/>
      <c r="R174" s="3011"/>
      <c r="S174" s="3036"/>
      <c r="T174" s="3065"/>
      <c r="U174" s="1554" t="s">
        <v>1564</v>
      </c>
      <c r="V174" s="1560">
        <v>5000000</v>
      </c>
      <c r="W174" s="1622">
        <v>20</v>
      </c>
      <c r="X174" s="1616" t="s">
        <v>62</v>
      </c>
      <c r="Y174" s="3062"/>
      <c r="Z174" s="3057"/>
      <c r="AA174" s="3057"/>
      <c r="AB174" s="3057"/>
      <c r="AC174" s="3057"/>
      <c r="AD174" s="3057"/>
      <c r="AE174" s="3057"/>
      <c r="AF174" s="3057"/>
      <c r="AG174" s="3057"/>
      <c r="AH174" s="3057"/>
      <c r="AI174" s="3057"/>
      <c r="AJ174" s="3057"/>
      <c r="AK174" s="3057"/>
      <c r="AL174" s="3057"/>
      <c r="AM174" s="3057"/>
      <c r="AN174" s="3034"/>
      <c r="AO174" s="3060"/>
      <c r="AP174" s="3006"/>
      <c r="AQ174" s="3053"/>
      <c r="AR174" s="1347"/>
      <c r="AS174" s="1347"/>
    </row>
    <row r="175" spans="1:45" s="399" customFormat="1" ht="27" customHeight="1" x14ac:dyDescent="0.2">
      <c r="A175" s="3185"/>
      <c r="B175" s="3189"/>
      <c r="C175" s="3190"/>
      <c r="D175" s="3071"/>
      <c r="E175" s="3072"/>
      <c r="F175" s="3072"/>
      <c r="H175" s="1541"/>
      <c r="I175" s="1542"/>
      <c r="J175" s="3043"/>
      <c r="K175" s="3044"/>
      <c r="L175" s="3044"/>
      <c r="M175" s="3043"/>
      <c r="N175" s="3039"/>
      <c r="O175" s="3027"/>
      <c r="P175" s="3015"/>
      <c r="Q175" s="3029"/>
      <c r="R175" s="3011"/>
      <c r="S175" s="3044"/>
      <c r="T175" s="3066"/>
      <c r="U175" s="1618" t="s">
        <v>1541</v>
      </c>
      <c r="V175" s="1640">
        <v>2700000</v>
      </c>
      <c r="W175" s="1635">
        <v>20</v>
      </c>
      <c r="X175" s="1636" t="s">
        <v>62</v>
      </c>
      <c r="Y175" s="3063"/>
      <c r="Z175" s="3058"/>
      <c r="AA175" s="3058"/>
      <c r="AB175" s="3058"/>
      <c r="AC175" s="3058"/>
      <c r="AD175" s="3058"/>
      <c r="AE175" s="3058"/>
      <c r="AF175" s="3058"/>
      <c r="AG175" s="3058"/>
      <c r="AH175" s="3058"/>
      <c r="AI175" s="3058"/>
      <c r="AJ175" s="3058"/>
      <c r="AK175" s="3058"/>
      <c r="AL175" s="3058"/>
      <c r="AM175" s="3058"/>
      <c r="AN175" s="3034"/>
      <c r="AO175" s="3060"/>
      <c r="AP175" s="3006"/>
      <c r="AQ175" s="3054"/>
      <c r="AR175" s="1347"/>
      <c r="AS175" s="1347"/>
    </row>
    <row r="176" spans="1:45" s="399" customFormat="1" ht="18.75" customHeight="1" x14ac:dyDescent="0.2">
      <c r="A176" s="3185"/>
      <c r="B176" s="3189"/>
      <c r="C176" s="3190"/>
      <c r="D176" s="1581">
        <v>27</v>
      </c>
      <c r="E176" s="1632" t="s">
        <v>1529</v>
      </c>
      <c r="F176" s="1641"/>
      <c r="G176" s="1642"/>
      <c r="H176" s="1344"/>
      <c r="I176" s="1344"/>
      <c r="J176" s="1344"/>
      <c r="K176" s="1344"/>
      <c r="L176" s="1344"/>
      <c r="M176" s="1344"/>
      <c r="N176" s="1344"/>
      <c r="O176" s="1344"/>
      <c r="P176" s="1344"/>
      <c r="Q176" s="1344"/>
      <c r="R176" s="1344"/>
      <c r="S176" s="1344"/>
      <c r="T176" s="1344"/>
      <c r="U176" s="1344"/>
      <c r="V176" s="1344"/>
      <c r="W176" s="1344"/>
      <c r="X176" s="1344"/>
      <c r="Y176" s="1344"/>
      <c r="Z176" s="1344"/>
      <c r="AA176" s="1344"/>
      <c r="AB176" s="1344"/>
      <c r="AC176" s="1344"/>
      <c r="AD176" s="1344"/>
      <c r="AE176" s="1344"/>
      <c r="AF176" s="1344"/>
      <c r="AG176" s="1344"/>
      <c r="AH176" s="1344"/>
      <c r="AI176" s="1344"/>
      <c r="AJ176" s="1344"/>
      <c r="AK176" s="1344"/>
      <c r="AL176" s="1344"/>
      <c r="AM176" s="1344"/>
      <c r="AN176" s="1344"/>
      <c r="AO176" s="1344"/>
      <c r="AP176" s="1344"/>
      <c r="AQ176" s="1643"/>
      <c r="AR176" s="1347"/>
      <c r="AS176" s="1347"/>
    </row>
    <row r="177" spans="1:45" s="1347" customFormat="1" ht="15" customHeight="1" x14ac:dyDescent="0.2">
      <c r="A177" s="3185"/>
      <c r="B177" s="3189"/>
      <c r="C177" s="3190"/>
      <c r="D177" s="3046"/>
      <c r="E177" s="3046"/>
      <c r="F177" s="3046"/>
      <c r="G177" s="1644">
        <v>86</v>
      </c>
      <c r="H177" s="1645" t="s">
        <v>1565</v>
      </c>
      <c r="I177" s="1645"/>
      <c r="J177" s="1562"/>
      <c r="K177" s="1563"/>
      <c r="L177" s="1564"/>
      <c r="M177" s="1610"/>
      <c r="N177" s="1646"/>
      <c r="O177" s="1611"/>
      <c r="P177" s="1647"/>
      <c r="Q177" s="1565"/>
      <c r="R177" s="1566"/>
      <c r="S177" s="1564"/>
      <c r="T177" s="1563"/>
      <c r="U177" s="1563"/>
      <c r="V177" s="1648"/>
      <c r="W177" s="1649"/>
      <c r="X177" s="1649"/>
      <c r="Y177" s="1650"/>
      <c r="Z177" s="1650"/>
      <c r="AA177" s="1650"/>
      <c r="AB177" s="1650"/>
      <c r="AC177" s="1650"/>
      <c r="AD177" s="1650"/>
      <c r="AE177" s="1650"/>
      <c r="AF177" s="1650"/>
      <c r="AG177" s="1650"/>
      <c r="AH177" s="1650"/>
      <c r="AI177" s="1650"/>
      <c r="AJ177" s="1650"/>
      <c r="AK177" s="1650"/>
      <c r="AL177" s="1650"/>
      <c r="AM177" s="1650"/>
      <c r="AN177" s="1650"/>
      <c r="AO177" s="1650"/>
      <c r="AP177" s="1650"/>
      <c r="AQ177" s="1651"/>
    </row>
    <row r="178" spans="1:45" s="399" customFormat="1" ht="45.75" customHeight="1" x14ac:dyDescent="0.2">
      <c r="A178" s="3185"/>
      <c r="B178" s="3189"/>
      <c r="C178" s="3190"/>
      <c r="D178" s="3046"/>
      <c r="E178" s="3046"/>
      <c r="F178" s="3046"/>
      <c r="G178" s="1347"/>
      <c r="H178" s="1536"/>
      <c r="I178" s="1537"/>
      <c r="J178" s="3042">
        <v>255</v>
      </c>
      <c r="K178" s="3036" t="s">
        <v>1566</v>
      </c>
      <c r="L178" s="3036" t="s">
        <v>1567</v>
      </c>
      <c r="M178" s="3042">
        <v>12</v>
      </c>
      <c r="N178" s="3039" t="s">
        <v>1568</v>
      </c>
      <c r="O178" s="3027" t="s">
        <v>1569</v>
      </c>
      <c r="P178" s="3015" t="s">
        <v>1570</v>
      </c>
      <c r="Q178" s="3040">
        <f>SUM(V178:V181)/R178</f>
        <v>1</v>
      </c>
      <c r="R178" s="3041">
        <f>SUM(V178:V181)</f>
        <v>99372400</v>
      </c>
      <c r="S178" s="3036" t="s">
        <v>1571</v>
      </c>
      <c r="T178" s="3036" t="s">
        <v>1572</v>
      </c>
      <c r="U178" s="1652" t="s">
        <v>1573</v>
      </c>
      <c r="V178" s="1436">
        <v>40000000</v>
      </c>
      <c r="W178" s="1653" t="s">
        <v>61</v>
      </c>
      <c r="X178" s="1654" t="s">
        <v>502</v>
      </c>
      <c r="Y178" s="3037">
        <v>2138</v>
      </c>
      <c r="Z178" s="3031">
        <v>2062</v>
      </c>
      <c r="AA178" s="3031"/>
      <c r="AB178" s="3031"/>
      <c r="AC178" s="3031">
        <v>4200</v>
      </c>
      <c r="AD178" s="3031"/>
      <c r="AE178" s="3031"/>
      <c r="AF178" s="3031"/>
      <c r="AG178" s="3031"/>
      <c r="AH178" s="3031"/>
      <c r="AI178" s="3031"/>
      <c r="AJ178" s="3031"/>
      <c r="AK178" s="3031"/>
      <c r="AL178" s="3031"/>
      <c r="AM178" s="3031"/>
      <c r="AN178" s="3033">
        <v>4200</v>
      </c>
      <c r="AO178" s="3005">
        <v>43480</v>
      </c>
      <c r="AP178" s="2956">
        <v>43814</v>
      </c>
      <c r="AQ178" s="3009" t="s">
        <v>1383</v>
      </c>
      <c r="AR178" s="1347"/>
      <c r="AS178" s="1347"/>
    </row>
    <row r="179" spans="1:45" s="399" customFormat="1" ht="33" customHeight="1" x14ac:dyDescent="0.2">
      <c r="A179" s="3185"/>
      <c r="B179" s="3189"/>
      <c r="C179" s="3190"/>
      <c r="D179" s="3046"/>
      <c r="E179" s="3046"/>
      <c r="F179" s="3046"/>
      <c r="G179" s="1347"/>
      <c r="H179" s="1541"/>
      <c r="I179" s="1542"/>
      <c r="J179" s="3042"/>
      <c r="K179" s="3036"/>
      <c r="L179" s="3036"/>
      <c r="M179" s="3042"/>
      <c r="N179" s="3039"/>
      <c r="O179" s="3027"/>
      <c r="P179" s="3015"/>
      <c r="Q179" s="3040"/>
      <c r="R179" s="3041"/>
      <c r="S179" s="3036"/>
      <c r="T179" s="3036"/>
      <c r="U179" s="1652" t="s">
        <v>1574</v>
      </c>
      <c r="V179" s="1436">
        <v>18372400</v>
      </c>
      <c r="W179" s="1655" t="s">
        <v>1575</v>
      </c>
      <c r="X179" s="1621" t="s">
        <v>1576</v>
      </c>
      <c r="Y179" s="3038"/>
      <c r="Z179" s="3032"/>
      <c r="AA179" s="3032"/>
      <c r="AB179" s="3032"/>
      <c r="AC179" s="3032"/>
      <c r="AD179" s="3032"/>
      <c r="AE179" s="3032"/>
      <c r="AF179" s="3032"/>
      <c r="AG179" s="3032"/>
      <c r="AH179" s="3032"/>
      <c r="AI179" s="3032"/>
      <c r="AJ179" s="3032"/>
      <c r="AK179" s="3032"/>
      <c r="AL179" s="3032"/>
      <c r="AM179" s="3032"/>
      <c r="AN179" s="3034"/>
      <c r="AO179" s="3006"/>
      <c r="AP179" s="3008"/>
      <c r="AQ179" s="3010"/>
      <c r="AR179" s="1347"/>
      <c r="AS179" s="1347"/>
    </row>
    <row r="180" spans="1:45" s="399" customFormat="1" ht="40.5" customHeight="1" x14ac:dyDescent="0.2">
      <c r="A180" s="3185"/>
      <c r="B180" s="3189"/>
      <c r="C180" s="3190"/>
      <c r="D180" s="3046"/>
      <c r="E180" s="3046"/>
      <c r="F180" s="3046"/>
      <c r="G180" s="1347"/>
      <c r="H180" s="1541"/>
      <c r="I180" s="1542"/>
      <c r="J180" s="3042"/>
      <c r="K180" s="3036"/>
      <c r="L180" s="3036"/>
      <c r="M180" s="3042"/>
      <c r="N180" s="3039"/>
      <c r="O180" s="3027"/>
      <c r="P180" s="3015"/>
      <c r="Q180" s="3040"/>
      <c r="R180" s="3041"/>
      <c r="S180" s="3036"/>
      <c r="T180" s="3036"/>
      <c r="U180" s="1652" t="s">
        <v>1577</v>
      </c>
      <c r="V180" s="1436">
        <v>5000000</v>
      </c>
      <c r="W180" s="1655" t="s">
        <v>1575</v>
      </c>
      <c r="X180" s="1621" t="s">
        <v>1576</v>
      </c>
      <c r="Y180" s="3038"/>
      <c r="Z180" s="3032"/>
      <c r="AA180" s="3032"/>
      <c r="AB180" s="3032"/>
      <c r="AC180" s="3032"/>
      <c r="AD180" s="3032"/>
      <c r="AE180" s="3032"/>
      <c r="AF180" s="3032"/>
      <c r="AG180" s="3032"/>
      <c r="AH180" s="3032"/>
      <c r="AI180" s="3032"/>
      <c r="AJ180" s="3032"/>
      <c r="AK180" s="3032"/>
      <c r="AL180" s="3032"/>
      <c r="AM180" s="3032"/>
      <c r="AN180" s="3034"/>
      <c r="AO180" s="3006"/>
      <c r="AP180" s="3008"/>
      <c r="AQ180" s="3010"/>
      <c r="AR180" s="1347"/>
      <c r="AS180" s="1347"/>
    </row>
    <row r="181" spans="1:45" s="399" customFormat="1" ht="50.25" customHeight="1" x14ac:dyDescent="0.2">
      <c r="A181" s="3185"/>
      <c r="B181" s="3189"/>
      <c r="C181" s="3190"/>
      <c r="D181" s="3046"/>
      <c r="E181" s="3046"/>
      <c r="F181" s="3046"/>
      <c r="G181" s="1347"/>
      <c r="H181" s="1541"/>
      <c r="I181" s="1542"/>
      <c r="J181" s="3042"/>
      <c r="K181" s="3036"/>
      <c r="L181" s="3036"/>
      <c r="M181" s="3042"/>
      <c r="N181" s="3039"/>
      <c r="O181" s="3027"/>
      <c r="P181" s="3015"/>
      <c r="Q181" s="3040"/>
      <c r="R181" s="3041"/>
      <c r="S181" s="3036"/>
      <c r="T181" s="3036"/>
      <c r="U181" s="1656" t="s">
        <v>1578</v>
      </c>
      <c r="V181" s="1436">
        <v>36000000</v>
      </c>
      <c r="W181" s="1657" t="s">
        <v>1575</v>
      </c>
      <c r="X181" s="1626" t="s">
        <v>1576</v>
      </c>
      <c r="Y181" s="3038"/>
      <c r="Z181" s="3032"/>
      <c r="AA181" s="3032"/>
      <c r="AB181" s="3032"/>
      <c r="AC181" s="3032"/>
      <c r="AD181" s="3032"/>
      <c r="AE181" s="3032"/>
      <c r="AF181" s="3032"/>
      <c r="AG181" s="3032"/>
      <c r="AH181" s="3032"/>
      <c r="AI181" s="3032"/>
      <c r="AJ181" s="3032"/>
      <c r="AK181" s="3032"/>
      <c r="AL181" s="3032"/>
      <c r="AM181" s="3032"/>
      <c r="AN181" s="3035"/>
      <c r="AO181" s="3007"/>
      <c r="AP181" s="2957"/>
      <c r="AQ181" s="3010"/>
      <c r="AR181" s="1347"/>
      <c r="AS181" s="1347"/>
    </row>
    <row r="182" spans="1:45" s="1512" customFormat="1" ht="15" customHeight="1" x14ac:dyDescent="0.2">
      <c r="A182" s="3185"/>
      <c r="B182" s="3189"/>
      <c r="C182" s="3190"/>
      <c r="D182" s="3046"/>
      <c r="E182" s="3046"/>
      <c r="F182" s="3046"/>
      <c r="G182" s="1503"/>
      <c r="H182" s="1503"/>
      <c r="I182" s="1503"/>
      <c r="J182" s="1658"/>
      <c r="K182" s="1659"/>
      <c r="L182" s="1660"/>
      <c r="M182" s="1661"/>
      <c r="N182" s="1507"/>
      <c r="O182" s="1504"/>
      <c r="P182" s="1506"/>
      <c r="Q182" s="1662"/>
      <c r="R182" s="1663"/>
      <c r="S182" s="1660"/>
      <c r="T182" s="1659"/>
      <c r="U182" s="1659"/>
      <c r="V182" s="1664"/>
      <c r="W182" s="1665"/>
      <c r="X182" s="1665"/>
      <c r="Y182" s="1666"/>
      <c r="Z182" s="1666"/>
      <c r="AA182" s="1666"/>
      <c r="AB182" s="1666"/>
      <c r="AC182" s="1666"/>
      <c r="AD182" s="1666"/>
      <c r="AE182" s="1666"/>
      <c r="AF182" s="1666"/>
      <c r="AG182" s="1666"/>
      <c r="AH182" s="1666"/>
      <c r="AI182" s="1666"/>
      <c r="AJ182" s="1666"/>
      <c r="AK182" s="1666"/>
      <c r="AL182" s="1666"/>
      <c r="AM182" s="1666"/>
      <c r="AN182" s="1666"/>
      <c r="AO182" s="1666"/>
      <c r="AP182" s="1666"/>
      <c r="AQ182" s="1667"/>
      <c r="AR182" s="1668"/>
      <c r="AS182" s="1668"/>
    </row>
    <row r="183" spans="1:45" s="1347" customFormat="1" ht="15" customHeight="1" x14ac:dyDescent="0.2">
      <c r="A183" s="3185"/>
      <c r="B183" s="3189"/>
      <c r="C183" s="3190"/>
      <c r="D183" s="3046"/>
      <c r="E183" s="3046"/>
      <c r="F183" s="3046"/>
      <c r="G183" s="1513"/>
      <c r="H183" s="1513"/>
      <c r="I183" s="1513"/>
      <c r="J183" s="1514"/>
      <c r="K183" s="1515"/>
      <c r="L183" s="1516"/>
      <c r="M183" s="1513"/>
      <c r="N183" s="1517"/>
      <c r="O183" s="1514"/>
      <c r="P183" s="1516"/>
      <c r="Q183" s="1518"/>
      <c r="R183" s="1669"/>
      <c r="S183" s="1516"/>
      <c r="T183" s="1515"/>
      <c r="U183" s="1515"/>
      <c r="V183" s="1588"/>
      <c r="W183" s="1589"/>
      <c r="X183" s="1589"/>
      <c r="Y183" s="1520"/>
      <c r="Z183" s="1520"/>
      <c r="AA183" s="1520"/>
      <c r="AB183" s="1520"/>
      <c r="AC183" s="1520"/>
      <c r="AD183" s="1520"/>
      <c r="AE183" s="1520"/>
      <c r="AF183" s="1520"/>
      <c r="AG183" s="1520"/>
      <c r="AH183" s="1520"/>
      <c r="AI183" s="1520"/>
      <c r="AJ183" s="1520"/>
      <c r="AK183" s="1520"/>
      <c r="AL183" s="1520"/>
      <c r="AM183" s="1516"/>
      <c r="AN183" s="1516"/>
      <c r="AO183" s="1516"/>
      <c r="AP183" s="1516"/>
      <c r="AQ183" s="1523"/>
    </row>
    <row r="184" spans="1:45" s="1347" customFormat="1" ht="15" customHeight="1" x14ac:dyDescent="0.2">
      <c r="A184" s="3185"/>
      <c r="B184" s="3189"/>
      <c r="C184" s="3190"/>
      <c r="D184" s="3046"/>
      <c r="E184" s="3046"/>
      <c r="F184" s="3046"/>
      <c r="G184" s="1670">
        <v>84</v>
      </c>
      <c r="H184" s="1165" t="s">
        <v>1579</v>
      </c>
      <c r="I184" s="1165"/>
      <c r="J184" s="1529"/>
      <c r="K184" s="1124"/>
      <c r="L184" s="1125"/>
      <c r="M184" s="1165"/>
      <c r="N184" s="1528"/>
      <c r="O184" s="1529"/>
      <c r="P184" s="1125"/>
      <c r="Q184" s="1671"/>
      <c r="R184" s="1672"/>
      <c r="S184" s="1125"/>
      <c r="T184" s="1124"/>
      <c r="U184" s="1124"/>
      <c r="V184" s="1129"/>
      <c r="W184" s="1591"/>
      <c r="X184" s="1591"/>
      <c r="Y184" s="1355"/>
      <c r="Z184" s="1355"/>
      <c r="AA184" s="1355"/>
      <c r="AB184" s="1355"/>
      <c r="AC184" s="1355"/>
      <c r="AD184" s="1355"/>
      <c r="AE184" s="1355"/>
      <c r="AF184" s="1355"/>
      <c r="AG184" s="1355"/>
      <c r="AH184" s="1355"/>
      <c r="AI184" s="1355"/>
      <c r="AJ184" s="1355"/>
      <c r="AK184" s="1355"/>
      <c r="AL184" s="1355"/>
      <c r="AM184" s="1355"/>
      <c r="AN184" s="1355"/>
      <c r="AO184" s="1355"/>
      <c r="AP184" s="1355"/>
      <c r="AQ184" s="1592"/>
    </row>
    <row r="185" spans="1:45" s="399" customFormat="1" ht="52.5" customHeight="1" x14ac:dyDescent="0.25">
      <c r="A185" s="3185"/>
      <c r="B185" s="3189"/>
      <c r="C185" s="3190"/>
      <c r="D185" s="3046"/>
      <c r="E185" s="3046"/>
      <c r="F185" s="3046"/>
      <c r="G185" s="1673"/>
      <c r="H185" s="1674"/>
      <c r="I185" s="1595"/>
      <c r="J185" s="3021">
        <v>247</v>
      </c>
      <c r="K185" s="3013" t="s">
        <v>1580</v>
      </c>
      <c r="L185" s="3013" t="s">
        <v>1581</v>
      </c>
      <c r="M185" s="3023">
        <v>1</v>
      </c>
      <c r="N185" s="3025" t="s">
        <v>1582</v>
      </c>
      <c r="O185" s="3027" t="s">
        <v>1583</v>
      </c>
      <c r="P185" s="3013" t="s">
        <v>1584</v>
      </c>
      <c r="Q185" s="3029">
        <f>SUM(V185:V189)/R185</f>
        <v>1</v>
      </c>
      <c r="R185" s="3011">
        <f>SUM(V185:V189)</f>
        <v>49687000</v>
      </c>
      <c r="S185" s="3013" t="s">
        <v>1585</v>
      </c>
      <c r="T185" s="3015" t="s">
        <v>1586</v>
      </c>
      <c r="U185" s="1139" t="s">
        <v>1587</v>
      </c>
      <c r="V185" s="1436">
        <v>40387000</v>
      </c>
      <c r="W185" s="1635">
        <v>20</v>
      </c>
      <c r="X185" s="1621" t="s">
        <v>62</v>
      </c>
      <c r="Y185" s="3017">
        <v>357</v>
      </c>
      <c r="Z185" s="3019">
        <v>343</v>
      </c>
      <c r="AA185" s="2904"/>
      <c r="AB185" s="2904"/>
      <c r="AC185" s="2904">
        <v>700</v>
      </c>
      <c r="AD185" s="2904"/>
      <c r="AE185" s="2904"/>
      <c r="AF185" s="2904"/>
      <c r="AG185" s="2904"/>
      <c r="AH185" s="2904"/>
      <c r="AI185" s="2904"/>
      <c r="AJ185" s="2904"/>
      <c r="AK185" s="2904"/>
      <c r="AL185" s="2904"/>
      <c r="AM185" s="2904"/>
      <c r="AN185" s="3002">
        <v>700</v>
      </c>
      <c r="AO185" s="3005">
        <v>43480</v>
      </c>
      <c r="AP185" s="2956">
        <v>43697</v>
      </c>
      <c r="AQ185" s="3009" t="s">
        <v>1383</v>
      </c>
      <c r="AR185" s="1347"/>
      <c r="AS185" s="1347"/>
    </row>
    <row r="186" spans="1:45" s="399" customFormat="1" ht="33" customHeight="1" x14ac:dyDescent="0.25">
      <c r="A186" s="3185"/>
      <c r="B186" s="3189"/>
      <c r="C186" s="3190"/>
      <c r="D186" s="3046"/>
      <c r="E186" s="3046"/>
      <c r="F186" s="3046"/>
      <c r="G186" s="1601"/>
      <c r="H186" s="1599"/>
      <c r="I186" s="1601"/>
      <c r="J186" s="3021"/>
      <c r="K186" s="3013"/>
      <c r="L186" s="3013"/>
      <c r="M186" s="3023"/>
      <c r="N186" s="3025"/>
      <c r="O186" s="3027"/>
      <c r="P186" s="3013"/>
      <c r="Q186" s="3029"/>
      <c r="R186" s="3011"/>
      <c r="S186" s="3013"/>
      <c r="T186" s="3015"/>
      <c r="U186" s="1139" t="s">
        <v>1588</v>
      </c>
      <c r="V186" s="1436">
        <v>3300000</v>
      </c>
      <c r="W186" s="1622">
        <v>20</v>
      </c>
      <c r="X186" s="1621" t="s">
        <v>62</v>
      </c>
      <c r="Y186" s="3018"/>
      <c r="Z186" s="3020"/>
      <c r="AA186" s="3010"/>
      <c r="AB186" s="3010"/>
      <c r="AC186" s="3010"/>
      <c r="AD186" s="3010"/>
      <c r="AE186" s="3010"/>
      <c r="AF186" s="3010"/>
      <c r="AG186" s="3010"/>
      <c r="AH186" s="3010"/>
      <c r="AI186" s="3010"/>
      <c r="AJ186" s="3010"/>
      <c r="AK186" s="3010"/>
      <c r="AL186" s="3010"/>
      <c r="AM186" s="3010"/>
      <c r="AN186" s="3003"/>
      <c r="AO186" s="3006"/>
      <c r="AP186" s="3008"/>
      <c r="AQ186" s="3010"/>
      <c r="AR186" s="1347"/>
      <c r="AS186" s="1347"/>
    </row>
    <row r="187" spans="1:45" s="399" customFormat="1" ht="75" customHeight="1" x14ac:dyDescent="0.25">
      <c r="A187" s="3185"/>
      <c r="B187" s="3189"/>
      <c r="C187" s="3190"/>
      <c r="D187" s="3046"/>
      <c r="E187" s="3046"/>
      <c r="F187" s="3046"/>
      <c r="G187" s="1601"/>
      <c r="H187" s="1599"/>
      <c r="I187" s="1601"/>
      <c r="J187" s="3021"/>
      <c r="K187" s="3013"/>
      <c r="L187" s="3013"/>
      <c r="M187" s="3023"/>
      <c r="N187" s="3025"/>
      <c r="O187" s="3027"/>
      <c r="P187" s="3013"/>
      <c r="Q187" s="3029"/>
      <c r="R187" s="3011"/>
      <c r="S187" s="3013"/>
      <c r="T187" s="3015"/>
      <c r="U187" s="1139" t="s">
        <v>1589</v>
      </c>
      <c r="V187" s="1436">
        <v>3000000</v>
      </c>
      <c r="W187" s="1622">
        <v>20</v>
      </c>
      <c r="X187" s="1621" t="s">
        <v>62</v>
      </c>
      <c r="Y187" s="3018"/>
      <c r="Z187" s="3020"/>
      <c r="AA187" s="3010"/>
      <c r="AB187" s="3010"/>
      <c r="AC187" s="3010"/>
      <c r="AD187" s="3010"/>
      <c r="AE187" s="3010"/>
      <c r="AF187" s="3010"/>
      <c r="AG187" s="3010"/>
      <c r="AH187" s="3010"/>
      <c r="AI187" s="3010"/>
      <c r="AJ187" s="3010"/>
      <c r="AK187" s="3010"/>
      <c r="AL187" s="3010"/>
      <c r="AM187" s="3010"/>
      <c r="AN187" s="3003"/>
      <c r="AO187" s="3006"/>
      <c r="AP187" s="3008"/>
      <c r="AQ187" s="3010"/>
      <c r="AR187" s="1347"/>
      <c r="AS187" s="1347"/>
    </row>
    <row r="188" spans="1:45" s="399" customFormat="1" ht="78.75" customHeight="1" x14ac:dyDescent="0.25">
      <c r="A188" s="3185"/>
      <c r="B188" s="3189"/>
      <c r="C188" s="3190"/>
      <c r="D188" s="3046"/>
      <c r="E188" s="3046"/>
      <c r="F188" s="3046"/>
      <c r="G188" s="1601"/>
      <c r="H188" s="1599"/>
      <c r="I188" s="1601"/>
      <c r="J188" s="3021"/>
      <c r="K188" s="3013"/>
      <c r="L188" s="3013"/>
      <c r="M188" s="3023"/>
      <c r="N188" s="3025"/>
      <c r="O188" s="3027"/>
      <c r="P188" s="3013"/>
      <c r="Q188" s="3029"/>
      <c r="R188" s="3011"/>
      <c r="S188" s="3013"/>
      <c r="T188" s="3015"/>
      <c r="U188" s="1139" t="s">
        <v>1590</v>
      </c>
      <c r="V188" s="1436">
        <v>2000000</v>
      </c>
      <c r="W188" s="1622">
        <v>20</v>
      </c>
      <c r="X188" s="1621" t="s">
        <v>62</v>
      </c>
      <c r="Y188" s="3018"/>
      <c r="Z188" s="3020"/>
      <c r="AA188" s="3010"/>
      <c r="AB188" s="3010"/>
      <c r="AC188" s="3010"/>
      <c r="AD188" s="3010"/>
      <c r="AE188" s="3010"/>
      <c r="AF188" s="3010"/>
      <c r="AG188" s="3010"/>
      <c r="AH188" s="3010"/>
      <c r="AI188" s="3010"/>
      <c r="AJ188" s="3010"/>
      <c r="AK188" s="3010"/>
      <c r="AL188" s="3010"/>
      <c r="AM188" s="3010"/>
      <c r="AN188" s="3003"/>
      <c r="AO188" s="3006"/>
      <c r="AP188" s="3008"/>
      <c r="AQ188" s="3010"/>
      <c r="AR188" s="1347"/>
      <c r="AS188" s="1347"/>
    </row>
    <row r="189" spans="1:45" s="399" customFormat="1" ht="30.75" customHeight="1" x14ac:dyDescent="0.25">
      <c r="A189" s="3186"/>
      <c r="B189" s="3191"/>
      <c r="C189" s="3192"/>
      <c r="D189" s="3046"/>
      <c r="E189" s="3046"/>
      <c r="F189" s="3046"/>
      <c r="G189" s="1608"/>
      <c r="H189" s="1606"/>
      <c r="I189" s="1608"/>
      <c r="J189" s="3022"/>
      <c r="K189" s="3014"/>
      <c r="L189" s="3014"/>
      <c r="M189" s="3024"/>
      <c r="N189" s="3026"/>
      <c r="O189" s="3028"/>
      <c r="P189" s="3014"/>
      <c r="Q189" s="3030"/>
      <c r="R189" s="3012"/>
      <c r="S189" s="3014"/>
      <c r="T189" s="3016"/>
      <c r="U189" s="1139" t="s">
        <v>1591</v>
      </c>
      <c r="V189" s="1436">
        <v>1000000</v>
      </c>
      <c r="W189" s="1625">
        <v>20</v>
      </c>
      <c r="X189" s="1621" t="s">
        <v>62</v>
      </c>
      <c r="Y189" s="3018"/>
      <c r="Z189" s="3020"/>
      <c r="AA189" s="3010"/>
      <c r="AB189" s="3010"/>
      <c r="AC189" s="3010"/>
      <c r="AD189" s="3010"/>
      <c r="AE189" s="3010"/>
      <c r="AF189" s="3010"/>
      <c r="AG189" s="3010"/>
      <c r="AH189" s="3010"/>
      <c r="AI189" s="3010"/>
      <c r="AJ189" s="3010"/>
      <c r="AK189" s="3010"/>
      <c r="AL189" s="3010"/>
      <c r="AM189" s="3010"/>
      <c r="AN189" s="3004"/>
      <c r="AO189" s="3007"/>
      <c r="AP189" s="2957"/>
      <c r="AQ189" s="3010"/>
      <c r="AR189" s="1347"/>
      <c r="AS189" s="1347"/>
    </row>
    <row r="190" spans="1:45" s="593" customFormat="1" ht="31.5" customHeight="1" x14ac:dyDescent="0.25">
      <c r="A190" s="1675"/>
      <c r="B190" s="1676"/>
      <c r="C190" s="1676"/>
      <c r="D190" s="1677"/>
      <c r="E190" s="1677"/>
      <c r="F190" s="1677"/>
      <c r="G190" s="1678"/>
      <c r="H190" s="1678"/>
      <c r="I190" s="1678"/>
      <c r="J190" s="1679"/>
      <c r="K190" s="1680"/>
      <c r="L190" s="1680"/>
      <c r="M190" s="1681"/>
      <c r="N190" s="1682"/>
      <c r="O190" s="1683"/>
      <c r="P190" s="1680"/>
      <c r="Q190" s="1681"/>
      <c r="R190" s="1684">
        <f>SUM(R13:R189)</f>
        <v>9821583583</v>
      </c>
      <c r="S190" s="1680"/>
      <c r="T190" s="1680"/>
      <c r="U190" s="1685"/>
      <c r="V190" s="1684">
        <f>SUM(V13:V189)</f>
        <v>9821583583</v>
      </c>
      <c r="W190" s="1686"/>
      <c r="X190" s="1681"/>
      <c r="Y190" s="1687"/>
      <c r="Z190" s="1687"/>
      <c r="AA190" s="1688"/>
      <c r="AB190" s="1688"/>
      <c r="AC190" s="1688"/>
      <c r="AD190" s="1688"/>
      <c r="AE190" s="1688"/>
      <c r="AF190" s="1688"/>
      <c r="AG190" s="1688"/>
      <c r="AH190" s="1688"/>
      <c r="AI190" s="1688"/>
      <c r="AJ190" s="1688"/>
      <c r="AK190" s="1688"/>
      <c r="AL190" s="1688"/>
      <c r="AM190" s="1688"/>
      <c r="AN190" s="1688"/>
      <c r="AO190" s="1689"/>
      <c r="AP190" s="1689"/>
      <c r="AQ190" s="1690"/>
      <c r="AR190" s="1691"/>
      <c r="AS190" s="1691"/>
    </row>
    <row r="191" spans="1:45" ht="27" customHeight="1" x14ac:dyDescent="0.2">
      <c r="AR191" s="1479"/>
      <c r="AS191" s="1479"/>
    </row>
    <row r="192" spans="1:45" ht="27" customHeight="1" x14ac:dyDescent="0.25">
      <c r="R192" s="1704" t="s">
        <v>1592</v>
      </c>
      <c r="AR192" s="1479"/>
      <c r="AS192" s="1479"/>
    </row>
    <row r="193" spans="18:45" ht="27" customHeight="1" x14ac:dyDescent="0.25">
      <c r="R193" s="1498" t="s">
        <v>1593</v>
      </c>
      <c r="AR193" s="1479"/>
      <c r="AS193" s="1479"/>
    </row>
  </sheetData>
  <sheetProtection password="A60F" sheet="1" objects="1" scenarios="1"/>
  <mergeCells count="474">
    <mergeCell ref="E8:F9"/>
    <mergeCell ref="G8:G9"/>
    <mergeCell ref="H8:I9"/>
    <mergeCell ref="J8:J9"/>
    <mergeCell ref="A1:AO4"/>
    <mergeCell ref="A5:M6"/>
    <mergeCell ref="N5:AQ5"/>
    <mergeCell ref="Y6:AM6"/>
    <mergeCell ref="Y7:Z7"/>
    <mergeCell ref="AA7:AD7"/>
    <mergeCell ref="AE7:AJ7"/>
    <mergeCell ref="AK7:AM7"/>
    <mergeCell ref="AN7:AN8"/>
    <mergeCell ref="A8:A9"/>
    <mergeCell ref="AQ8:AQ9"/>
    <mergeCell ref="A11:A189"/>
    <mergeCell ref="B11:C189"/>
    <mergeCell ref="D12:F65"/>
    <mergeCell ref="J13:J14"/>
    <mergeCell ref="K13:K14"/>
    <mergeCell ref="L13:L14"/>
    <mergeCell ref="M13:M14"/>
    <mergeCell ref="N13:N19"/>
    <mergeCell ref="O13:O49"/>
    <mergeCell ref="R8:R9"/>
    <mergeCell ref="S8:S9"/>
    <mergeCell ref="T8:T9"/>
    <mergeCell ref="U8:U9"/>
    <mergeCell ref="W8:W9"/>
    <mergeCell ref="X8:X9"/>
    <mergeCell ref="K8:K9"/>
    <mergeCell ref="L8:L9"/>
    <mergeCell ref="N8:N9"/>
    <mergeCell ref="O8:O9"/>
    <mergeCell ref="P8:P9"/>
    <mergeCell ref="Q8:Q9"/>
    <mergeCell ref="B8:C9"/>
    <mergeCell ref="D8:D9"/>
    <mergeCell ref="AA13:AA49"/>
    <mergeCell ref="AB13:AB49"/>
    <mergeCell ref="AC13:AC49"/>
    <mergeCell ref="AD13:AD49"/>
    <mergeCell ref="P13:P49"/>
    <mergeCell ref="Q13:Q14"/>
    <mergeCell ref="R13:R49"/>
    <mergeCell ref="S13:S49"/>
    <mergeCell ref="T13:T49"/>
    <mergeCell ref="U13:U14"/>
    <mergeCell ref="U39:U40"/>
    <mergeCell ref="U41:U42"/>
    <mergeCell ref="U43:U44"/>
    <mergeCell ref="U45:U46"/>
    <mergeCell ref="AQ13:AQ49"/>
    <mergeCell ref="AR13:AS16"/>
    <mergeCell ref="J16:J19"/>
    <mergeCell ref="K16:K19"/>
    <mergeCell ref="L16:L19"/>
    <mergeCell ref="M16:M19"/>
    <mergeCell ref="Q16:Q19"/>
    <mergeCell ref="J20:J46"/>
    <mergeCell ref="K20:K46"/>
    <mergeCell ref="L20:L46"/>
    <mergeCell ref="AK13:AK49"/>
    <mergeCell ref="AL13:AL49"/>
    <mergeCell ref="AM13:AM49"/>
    <mergeCell ref="AN13:AN49"/>
    <mergeCell ref="AO13:AO49"/>
    <mergeCell ref="AP13:AP49"/>
    <mergeCell ref="AE13:AE49"/>
    <mergeCell ref="AF13:AF49"/>
    <mergeCell ref="AG13:AG49"/>
    <mergeCell ref="AH13:AH49"/>
    <mergeCell ref="AI13:AI49"/>
    <mergeCell ref="AJ13:AJ49"/>
    <mergeCell ref="Y13:Y49"/>
    <mergeCell ref="Z13:Z49"/>
    <mergeCell ref="Q47:Q49"/>
    <mergeCell ref="U47:U48"/>
    <mergeCell ref="M20:M46"/>
    <mergeCell ref="Q20:Q46"/>
    <mergeCell ref="U20:U21"/>
    <mergeCell ref="U22:U23"/>
    <mergeCell ref="U24:U25"/>
    <mergeCell ref="U27:U28"/>
    <mergeCell ref="U29:U30"/>
    <mergeCell ref="U31:U32"/>
    <mergeCell ref="U33:U34"/>
    <mergeCell ref="U36:U37"/>
    <mergeCell ref="J51:J57"/>
    <mergeCell ref="K51:K57"/>
    <mergeCell ref="L51:L57"/>
    <mergeCell ref="M51:M57"/>
    <mergeCell ref="O51:O65"/>
    <mergeCell ref="P51:P65"/>
    <mergeCell ref="J47:J49"/>
    <mergeCell ref="K47:K49"/>
    <mergeCell ref="L47:L49"/>
    <mergeCell ref="M47:M49"/>
    <mergeCell ref="AC51:AC65"/>
    <mergeCell ref="AD51:AD65"/>
    <mergeCell ref="AE51:AE65"/>
    <mergeCell ref="Q51:Q57"/>
    <mergeCell ref="R51:R65"/>
    <mergeCell ref="S51:S65"/>
    <mergeCell ref="T51:T65"/>
    <mergeCell ref="U51:U52"/>
    <mergeCell ref="Y51:Y65"/>
    <mergeCell ref="U53:U54"/>
    <mergeCell ref="U55:U56"/>
    <mergeCell ref="AR55:AR58"/>
    <mergeCell ref="J58:J64"/>
    <mergeCell ref="K58:K64"/>
    <mergeCell ref="L58:L64"/>
    <mergeCell ref="M58:M64"/>
    <mergeCell ref="Q58:Q64"/>
    <mergeCell ref="U58:U59"/>
    <mergeCell ref="U61:U62"/>
    <mergeCell ref="U63:U64"/>
    <mergeCell ref="AL51:AL65"/>
    <mergeCell ref="AM51:AM65"/>
    <mergeCell ref="AN51:AN65"/>
    <mergeCell ref="AO51:AO65"/>
    <mergeCell ref="AP51:AP65"/>
    <mergeCell ref="AQ51:AQ65"/>
    <mergeCell ref="AF51:AF65"/>
    <mergeCell ref="AG51:AG65"/>
    <mergeCell ref="AH51:AH65"/>
    <mergeCell ref="AI51:AI65"/>
    <mergeCell ref="AJ51:AJ65"/>
    <mergeCell ref="AK51:AK65"/>
    <mergeCell ref="Z51:Z65"/>
    <mergeCell ref="AA51:AA65"/>
    <mergeCell ref="AB51:AB65"/>
    <mergeCell ref="AK68:AK91"/>
    <mergeCell ref="Z68:Z91"/>
    <mergeCell ref="AA68:AA91"/>
    <mergeCell ref="AB68:AB91"/>
    <mergeCell ref="AC68:AC91"/>
    <mergeCell ref="AD68:AD91"/>
    <mergeCell ref="AE68:AE91"/>
    <mergeCell ref="P68:P91"/>
    <mergeCell ref="Q68:Q77"/>
    <mergeCell ref="R68:R91"/>
    <mergeCell ref="S68:S91"/>
    <mergeCell ref="T68:T91"/>
    <mergeCell ref="Y68:Y91"/>
    <mergeCell ref="U70:U71"/>
    <mergeCell ref="Q80:Q85"/>
    <mergeCell ref="Q86:Q87"/>
    <mergeCell ref="J88:J91"/>
    <mergeCell ref="K88:K91"/>
    <mergeCell ref="L88:L91"/>
    <mergeCell ref="M88:M91"/>
    <mergeCell ref="Q88:Q91"/>
    <mergeCell ref="AR71:AR73"/>
    <mergeCell ref="U75:U76"/>
    <mergeCell ref="J78:J79"/>
    <mergeCell ref="K78:K79"/>
    <mergeCell ref="L78:L79"/>
    <mergeCell ref="M78:M79"/>
    <mergeCell ref="Q78:Q79"/>
    <mergeCell ref="AL68:AL91"/>
    <mergeCell ref="AM68:AM91"/>
    <mergeCell ref="AN68:AN91"/>
    <mergeCell ref="AO68:AO91"/>
    <mergeCell ref="AP68:AP91"/>
    <mergeCell ref="AQ68:AQ91"/>
    <mergeCell ref="AF68:AF91"/>
    <mergeCell ref="AG68:AG91"/>
    <mergeCell ref="AH68:AH91"/>
    <mergeCell ref="AI68:AI91"/>
    <mergeCell ref="AJ68:AJ91"/>
    <mergeCell ref="J93:J94"/>
    <mergeCell ref="K93:K94"/>
    <mergeCell ref="L93:L94"/>
    <mergeCell ref="M93:M94"/>
    <mergeCell ref="O93:O100"/>
    <mergeCell ref="P93:P100"/>
    <mergeCell ref="J86:J87"/>
    <mergeCell ref="K86:K87"/>
    <mergeCell ref="L86:L87"/>
    <mergeCell ref="M86:M87"/>
    <mergeCell ref="O68:O91"/>
    <mergeCell ref="J80:J85"/>
    <mergeCell ref="K80:K85"/>
    <mergeCell ref="L80:L85"/>
    <mergeCell ref="M80:M85"/>
    <mergeCell ref="AC93:AC100"/>
    <mergeCell ref="AD93:AD100"/>
    <mergeCell ref="AE93:AE100"/>
    <mergeCell ref="AF93:AF100"/>
    <mergeCell ref="Q93:Q94"/>
    <mergeCell ref="R93:R100"/>
    <mergeCell ref="S93:S100"/>
    <mergeCell ref="T93:T100"/>
    <mergeCell ref="Y93:Y100"/>
    <mergeCell ref="Z93:Z100"/>
    <mergeCell ref="U95:U96"/>
    <mergeCell ref="AR97:AR98"/>
    <mergeCell ref="J99:J100"/>
    <mergeCell ref="K99:K100"/>
    <mergeCell ref="L99:L100"/>
    <mergeCell ref="M99:M100"/>
    <mergeCell ref="Q99:Q100"/>
    <mergeCell ref="AM93:AM100"/>
    <mergeCell ref="AN93:AN100"/>
    <mergeCell ref="AO93:AO100"/>
    <mergeCell ref="AP93:AP100"/>
    <mergeCell ref="AQ93:AQ100"/>
    <mergeCell ref="J95:J98"/>
    <mergeCell ref="K95:K98"/>
    <mergeCell ref="L95:L98"/>
    <mergeCell ref="M95:M98"/>
    <mergeCell ref="Q95:Q98"/>
    <mergeCell ref="AG93:AG100"/>
    <mergeCell ref="AH93:AH100"/>
    <mergeCell ref="AI93:AI100"/>
    <mergeCell ref="AJ93:AJ100"/>
    <mergeCell ref="AK93:AK100"/>
    <mergeCell ref="AL93:AL100"/>
    <mergeCell ref="AA93:AA100"/>
    <mergeCell ref="AB93:AB100"/>
    <mergeCell ref="J102:J103"/>
    <mergeCell ref="K102:K103"/>
    <mergeCell ref="L102:L103"/>
    <mergeCell ref="M102:M103"/>
    <mergeCell ref="O102:O114"/>
    <mergeCell ref="P102:P114"/>
    <mergeCell ref="J104:J114"/>
    <mergeCell ref="K104:K114"/>
    <mergeCell ref="L104:L114"/>
    <mergeCell ref="M104:M114"/>
    <mergeCell ref="AA102:AA114"/>
    <mergeCell ref="AB102:AB114"/>
    <mergeCell ref="AC102:AC114"/>
    <mergeCell ref="AD102:AD114"/>
    <mergeCell ref="AE102:AE114"/>
    <mergeCell ref="AF102:AF114"/>
    <mergeCell ref="Q102:Q103"/>
    <mergeCell ref="R102:R114"/>
    <mergeCell ref="S102:S114"/>
    <mergeCell ref="T102:T114"/>
    <mergeCell ref="Y102:Y114"/>
    <mergeCell ref="Z102:Z114"/>
    <mergeCell ref="Q104:Q114"/>
    <mergeCell ref="U104:U105"/>
    <mergeCell ref="U107:U108"/>
    <mergeCell ref="U111:U112"/>
    <mergeCell ref="AM102:AM114"/>
    <mergeCell ref="AN102:AN114"/>
    <mergeCell ref="AO102:AO114"/>
    <mergeCell ref="AP102:AP114"/>
    <mergeCell ref="AQ102:AQ114"/>
    <mergeCell ref="AR103:AR106"/>
    <mergeCell ref="AG102:AG114"/>
    <mergeCell ref="AH102:AH114"/>
    <mergeCell ref="AI102:AI114"/>
    <mergeCell ref="AJ102:AJ114"/>
    <mergeCell ref="AK102:AK114"/>
    <mergeCell ref="AL102:AL114"/>
    <mergeCell ref="U113:U114"/>
    <mergeCell ref="D116:F146"/>
    <mergeCell ref="J117:J118"/>
    <mergeCell ref="K117:K118"/>
    <mergeCell ref="L117:L118"/>
    <mergeCell ref="M117:M118"/>
    <mergeCell ref="O117:O141"/>
    <mergeCell ref="P117:P141"/>
    <mergeCell ref="R117:R141"/>
    <mergeCell ref="S117:S141"/>
    <mergeCell ref="D67:F114"/>
    <mergeCell ref="J68:J77"/>
    <mergeCell ref="K68:K77"/>
    <mergeCell ref="L68:L77"/>
    <mergeCell ref="M68:M77"/>
    <mergeCell ref="AC117:AC141"/>
    <mergeCell ref="AD117:AD141"/>
    <mergeCell ref="AE117:AE141"/>
    <mergeCell ref="AF117:AF141"/>
    <mergeCell ref="AG117:AG141"/>
    <mergeCell ref="AH117:AH141"/>
    <mergeCell ref="T117:T141"/>
    <mergeCell ref="U117:U118"/>
    <mergeCell ref="Y117:Y141"/>
    <mergeCell ref="Z117:Z141"/>
    <mergeCell ref="AA117:AA141"/>
    <mergeCell ref="AB117:AB141"/>
    <mergeCell ref="U137:U138"/>
    <mergeCell ref="U139:U140"/>
    <mergeCell ref="AR119:AR121"/>
    <mergeCell ref="J121:J127"/>
    <mergeCell ref="K121:K127"/>
    <mergeCell ref="L121:L127"/>
    <mergeCell ref="M121:M127"/>
    <mergeCell ref="Q121:Q127"/>
    <mergeCell ref="U121:U122"/>
    <mergeCell ref="U123:U124"/>
    <mergeCell ref="AO117:AO141"/>
    <mergeCell ref="AP117:AP141"/>
    <mergeCell ref="AQ117:AQ141"/>
    <mergeCell ref="J119:J120"/>
    <mergeCell ref="K119:K120"/>
    <mergeCell ref="L119:L120"/>
    <mergeCell ref="M119:M120"/>
    <mergeCell ref="Q119:Q120"/>
    <mergeCell ref="J128:J130"/>
    <mergeCell ref="K128:K130"/>
    <mergeCell ref="AI117:AI141"/>
    <mergeCell ref="AJ117:AJ141"/>
    <mergeCell ref="AK117:AK141"/>
    <mergeCell ref="AL117:AL141"/>
    <mergeCell ref="AM117:AM141"/>
    <mergeCell ref="AN117:AN141"/>
    <mergeCell ref="L128:L130"/>
    <mergeCell ref="M128:M130"/>
    <mergeCell ref="U128:U130"/>
    <mergeCell ref="J131:J141"/>
    <mergeCell ref="K131:K141"/>
    <mergeCell ref="L131:L141"/>
    <mergeCell ref="M131:M141"/>
    <mergeCell ref="Q131:Q141"/>
    <mergeCell ref="U132:U133"/>
    <mergeCell ref="U134:U135"/>
    <mergeCell ref="P143:P146"/>
    <mergeCell ref="Q143:Q144"/>
    <mergeCell ref="R143:R146"/>
    <mergeCell ref="S143:S146"/>
    <mergeCell ref="T143:T146"/>
    <mergeCell ref="Y143:Y146"/>
    <mergeCell ref="J143:J144"/>
    <mergeCell ref="K143:K144"/>
    <mergeCell ref="L143:L144"/>
    <mergeCell ref="M143:M144"/>
    <mergeCell ref="N143:N146"/>
    <mergeCell ref="O143:O146"/>
    <mergeCell ref="AR144:AR146"/>
    <mergeCell ref="J145:J146"/>
    <mergeCell ref="K145:K146"/>
    <mergeCell ref="L145:L146"/>
    <mergeCell ref="M145:M146"/>
    <mergeCell ref="Q145:Q146"/>
    <mergeCell ref="AL143:AL146"/>
    <mergeCell ref="AM143:AM146"/>
    <mergeCell ref="AN143:AN146"/>
    <mergeCell ref="AO143:AO146"/>
    <mergeCell ref="AP143:AP146"/>
    <mergeCell ref="AQ143:AQ146"/>
    <mergeCell ref="AF143:AF146"/>
    <mergeCell ref="AG143:AG146"/>
    <mergeCell ref="AH143:AH146"/>
    <mergeCell ref="AI143:AI146"/>
    <mergeCell ref="AJ143:AJ146"/>
    <mergeCell ref="AK143:AK146"/>
    <mergeCell ref="Z143:Z146"/>
    <mergeCell ref="AA143:AA146"/>
    <mergeCell ref="AB143:AB146"/>
    <mergeCell ref="AC143:AC146"/>
    <mergeCell ref="AD143:AD146"/>
    <mergeCell ref="AE143:AE146"/>
    <mergeCell ref="AR151:AR158"/>
    <mergeCell ref="U153:U154"/>
    <mergeCell ref="U155:U156"/>
    <mergeCell ref="U159:U160"/>
    <mergeCell ref="U161:U162"/>
    <mergeCell ref="AJ149:AJ175"/>
    <mergeCell ref="AK149:AK175"/>
    <mergeCell ref="AL149:AL175"/>
    <mergeCell ref="AM149:AM175"/>
    <mergeCell ref="AN149:AN175"/>
    <mergeCell ref="AO149:AO175"/>
    <mergeCell ref="AD149:AD175"/>
    <mergeCell ref="AE149:AE175"/>
    <mergeCell ref="AF149:AF175"/>
    <mergeCell ref="AG149:AG175"/>
    <mergeCell ref="AH149:AH175"/>
    <mergeCell ref="AI149:AI175"/>
    <mergeCell ref="U149:U150"/>
    <mergeCell ref="Y149:Y175"/>
    <mergeCell ref="Z149:Z175"/>
    <mergeCell ref="AA149:AA175"/>
    <mergeCell ref="AB149:AB175"/>
    <mergeCell ref="AC149:AC175"/>
    <mergeCell ref="J169:J171"/>
    <mergeCell ref="K169:K171"/>
    <mergeCell ref="L169:L171"/>
    <mergeCell ref="M169:M171"/>
    <mergeCell ref="Q169:Q171"/>
    <mergeCell ref="U169:U170"/>
    <mergeCell ref="AP149:AP175"/>
    <mergeCell ref="AQ149:AQ175"/>
    <mergeCell ref="U151:U152"/>
    <mergeCell ref="O149:O175"/>
    <mergeCell ref="P149:P175"/>
    <mergeCell ref="Q149:Q162"/>
    <mergeCell ref="R149:R175"/>
    <mergeCell ref="S149:S175"/>
    <mergeCell ref="T149:T175"/>
    <mergeCell ref="Q163:Q167"/>
    <mergeCell ref="J149:J162"/>
    <mergeCell ref="K149:K162"/>
    <mergeCell ref="L149:L162"/>
    <mergeCell ref="M149:M162"/>
    <mergeCell ref="N149:N175"/>
    <mergeCell ref="J163:J167"/>
    <mergeCell ref="K163:K167"/>
    <mergeCell ref="L163:L167"/>
    <mergeCell ref="J172:J175"/>
    <mergeCell ref="K172:K175"/>
    <mergeCell ref="L172:L175"/>
    <mergeCell ref="M172:M175"/>
    <mergeCell ref="Q172:Q175"/>
    <mergeCell ref="D177:F189"/>
    <mergeCell ref="J178:J181"/>
    <mergeCell ref="K178:K181"/>
    <mergeCell ref="L178:L181"/>
    <mergeCell ref="M178:M181"/>
    <mergeCell ref="D148:F175"/>
    <mergeCell ref="M163:M167"/>
    <mergeCell ref="Z178:Z181"/>
    <mergeCell ref="AA178:AA181"/>
    <mergeCell ref="AB178:AB181"/>
    <mergeCell ref="AC178:AC181"/>
    <mergeCell ref="N178:N181"/>
    <mergeCell ref="O178:O181"/>
    <mergeCell ref="P178:P181"/>
    <mergeCell ref="Q178:Q181"/>
    <mergeCell ref="R178:R181"/>
    <mergeCell ref="S178:S181"/>
    <mergeCell ref="AP178:AP181"/>
    <mergeCell ref="AQ178:AQ181"/>
    <mergeCell ref="J185:J189"/>
    <mergeCell ref="K185:K189"/>
    <mergeCell ref="L185:L189"/>
    <mergeCell ref="M185:M189"/>
    <mergeCell ref="N185:N189"/>
    <mergeCell ref="O185:O189"/>
    <mergeCell ref="P185:P189"/>
    <mergeCell ref="Q185:Q189"/>
    <mergeCell ref="AJ178:AJ181"/>
    <mergeCell ref="AK178:AK181"/>
    <mergeCell ref="AL178:AL181"/>
    <mergeCell ref="AM178:AM181"/>
    <mergeCell ref="AN178:AN181"/>
    <mergeCell ref="AO178:AO181"/>
    <mergeCell ref="AD178:AD181"/>
    <mergeCell ref="AE178:AE181"/>
    <mergeCell ref="AF178:AF181"/>
    <mergeCell ref="AG178:AG181"/>
    <mergeCell ref="AH178:AH181"/>
    <mergeCell ref="AI178:AI181"/>
    <mergeCell ref="T178:T181"/>
    <mergeCell ref="Y178:Y181"/>
    <mergeCell ref="AB185:AB189"/>
    <mergeCell ref="AC185:AC189"/>
    <mergeCell ref="AD185:AD189"/>
    <mergeCell ref="AE185:AE189"/>
    <mergeCell ref="AF185:AF189"/>
    <mergeCell ref="AG185:AG189"/>
    <mergeCell ref="R185:R189"/>
    <mergeCell ref="S185:S189"/>
    <mergeCell ref="T185:T189"/>
    <mergeCell ref="Y185:Y189"/>
    <mergeCell ref="Z185:Z189"/>
    <mergeCell ref="AA185:AA189"/>
    <mergeCell ref="AN185:AN189"/>
    <mergeCell ref="AO185:AO189"/>
    <mergeCell ref="AP185:AP189"/>
    <mergeCell ref="AQ185:AQ189"/>
    <mergeCell ref="AH185:AH189"/>
    <mergeCell ref="AI185:AI189"/>
    <mergeCell ref="AJ185:AJ189"/>
    <mergeCell ref="AK185:AK189"/>
    <mergeCell ref="AL185:AL189"/>
    <mergeCell ref="AM185:AM189"/>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9"/>
  <sheetViews>
    <sheetView showGridLines="0" zoomScale="60" zoomScaleNormal="60" workbookViewId="0">
      <selection sqref="A1:AO4"/>
    </sheetView>
  </sheetViews>
  <sheetFormatPr baseColWidth="10" defaultColWidth="11.42578125" defaultRowHeight="15" x14ac:dyDescent="0.2"/>
  <cols>
    <col min="1" max="1" width="14.28515625" style="597" customWidth="1"/>
    <col min="2" max="2" width="8.85546875" style="597" customWidth="1"/>
    <col min="3" max="3" width="10.42578125" style="597" customWidth="1"/>
    <col min="4" max="4" width="15.85546875" style="597" customWidth="1"/>
    <col min="5" max="5" width="8.28515625" style="597" customWidth="1"/>
    <col min="6" max="6" width="11.85546875" style="597" customWidth="1"/>
    <col min="7" max="7" width="16.5703125" style="597" customWidth="1"/>
    <col min="8" max="8" width="7.5703125" style="597" customWidth="1"/>
    <col min="9" max="9" width="18" style="597" customWidth="1"/>
    <col min="10" max="10" width="18.28515625" style="597" customWidth="1"/>
    <col min="11" max="11" width="28.7109375" style="736" customWidth="1"/>
    <col min="12" max="12" width="28.42578125" style="736" customWidth="1"/>
    <col min="13" max="13" width="12.42578125" style="597" customWidth="1"/>
    <col min="14" max="14" width="28.7109375" style="597" customWidth="1"/>
    <col min="15" max="15" width="11.7109375" style="597" customWidth="1"/>
    <col min="16" max="16" width="26.140625" style="736" customWidth="1"/>
    <col min="17" max="17" width="15.85546875" style="597" customWidth="1"/>
    <col min="18" max="18" width="27" style="737" customWidth="1"/>
    <col min="19" max="19" width="27.7109375" style="736" customWidth="1"/>
    <col min="20" max="20" width="40.42578125" style="736" customWidth="1"/>
    <col min="21" max="21" width="46" style="736" customWidth="1"/>
    <col min="22" max="22" width="28.5703125" style="738" customWidth="1"/>
    <col min="23" max="23" width="12.85546875" style="597" customWidth="1"/>
    <col min="24" max="24" width="30.5703125" style="739" customWidth="1"/>
    <col min="25" max="39" width="12.5703125" style="597" customWidth="1"/>
    <col min="40" max="40" width="12" style="597" customWidth="1"/>
    <col min="41" max="41" width="22.28515625" style="740" customWidth="1"/>
    <col min="42" max="42" width="21" style="740" customWidth="1"/>
    <col min="43" max="43" width="29.42578125" style="597" customWidth="1"/>
    <col min="44" max="16384" width="11.42578125" style="597"/>
  </cols>
  <sheetData>
    <row r="1" spans="1:43" ht="18.75" customHeight="1" x14ac:dyDescent="0.2">
      <c r="A1" s="2852" t="s">
        <v>471</v>
      </c>
      <c r="B1" s="2853"/>
      <c r="C1" s="2853"/>
      <c r="D1" s="2853"/>
      <c r="E1" s="2853"/>
      <c r="F1" s="2853"/>
      <c r="G1" s="2853"/>
      <c r="H1" s="2853"/>
      <c r="I1" s="2853"/>
      <c r="J1" s="2853"/>
      <c r="K1" s="2853"/>
      <c r="L1" s="2853"/>
      <c r="M1" s="2853"/>
      <c r="N1" s="2853"/>
      <c r="O1" s="2853"/>
      <c r="P1" s="2853"/>
      <c r="Q1" s="2853"/>
      <c r="R1" s="2853"/>
      <c r="S1" s="2853"/>
      <c r="T1" s="2853"/>
      <c r="U1" s="2853"/>
      <c r="V1" s="2853"/>
      <c r="W1" s="2853"/>
      <c r="X1" s="2853"/>
      <c r="Y1" s="2853"/>
      <c r="Z1" s="2853"/>
      <c r="AA1" s="2853"/>
      <c r="AB1" s="2853"/>
      <c r="AC1" s="2853"/>
      <c r="AD1" s="2853"/>
      <c r="AE1" s="2853"/>
      <c r="AF1" s="2853"/>
      <c r="AG1" s="2853"/>
      <c r="AH1" s="2853"/>
      <c r="AI1" s="2853"/>
      <c r="AJ1" s="2853"/>
      <c r="AK1" s="2853"/>
      <c r="AL1" s="2853"/>
      <c r="AM1" s="2853"/>
      <c r="AN1" s="2853"/>
      <c r="AO1" s="3316"/>
      <c r="AP1" s="595" t="s">
        <v>1</v>
      </c>
      <c r="AQ1" s="596" t="s">
        <v>2</v>
      </c>
    </row>
    <row r="2" spans="1:43" ht="21" customHeight="1" x14ac:dyDescent="0.2">
      <c r="A2" s="2854"/>
      <c r="B2" s="2855"/>
      <c r="C2" s="2855"/>
      <c r="D2" s="2855"/>
      <c r="E2" s="2855"/>
      <c r="F2" s="2855"/>
      <c r="G2" s="2855"/>
      <c r="H2" s="2855"/>
      <c r="I2" s="2855"/>
      <c r="J2" s="2855"/>
      <c r="K2" s="2855"/>
      <c r="L2" s="2855"/>
      <c r="M2" s="2855"/>
      <c r="N2" s="2855"/>
      <c r="O2" s="2855"/>
      <c r="P2" s="2855"/>
      <c r="Q2" s="2855"/>
      <c r="R2" s="2855"/>
      <c r="S2" s="2855"/>
      <c r="T2" s="2855"/>
      <c r="U2" s="2855"/>
      <c r="V2" s="2855"/>
      <c r="W2" s="2855"/>
      <c r="X2" s="2855"/>
      <c r="Y2" s="2855"/>
      <c r="Z2" s="2855"/>
      <c r="AA2" s="2855"/>
      <c r="AB2" s="2855"/>
      <c r="AC2" s="2855"/>
      <c r="AD2" s="2855"/>
      <c r="AE2" s="2855"/>
      <c r="AF2" s="2855"/>
      <c r="AG2" s="2855"/>
      <c r="AH2" s="2855"/>
      <c r="AI2" s="2855"/>
      <c r="AJ2" s="2855"/>
      <c r="AK2" s="2855"/>
      <c r="AL2" s="2855"/>
      <c r="AM2" s="2855"/>
      <c r="AN2" s="2855"/>
      <c r="AO2" s="3317"/>
      <c r="AP2" s="598" t="s">
        <v>3</v>
      </c>
      <c r="AQ2" s="599">
        <v>6</v>
      </c>
    </row>
    <row r="3" spans="1:43" ht="18.75" customHeight="1" x14ac:dyDescent="0.2">
      <c r="A3" s="2854"/>
      <c r="B3" s="2855"/>
      <c r="C3" s="2855"/>
      <c r="D3" s="2855"/>
      <c r="E3" s="2855"/>
      <c r="F3" s="2855"/>
      <c r="G3" s="2855"/>
      <c r="H3" s="2855"/>
      <c r="I3" s="2855"/>
      <c r="J3" s="2855"/>
      <c r="K3" s="2855"/>
      <c r="L3" s="2855"/>
      <c r="M3" s="2855"/>
      <c r="N3" s="2855"/>
      <c r="O3" s="2855"/>
      <c r="P3" s="2855"/>
      <c r="Q3" s="2855"/>
      <c r="R3" s="2855"/>
      <c r="S3" s="2855"/>
      <c r="T3" s="2855"/>
      <c r="U3" s="2855"/>
      <c r="V3" s="2855"/>
      <c r="W3" s="2855"/>
      <c r="X3" s="2855"/>
      <c r="Y3" s="2855"/>
      <c r="Z3" s="2855"/>
      <c r="AA3" s="2855"/>
      <c r="AB3" s="2855"/>
      <c r="AC3" s="2855"/>
      <c r="AD3" s="2855"/>
      <c r="AE3" s="2855"/>
      <c r="AF3" s="2855"/>
      <c r="AG3" s="2855"/>
      <c r="AH3" s="2855"/>
      <c r="AI3" s="2855"/>
      <c r="AJ3" s="2855"/>
      <c r="AK3" s="2855"/>
      <c r="AL3" s="2855"/>
      <c r="AM3" s="2855"/>
      <c r="AN3" s="2855"/>
      <c r="AO3" s="3317"/>
      <c r="AP3" s="600" t="s">
        <v>5</v>
      </c>
      <c r="AQ3" s="601" t="s">
        <v>6</v>
      </c>
    </row>
    <row r="4" spans="1:43" s="604" customFormat="1" ht="13.5" customHeight="1" x14ac:dyDescent="0.2">
      <c r="A4" s="2856"/>
      <c r="B4" s="2857"/>
      <c r="C4" s="2857"/>
      <c r="D4" s="2857"/>
      <c r="E4" s="2857"/>
      <c r="F4" s="2857"/>
      <c r="G4" s="2857"/>
      <c r="H4" s="2857"/>
      <c r="I4" s="2857"/>
      <c r="J4" s="2857"/>
      <c r="K4" s="2857"/>
      <c r="L4" s="2857"/>
      <c r="M4" s="2857"/>
      <c r="N4" s="2857"/>
      <c r="O4" s="2857"/>
      <c r="P4" s="2857"/>
      <c r="Q4" s="2857"/>
      <c r="R4" s="2857"/>
      <c r="S4" s="2857"/>
      <c r="T4" s="2857"/>
      <c r="U4" s="2857"/>
      <c r="V4" s="2857"/>
      <c r="W4" s="2857"/>
      <c r="X4" s="2857"/>
      <c r="Y4" s="2857"/>
      <c r="Z4" s="2857"/>
      <c r="AA4" s="2857"/>
      <c r="AB4" s="2857"/>
      <c r="AC4" s="2857"/>
      <c r="AD4" s="2857"/>
      <c r="AE4" s="2857"/>
      <c r="AF4" s="2857"/>
      <c r="AG4" s="2857"/>
      <c r="AH4" s="2857"/>
      <c r="AI4" s="2857"/>
      <c r="AJ4" s="2857"/>
      <c r="AK4" s="2857"/>
      <c r="AL4" s="2857"/>
      <c r="AM4" s="2857"/>
      <c r="AN4" s="2857"/>
      <c r="AO4" s="3318"/>
      <c r="AP4" s="602" t="s">
        <v>7</v>
      </c>
      <c r="AQ4" s="603" t="s">
        <v>323</v>
      </c>
    </row>
    <row r="5" spans="1:43" ht="18.75" customHeight="1" x14ac:dyDescent="0.2">
      <c r="A5" s="3319" t="s">
        <v>9</v>
      </c>
      <c r="B5" s="2862"/>
      <c r="C5" s="2862"/>
      <c r="D5" s="2862"/>
      <c r="E5" s="2862"/>
      <c r="F5" s="2862"/>
      <c r="G5" s="2862"/>
      <c r="H5" s="2862"/>
      <c r="I5" s="2862"/>
      <c r="J5" s="2862"/>
      <c r="K5" s="2862"/>
      <c r="L5" s="2862"/>
      <c r="M5" s="2862"/>
      <c r="N5" s="605"/>
      <c r="O5" s="605"/>
      <c r="P5" s="2862" t="s">
        <v>10</v>
      </c>
      <c r="Q5" s="2862"/>
      <c r="R5" s="2862"/>
      <c r="S5" s="2862"/>
      <c r="T5" s="2862"/>
      <c r="U5" s="2862"/>
      <c r="V5" s="2862"/>
      <c r="W5" s="2862"/>
      <c r="X5" s="2862"/>
      <c r="Y5" s="2862"/>
      <c r="Z5" s="2862"/>
      <c r="AA5" s="2862"/>
      <c r="AB5" s="2862"/>
      <c r="AC5" s="2862"/>
      <c r="AD5" s="2862"/>
      <c r="AE5" s="2862"/>
      <c r="AF5" s="2862"/>
      <c r="AG5" s="2862"/>
      <c r="AH5" s="2862"/>
      <c r="AI5" s="2862"/>
      <c r="AJ5" s="2862"/>
      <c r="AK5" s="2862"/>
      <c r="AL5" s="2862"/>
      <c r="AM5" s="2862"/>
      <c r="AN5" s="2862"/>
      <c r="AO5" s="2862"/>
      <c r="AP5" s="2862"/>
      <c r="AQ5" s="2863"/>
    </row>
    <row r="6" spans="1:43" ht="12" customHeight="1" x14ac:dyDescent="0.2">
      <c r="A6" s="3319"/>
      <c r="B6" s="2862"/>
      <c r="C6" s="2862"/>
      <c r="D6" s="2862"/>
      <c r="E6" s="2862"/>
      <c r="F6" s="2862"/>
      <c r="G6" s="2862"/>
      <c r="H6" s="2862"/>
      <c r="I6" s="2862"/>
      <c r="J6" s="2862"/>
      <c r="K6" s="2862"/>
      <c r="L6" s="2862"/>
      <c r="M6" s="2862"/>
      <c r="N6" s="605"/>
      <c r="O6" s="606"/>
      <c r="P6" s="3320"/>
      <c r="Q6" s="3321"/>
      <c r="R6" s="3321"/>
      <c r="S6" s="3321"/>
      <c r="T6" s="3321"/>
      <c r="U6" s="3321"/>
      <c r="V6" s="3321"/>
      <c r="W6" s="3321"/>
      <c r="X6" s="3322"/>
      <c r="Y6" s="607"/>
      <c r="Z6" s="607"/>
      <c r="AA6" s="607"/>
      <c r="AB6" s="607"/>
      <c r="AC6" s="607"/>
      <c r="AD6" s="607"/>
      <c r="AE6" s="607"/>
      <c r="AF6" s="607"/>
      <c r="AG6" s="607"/>
      <c r="AH6" s="607"/>
      <c r="AI6" s="607"/>
      <c r="AJ6" s="607"/>
      <c r="AK6" s="607"/>
      <c r="AL6" s="607"/>
      <c r="AM6" s="607"/>
      <c r="AN6" s="607"/>
      <c r="AO6" s="3320"/>
      <c r="AP6" s="3321"/>
      <c r="AQ6" s="3323"/>
    </row>
    <row r="7" spans="1:43" s="608" customFormat="1" ht="33.75" customHeight="1" x14ac:dyDescent="0.25">
      <c r="A7" s="3324" t="s">
        <v>12</v>
      </c>
      <c r="B7" s="3326" t="s">
        <v>13</v>
      </c>
      <c r="C7" s="3327"/>
      <c r="D7" s="3308" t="s">
        <v>12</v>
      </c>
      <c r="E7" s="3308" t="s">
        <v>14</v>
      </c>
      <c r="F7" s="3308"/>
      <c r="G7" s="3308" t="s">
        <v>12</v>
      </c>
      <c r="H7" s="3308" t="s">
        <v>15</v>
      </c>
      <c r="I7" s="3308"/>
      <c r="J7" s="3308" t="s">
        <v>12</v>
      </c>
      <c r="K7" s="3308" t="s">
        <v>16</v>
      </c>
      <c r="L7" s="3308" t="s">
        <v>17</v>
      </c>
      <c r="M7" s="3308" t="s">
        <v>18</v>
      </c>
      <c r="N7" s="3308" t="s">
        <v>19</v>
      </c>
      <c r="O7" s="3308" t="s">
        <v>20</v>
      </c>
      <c r="P7" s="3308" t="s">
        <v>10</v>
      </c>
      <c r="Q7" s="3314" t="s">
        <v>21</v>
      </c>
      <c r="R7" s="3315" t="s">
        <v>22</v>
      </c>
      <c r="S7" s="3308" t="s">
        <v>23</v>
      </c>
      <c r="T7" s="3308" t="s">
        <v>24</v>
      </c>
      <c r="U7" s="3308" t="s">
        <v>25</v>
      </c>
      <c r="V7" s="3309" t="s">
        <v>22</v>
      </c>
      <c r="W7" s="3311" t="s">
        <v>12</v>
      </c>
      <c r="X7" s="3308" t="s">
        <v>26</v>
      </c>
      <c r="Y7" s="3312" t="s">
        <v>27</v>
      </c>
      <c r="Z7" s="3313"/>
      <c r="AA7" s="3301" t="s">
        <v>28</v>
      </c>
      <c r="AB7" s="3302"/>
      <c r="AC7" s="3302"/>
      <c r="AD7" s="3302"/>
      <c r="AE7" s="3299" t="s">
        <v>29</v>
      </c>
      <c r="AF7" s="3300"/>
      <c r="AG7" s="3300"/>
      <c r="AH7" s="3300"/>
      <c r="AI7" s="3300"/>
      <c r="AJ7" s="3300"/>
      <c r="AK7" s="3301" t="s">
        <v>30</v>
      </c>
      <c r="AL7" s="3302"/>
      <c r="AM7" s="3302"/>
      <c r="AN7" s="3303" t="s">
        <v>31</v>
      </c>
      <c r="AO7" s="3305" t="s">
        <v>32</v>
      </c>
      <c r="AP7" s="3305" t="s">
        <v>33</v>
      </c>
      <c r="AQ7" s="3307" t="s">
        <v>34</v>
      </c>
    </row>
    <row r="8" spans="1:43" s="608" customFormat="1" ht="106.5" customHeight="1" x14ac:dyDescent="0.25">
      <c r="A8" s="3325"/>
      <c r="B8" s="3328"/>
      <c r="C8" s="3329"/>
      <c r="D8" s="3308"/>
      <c r="E8" s="3308"/>
      <c r="F8" s="3308"/>
      <c r="G8" s="3308"/>
      <c r="H8" s="3308"/>
      <c r="I8" s="3308"/>
      <c r="J8" s="3308"/>
      <c r="K8" s="3308"/>
      <c r="L8" s="3308"/>
      <c r="M8" s="3308"/>
      <c r="N8" s="3308"/>
      <c r="O8" s="3308"/>
      <c r="P8" s="3308"/>
      <c r="Q8" s="3314"/>
      <c r="R8" s="3315"/>
      <c r="S8" s="3308"/>
      <c r="T8" s="3308"/>
      <c r="U8" s="3308"/>
      <c r="V8" s="3310"/>
      <c r="W8" s="3311"/>
      <c r="X8" s="3308"/>
      <c r="Y8" s="609" t="s">
        <v>35</v>
      </c>
      <c r="Z8" s="610" t="s">
        <v>472</v>
      </c>
      <c r="AA8" s="611" t="s">
        <v>37</v>
      </c>
      <c r="AB8" s="611" t="s">
        <v>118</v>
      </c>
      <c r="AC8" s="611" t="s">
        <v>473</v>
      </c>
      <c r="AD8" s="611" t="s">
        <v>120</v>
      </c>
      <c r="AE8" s="612" t="s">
        <v>41</v>
      </c>
      <c r="AF8" s="613" t="s">
        <v>42</v>
      </c>
      <c r="AG8" s="612" t="s">
        <v>43</v>
      </c>
      <c r="AH8" s="613" t="s">
        <v>44</v>
      </c>
      <c r="AI8" s="612" t="s">
        <v>474</v>
      </c>
      <c r="AJ8" s="612" t="s">
        <v>46</v>
      </c>
      <c r="AK8" s="611" t="s">
        <v>47</v>
      </c>
      <c r="AL8" s="611" t="s">
        <v>48</v>
      </c>
      <c r="AM8" s="611" t="s">
        <v>475</v>
      </c>
      <c r="AN8" s="3304"/>
      <c r="AO8" s="3306"/>
      <c r="AP8" s="3306"/>
      <c r="AQ8" s="3307"/>
    </row>
    <row r="9" spans="1:43" s="621" customFormat="1" ht="15" customHeight="1" x14ac:dyDescent="0.25">
      <c r="A9" s="614">
        <v>3</v>
      </c>
      <c r="B9" s="3287" t="s">
        <v>476</v>
      </c>
      <c r="C9" s="3288"/>
      <c r="D9" s="3288"/>
      <c r="E9" s="615"/>
      <c r="F9" s="615"/>
      <c r="G9" s="615"/>
      <c r="H9" s="615"/>
      <c r="I9" s="615"/>
      <c r="J9" s="615"/>
      <c r="K9" s="616"/>
      <c r="L9" s="616"/>
      <c r="M9" s="615"/>
      <c r="N9" s="615"/>
      <c r="O9" s="615"/>
      <c r="P9" s="616"/>
      <c r="Q9" s="615"/>
      <c r="R9" s="617"/>
      <c r="S9" s="616"/>
      <c r="T9" s="616"/>
      <c r="U9" s="616"/>
      <c r="V9" s="618"/>
      <c r="W9" s="619"/>
      <c r="X9" s="620"/>
      <c r="Y9" s="615"/>
      <c r="Z9" s="615"/>
      <c r="AA9" s="615"/>
      <c r="AB9" s="615"/>
      <c r="AC9" s="615"/>
      <c r="AD9" s="615"/>
      <c r="AE9" s="615"/>
      <c r="AF9" s="615"/>
      <c r="AG9" s="615"/>
      <c r="AH9" s="615"/>
      <c r="AI9" s="615"/>
      <c r="AJ9" s="615"/>
      <c r="AK9" s="615"/>
      <c r="AL9" s="615"/>
      <c r="AM9" s="615"/>
      <c r="AN9" s="615"/>
      <c r="AO9" s="3289"/>
      <c r="AP9" s="3289"/>
      <c r="AQ9" s="3290"/>
    </row>
    <row r="10" spans="1:43" s="621" customFormat="1" ht="15" customHeight="1" x14ac:dyDescent="0.25">
      <c r="A10" s="622"/>
      <c r="B10" s="623"/>
      <c r="C10" s="624"/>
      <c r="D10" s="625">
        <v>9</v>
      </c>
      <c r="E10" s="3291" t="s">
        <v>477</v>
      </c>
      <c r="F10" s="3292"/>
      <c r="G10" s="3292"/>
      <c r="H10" s="3292"/>
      <c r="I10" s="3292"/>
      <c r="J10" s="3292"/>
      <c r="K10" s="3292"/>
      <c r="L10" s="626"/>
      <c r="M10" s="627"/>
      <c r="N10" s="627"/>
      <c r="O10" s="627"/>
      <c r="P10" s="626"/>
      <c r="Q10" s="627"/>
      <c r="R10" s="628"/>
      <c r="S10" s="626"/>
      <c r="T10" s="626"/>
      <c r="U10" s="626"/>
      <c r="V10" s="629"/>
      <c r="W10" s="630"/>
      <c r="X10" s="631"/>
      <c r="Y10" s="627"/>
      <c r="Z10" s="627"/>
      <c r="AA10" s="627"/>
      <c r="AB10" s="627"/>
      <c r="AC10" s="627"/>
      <c r="AD10" s="627"/>
      <c r="AE10" s="627"/>
      <c r="AF10" s="627"/>
      <c r="AG10" s="627"/>
      <c r="AH10" s="627"/>
      <c r="AI10" s="627"/>
      <c r="AJ10" s="627"/>
      <c r="AK10" s="627"/>
      <c r="AL10" s="627"/>
      <c r="AM10" s="627"/>
      <c r="AN10" s="627"/>
      <c r="AO10" s="3293"/>
      <c r="AP10" s="3293"/>
      <c r="AQ10" s="3294"/>
    </row>
    <row r="11" spans="1:43" ht="15" customHeight="1" x14ac:dyDescent="0.2">
      <c r="A11" s="632"/>
      <c r="B11" s="633"/>
      <c r="C11" s="634"/>
      <c r="D11" s="635"/>
      <c r="E11" s="636"/>
      <c r="F11" s="637"/>
      <c r="G11" s="638">
        <v>29</v>
      </c>
      <c r="H11" s="3295" t="s">
        <v>478</v>
      </c>
      <c r="I11" s="3296"/>
      <c r="J11" s="3296"/>
      <c r="K11" s="3296"/>
      <c r="L11" s="639"/>
      <c r="M11" s="640"/>
      <c r="N11" s="640"/>
      <c r="O11" s="640"/>
      <c r="P11" s="639"/>
      <c r="Q11" s="640"/>
      <c r="R11" s="641"/>
      <c r="S11" s="639"/>
      <c r="T11" s="639"/>
      <c r="U11" s="639"/>
      <c r="V11" s="642"/>
      <c r="W11" s="643"/>
      <c r="X11" s="644"/>
      <c r="Y11" s="640"/>
      <c r="Z11" s="640"/>
      <c r="AA11" s="640"/>
      <c r="AB11" s="640"/>
      <c r="AC11" s="640"/>
      <c r="AD11" s="640"/>
      <c r="AE11" s="640"/>
      <c r="AF11" s="640"/>
      <c r="AG11" s="640"/>
      <c r="AH11" s="640"/>
      <c r="AI11" s="640"/>
      <c r="AJ11" s="640"/>
      <c r="AK11" s="640"/>
      <c r="AL11" s="640"/>
      <c r="AM11" s="640"/>
      <c r="AN11" s="640"/>
      <c r="AO11" s="3297"/>
      <c r="AP11" s="3297"/>
      <c r="AQ11" s="3298"/>
    </row>
    <row r="12" spans="1:43" s="651" customFormat="1" ht="80.25" customHeight="1" x14ac:dyDescent="0.2">
      <c r="A12" s="645"/>
      <c r="B12" s="646"/>
      <c r="C12" s="647"/>
      <c r="D12" s="645"/>
      <c r="E12" s="646"/>
      <c r="F12" s="647"/>
      <c r="G12" s="3250"/>
      <c r="H12" s="3262"/>
      <c r="I12" s="3263"/>
      <c r="J12" s="3238">
        <v>114</v>
      </c>
      <c r="K12" s="3253" t="s">
        <v>479</v>
      </c>
      <c r="L12" s="3253" t="s">
        <v>480</v>
      </c>
      <c r="M12" s="3241">
        <v>30</v>
      </c>
      <c r="N12" s="3253" t="s">
        <v>481</v>
      </c>
      <c r="O12" s="3250">
        <v>45</v>
      </c>
      <c r="P12" s="3253" t="s">
        <v>482</v>
      </c>
      <c r="Q12" s="3277">
        <f>SUM(V12:V14)/R12</f>
        <v>1</v>
      </c>
      <c r="R12" s="3256">
        <f>SUM(V12:V14)</f>
        <v>1249277717</v>
      </c>
      <c r="S12" s="3253" t="s">
        <v>483</v>
      </c>
      <c r="T12" s="3253" t="s">
        <v>484</v>
      </c>
      <c r="U12" s="3250" t="s">
        <v>485</v>
      </c>
      <c r="V12" s="648">
        <v>172896381</v>
      </c>
      <c r="W12" s="649">
        <v>33</v>
      </c>
      <c r="X12" s="650" t="s">
        <v>486</v>
      </c>
      <c r="Y12" s="3250">
        <v>26</v>
      </c>
      <c r="Z12" s="3250">
        <v>26</v>
      </c>
      <c r="AA12" s="3229">
        <v>0</v>
      </c>
      <c r="AB12" s="3229">
        <v>0</v>
      </c>
      <c r="AC12" s="3229">
        <v>52</v>
      </c>
      <c r="AD12" s="3229">
        <v>0</v>
      </c>
      <c r="AE12" s="3229">
        <v>0</v>
      </c>
      <c r="AF12" s="3229">
        <v>0</v>
      </c>
      <c r="AG12" s="3229">
        <v>0</v>
      </c>
      <c r="AH12" s="3229">
        <v>0</v>
      </c>
      <c r="AI12" s="3229">
        <v>0</v>
      </c>
      <c r="AJ12" s="3229">
        <v>0</v>
      </c>
      <c r="AK12" s="3229">
        <v>0</v>
      </c>
      <c r="AL12" s="3229">
        <v>0</v>
      </c>
      <c r="AM12" s="3229">
        <v>0</v>
      </c>
      <c r="AN12" s="3229">
        <f>Y12+Z12</f>
        <v>52</v>
      </c>
      <c r="AO12" s="3232">
        <v>43466</v>
      </c>
      <c r="AP12" s="3232">
        <v>43830</v>
      </c>
      <c r="AQ12" s="3235" t="s">
        <v>487</v>
      </c>
    </row>
    <row r="13" spans="1:43" s="651" customFormat="1" ht="54.75" customHeight="1" x14ac:dyDescent="0.2">
      <c r="A13" s="645"/>
      <c r="B13" s="646"/>
      <c r="C13" s="647"/>
      <c r="D13" s="645"/>
      <c r="E13" s="646"/>
      <c r="F13" s="647"/>
      <c r="G13" s="3251"/>
      <c r="H13" s="3264"/>
      <c r="I13" s="3265"/>
      <c r="J13" s="3239"/>
      <c r="K13" s="3254"/>
      <c r="L13" s="3254"/>
      <c r="M13" s="3242"/>
      <c r="N13" s="3254"/>
      <c r="O13" s="3251"/>
      <c r="P13" s="3254"/>
      <c r="Q13" s="3278"/>
      <c r="R13" s="3257"/>
      <c r="S13" s="3254"/>
      <c r="T13" s="3254"/>
      <c r="U13" s="3251"/>
      <c r="V13" s="648">
        <v>1075686973</v>
      </c>
      <c r="W13" s="649">
        <v>83</v>
      </c>
      <c r="X13" s="650" t="s">
        <v>488</v>
      </c>
      <c r="Y13" s="3251"/>
      <c r="Z13" s="3251"/>
      <c r="AA13" s="3230"/>
      <c r="AB13" s="3230"/>
      <c r="AC13" s="3230"/>
      <c r="AD13" s="3230"/>
      <c r="AE13" s="3230"/>
      <c r="AF13" s="3230"/>
      <c r="AG13" s="3230"/>
      <c r="AH13" s="3230"/>
      <c r="AI13" s="3230"/>
      <c r="AJ13" s="3230"/>
      <c r="AK13" s="3230"/>
      <c r="AL13" s="3230"/>
      <c r="AM13" s="3230"/>
      <c r="AN13" s="3230"/>
      <c r="AO13" s="3233"/>
      <c r="AP13" s="3233"/>
      <c r="AQ13" s="3236"/>
    </row>
    <row r="14" spans="1:43" s="651" customFormat="1" ht="66.75" customHeight="1" x14ac:dyDescent="0.2">
      <c r="A14" s="645"/>
      <c r="B14" s="646"/>
      <c r="C14" s="647"/>
      <c r="D14" s="645"/>
      <c r="E14" s="646"/>
      <c r="F14" s="647"/>
      <c r="G14" s="3251"/>
      <c r="H14" s="3264"/>
      <c r="I14" s="3265"/>
      <c r="J14" s="3240"/>
      <c r="K14" s="3255"/>
      <c r="L14" s="3255"/>
      <c r="M14" s="3243"/>
      <c r="N14" s="3255"/>
      <c r="O14" s="3252"/>
      <c r="P14" s="3255"/>
      <c r="Q14" s="3279"/>
      <c r="R14" s="3258"/>
      <c r="S14" s="3255"/>
      <c r="T14" s="3268"/>
      <c r="U14" s="652" t="s">
        <v>489</v>
      </c>
      <c r="V14" s="653">
        <f>694363</f>
        <v>694363</v>
      </c>
      <c r="W14" s="649">
        <v>33</v>
      </c>
      <c r="X14" s="650" t="s">
        <v>486</v>
      </c>
      <c r="Y14" s="3252"/>
      <c r="Z14" s="3252"/>
      <c r="AA14" s="3231"/>
      <c r="AB14" s="3231"/>
      <c r="AC14" s="3231"/>
      <c r="AD14" s="3231"/>
      <c r="AE14" s="3231"/>
      <c r="AF14" s="3231"/>
      <c r="AG14" s="3231"/>
      <c r="AH14" s="3231"/>
      <c r="AI14" s="3231"/>
      <c r="AJ14" s="3231"/>
      <c r="AK14" s="3231"/>
      <c r="AL14" s="3231"/>
      <c r="AM14" s="3231"/>
      <c r="AN14" s="3231"/>
      <c r="AO14" s="3234"/>
      <c r="AP14" s="3234"/>
      <c r="AQ14" s="3237"/>
    </row>
    <row r="15" spans="1:43" s="651" customFormat="1" ht="39" customHeight="1" x14ac:dyDescent="0.2">
      <c r="A15" s="645"/>
      <c r="B15" s="646"/>
      <c r="C15" s="647"/>
      <c r="D15" s="645"/>
      <c r="E15" s="646"/>
      <c r="F15" s="647"/>
      <c r="G15" s="3251"/>
      <c r="H15" s="3264"/>
      <c r="I15" s="3265"/>
      <c r="J15" s="3238">
        <v>114</v>
      </c>
      <c r="K15" s="3247" t="s">
        <v>490</v>
      </c>
      <c r="L15" s="3253" t="s">
        <v>491</v>
      </c>
      <c r="M15" s="3241">
        <v>30</v>
      </c>
      <c r="N15" s="3253" t="s">
        <v>492</v>
      </c>
      <c r="O15" s="3250">
        <v>46</v>
      </c>
      <c r="P15" s="3253" t="s">
        <v>493</v>
      </c>
      <c r="Q15" s="3277">
        <f>SUM(V15:V18)/R15</f>
        <v>0.46737569540763191</v>
      </c>
      <c r="R15" s="3282">
        <f>SUM(V15:V26)</f>
        <v>3213783215</v>
      </c>
      <c r="S15" s="3253" t="s">
        <v>494</v>
      </c>
      <c r="T15" s="3285" t="s">
        <v>495</v>
      </c>
      <c r="U15" s="654" t="s">
        <v>496</v>
      </c>
      <c r="V15" s="655">
        <f>543106000-185044900</f>
        <v>358061100</v>
      </c>
      <c r="W15" s="213">
        <v>20</v>
      </c>
      <c r="X15" s="650" t="s">
        <v>62</v>
      </c>
      <c r="Y15" s="3250">
        <v>85275</v>
      </c>
      <c r="Z15" s="3250">
        <v>85275</v>
      </c>
      <c r="AA15" s="3229">
        <v>25580</v>
      </c>
      <c r="AB15" s="3229">
        <v>42638</v>
      </c>
      <c r="AC15" s="3229">
        <v>68221</v>
      </c>
      <c r="AD15" s="3229">
        <v>17055</v>
      </c>
      <c r="AE15" s="3229">
        <v>8528</v>
      </c>
      <c r="AF15" s="3229">
        <v>8527.5</v>
      </c>
      <c r="AG15" s="3229">
        <v>0</v>
      </c>
      <c r="AH15" s="3229">
        <v>0</v>
      </c>
      <c r="AI15" s="3229">
        <v>0</v>
      </c>
      <c r="AJ15" s="3229">
        <v>0</v>
      </c>
      <c r="AK15" s="656"/>
      <c r="AL15" s="656"/>
      <c r="AM15" s="656"/>
      <c r="AN15" s="3229">
        <f>Y15+Z15</f>
        <v>170550</v>
      </c>
      <c r="AO15" s="3232">
        <v>43466</v>
      </c>
      <c r="AP15" s="3232">
        <v>43830</v>
      </c>
      <c r="AQ15" s="3229" t="s">
        <v>497</v>
      </c>
    </row>
    <row r="16" spans="1:43" s="651" customFormat="1" ht="27" customHeight="1" x14ac:dyDescent="0.2">
      <c r="A16" s="645"/>
      <c r="B16" s="646"/>
      <c r="C16" s="647"/>
      <c r="D16" s="645"/>
      <c r="E16" s="646"/>
      <c r="F16" s="647"/>
      <c r="G16" s="3251"/>
      <c r="H16" s="3264"/>
      <c r="I16" s="3265"/>
      <c r="J16" s="3239"/>
      <c r="K16" s="3248"/>
      <c r="L16" s="3254"/>
      <c r="M16" s="3242"/>
      <c r="N16" s="3254"/>
      <c r="O16" s="3251"/>
      <c r="P16" s="3254"/>
      <c r="Q16" s="3278"/>
      <c r="R16" s="3283"/>
      <c r="S16" s="3254"/>
      <c r="T16" s="3248"/>
      <c r="U16" s="3251" t="s">
        <v>498</v>
      </c>
      <c r="V16" s="657">
        <f>457100000+195470065</f>
        <v>652570065</v>
      </c>
      <c r="W16" s="658">
        <v>20</v>
      </c>
      <c r="X16" s="652" t="s">
        <v>499</v>
      </c>
      <c r="Y16" s="3269"/>
      <c r="Z16" s="3251"/>
      <c r="AA16" s="3230"/>
      <c r="AB16" s="3230"/>
      <c r="AC16" s="3230"/>
      <c r="AD16" s="3230"/>
      <c r="AE16" s="3230"/>
      <c r="AF16" s="3230"/>
      <c r="AG16" s="3230"/>
      <c r="AH16" s="3230"/>
      <c r="AI16" s="3230"/>
      <c r="AJ16" s="3230"/>
      <c r="AK16" s="659"/>
      <c r="AL16" s="659"/>
      <c r="AM16" s="659"/>
      <c r="AN16" s="3230"/>
      <c r="AO16" s="3233"/>
      <c r="AP16" s="3233"/>
      <c r="AQ16" s="3230"/>
    </row>
    <row r="17" spans="1:43" s="651" customFormat="1" ht="30" customHeight="1" x14ac:dyDescent="0.2">
      <c r="A17" s="645"/>
      <c r="B17" s="646"/>
      <c r="C17" s="647"/>
      <c r="D17" s="645"/>
      <c r="E17" s="646"/>
      <c r="F17" s="647"/>
      <c r="G17" s="3251"/>
      <c r="H17" s="3264"/>
      <c r="I17" s="3265"/>
      <c r="J17" s="3239"/>
      <c r="K17" s="3248"/>
      <c r="L17" s="3254"/>
      <c r="M17" s="3242"/>
      <c r="N17" s="3254"/>
      <c r="O17" s="3251"/>
      <c r="P17" s="3254"/>
      <c r="Q17" s="3278"/>
      <c r="R17" s="3283"/>
      <c r="S17" s="3254"/>
      <c r="T17" s="3248"/>
      <c r="U17" s="3252"/>
      <c r="V17" s="657">
        <v>400000000</v>
      </c>
      <c r="W17" s="660">
        <v>88</v>
      </c>
      <c r="X17" s="660" t="s">
        <v>500</v>
      </c>
      <c r="Y17" s="3269"/>
      <c r="Z17" s="3251"/>
      <c r="AA17" s="3230"/>
      <c r="AB17" s="3230"/>
      <c r="AC17" s="3230"/>
      <c r="AD17" s="3230"/>
      <c r="AE17" s="3230"/>
      <c r="AF17" s="3230"/>
      <c r="AG17" s="3230"/>
      <c r="AH17" s="3230"/>
      <c r="AI17" s="3230"/>
      <c r="AJ17" s="3230"/>
      <c r="AK17" s="659"/>
      <c r="AL17" s="659"/>
      <c r="AM17" s="659"/>
      <c r="AN17" s="3230"/>
      <c r="AO17" s="3233"/>
      <c r="AP17" s="3233"/>
      <c r="AQ17" s="3230"/>
    </row>
    <row r="18" spans="1:43" s="651" customFormat="1" ht="44.25" customHeight="1" x14ac:dyDescent="0.2">
      <c r="A18" s="645"/>
      <c r="B18" s="646"/>
      <c r="C18" s="647"/>
      <c r="D18" s="645"/>
      <c r="E18" s="646"/>
      <c r="F18" s="647"/>
      <c r="G18" s="3251"/>
      <c r="H18" s="3264"/>
      <c r="I18" s="3265"/>
      <c r="J18" s="3240"/>
      <c r="K18" s="3249"/>
      <c r="L18" s="3255"/>
      <c r="M18" s="3243"/>
      <c r="N18" s="3255"/>
      <c r="O18" s="3251"/>
      <c r="P18" s="3254"/>
      <c r="Q18" s="3279"/>
      <c r="R18" s="3283"/>
      <c r="S18" s="3254"/>
      <c r="T18" s="3249"/>
      <c r="U18" s="661" t="s">
        <v>501</v>
      </c>
      <c r="V18" s="662">
        <f>101838165-10425165</f>
        <v>91413000</v>
      </c>
      <c r="W18" s="227">
        <v>20</v>
      </c>
      <c r="X18" s="645" t="s">
        <v>502</v>
      </c>
      <c r="Y18" s="3251"/>
      <c r="Z18" s="3251"/>
      <c r="AA18" s="3230"/>
      <c r="AB18" s="3230"/>
      <c r="AC18" s="3230"/>
      <c r="AD18" s="3230"/>
      <c r="AE18" s="3230"/>
      <c r="AF18" s="3230"/>
      <c r="AG18" s="3230"/>
      <c r="AH18" s="3230"/>
      <c r="AI18" s="3230"/>
      <c r="AJ18" s="3230"/>
      <c r="AK18" s="659"/>
      <c r="AL18" s="659"/>
      <c r="AM18" s="659"/>
      <c r="AN18" s="3230"/>
      <c r="AO18" s="3233"/>
      <c r="AP18" s="3233"/>
      <c r="AQ18" s="3230"/>
    </row>
    <row r="19" spans="1:43" s="651" customFormat="1" ht="44.25" customHeight="1" x14ac:dyDescent="0.2">
      <c r="A19" s="645"/>
      <c r="B19" s="646"/>
      <c r="C19" s="647"/>
      <c r="D19" s="645"/>
      <c r="E19" s="646"/>
      <c r="F19" s="647"/>
      <c r="G19" s="3251"/>
      <c r="H19" s="3264"/>
      <c r="I19" s="3265"/>
      <c r="J19" s="3238">
        <v>115</v>
      </c>
      <c r="K19" s="2586" t="s">
        <v>503</v>
      </c>
      <c r="L19" s="3253" t="s">
        <v>491</v>
      </c>
      <c r="M19" s="3241">
        <v>34</v>
      </c>
      <c r="N19" s="3253" t="s">
        <v>504</v>
      </c>
      <c r="O19" s="3251"/>
      <c r="P19" s="3254"/>
      <c r="Q19" s="3277">
        <f>SUM(V19:V22)/R15</f>
        <v>0.45757094508939988</v>
      </c>
      <c r="R19" s="3283"/>
      <c r="S19" s="3254"/>
      <c r="T19" s="3247" t="s">
        <v>505</v>
      </c>
      <c r="U19" s="661" t="s">
        <v>506</v>
      </c>
      <c r="V19" s="663">
        <f>867953723*11%-33504910</f>
        <v>61969999.530000001</v>
      </c>
      <c r="W19" s="213">
        <v>39</v>
      </c>
      <c r="X19" s="650" t="s">
        <v>507</v>
      </c>
      <c r="Y19" s="3251"/>
      <c r="Z19" s="3251"/>
      <c r="AA19" s="3230"/>
      <c r="AB19" s="3230"/>
      <c r="AC19" s="3230"/>
      <c r="AD19" s="3230"/>
      <c r="AE19" s="3230"/>
      <c r="AF19" s="3230"/>
      <c r="AG19" s="3230"/>
      <c r="AH19" s="3230"/>
      <c r="AI19" s="3230"/>
      <c r="AJ19" s="3230"/>
      <c r="AK19" s="659"/>
      <c r="AL19" s="659"/>
      <c r="AM19" s="659"/>
      <c r="AN19" s="3230"/>
      <c r="AO19" s="3233"/>
      <c r="AP19" s="3233"/>
      <c r="AQ19" s="3230"/>
    </row>
    <row r="20" spans="1:43" s="651" customFormat="1" ht="44.25" customHeight="1" x14ac:dyDescent="0.2">
      <c r="A20" s="645"/>
      <c r="B20" s="646"/>
      <c r="C20" s="647"/>
      <c r="D20" s="645"/>
      <c r="E20" s="646"/>
      <c r="F20" s="647"/>
      <c r="G20" s="3251"/>
      <c r="H20" s="3264"/>
      <c r="I20" s="3265"/>
      <c r="J20" s="3239"/>
      <c r="K20" s="2566"/>
      <c r="L20" s="3254"/>
      <c r="M20" s="3242"/>
      <c r="N20" s="3254"/>
      <c r="O20" s="3251"/>
      <c r="P20" s="3254"/>
      <c r="Q20" s="3278"/>
      <c r="R20" s="3283"/>
      <c r="S20" s="3254"/>
      <c r="T20" s="3248"/>
      <c r="U20" s="661" t="s">
        <v>508</v>
      </c>
      <c r="V20" s="663">
        <f>867953723*4%+33504910+56122942</f>
        <v>124346000.92</v>
      </c>
      <c r="W20" s="213">
        <v>39</v>
      </c>
      <c r="X20" s="650" t="s">
        <v>507</v>
      </c>
      <c r="Y20" s="3251"/>
      <c r="Z20" s="3251"/>
      <c r="AA20" s="3230"/>
      <c r="AB20" s="3230"/>
      <c r="AC20" s="3230"/>
      <c r="AD20" s="3230"/>
      <c r="AE20" s="3230"/>
      <c r="AF20" s="3230"/>
      <c r="AG20" s="3230"/>
      <c r="AH20" s="3230"/>
      <c r="AI20" s="3230"/>
      <c r="AJ20" s="3230"/>
      <c r="AK20" s="659"/>
      <c r="AL20" s="659"/>
      <c r="AM20" s="659"/>
      <c r="AN20" s="3230"/>
      <c r="AO20" s="3233"/>
      <c r="AP20" s="3233"/>
      <c r="AQ20" s="3230"/>
    </row>
    <row r="21" spans="1:43" s="651" customFormat="1" ht="44.25" customHeight="1" x14ac:dyDescent="0.2">
      <c r="A21" s="645"/>
      <c r="B21" s="646"/>
      <c r="C21" s="647"/>
      <c r="D21" s="645"/>
      <c r="E21" s="646"/>
      <c r="F21" s="647"/>
      <c r="G21" s="3251"/>
      <c r="H21" s="3264"/>
      <c r="I21" s="3265"/>
      <c r="J21" s="3239"/>
      <c r="K21" s="2566"/>
      <c r="L21" s="3254"/>
      <c r="M21" s="3242"/>
      <c r="N21" s="3254"/>
      <c r="O21" s="3251"/>
      <c r="P21" s="3254"/>
      <c r="Q21" s="3278"/>
      <c r="R21" s="3283"/>
      <c r="S21" s="3254"/>
      <c r="T21" s="3248"/>
      <c r="U21" s="3280" t="s">
        <v>509</v>
      </c>
      <c r="V21" s="663">
        <f>867953723*85%-56122942</f>
        <v>681637722.54999995</v>
      </c>
      <c r="W21" s="664">
        <v>39</v>
      </c>
      <c r="X21" s="650" t="s">
        <v>507</v>
      </c>
      <c r="Y21" s="3251"/>
      <c r="Z21" s="3251"/>
      <c r="AA21" s="3230"/>
      <c r="AB21" s="3230"/>
      <c r="AC21" s="3230"/>
      <c r="AD21" s="3230"/>
      <c r="AE21" s="3230"/>
      <c r="AF21" s="3230"/>
      <c r="AG21" s="3230"/>
      <c r="AH21" s="3230"/>
      <c r="AI21" s="3230"/>
      <c r="AJ21" s="3230"/>
      <c r="AK21" s="659"/>
      <c r="AL21" s="659"/>
      <c r="AM21" s="659"/>
      <c r="AN21" s="3230"/>
      <c r="AO21" s="3233"/>
      <c r="AP21" s="3233"/>
      <c r="AQ21" s="3230"/>
    </row>
    <row r="22" spans="1:43" s="651" customFormat="1" ht="44.25" customHeight="1" x14ac:dyDescent="0.2">
      <c r="A22" s="645"/>
      <c r="B22" s="646"/>
      <c r="C22" s="647"/>
      <c r="D22" s="645"/>
      <c r="E22" s="646"/>
      <c r="F22" s="647"/>
      <c r="G22" s="3251"/>
      <c r="H22" s="3264"/>
      <c r="I22" s="3265"/>
      <c r="J22" s="3240"/>
      <c r="K22" s="2590"/>
      <c r="L22" s="3254"/>
      <c r="M22" s="3243"/>
      <c r="N22" s="3255"/>
      <c r="O22" s="3251"/>
      <c r="P22" s="3254"/>
      <c r="Q22" s="3279"/>
      <c r="R22" s="3283"/>
      <c r="S22" s="3254"/>
      <c r="T22" s="3249"/>
      <c r="U22" s="3281"/>
      <c r="V22" s="665">
        <f>0+602580100</f>
        <v>602580100</v>
      </c>
      <c r="W22" s="666">
        <v>83</v>
      </c>
      <c r="X22" s="660" t="s">
        <v>510</v>
      </c>
      <c r="Y22" s="3269"/>
      <c r="Z22" s="3251"/>
      <c r="AA22" s="3230"/>
      <c r="AB22" s="3230"/>
      <c r="AC22" s="3230"/>
      <c r="AD22" s="3230"/>
      <c r="AE22" s="3230"/>
      <c r="AF22" s="3230"/>
      <c r="AG22" s="3230"/>
      <c r="AH22" s="3230"/>
      <c r="AI22" s="3230"/>
      <c r="AJ22" s="3230"/>
      <c r="AK22" s="659"/>
      <c r="AL22" s="659"/>
      <c r="AM22" s="659"/>
      <c r="AN22" s="3230"/>
      <c r="AO22" s="3233"/>
      <c r="AP22" s="3233"/>
      <c r="AQ22" s="3230"/>
    </row>
    <row r="23" spans="1:43" s="668" customFormat="1" ht="49.5" customHeight="1" x14ac:dyDescent="0.2">
      <c r="A23" s="645"/>
      <c r="B23" s="646"/>
      <c r="C23" s="647"/>
      <c r="D23" s="645"/>
      <c r="E23" s="646"/>
      <c r="F23" s="647"/>
      <c r="G23" s="3251"/>
      <c r="H23" s="3264"/>
      <c r="I23" s="3265"/>
      <c r="J23" s="3238">
        <v>116</v>
      </c>
      <c r="K23" s="3247" t="s">
        <v>511</v>
      </c>
      <c r="L23" s="3274" t="s">
        <v>491</v>
      </c>
      <c r="M23" s="3241">
        <v>10</v>
      </c>
      <c r="N23" s="3253" t="s">
        <v>512</v>
      </c>
      <c r="O23" s="3251"/>
      <c r="P23" s="3254"/>
      <c r="Q23" s="3277">
        <f>SUM(V23:V26)/R15</f>
        <v>7.5053359502968223E-2</v>
      </c>
      <c r="R23" s="3283"/>
      <c r="S23" s="3254"/>
      <c r="T23" s="3247" t="s">
        <v>513</v>
      </c>
      <c r="U23" s="667" t="s">
        <v>506</v>
      </c>
      <c r="V23" s="662">
        <f>13887260+34480740</f>
        <v>48368000</v>
      </c>
      <c r="W23" s="227">
        <v>41</v>
      </c>
      <c r="X23" s="645" t="s">
        <v>514</v>
      </c>
      <c r="Y23" s="3251"/>
      <c r="Z23" s="3251"/>
      <c r="AA23" s="3230"/>
      <c r="AB23" s="3230"/>
      <c r="AC23" s="3230"/>
      <c r="AD23" s="3230"/>
      <c r="AE23" s="3230"/>
      <c r="AF23" s="3230"/>
      <c r="AG23" s="3230"/>
      <c r="AH23" s="3230"/>
      <c r="AI23" s="3230"/>
      <c r="AJ23" s="3230"/>
      <c r="AK23" s="659"/>
      <c r="AL23" s="659"/>
      <c r="AM23" s="659"/>
      <c r="AN23" s="3230"/>
      <c r="AO23" s="3233"/>
      <c r="AP23" s="3233"/>
      <c r="AQ23" s="3230"/>
    </row>
    <row r="24" spans="1:43" s="668" customFormat="1" ht="42" customHeight="1" x14ac:dyDescent="0.2">
      <c r="A24" s="645"/>
      <c r="B24" s="646"/>
      <c r="C24" s="647"/>
      <c r="D24" s="645"/>
      <c r="E24" s="646"/>
      <c r="F24" s="647"/>
      <c r="G24" s="3251"/>
      <c r="H24" s="3264"/>
      <c r="I24" s="3265"/>
      <c r="J24" s="3239"/>
      <c r="K24" s="3248"/>
      <c r="L24" s="3274"/>
      <c r="M24" s="3242"/>
      <c r="N24" s="3254"/>
      <c r="O24" s="3251"/>
      <c r="P24" s="3254"/>
      <c r="Q24" s="3278"/>
      <c r="R24" s="3283"/>
      <c r="S24" s="3254"/>
      <c r="T24" s="3248"/>
      <c r="U24" s="667" t="s">
        <v>515</v>
      </c>
      <c r="V24" s="669">
        <f>36454056-19454056</f>
        <v>17000000</v>
      </c>
      <c r="W24" s="213">
        <v>41</v>
      </c>
      <c r="X24" s="650" t="s">
        <v>514</v>
      </c>
      <c r="Y24" s="3251"/>
      <c r="Z24" s="3251"/>
      <c r="AA24" s="3230"/>
      <c r="AB24" s="3230"/>
      <c r="AC24" s="3230"/>
      <c r="AD24" s="3230"/>
      <c r="AE24" s="3230"/>
      <c r="AF24" s="3230"/>
      <c r="AG24" s="3230"/>
      <c r="AH24" s="3230"/>
      <c r="AI24" s="3230"/>
      <c r="AJ24" s="3230"/>
      <c r="AK24" s="659"/>
      <c r="AL24" s="659"/>
      <c r="AM24" s="659"/>
      <c r="AN24" s="3230"/>
      <c r="AO24" s="3233"/>
      <c r="AP24" s="3233"/>
      <c r="AQ24" s="3230"/>
    </row>
    <row r="25" spans="1:43" s="668" customFormat="1" ht="42" customHeight="1" x14ac:dyDescent="0.2">
      <c r="A25" s="645"/>
      <c r="B25" s="646"/>
      <c r="C25" s="647"/>
      <c r="D25" s="645"/>
      <c r="E25" s="646"/>
      <c r="F25" s="647"/>
      <c r="G25" s="3251"/>
      <c r="H25" s="3264"/>
      <c r="I25" s="3265"/>
      <c r="J25" s="3239"/>
      <c r="K25" s="3248"/>
      <c r="L25" s="3274"/>
      <c r="M25" s="3242"/>
      <c r="N25" s="3254"/>
      <c r="O25" s="3251"/>
      <c r="P25" s="3254"/>
      <c r="Q25" s="3278"/>
      <c r="R25" s="3283"/>
      <c r="S25" s="3254"/>
      <c r="T25" s="3248"/>
      <c r="U25" s="3280" t="s">
        <v>509</v>
      </c>
      <c r="V25" s="665">
        <f>123249428-15026684</f>
        <v>108222744</v>
      </c>
      <c r="W25" s="658">
        <v>41</v>
      </c>
      <c r="X25" s="652" t="s">
        <v>516</v>
      </c>
      <c r="Y25" s="3269"/>
      <c r="Z25" s="3251"/>
      <c r="AA25" s="3230"/>
      <c r="AB25" s="3230"/>
      <c r="AC25" s="3230"/>
      <c r="AD25" s="3230"/>
      <c r="AE25" s="3230"/>
      <c r="AF25" s="3230"/>
      <c r="AG25" s="3230"/>
      <c r="AH25" s="3230"/>
      <c r="AI25" s="3230"/>
      <c r="AJ25" s="3230"/>
      <c r="AK25" s="659"/>
      <c r="AL25" s="659"/>
      <c r="AM25" s="659"/>
      <c r="AN25" s="3230"/>
      <c r="AO25" s="3233"/>
      <c r="AP25" s="3233"/>
      <c r="AQ25" s="3230"/>
    </row>
    <row r="26" spans="1:43" s="668" customFormat="1" ht="48.75" customHeight="1" x14ac:dyDescent="0.2">
      <c r="A26" s="645"/>
      <c r="B26" s="646"/>
      <c r="C26" s="647"/>
      <c r="D26" s="645"/>
      <c r="E26" s="646"/>
      <c r="F26" s="647"/>
      <c r="G26" s="3252"/>
      <c r="H26" s="3266"/>
      <c r="I26" s="3267"/>
      <c r="J26" s="3240"/>
      <c r="K26" s="3249"/>
      <c r="L26" s="3274"/>
      <c r="M26" s="3243"/>
      <c r="N26" s="3255"/>
      <c r="O26" s="3252"/>
      <c r="P26" s="3255"/>
      <c r="Q26" s="3279"/>
      <c r="R26" s="3284"/>
      <c r="S26" s="3255"/>
      <c r="T26" s="3249"/>
      <c r="U26" s="3281"/>
      <c r="V26" s="665">
        <f>0+67614483</f>
        <v>67614483</v>
      </c>
      <c r="W26" s="666">
        <v>83</v>
      </c>
      <c r="X26" s="660" t="s">
        <v>510</v>
      </c>
      <c r="Y26" s="3286"/>
      <c r="Z26" s="3252"/>
      <c r="AA26" s="3231"/>
      <c r="AB26" s="3231"/>
      <c r="AC26" s="3231"/>
      <c r="AD26" s="3231"/>
      <c r="AE26" s="3231"/>
      <c r="AF26" s="3231"/>
      <c r="AG26" s="3231"/>
      <c r="AH26" s="3231"/>
      <c r="AI26" s="3231"/>
      <c r="AJ26" s="3231"/>
      <c r="AK26" s="670"/>
      <c r="AL26" s="670"/>
      <c r="AM26" s="670"/>
      <c r="AN26" s="3231"/>
      <c r="AO26" s="3234"/>
      <c r="AP26" s="3234"/>
      <c r="AQ26" s="3231"/>
    </row>
    <row r="27" spans="1:43" s="668" customFormat="1" ht="27.75" customHeight="1" x14ac:dyDescent="0.2">
      <c r="A27" s="645"/>
      <c r="B27" s="646"/>
      <c r="C27" s="647"/>
      <c r="D27" s="645"/>
      <c r="E27" s="646"/>
      <c r="F27" s="647"/>
      <c r="G27" s="228">
        <v>30</v>
      </c>
      <c r="H27" s="3260" t="s">
        <v>517</v>
      </c>
      <c r="I27" s="3261"/>
      <c r="J27" s="3261"/>
      <c r="K27" s="3261"/>
      <c r="L27" s="336"/>
      <c r="M27" s="671"/>
      <c r="N27" s="336"/>
      <c r="O27" s="672"/>
      <c r="P27" s="336"/>
      <c r="Q27" s="672"/>
      <c r="R27" s="673"/>
      <c r="S27" s="336"/>
      <c r="T27" s="336"/>
      <c r="U27" s="336"/>
      <c r="V27" s="674"/>
      <c r="W27" s="675"/>
      <c r="X27" s="676"/>
      <c r="Y27" s="672"/>
      <c r="Z27" s="672"/>
      <c r="AA27" s="672"/>
      <c r="AB27" s="672"/>
      <c r="AC27" s="672"/>
      <c r="AD27" s="672"/>
      <c r="AE27" s="672"/>
      <c r="AF27" s="672"/>
      <c r="AG27" s="672"/>
      <c r="AH27" s="672"/>
      <c r="AI27" s="672"/>
      <c r="AJ27" s="672"/>
      <c r="AK27" s="672"/>
      <c r="AL27" s="672"/>
      <c r="AM27" s="672"/>
      <c r="AN27" s="672"/>
      <c r="AO27" s="672"/>
      <c r="AP27" s="672"/>
      <c r="AQ27" s="229"/>
    </row>
    <row r="28" spans="1:43" s="668" customFormat="1" ht="27" customHeight="1" x14ac:dyDescent="0.2">
      <c r="A28" s="645"/>
      <c r="B28" s="646"/>
      <c r="C28" s="647"/>
      <c r="D28" s="645"/>
      <c r="E28" s="646"/>
      <c r="F28" s="647"/>
      <c r="G28" s="677"/>
      <c r="H28" s="3262"/>
      <c r="I28" s="3263"/>
      <c r="J28" s="3238">
        <v>117</v>
      </c>
      <c r="K28" s="3253" t="s">
        <v>518</v>
      </c>
      <c r="L28" s="3253" t="s">
        <v>491</v>
      </c>
      <c r="M28" s="3241">
        <v>1</v>
      </c>
      <c r="N28" s="3253" t="s">
        <v>519</v>
      </c>
      <c r="O28" s="3250">
        <v>47</v>
      </c>
      <c r="P28" s="3253" t="s">
        <v>520</v>
      </c>
      <c r="Q28" s="3244">
        <f>(V28+V29+V30)/R28</f>
        <v>1</v>
      </c>
      <c r="R28" s="3256">
        <f>V28+V30</f>
        <v>79500000</v>
      </c>
      <c r="S28" s="3253" t="s">
        <v>521</v>
      </c>
      <c r="T28" s="3253" t="s">
        <v>522</v>
      </c>
      <c r="U28" s="3274" t="s">
        <v>523</v>
      </c>
      <c r="V28" s="3275">
        <v>75525000</v>
      </c>
      <c r="W28" s="3276">
        <v>20</v>
      </c>
      <c r="X28" s="3250" t="s">
        <v>502</v>
      </c>
      <c r="Y28" s="3250">
        <v>75</v>
      </c>
      <c r="Z28" s="3250">
        <v>75</v>
      </c>
      <c r="AA28" s="3229">
        <v>0</v>
      </c>
      <c r="AB28" s="3229">
        <v>0</v>
      </c>
      <c r="AC28" s="3229">
        <v>150</v>
      </c>
      <c r="AD28" s="3229">
        <v>0</v>
      </c>
      <c r="AE28" s="3229">
        <v>0</v>
      </c>
      <c r="AF28" s="3229">
        <v>0</v>
      </c>
      <c r="AG28" s="3229">
        <v>0</v>
      </c>
      <c r="AH28" s="3229">
        <v>0</v>
      </c>
      <c r="AI28" s="3229">
        <v>0</v>
      </c>
      <c r="AJ28" s="3229">
        <v>0</v>
      </c>
      <c r="AK28" s="656"/>
      <c r="AL28" s="656"/>
      <c r="AM28" s="656"/>
      <c r="AN28" s="3229">
        <f>Y28+Z28</f>
        <v>150</v>
      </c>
      <c r="AO28" s="3232">
        <v>43466</v>
      </c>
      <c r="AP28" s="3232">
        <v>43830</v>
      </c>
      <c r="AQ28" s="3235" t="s">
        <v>497</v>
      </c>
    </row>
    <row r="29" spans="1:43" s="668" customFormat="1" ht="53.25" customHeight="1" x14ac:dyDescent="0.2">
      <c r="A29" s="645"/>
      <c r="B29" s="646"/>
      <c r="C29" s="647"/>
      <c r="D29" s="645"/>
      <c r="E29" s="646"/>
      <c r="F29" s="647"/>
      <c r="G29" s="677"/>
      <c r="H29" s="3264"/>
      <c r="I29" s="3265"/>
      <c r="J29" s="3239"/>
      <c r="K29" s="3254"/>
      <c r="L29" s="3254"/>
      <c r="M29" s="3242"/>
      <c r="N29" s="3254"/>
      <c r="O29" s="3251"/>
      <c r="P29" s="3254"/>
      <c r="Q29" s="3245"/>
      <c r="R29" s="3257"/>
      <c r="S29" s="3254"/>
      <c r="T29" s="3254"/>
      <c r="U29" s="3274"/>
      <c r="V29" s="3275"/>
      <c r="W29" s="3276"/>
      <c r="X29" s="3252"/>
      <c r="Y29" s="3251"/>
      <c r="Z29" s="3251"/>
      <c r="AA29" s="3230"/>
      <c r="AB29" s="3230"/>
      <c r="AC29" s="3230"/>
      <c r="AD29" s="3230"/>
      <c r="AE29" s="3230"/>
      <c r="AF29" s="3230"/>
      <c r="AG29" s="3230"/>
      <c r="AH29" s="3230"/>
      <c r="AI29" s="3230"/>
      <c r="AJ29" s="3230"/>
      <c r="AK29" s="659"/>
      <c r="AL29" s="659"/>
      <c r="AM29" s="659"/>
      <c r="AN29" s="3230"/>
      <c r="AO29" s="3233"/>
      <c r="AP29" s="3233"/>
      <c r="AQ29" s="3236"/>
    </row>
    <row r="30" spans="1:43" s="668" customFormat="1" ht="55.5" customHeight="1" x14ac:dyDescent="0.2">
      <c r="A30" s="645"/>
      <c r="B30" s="646"/>
      <c r="C30" s="647"/>
      <c r="D30" s="645"/>
      <c r="E30" s="646"/>
      <c r="F30" s="647"/>
      <c r="G30" s="677"/>
      <c r="H30" s="3266"/>
      <c r="I30" s="3267"/>
      <c r="J30" s="3240"/>
      <c r="K30" s="3255"/>
      <c r="L30" s="3255"/>
      <c r="M30" s="3243"/>
      <c r="N30" s="3255"/>
      <c r="O30" s="3252"/>
      <c r="P30" s="3255"/>
      <c r="Q30" s="3246"/>
      <c r="R30" s="3258"/>
      <c r="S30" s="3255"/>
      <c r="T30" s="3255"/>
      <c r="U30" s="219" t="s">
        <v>524</v>
      </c>
      <c r="V30" s="678">
        <v>3975000</v>
      </c>
      <c r="W30" s="217">
        <v>20</v>
      </c>
      <c r="X30" s="650" t="s">
        <v>502</v>
      </c>
      <c r="Y30" s="3252"/>
      <c r="Z30" s="3252"/>
      <c r="AA30" s="3231"/>
      <c r="AB30" s="3231"/>
      <c r="AC30" s="3231"/>
      <c r="AD30" s="3231"/>
      <c r="AE30" s="3231"/>
      <c r="AF30" s="3231"/>
      <c r="AG30" s="3231"/>
      <c r="AH30" s="3231"/>
      <c r="AI30" s="3231"/>
      <c r="AJ30" s="3231"/>
      <c r="AK30" s="670"/>
      <c r="AL30" s="670"/>
      <c r="AM30" s="670"/>
      <c r="AN30" s="3231"/>
      <c r="AO30" s="3234"/>
      <c r="AP30" s="3234"/>
      <c r="AQ30" s="3237"/>
    </row>
    <row r="31" spans="1:43" s="668" customFormat="1" ht="27" customHeight="1" x14ac:dyDescent="0.2">
      <c r="A31" s="645"/>
      <c r="B31" s="646"/>
      <c r="C31" s="647"/>
      <c r="D31" s="645"/>
      <c r="E31" s="646"/>
      <c r="F31" s="647"/>
      <c r="G31" s="228">
        <v>31</v>
      </c>
      <c r="H31" s="3260" t="s">
        <v>525</v>
      </c>
      <c r="I31" s="3261"/>
      <c r="J31" s="3261"/>
      <c r="K31" s="3261"/>
      <c r="L31" s="336"/>
      <c r="M31" s="671"/>
      <c r="N31" s="336"/>
      <c r="O31" s="672"/>
      <c r="P31" s="336"/>
      <c r="Q31" s="672"/>
      <c r="R31" s="673"/>
      <c r="S31" s="336"/>
      <c r="T31" s="336"/>
      <c r="U31" s="336"/>
      <c r="V31" s="673"/>
      <c r="W31" s="679"/>
      <c r="X31" s="672"/>
      <c r="Y31" s="672"/>
      <c r="Z31" s="672"/>
      <c r="AA31" s="672"/>
      <c r="AB31" s="672"/>
      <c r="AC31" s="672"/>
      <c r="AD31" s="672"/>
      <c r="AE31" s="672"/>
      <c r="AF31" s="672"/>
      <c r="AG31" s="672"/>
      <c r="AH31" s="672"/>
      <c r="AI31" s="672"/>
      <c r="AJ31" s="672"/>
      <c r="AK31" s="672"/>
      <c r="AL31" s="672"/>
      <c r="AM31" s="672"/>
      <c r="AN31" s="672"/>
      <c r="AO31" s="672"/>
      <c r="AP31" s="672"/>
      <c r="AQ31" s="229"/>
    </row>
    <row r="32" spans="1:43" s="668" customFormat="1" ht="51.75" customHeight="1" x14ac:dyDescent="0.2">
      <c r="A32" s="645"/>
      <c r="B32" s="646"/>
      <c r="C32" s="647"/>
      <c r="D32" s="645"/>
      <c r="E32" s="646"/>
      <c r="F32" s="647"/>
      <c r="G32" s="677"/>
      <c r="H32" s="3262"/>
      <c r="I32" s="3263"/>
      <c r="J32" s="3238">
        <v>118</v>
      </c>
      <c r="K32" s="3247" t="s">
        <v>526</v>
      </c>
      <c r="L32" s="3253" t="s">
        <v>491</v>
      </c>
      <c r="M32" s="3241">
        <v>4</v>
      </c>
      <c r="N32" s="3253" t="s">
        <v>527</v>
      </c>
      <c r="O32" s="3250">
        <v>48</v>
      </c>
      <c r="P32" s="3247" t="s">
        <v>528</v>
      </c>
      <c r="Q32" s="3244">
        <f>SUM(V32:V39)/R32</f>
        <v>1</v>
      </c>
      <c r="R32" s="3256">
        <f>SUM(V32:V39)</f>
        <v>245423575</v>
      </c>
      <c r="S32" s="3253" t="s">
        <v>529</v>
      </c>
      <c r="T32" s="3247" t="s">
        <v>530</v>
      </c>
      <c r="U32" s="219" t="s">
        <v>531</v>
      </c>
      <c r="V32" s="680">
        <f>21698843-2698843</f>
        <v>19000000</v>
      </c>
      <c r="W32" s="217">
        <v>34</v>
      </c>
      <c r="X32" s="681" t="s">
        <v>532</v>
      </c>
      <c r="Y32" s="3250">
        <v>50476</v>
      </c>
      <c r="Z32" s="3250">
        <v>50476</v>
      </c>
      <c r="AA32" s="3229">
        <v>42400</v>
      </c>
      <c r="AB32" s="3229">
        <v>30286</v>
      </c>
      <c r="AC32" s="3229">
        <v>18171</v>
      </c>
      <c r="AD32" s="3229">
        <v>10095</v>
      </c>
      <c r="AE32" s="3229">
        <v>0</v>
      </c>
      <c r="AF32" s="3229">
        <v>0</v>
      </c>
      <c r="AG32" s="3229">
        <v>0</v>
      </c>
      <c r="AH32" s="3229">
        <v>0</v>
      </c>
      <c r="AI32" s="3229">
        <v>0</v>
      </c>
      <c r="AJ32" s="3229">
        <v>0</v>
      </c>
      <c r="AK32" s="656"/>
      <c r="AL32" s="656"/>
      <c r="AM32" s="656"/>
      <c r="AN32" s="3229">
        <f>Y32+Z32</f>
        <v>100952</v>
      </c>
      <c r="AO32" s="3232">
        <v>43466</v>
      </c>
      <c r="AP32" s="3232">
        <v>43830</v>
      </c>
      <c r="AQ32" s="3235" t="s">
        <v>497</v>
      </c>
    </row>
    <row r="33" spans="1:43" s="668" customFormat="1" ht="61.5" customHeight="1" x14ac:dyDescent="0.2">
      <c r="A33" s="645"/>
      <c r="B33" s="646"/>
      <c r="C33" s="647"/>
      <c r="D33" s="645"/>
      <c r="E33" s="646"/>
      <c r="F33" s="647"/>
      <c r="G33" s="677"/>
      <c r="H33" s="3264"/>
      <c r="I33" s="3265"/>
      <c r="J33" s="3239"/>
      <c r="K33" s="3248"/>
      <c r="L33" s="3254"/>
      <c r="M33" s="3242"/>
      <c r="N33" s="3254"/>
      <c r="O33" s="3251"/>
      <c r="P33" s="3248"/>
      <c r="Q33" s="3245"/>
      <c r="R33" s="3257"/>
      <c r="S33" s="3254"/>
      <c r="T33" s="3248"/>
      <c r="U33" s="219" t="s">
        <v>533</v>
      </c>
      <c r="V33" s="680">
        <f>11283398-1283398</f>
        <v>10000000</v>
      </c>
      <c r="W33" s="217">
        <v>34</v>
      </c>
      <c r="X33" s="681" t="s">
        <v>532</v>
      </c>
      <c r="Y33" s="3251"/>
      <c r="Z33" s="3251"/>
      <c r="AA33" s="3230"/>
      <c r="AB33" s="3230"/>
      <c r="AC33" s="3230"/>
      <c r="AD33" s="3230"/>
      <c r="AE33" s="3230"/>
      <c r="AF33" s="3230"/>
      <c r="AG33" s="3230"/>
      <c r="AH33" s="3230"/>
      <c r="AI33" s="3230"/>
      <c r="AJ33" s="3230"/>
      <c r="AK33" s="659"/>
      <c r="AL33" s="659"/>
      <c r="AM33" s="659"/>
      <c r="AN33" s="3230"/>
      <c r="AO33" s="3233"/>
      <c r="AP33" s="3233"/>
      <c r="AQ33" s="3236"/>
    </row>
    <row r="34" spans="1:43" s="668" customFormat="1" ht="40.5" customHeight="1" x14ac:dyDescent="0.2">
      <c r="A34" s="645"/>
      <c r="B34" s="646"/>
      <c r="C34" s="647"/>
      <c r="D34" s="645"/>
      <c r="E34" s="646"/>
      <c r="F34" s="647"/>
      <c r="G34" s="677"/>
      <c r="H34" s="3264"/>
      <c r="I34" s="3265"/>
      <c r="J34" s="3239"/>
      <c r="K34" s="3248"/>
      <c r="L34" s="3254"/>
      <c r="M34" s="3242"/>
      <c r="N34" s="3254"/>
      <c r="O34" s="3251"/>
      <c r="P34" s="3248"/>
      <c r="Q34" s="3245"/>
      <c r="R34" s="3257"/>
      <c r="S34" s="3254"/>
      <c r="T34" s="3248"/>
      <c r="U34" s="219" t="s">
        <v>534</v>
      </c>
      <c r="V34" s="680">
        <f>26906565-26906565</f>
        <v>0</v>
      </c>
      <c r="W34" s="217">
        <v>34</v>
      </c>
      <c r="X34" s="681" t="s">
        <v>532</v>
      </c>
      <c r="Y34" s="3251"/>
      <c r="Z34" s="3251"/>
      <c r="AA34" s="3230"/>
      <c r="AB34" s="3230"/>
      <c r="AC34" s="3230"/>
      <c r="AD34" s="3230"/>
      <c r="AE34" s="3230"/>
      <c r="AF34" s="3230"/>
      <c r="AG34" s="3230"/>
      <c r="AH34" s="3230"/>
      <c r="AI34" s="3230"/>
      <c r="AJ34" s="3230"/>
      <c r="AK34" s="659"/>
      <c r="AL34" s="659"/>
      <c r="AM34" s="659"/>
      <c r="AN34" s="3230"/>
      <c r="AO34" s="3233"/>
      <c r="AP34" s="3233"/>
      <c r="AQ34" s="3236"/>
    </row>
    <row r="35" spans="1:43" s="668" customFormat="1" ht="48" customHeight="1" x14ac:dyDescent="0.2">
      <c r="A35" s="645"/>
      <c r="B35" s="646"/>
      <c r="C35" s="647"/>
      <c r="D35" s="645"/>
      <c r="E35" s="646"/>
      <c r="F35" s="647"/>
      <c r="G35" s="677"/>
      <c r="H35" s="3264"/>
      <c r="I35" s="3265"/>
      <c r="J35" s="3239"/>
      <c r="K35" s="3248"/>
      <c r="L35" s="3254"/>
      <c r="M35" s="3242"/>
      <c r="N35" s="3254"/>
      <c r="O35" s="3251"/>
      <c r="P35" s="3248"/>
      <c r="Q35" s="3245"/>
      <c r="R35" s="3257"/>
      <c r="S35" s="3254"/>
      <c r="T35" s="3249"/>
      <c r="U35" s="219" t="s">
        <v>535</v>
      </c>
      <c r="V35" s="680">
        <f>21698843-7698843</f>
        <v>14000000</v>
      </c>
      <c r="W35" s="217">
        <v>34</v>
      </c>
      <c r="X35" s="681" t="s">
        <v>532</v>
      </c>
      <c r="Y35" s="3251"/>
      <c r="Z35" s="3251"/>
      <c r="AA35" s="3230"/>
      <c r="AB35" s="3230"/>
      <c r="AC35" s="3230"/>
      <c r="AD35" s="3230"/>
      <c r="AE35" s="3230"/>
      <c r="AF35" s="3230"/>
      <c r="AG35" s="3230"/>
      <c r="AH35" s="3230"/>
      <c r="AI35" s="3230"/>
      <c r="AJ35" s="3230"/>
      <c r="AK35" s="659"/>
      <c r="AL35" s="659"/>
      <c r="AM35" s="659"/>
      <c r="AN35" s="3230"/>
      <c r="AO35" s="3233"/>
      <c r="AP35" s="3233"/>
      <c r="AQ35" s="3236"/>
    </row>
    <row r="36" spans="1:43" s="668" customFormat="1" ht="75.75" customHeight="1" x14ac:dyDescent="0.2">
      <c r="A36" s="645"/>
      <c r="B36" s="646"/>
      <c r="C36" s="647"/>
      <c r="D36" s="645"/>
      <c r="E36" s="646"/>
      <c r="F36" s="647"/>
      <c r="G36" s="677"/>
      <c r="H36" s="3264"/>
      <c r="I36" s="3265"/>
      <c r="J36" s="3239"/>
      <c r="K36" s="3248"/>
      <c r="L36" s="3254"/>
      <c r="M36" s="3242"/>
      <c r="N36" s="3254"/>
      <c r="O36" s="3251"/>
      <c r="P36" s="3248"/>
      <c r="Q36" s="3245"/>
      <c r="R36" s="3257"/>
      <c r="S36" s="3254"/>
      <c r="T36" s="682"/>
      <c r="U36" s="667" t="s">
        <v>536</v>
      </c>
      <c r="V36" s="662">
        <f>0+28350000</f>
        <v>28350000</v>
      </c>
      <c r="W36" s="217">
        <v>159</v>
      </c>
      <c r="X36" s="681" t="s">
        <v>537</v>
      </c>
      <c r="Y36" s="3251"/>
      <c r="Z36" s="3251"/>
      <c r="AA36" s="3230"/>
      <c r="AB36" s="3230"/>
      <c r="AC36" s="3230"/>
      <c r="AD36" s="3230"/>
      <c r="AE36" s="3230"/>
      <c r="AF36" s="3230"/>
      <c r="AG36" s="3230"/>
      <c r="AH36" s="3230"/>
      <c r="AI36" s="3230"/>
      <c r="AJ36" s="3230"/>
      <c r="AK36" s="659"/>
      <c r="AL36" s="659"/>
      <c r="AM36" s="659"/>
      <c r="AN36" s="3230"/>
      <c r="AO36" s="3233"/>
      <c r="AP36" s="3233"/>
      <c r="AQ36" s="3236"/>
    </row>
    <row r="37" spans="1:43" s="668" customFormat="1" ht="42" customHeight="1" x14ac:dyDescent="0.2">
      <c r="A37" s="645"/>
      <c r="B37" s="646"/>
      <c r="C37" s="647"/>
      <c r="D37" s="645"/>
      <c r="E37" s="646"/>
      <c r="F37" s="647"/>
      <c r="G37" s="677"/>
      <c r="H37" s="3264"/>
      <c r="I37" s="3265"/>
      <c r="J37" s="3239"/>
      <c r="K37" s="3248"/>
      <c r="L37" s="3254"/>
      <c r="M37" s="3242"/>
      <c r="N37" s="3254"/>
      <c r="O37" s="3251"/>
      <c r="P37" s="3248"/>
      <c r="Q37" s="3245"/>
      <c r="R37" s="3257"/>
      <c r="S37" s="3254"/>
      <c r="T37" s="3247" t="s">
        <v>538</v>
      </c>
      <c r="U37" s="3272" t="s">
        <v>539</v>
      </c>
      <c r="V37" s="662">
        <f>26038612-8482831</f>
        <v>17555781</v>
      </c>
      <c r="W37" s="217">
        <v>34</v>
      </c>
      <c r="X37" s="681" t="s">
        <v>540</v>
      </c>
      <c r="Y37" s="3251"/>
      <c r="Z37" s="3251"/>
      <c r="AA37" s="3230"/>
      <c r="AB37" s="3230"/>
      <c r="AC37" s="3230"/>
      <c r="AD37" s="3230"/>
      <c r="AE37" s="3230"/>
      <c r="AF37" s="3230"/>
      <c r="AG37" s="3230"/>
      <c r="AH37" s="3230"/>
      <c r="AI37" s="3230"/>
      <c r="AJ37" s="3230"/>
      <c r="AK37" s="659"/>
      <c r="AL37" s="659"/>
      <c r="AM37" s="659"/>
      <c r="AN37" s="3230"/>
      <c r="AO37" s="3233"/>
      <c r="AP37" s="3233"/>
      <c r="AQ37" s="3236"/>
    </row>
    <row r="38" spans="1:43" s="668" customFormat="1" ht="42" customHeight="1" x14ac:dyDescent="0.2">
      <c r="A38" s="645"/>
      <c r="B38" s="646"/>
      <c r="C38" s="647"/>
      <c r="D38" s="645"/>
      <c r="E38" s="646"/>
      <c r="F38" s="647"/>
      <c r="G38" s="677"/>
      <c r="H38" s="3264"/>
      <c r="I38" s="3265"/>
      <c r="J38" s="3239"/>
      <c r="K38" s="3248"/>
      <c r="L38" s="3254"/>
      <c r="M38" s="3242"/>
      <c r="N38" s="3254"/>
      <c r="O38" s="3251"/>
      <c r="P38" s="3248"/>
      <c r="Q38" s="3245"/>
      <c r="R38" s="3257"/>
      <c r="S38" s="3254"/>
      <c r="T38" s="3248"/>
      <c r="U38" s="3273"/>
      <c r="V38" s="662">
        <f>0+43482831</f>
        <v>43482831</v>
      </c>
      <c r="W38" s="217">
        <v>83</v>
      </c>
      <c r="X38" s="681" t="s">
        <v>541</v>
      </c>
      <c r="Y38" s="3251"/>
      <c r="Z38" s="3251"/>
      <c r="AA38" s="3230"/>
      <c r="AB38" s="3230"/>
      <c r="AC38" s="3230"/>
      <c r="AD38" s="3230"/>
      <c r="AE38" s="3230"/>
      <c r="AF38" s="3230"/>
      <c r="AG38" s="3230"/>
      <c r="AH38" s="3230"/>
      <c r="AI38" s="3230"/>
      <c r="AJ38" s="3230"/>
      <c r="AK38" s="659"/>
      <c r="AL38" s="659"/>
      <c r="AM38" s="659"/>
      <c r="AN38" s="3230"/>
      <c r="AO38" s="3233"/>
      <c r="AP38" s="3233"/>
      <c r="AQ38" s="3236"/>
    </row>
    <row r="39" spans="1:43" s="668" customFormat="1" ht="59.25" customHeight="1" x14ac:dyDescent="0.2">
      <c r="A39" s="645"/>
      <c r="B39" s="646"/>
      <c r="C39" s="647"/>
      <c r="D39" s="645"/>
      <c r="E39" s="646"/>
      <c r="F39" s="647"/>
      <c r="G39" s="677"/>
      <c r="H39" s="3266"/>
      <c r="I39" s="3267"/>
      <c r="J39" s="3240"/>
      <c r="K39" s="3249"/>
      <c r="L39" s="3255"/>
      <c r="M39" s="3243"/>
      <c r="N39" s="3255"/>
      <c r="O39" s="3252"/>
      <c r="P39" s="3249"/>
      <c r="Q39" s="3246"/>
      <c r="R39" s="3258"/>
      <c r="S39" s="3255"/>
      <c r="T39" s="3249"/>
      <c r="U39" s="667" t="s">
        <v>542</v>
      </c>
      <c r="V39" s="662">
        <f>65964483+47070480</f>
        <v>113034963</v>
      </c>
      <c r="W39" s="217">
        <v>34</v>
      </c>
      <c r="X39" s="681" t="s">
        <v>532</v>
      </c>
      <c r="Y39" s="3252"/>
      <c r="Z39" s="3252"/>
      <c r="AA39" s="3231"/>
      <c r="AB39" s="3231"/>
      <c r="AC39" s="3231"/>
      <c r="AD39" s="3231"/>
      <c r="AE39" s="3231"/>
      <c r="AF39" s="3231"/>
      <c r="AG39" s="3231"/>
      <c r="AH39" s="3231"/>
      <c r="AI39" s="3231"/>
      <c r="AJ39" s="3231"/>
      <c r="AK39" s="670"/>
      <c r="AL39" s="670"/>
      <c r="AM39" s="670"/>
      <c r="AN39" s="3231"/>
      <c r="AO39" s="3234"/>
      <c r="AP39" s="3234"/>
      <c r="AQ39" s="3237"/>
    </row>
    <row r="40" spans="1:43" s="668" customFormat="1" ht="27" customHeight="1" x14ac:dyDescent="0.25">
      <c r="A40" s="683"/>
      <c r="B40" s="684"/>
      <c r="C40" s="685"/>
      <c r="D40" s="686">
        <v>10</v>
      </c>
      <c r="E40" s="3270" t="s">
        <v>543</v>
      </c>
      <c r="F40" s="3271"/>
      <c r="G40" s="3271"/>
      <c r="H40" s="3271"/>
      <c r="I40" s="3271"/>
      <c r="J40" s="3271"/>
      <c r="K40" s="3271"/>
      <c r="L40" s="687"/>
      <c r="M40" s="688"/>
      <c r="N40" s="687"/>
      <c r="O40" s="689"/>
      <c r="P40" s="687"/>
      <c r="Q40" s="689"/>
      <c r="R40" s="690"/>
      <c r="S40" s="687"/>
      <c r="T40" s="687"/>
      <c r="U40" s="687"/>
      <c r="V40" s="690"/>
      <c r="W40" s="691"/>
      <c r="X40" s="689"/>
      <c r="Y40" s="689"/>
      <c r="Z40" s="689"/>
      <c r="AA40" s="689"/>
      <c r="AB40" s="689"/>
      <c r="AC40" s="689"/>
      <c r="AD40" s="689"/>
      <c r="AE40" s="689"/>
      <c r="AF40" s="689"/>
      <c r="AG40" s="689"/>
      <c r="AH40" s="689"/>
      <c r="AI40" s="689"/>
      <c r="AJ40" s="689"/>
      <c r="AK40" s="689"/>
      <c r="AL40" s="689"/>
      <c r="AM40" s="689"/>
      <c r="AN40" s="689"/>
      <c r="AO40" s="689"/>
      <c r="AP40" s="689"/>
      <c r="AQ40" s="692"/>
    </row>
    <row r="41" spans="1:43" s="668" customFormat="1" ht="27" customHeight="1" x14ac:dyDescent="0.25">
      <c r="A41" s="693"/>
      <c r="B41" s="694"/>
      <c r="C41" s="694"/>
      <c r="D41" s="683"/>
      <c r="E41" s="695"/>
      <c r="F41" s="685"/>
      <c r="G41" s="228">
        <v>32</v>
      </c>
      <c r="H41" s="3260" t="s">
        <v>544</v>
      </c>
      <c r="I41" s="3261"/>
      <c r="J41" s="3261"/>
      <c r="K41" s="3261"/>
      <c r="L41" s="3261"/>
      <c r="M41" s="696"/>
      <c r="N41" s="697"/>
      <c r="O41" s="698"/>
      <c r="P41" s="697"/>
      <c r="Q41" s="698"/>
      <c r="R41" s="699"/>
      <c r="S41" s="697"/>
      <c r="T41" s="697"/>
      <c r="U41" s="697"/>
      <c r="V41" s="699" t="s">
        <v>545</v>
      </c>
      <c r="W41" s="700"/>
      <c r="X41" s="698"/>
      <c r="Y41" s="698"/>
      <c r="Z41" s="698"/>
      <c r="AA41" s="698"/>
      <c r="AB41" s="698"/>
      <c r="AC41" s="698"/>
      <c r="AD41" s="698"/>
      <c r="AE41" s="698"/>
      <c r="AF41" s="698"/>
      <c r="AG41" s="698"/>
      <c r="AH41" s="698"/>
      <c r="AI41" s="698"/>
      <c r="AJ41" s="698"/>
      <c r="AK41" s="698"/>
      <c r="AL41" s="698"/>
      <c r="AM41" s="698"/>
      <c r="AN41" s="698"/>
      <c r="AO41" s="698"/>
      <c r="AP41" s="698"/>
      <c r="AQ41" s="701"/>
    </row>
    <row r="42" spans="1:43" s="668" customFormat="1" ht="48" customHeight="1" x14ac:dyDescent="0.2">
      <c r="A42" s="645"/>
      <c r="B42" s="646"/>
      <c r="C42" s="646"/>
      <c r="D42" s="645"/>
      <c r="E42" s="3264"/>
      <c r="F42" s="3265"/>
      <c r="G42" s="677"/>
      <c r="H42" s="3262"/>
      <c r="I42" s="3263"/>
      <c r="J42" s="3238">
        <v>119</v>
      </c>
      <c r="K42" s="3253" t="s">
        <v>546</v>
      </c>
      <c r="L42" s="3253" t="s">
        <v>491</v>
      </c>
      <c r="M42" s="3241">
        <v>7</v>
      </c>
      <c r="N42" s="3250" t="s">
        <v>547</v>
      </c>
      <c r="O42" s="3250">
        <v>49</v>
      </c>
      <c r="P42" s="3253" t="s">
        <v>548</v>
      </c>
      <c r="Q42" s="3244">
        <f>SUM(V42:V48)/R42</f>
        <v>1</v>
      </c>
      <c r="R42" s="3256">
        <f>SUM(V42:V48)</f>
        <v>550777027</v>
      </c>
      <c r="S42" s="3253" t="s">
        <v>549</v>
      </c>
      <c r="T42" s="3253" t="s">
        <v>550</v>
      </c>
      <c r="U42" s="3253" t="s">
        <v>551</v>
      </c>
      <c r="V42" s="678">
        <v>175000000</v>
      </c>
      <c r="W42" s="217">
        <v>47</v>
      </c>
      <c r="X42" s="681" t="s">
        <v>552</v>
      </c>
      <c r="Y42" s="3250">
        <v>85278</v>
      </c>
      <c r="Z42" s="3250">
        <v>85277</v>
      </c>
      <c r="AA42" s="3229">
        <v>17056</v>
      </c>
      <c r="AB42" s="3229">
        <v>34111</v>
      </c>
      <c r="AC42" s="3229">
        <v>85278</v>
      </c>
      <c r="AD42" s="3229">
        <v>25582</v>
      </c>
      <c r="AE42" s="3229">
        <v>4263.875</v>
      </c>
      <c r="AF42" s="3229">
        <v>4263.875</v>
      </c>
      <c r="AG42" s="3229">
        <v>0</v>
      </c>
      <c r="AH42" s="3229">
        <v>0</v>
      </c>
      <c r="AI42" s="3229">
        <v>0</v>
      </c>
      <c r="AJ42" s="3229">
        <v>0</v>
      </c>
      <c r="AK42" s="656"/>
      <c r="AL42" s="656"/>
      <c r="AM42" s="656"/>
      <c r="AN42" s="3229">
        <f>Y42+Z42</f>
        <v>170555</v>
      </c>
      <c r="AO42" s="3232">
        <v>43466</v>
      </c>
      <c r="AP42" s="3232">
        <v>43830</v>
      </c>
      <c r="AQ42" s="3235" t="s">
        <v>497</v>
      </c>
    </row>
    <row r="43" spans="1:43" s="668" customFormat="1" ht="48" customHeight="1" x14ac:dyDescent="0.2">
      <c r="A43" s="645"/>
      <c r="B43" s="646"/>
      <c r="C43" s="646"/>
      <c r="D43" s="645"/>
      <c r="E43" s="3264"/>
      <c r="F43" s="3265"/>
      <c r="G43" s="677"/>
      <c r="H43" s="3264"/>
      <c r="I43" s="3265"/>
      <c r="J43" s="3239"/>
      <c r="K43" s="3254"/>
      <c r="L43" s="3254"/>
      <c r="M43" s="3242"/>
      <c r="N43" s="3251"/>
      <c r="O43" s="3251"/>
      <c r="P43" s="3254"/>
      <c r="Q43" s="3245"/>
      <c r="R43" s="3257"/>
      <c r="S43" s="3254"/>
      <c r="T43" s="3254"/>
      <c r="U43" s="3254"/>
      <c r="V43" s="702">
        <v>61380526</v>
      </c>
      <c r="W43" s="213">
        <v>20</v>
      </c>
      <c r="X43" s="650" t="s">
        <v>553</v>
      </c>
      <c r="Y43" s="3251"/>
      <c r="Z43" s="3251"/>
      <c r="AA43" s="3230"/>
      <c r="AB43" s="3230"/>
      <c r="AC43" s="3230"/>
      <c r="AD43" s="3230"/>
      <c r="AE43" s="3230"/>
      <c r="AF43" s="3230"/>
      <c r="AG43" s="3230"/>
      <c r="AH43" s="3230"/>
      <c r="AI43" s="3230"/>
      <c r="AJ43" s="3230"/>
      <c r="AK43" s="659"/>
      <c r="AL43" s="659"/>
      <c r="AM43" s="659"/>
      <c r="AN43" s="3230"/>
      <c r="AO43" s="3233"/>
      <c r="AP43" s="3233"/>
      <c r="AQ43" s="3236"/>
    </row>
    <row r="44" spans="1:43" s="668" customFormat="1" ht="51" customHeight="1" x14ac:dyDescent="0.2">
      <c r="A44" s="645"/>
      <c r="B44" s="646"/>
      <c r="C44" s="646"/>
      <c r="D44" s="645"/>
      <c r="E44" s="3264"/>
      <c r="F44" s="3265"/>
      <c r="G44" s="677"/>
      <c r="H44" s="3264"/>
      <c r="I44" s="3265"/>
      <c r="J44" s="3239"/>
      <c r="K44" s="3254"/>
      <c r="L44" s="3254"/>
      <c r="M44" s="3242"/>
      <c r="N44" s="3251"/>
      <c r="O44" s="3251"/>
      <c r="P44" s="3254"/>
      <c r="Q44" s="3245"/>
      <c r="R44" s="3257"/>
      <c r="S44" s="3254"/>
      <c r="T44" s="3254"/>
      <c r="U44" s="3268"/>
      <c r="V44" s="703">
        <f>0+219596501</f>
        <v>219596501</v>
      </c>
      <c r="W44" s="704">
        <v>93</v>
      </c>
      <c r="X44" s="705" t="s">
        <v>554</v>
      </c>
      <c r="Y44" s="3269"/>
      <c r="Z44" s="3251"/>
      <c r="AA44" s="3230"/>
      <c r="AB44" s="3230"/>
      <c r="AC44" s="3230"/>
      <c r="AD44" s="3230"/>
      <c r="AE44" s="3230"/>
      <c r="AF44" s="3230"/>
      <c r="AG44" s="3230"/>
      <c r="AH44" s="3230"/>
      <c r="AI44" s="3230"/>
      <c r="AJ44" s="3230"/>
      <c r="AK44" s="659"/>
      <c r="AL44" s="659"/>
      <c r="AM44" s="659"/>
      <c r="AN44" s="3230"/>
      <c r="AO44" s="3233"/>
      <c r="AP44" s="3233"/>
      <c r="AQ44" s="3236"/>
    </row>
    <row r="45" spans="1:43" s="668" customFormat="1" ht="44.25" customHeight="1" x14ac:dyDescent="0.2">
      <c r="A45" s="645"/>
      <c r="B45" s="646"/>
      <c r="C45" s="646"/>
      <c r="D45" s="645"/>
      <c r="E45" s="3264"/>
      <c r="F45" s="3265"/>
      <c r="G45" s="677"/>
      <c r="H45" s="3264"/>
      <c r="I45" s="3265"/>
      <c r="J45" s="3239"/>
      <c r="K45" s="3254"/>
      <c r="L45" s="3254"/>
      <c r="M45" s="3242"/>
      <c r="N45" s="3251"/>
      <c r="O45" s="3251"/>
      <c r="P45" s="3254"/>
      <c r="Q45" s="3245"/>
      <c r="R45" s="3257"/>
      <c r="S45" s="3254"/>
      <c r="T45" s="3254"/>
      <c r="U45" s="706" t="s">
        <v>555</v>
      </c>
      <c r="V45" s="665">
        <v>1000000</v>
      </c>
      <c r="W45" s="707">
        <v>47</v>
      </c>
      <c r="X45" s="705" t="s">
        <v>552</v>
      </c>
      <c r="Y45" s="3251"/>
      <c r="Z45" s="3251"/>
      <c r="AA45" s="3230"/>
      <c r="AB45" s="3230"/>
      <c r="AC45" s="3230"/>
      <c r="AD45" s="3230"/>
      <c r="AE45" s="3230"/>
      <c r="AF45" s="3230"/>
      <c r="AG45" s="3230"/>
      <c r="AH45" s="3230"/>
      <c r="AI45" s="3230"/>
      <c r="AJ45" s="3230"/>
      <c r="AK45" s="659"/>
      <c r="AL45" s="659"/>
      <c r="AM45" s="659"/>
      <c r="AN45" s="3230"/>
      <c r="AO45" s="3233"/>
      <c r="AP45" s="3233"/>
      <c r="AQ45" s="3236"/>
    </row>
    <row r="46" spans="1:43" s="668" customFormat="1" ht="48" customHeight="1" x14ac:dyDescent="0.2">
      <c r="A46" s="645"/>
      <c r="B46" s="646"/>
      <c r="C46" s="646"/>
      <c r="D46" s="645"/>
      <c r="E46" s="3264"/>
      <c r="F46" s="3265"/>
      <c r="G46" s="677"/>
      <c r="H46" s="3264"/>
      <c r="I46" s="3265"/>
      <c r="J46" s="3239"/>
      <c r="K46" s="3254"/>
      <c r="L46" s="3254"/>
      <c r="M46" s="3242"/>
      <c r="N46" s="3251"/>
      <c r="O46" s="3251"/>
      <c r="P46" s="3254"/>
      <c r="Q46" s="3245"/>
      <c r="R46" s="3257"/>
      <c r="S46" s="3254"/>
      <c r="T46" s="3255"/>
      <c r="U46" s="708" t="s">
        <v>556</v>
      </c>
      <c r="V46" s="669">
        <f>33800000+5613000</f>
        <v>39413000</v>
      </c>
      <c r="W46" s="217">
        <v>20</v>
      </c>
      <c r="X46" s="705" t="s">
        <v>553</v>
      </c>
      <c r="Y46" s="3251"/>
      <c r="Z46" s="3251"/>
      <c r="AA46" s="3230"/>
      <c r="AB46" s="3230"/>
      <c r="AC46" s="3230"/>
      <c r="AD46" s="3230"/>
      <c r="AE46" s="3230"/>
      <c r="AF46" s="3230"/>
      <c r="AG46" s="3230"/>
      <c r="AH46" s="3230"/>
      <c r="AI46" s="3230"/>
      <c r="AJ46" s="3230"/>
      <c r="AK46" s="659"/>
      <c r="AL46" s="659"/>
      <c r="AM46" s="659"/>
      <c r="AN46" s="3230"/>
      <c r="AO46" s="3233"/>
      <c r="AP46" s="3233"/>
      <c r="AQ46" s="3236"/>
    </row>
    <row r="47" spans="1:43" s="668" customFormat="1" ht="33" customHeight="1" x14ac:dyDescent="0.2">
      <c r="A47" s="645"/>
      <c r="B47" s="646"/>
      <c r="C47" s="646"/>
      <c r="D47" s="645"/>
      <c r="E47" s="3264"/>
      <c r="F47" s="3265"/>
      <c r="G47" s="677"/>
      <c r="H47" s="3264"/>
      <c r="I47" s="3265"/>
      <c r="J47" s="3239"/>
      <c r="K47" s="3254"/>
      <c r="L47" s="3254"/>
      <c r="M47" s="3242"/>
      <c r="N47" s="3251"/>
      <c r="O47" s="3251"/>
      <c r="P47" s="3254"/>
      <c r="Q47" s="3245"/>
      <c r="R47" s="3257"/>
      <c r="S47" s="3254"/>
      <c r="T47" s="3253" t="s">
        <v>557</v>
      </c>
      <c r="U47" s="3253" t="s">
        <v>558</v>
      </c>
      <c r="V47" s="709">
        <f>54000000-5613000</f>
        <v>48387000</v>
      </c>
      <c r="W47" s="217">
        <v>20</v>
      </c>
      <c r="X47" s="705" t="s">
        <v>553</v>
      </c>
      <c r="Y47" s="3251"/>
      <c r="Z47" s="3251"/>
      <c r="AA47" s="3230"/>
      <c r="AB47" s="3230"/>
      <c r="AC47" s="3230"/>
      <c r="AD47" s="3230"/>
      <c r="AE47" s="3230"/>
      <c r="AF47" s="3230"/>
      <c r="AG47" s="3230"/>
      <c r="AH47" s="3230"/>
      <c r="AI47" s="3230"/>
      <c r="AJ47" s="3230"/>
      <c r="AK47" s="659"/>
      <c r="AL47" s="659"/>
      <c r="AM47" s="659"/>
      <c r="AN47" s="3230"/>
      <c r="AO47" s="3233"/>
      <c r="AP47" s="3233"/>
      <c r="AQ47" s="3236"/>
    </row>
    <row r="48" spans="1:43" s="668" customFormat="1" ht="37.5" customHeight="1" x14ac:dyDescent="0.2">
      <c r="A48" s="645"/>
      <c r="B48" s="646"/>
      <c r="C48" s="646"/>
      <c r="D48" s="645"/>
      <c r="E48" s="3264"/>
      <c r="F48" s="3265"/>
      <c r="G48" s="677"/>
      <c r="H48" s="3266"/>
      <c r="I48" s="3267"/>
      <c r="J48" s="3240"/>
      <c r="K48" s="3255"/>
      <c r="L48" s="3255"/>
      <c r="M48" s="3243"/>
      <c r="N48" s="3252"/>
      <c r="O48" s="3252"/>
      <c r="P48" s="3255"/>
      <c r="Q48" s="3246"/>
      <c r="R48" s="3258"/>
      <c r="S48" s="3255"/>
      <c r="T48" s="3255"/>
      <c r="U48" s="3255"/>
      <c r="V48" s="702">
        <v>6000000</v>
      </c>
      <c r="W48" s="217">
        <v>47</v>
      </c>
      <c r="X48" s="218" t="s">
        <v>559</v>
      </c>
      <c r="Y48" s="3252"/>
      <c r="Z48" s="3252"/>
      <c r="AA48" s="3231"/>
      <c r="AB48" s="3231"/>
      <c r="AC48" s="3231"/>
      <c r="AD48" s="3231"/>
      <c r="AE48" s="3231"/>
      <c r="AF48" s="3231"/>
      <c r="AG48" s="3231"/>
      <c r="AH48" s="3231"/>
      <c r="AI48" s="3231"/>
      <c r="AJ48" s="3231"/>
      <c r="AK48" s="670"/>
      <c r="AL48" s="670"/>
      <c r="AM48" s="670"/>
      <c r="AN48" s="3231"/>
      <c r="AO48" s="3234"/>
      <c r="AP48" s="3234"/>
      <c r="AQ48" s="3237"/>
    </row>
    <row r="49" spans="1:43" s="668" customFormat="1" ht="27" customHeight="1" x14ac:dyDescent="0.2">
      <c r="A49" s="243"/>
      <c r="B49" s="710"/>
      <c r="C49" s="710"/>
      <c r="D49" s="243"/>
      <c r="E49" s="3264"/>
      <c r="F49" s="3265"/>
      <c r="G49" s="228">
        <v>32</v>
      </c>
      <c r="H49" s="3260" t="s">
        <v>544</v>
      </c>
      <c r="I49" s="3261"/>
      <c r="J49" s="3261"/>
      <c r="K49" s="3261"/>
      <c r="L49" s="3261"/>
      <c r="M49" s="671"/>
      <c r="N49" s="336"/>
      <c r="O49" s="672"/>
      <c r="P49" s="336"/>
      <c r="Q49" s="672"/>
      <c r="R49" s="673"/>
      <c r="S49" s="336"/>
      <c r="T49" s="336"/>
      <c r="U49" s="336"/>
      <c r="V49" s="711"/>
      <c r="W49" s="679"/>
      <c r="X49" s="336"/>
      <c r="Y49" s="672"/>
      <c r="Z49" s="672"/>
      <c r="AA49" s="672"/>
      <c r="AB49" s="672"/>
      <c r="AC49" s="672"/>
      <c r="AD49" s="672"/>
      <c r="AE49" s="672"/>
      <c r="AF49" s="672"/>
      <c r="AG49" s="672"/>
      <c r="AH49" s="672"/>
      <c r="AI49" s="672"/>
      <c r="AJ49" s="672"/>
      <c r="AK49" s="672"/>
      <c r="AL49" s="672"/>
      <c r="AM49" s="672"/>
      <c r="AN49" s="672"/>
      <c r="AO49" s="672"/>
      <c r="AP49" s="672"/>
      <c r="AQ49" s="229"/>
    </row>
    <row r="50" spans="1:43" s="668" customFormat="1" ht="38.25" customHeight="1" x14ac:dyDescent="0.2">
      <c r="A50" s="645"/>
      <c r="B50" s="646"/>
      <c r="C50" s="646"/>
      <c r="D50" s="645"/>
      <c r="E50" s="3264"/>
      <c r="F50" s="3265"/>
      <c r="G50" s="677"/>
      <c r="H50" s="3262"/>
      <c r="I50" s="3263"/>
      <c r="J50" s="3238">
        <v>120</v>
      </c>
      <c r="K50" s="2586" t="s">
        <v>560</v>
      </c>
      <c r="L50" s="3253" t="s">
        <v>491</v>
      </c>
      <c r="M50" s="3241">
        <v>2</v>
      </c>
      <c r="N50" s="3250" t="s">
        <v>561</v>
      </c>
      <c r="O50" s="3250">
        <v>50</v>
      </c>
      <c r="P50" s="3253" t="s">
        <v>562</v>
      </c>
      <c r="Q50" s="3244">
        <f>39700000/R50</f>
        <v>0.5</v>
      </c>
      <c r="R50" s="3256">
        <f>V50+V54+V51+V52+V53</f>
        <v>79400000</v>
      </c>
      <c r="S50" s="3253" t="s">
        <v>563</v>
      </c>
      <c r="T50" s="3259" t="s">
        <v>564</v>
      </c>
      <c r="U50" s="219" t="s">
        <v>565</v>
      </c>
      <c r="V50" s="678">
        <f>20000000-7000000</f>
        <v>13000000</v>
      </c>
      <c r="W50" s="217">
        <v>20</v>
      </c>
      <c r="X50" s="218" t="s">
        <v>499</v>
      </c>
      <c r="Y50" s="3250">
        <v>142127</v>
      </c>
      <c r="Z50" s="3250">
        <v>142127</v>
      </c>
      <c r="AA50" s="3229">
        <v>85276</v>
      </c>
      <c r="AB50" s="3229">
        <v>85276</v>
      </c>
      <c r="AC50" s="3229">
        <v>99489</v>
      </c>
      <c r="AD50" s="3229">
        <v>14212.7</v>
      </c>
      <c r="AE50" s="3229">
        <v>0</v>
      </c>
      <c r="AF50" s="3229">
        <v>0</v>
      </c>
      <c r="AG50" s="3229">
        <v>0</v>
      </c>
      <c r="AH50" s="3229">
        <v>0</v>
      </c>
      <c r="AI50" s="3229">
        <v>0</v>
      </c>
      <c r="AJ50" s="3229">
        <v>0</v>
      </c>
      <c r="AK50" s="656"/>
      <c r="AL50" s="656"/>
      <c r="AM50" s="656"/>
      <c r="AN50" s="3229">
        <f>Y50+Z50</f>
        <v>284254</v>
      </c>
      <c r="AO50" s="3232">
        <v>43466</v>
      </c>
      <c r="AP50" s="3232">
        <v>43830</v>
      </c>
      <c r="AQ50" s="3235" t="s">
        <v>497</v>
      </c>
    </row>
    <row r="51" spans="1:43" s="668" customFormat="1" ht="45" customHeight="1" x14ac:dyDescent="0.2">
      <c r="A51" s="645"/>
      <c r="B51" s="646"/>
      <c r="C51" s="646"/>
      <c r="D51" s="645"/>
      <c r="E51" s="3264"/>
      <c r="F51" s="3265"/>
      <c r="G51" s="677"/>
      <c r="H51" s="3264"/>
      <c r="I51" s="3265"/>
      <c r="J51" s="3239"/>
      <c r="K51" s="2566"/>
      <c r="L51" s="3254"/>
      <c r="M51" s="3242"/>
      <c r="N51" s="3251"/>
      <c r="O51" s="3251"/>
      <c r="P51" s="3254"/>
      <c r="Q51" s="3245"/>
      <c r="R51" s="3257"/>
      <c r="S51" s="3254"/>
      <c r="T51" s="3259"/>
      <c r="U51" s="667" t="s">
        <v>566</v>
      </c>
      <c r="V51" s="712">
        <v>2484348</v>
      </c>
      <c r="W51" s="217">
        <v>20</v>
      </c>
      <c r="X51" s="218" t="s">
        <v>499</v>
      </c>
      <c r="Y51" s="3251"/>
      <c r="Z51" s="3251"/>
      <c r="AA51" s="3230"/>
      <c r="AB51" s="3230"/>
      <c r="AC51" s="3230"/>
      <c r="AD51" s="3230"/>
      <c r="AE51" s="3230"/>
      <c r="AF51" s="3230"/>
      <c r="AG51" s="3230"/>
      <c r="AH51" s="3230"/>
      <c r="AI51" s="3230"/>
      <c r="AJ51" s="3230"/>
      <c r="AK51" s="659"/>
      <c r="AL51" s="659"/>
      <c r="AM51" s="659"/>
      <c r="AN51" s="3230"/>
      <c r="AO51" s="3233"/>
      <c r="AP51" s="3233"/>
      <c r="AQ51" s="3236"/>
    </row>
    <row r="52" spans="1:43" s="668" customFormat="1" ht="27" customHeight="1" x14ac:dyDescent="0.2">
      <c r="A52" s="645"/>
      <c r="B52" s="646"/>
      <c r="C52" s="646"/>
      <c r="D52" s="645"/>
      <c r="E52" s="3264"/>
      <c r="F52" s="3265"/>
      <c r="G52" s="677"/>
      <c r="H52" s="3264"/>
      <c r="I52" s="3265"/>
      <c r="J52" s="3238">
        <v>121</v>
      </c>
      <c r="K52" s="2586" t="s">
        <v>567</v>
      </c>
      <c r="L52" s="3254"/>
      <c r="M52" s="3241">
        <v>4</v>
      </c>
      <c r="N52" s="3251"/>
      <c r="O52" s="3251"/>
      <c r="P52" s="3254"/>
      <c r="Q52" s="3244">
        <f>39700000/R50</f>
        <v>0.5</v>
      </c>
      <c r="R52" s="3257"/>
      <c r="S52" s="3254"/>
      <c r="T52" s="3247" t="s">
        <v>568</v>
      </c>
      <c r="U52" s="667" t="s">
        <v>569</v>
      </c>
      <c r="V52" s="712">
        <f>5558000-5558000</f>
        <v>0</v>
      </c>
      <c r="W52" s="217">
        <v>20</v>
      </c>
      <c r="X52" s="218" t="s">
        <v>499</v>
      </c>
      <c r="Y52" s="3251"/>
      <c r="Z52" s="3251"/>
      <c r="AA52" s="3230"/>
      <c r="AB52" s="3230"/>
      <c r="AC52" s="3230"/>
      <c r="AD52" s="3230"/>
      <c r="AE52" s="3230"/>
      <c r="AF52" s="3230"/>
      <c r="AG52" s="3230"/>
      <c r="AH52" s="3230"/>
      <c r="AI52" s="3230"/>
      <c r="AJ52" s="3230"/>
      <c r="AK52" s="659"/>
      <c r="AL52" s="659"/>
      <c r="AM52" s="659"/>
      <c r="AN52" s="3230"/>
      <c r="AO52" s="3233"/>
      <c r="AP52" s="3233"/>
      <c r="AQ52" s="3236"/>
    </row>
    <row r="53" spans="1:43" s="668" customFormat="1" ht="36.75" customHeight="1" x14ac:dyDescent="0.2">
      <c r="A53" s="645"/>
      <c r="B53" s="646"/>
      <c r="C53" s="646"/>
      <c r="D53" s="645"/>
      <c r="E53" s="3264"/>
      <c r="F53" s="3265"/>
      <c r="G53" s="677"/>
      <c r="H53" s="3264"/>
      <c r="I53" s="3265"/>
      <c r="J53" s="3239"/>
      <c r="K53" s="2566"/>
      <c r="L53" s="3254"/>
      <c r="M53" s="3242"/>
      <c r="N53" s="3251"/>
      <c r="O53" s="3251"/>
      <c r="P53" s="3254"/>
      <c r="Q53" s="3245"/>
      <c r="R53" s="3257"/>
      <c r="S53" s="3254"/>
      <c r="T53" s="3248"/>
      <c r="U53" s="667" t="s">
        <v>570</v>
      </c>
      <c r="V53" s="712">
        <v>53047652</v>
      </c>
      <c r="W53" s="217">
        <v>20</v>
      </c>
      <c r="X53" s="218" t="s">
        <v>499</v>
      </c>
      <c r="Y53" s="3251"/>
      <c r="Z53" s="3251"/>
      <c r="AA53" s="3230"/>
      <c r="AB53" s="3230"/>
      <c r="AC53" s="3230"/>
      <c r="AD53" s="3230"/>
      <c r="AE53" s="3230"/>
      <c r="AF53" s="3230"/>
      <c r="AG53" s="3230"/>
      <c r="AH53" s="3230"/>
      <c r="AI53" s="3230"/>
      <c r="AJ53" s="3230"/>
      <c r="AK53" s="659"/>
      <c r="AL53" s="659"/>
      <c r="AM53" s="659"/>
      <c r="AN53" s="3230"/>
      <c r="AO53" s="3233"/>
      <c r="AP53" s="3233"/>
      <c r="AQ53" s="3236"/>
    </row>
    <row r="54" spans="1:43" s="668" customFormat="1" ht="36" customHeight="1" x14ac:dyDescent="0.2">
      <c r="A54" s="705"/>
      <c r="B54" s="713"/>
      <c r="C54" s="713"/>
      <c r="D54" s="705"/>
      <c r="E54" s="3266"/>
      <c r="F54" s="3267"/>
      <c r="G54" s="714"/>
      <c r="H54" s="3266"/>
      <c r="I54" s="3267"/>
      <c r="J54" s="3240"/>
      <c r="K54" s="2590"/>
      <c r="L54" s="3255"/>
      <c r="M54" s="3243"/>
      <c r="N54" s="3252"/>
      <c r="O54" s="3252"/>
      <c r="P54" s="3255"/>
      <c r="Q54" s="3246"/>
      <c r="R54" s="3258"/>
      <c r="S54" s="3255"/>
      <c r="T54" s="3249"/>
      <c r="U54" s="667" t="s">
        <v>571</v>
      </c>
      <c r="V54" s="712">
        <f>2382000+8486000</f>
        <v>10868000</v>
      </c>
      <c r="W54" s="217">
        <v>20</v>
      </c>
      <c r="X54" s="218" t="s">
        <v>499</v>
      </c>
      <c r="Y54" s="3252"/>
      <c r="Z54" s="3252"/>
      <c r="AA54" s="3231"/>
      <c r="AB54" s="3231"/>
      <c r="AC54" s="3231"/>
      <c r="AD54" s="3231"/>
      <c r="AE54" s="3231"/>
      <c r="AF54" s="3231"/>
      <c r="AG54" s="3231"/>
      <c r="AH54" s="3231"/>
      <c r="AI54" s="3231"/>
      <c r="AJ54" s="3231"/>
      <c r="AK54" s="670"/>
      <c r="AL54" s="670"/>
      <c r="AM54" s="670"/>
      <c r="AN54" s="3231"/>
      <c r="AO54" s="3234"/>
      <c r="AP54" s="3234"/>
      <c r="AQ54" s="3237"/>
    </row>
    <row r="55" spans="1:43" s="668" customFormat="1" ht="27" customHeight="1" x14ac:dyDescent="0.2">
      <c r="A55" s="715"/>
      <c r="B55" s="716"/>
      <c r="C55" s="717"/>
      <c r="D55" s="715"/>
      <c r="E55" s="3226" t="s">
        <v>319</v>
      </c>
      <c r="F55" s="3227"/>
      <c r="G55" s="715"/>
      <c r="H55" s="716"/>
      <c r="I55" s="717"/>
      <c r="J55" s="718"/>
      <c r="K55" s="719"/>
      <c r="L55" s="661"/>
      <c r="M55" s="720"/>
      <c r="N55" s="721"/>
      <c r="O55" s="722"/>
      <c r="P55" s="723"/>
      <c r="Q55" s="724"/>
      <c r="R55" s="725">
        <f>SUM(R12:R54)</f>
        <v>5418161534</v>
      </c>
      <c r="S55" s="719"/>
      <c r="T55" s="215"/>
      <c r="U55" s="661"/>
      <c r="V55" s="726">
        <f>SUM(V12:V54)</f>
        <v>5418161534</v>
      </c>
      <c r="W55" s="727"/>
      <c r="X55" s="720"/>
      <c r="Y55" s="716"/>
      <c r="Z55" s="716"/>
      <c r="AA55" s="728"/>
      <c r="AB55" s="729"/>
      <c r="AC55" s="728"/>
      <c r="AD55" s="728"/>
      <c r="AE55" s="728"/>
      <c r="AF55" s="728"/>
      <c r="AG55" s="728"/>
      <c r="AH55" s="728"/>
      <c r="AI55" s="728"/>
      <c r="AJ55" s="728"/>
      <c r="AK55" s="728"/>
      <c r="AL55" s="728"/>
      <c r="AM55" s="728"/>
      <c r="AN55" s="728"/>
      <c r="AO55" s="730"/>
      <c r="AP55" s="730"/>
      <c r="AQ55" s="731"/>
    </row>
    <row r="56" spans="1:43" s="668" customFormat="1" ht="27" customHeight="1" x14ac:dyDescent="0.2">
      <c r="A56" s="732"/>
      <c r="K56" s="385"/>
      <c r="L56" s="651"/>
      <c r="M56" s="651"/>
      <c r="N56" s="651"/>
      <c r="O56" s="733"/>
      <c r="P56" s="385"/>
      <c r="Q56" s="734"/>
      <c r="R56" s="388"/>
      <c r="S56" s="385"/>
      <c r="T56" s="385"/>
      <c r="U56" s="385"/>
      <c r="V56" s="393"/>
      <c r="W56" s="389"/>
      <c r="X56" s="184"/>
      <c r="AO56" s="390"/>
      <c r="AP56" s="735"/>
      <c r="AQ56" s="392"/>
    </row>
    <row r="57" spans="1:43" s="668" customFormat="1" ht="27" customHeight="1" x14ac:dyDescent="0.2">
      <c r="A57" s="732"/>
      <c r="K57" s="385"/>
      <c r="L57" s="651"/>
      <c r="M57" s="651"/>
      <c r="N57" s="651"/>
      <c r="O57" s="733"/>
      <c r="P57" s="385"/>
      <c r="Q57" s="734"/>
      <c r="R57" s="388"/>
      <c r="S57" s="385"/>
      <c r="T57" s="385"/>
      <c r="U57" s="385"/>
      <c r="V57" s="393"/>
      <c r="W57" s="389"/>
      <c r="X57" s="184"/>
      <c r="AO57" s="390"/>
      <c r="AP57" s="735"/>
      <c r="AQ57" s="392"/>
    </row>
    <row r="58" spans="1:43" s="668" customFormat="1" ht="27" customHeight="1" x14ac:dyDescent="0.2">
      <c r="A58" s="732"/>
      <c r="K58" s="385"/>
      <c r="L58" s="651"/>
      <c r="M58" s="651"/>
      <c r="N58" s="651"/>
      <c r="O58" s="733"/>
      <c r="P58" s="385"/>
      <c r="Q58" s="734"/>
      <c r="R58" s="388"/>
      <c r="S58" s="385"/>
      <c r="T58" s="385"/>
      <c r="U58" s="385"/>
      <c r="V58" s="393"/>
      <c r="W58" s="389"/>
      <c r="X58" s="184"/>
      <c r="AO58" s="390"/>
      <c r="AP58" s="735"/>
      <c r="AQ58" s="392"/>
    </row>
    <row r="59" spans="1:43" s="668" customFormat="1" ht="27" customHeight="1" x14ac:dyDescent="0.2">
      <c r="A59" s="732"/>
      <c r="K59" s="385"/>
      <c r="L59" s="651"/>
      <c r="M59" s="651"/>
      <c r="N59" s="651"/>
      <c r="O59" s="733"/>
      <c r="P59" s="385"/>
      <c r="Q59" s="734"/>
      <c r="R59" s="388"/>
      <c r="S59" s="385"/>
      <c r="T59" s="385"/>
      <c r="U59" s="385"/>
      <c r="V59" s="393"/>
      <c r="W59" s="389"/>
      <c r="X59" s="184"/>
      <c r="AO59" s="390"/>
      <c r="AP59" s="735"/>
      <c r="AQ59" s="392"/>
    </row>
    <row r="60" spans="1:43" s="668" customFormat="1" ht="27" customHeight="1" x14ac:dyDescent="0.2">
      <c r="A60" s="732"/>
      <c r="K60" s="3228" t="s">
        <v>572</v>
      </c>
      <c r="L60" s="3228"/>
      <c r="M60" s="651"/>
      <c r="N60" s="651"/>
      <c r="O60" s="733"/>
      <c r="P60" s="385"/>
      <c r="Q60" s="734"/>
      <c r="R60" s="388"/>
      <c r="S60" s="385"/>
      <c r="T60" s="385"/>
      <c r="U60" s="385"/>
      <c r="V60" s="393"/>
      <c r="W60" s="389"/>
      <c r="X60" s="184"/>
      <c r="AO60" s="390"/>
      <c r="AP60" s="735"/>
      <c r="AQ60" s="392"/>
    </row>
    <row r="61" spans="1:43" s="668" customFormat="1" ht="27" customHeight="1" x14ac:dyDescent="0.2">
      <c r="A61" s="732"/>
      <c r="K61" s="3228" t="s">
        <v>573</v>
      </c>
      <c r="L61" s="3228"/>
      <c r="M61" s="651"/>
      <c r="N61" s="651"/>
      <c r="O61" s="733"/>
      <c r="P61" s="385"/>
      <c r="Q61" s="734"/>
      <c r="R61" s="388"/>
      <c r="S61" s="385"/>
      <c r="T61" s="385"/>
      <c r="U61" s="385"/>
      <c r="V61" s="393"/>
      <c r="W61" s="389"/>
      <c r="X61" s="184"/>
      <c r="AO61" s="390"/>
      <c r="AP61" s="735"/>
      <c r="AQ61" s="392"/>
    </row>
    <row r="62" spans="1:43" s="668" customFormat="1" ht="27" customHeight="1" x14ac:dyDescent="0.2">
      <c r="A62" s="732"/>
      <c r="K62" s="385"/>
      <c r="L62" s="651"/>
      <c r="M62" s="651"/>
      <c r="N62" s="651"/>
      <c r="O62" s="733"/>
      <c r="P62" s="385"/>
      <c r="Q62" s="734"/>
      <c r="R62" s="388"/>
      <c r="S62" s="385"/>
      <c r="T62" s="385"/>
      <c r="U62" s="385"/>
      <c r="V62" s="393"/>
      <c r="W62" s="389"/>
      <c r="X62" s="184"/>
      <c r="AO62" s="390"/>
      <c r="AP62" s="735"/>
      <c r="AQ62" s="392"/>
    </row>
    <row r="63" spans="1:43" s="668" customFormat="1" ht="27" customHeight="1" x14ac:dyDescent="0.2">
      <c r="A63" s="732"/>
      <c r="K63" s="385"/>
      <c r="L63" s="651"/>
      <c r="M63" s="651"/>
      <c r="N63" s="651"/>
      <c r="O63" s="733"/>
      <c r="P63" s="385"/>
      <c r="Q63" s="734"/>
      <c r="R63" s="388"/>
      <c r="S63" s="385"/>
      <c r="T63" s="385"/>
      <c r="U63" s="385"/>
      <c r="V63" s="393"/>
      <c r="W63" s="389"/>
      <c r="X63" s="184"/>
      <c r="AO63" s="390"/>
      <c r="AP63" s="735"/>
      <c r="AQ63" s="392"/>
    </row>
    <row r="64" spans="1:43" s="668" customFormat="1" ht="27" customHeight="1" x14ac:dyDescent="0.2">
      <c r="A64" s="732"/>
      <c r="K64" s="385"/>
      <c r="L64" s="651"/>
      <c r="M64" s="651"/>
      <c r="N64" s="651"/>
      <c r="O64" s="733"/>
      <c r="P64" s="385"/>
      <c r="Q64" s="734"/>
      <c r="R64" s="388"/>
      <c r="S64" s="385"/>
      <c r="T64" s="385"/>
      <c r="U64" s="385"/>
      <c r="V64" s="393"/>
      <c r="W64" s="389"/>
      <c r="X64" s="184"/>
      <c r="AO64" s="390"/>
      <c r="AP64" s="735"/>
      <c r="AQ64" s="392"/>
    </row>
    <row r="65" spans="1:43" s="668" customFormat="1" ht="27" customHeight="1" x14ac:dyDescent="0.2">
      <c r="A65" s="732"/>
      <c r="K65" s="385"/>
      <c r="L65" s="651"/>
      <c r="M65" s="651"/>
      <c r="N65" s="651"/>
      <c r="O65" s="733"/>
      <c r="P65" s="385"/>
      <c r="Q65" s="734"/>
      <c r="R65" s="388"/>
      <c r="S65" s="385"/>
      <c r="T65" s="385"/>
      <c r="U65" s="385"/>
      <c r="V65" s="393"/>
      <c r="W65" s="389"/>
      <c r="X65" s="184"/>
      <c r="AO65" s="390"/>
      <c r="AP65" s="735"/>
      <c r="AQ65" s="392"/>
    </row>
    <row r="66" spans="1:43" s="668" customFormat="1" ht="27" customHeight="1" x14ac:dyDescent="0.2">
      <c r="A66" s="732"/>
      <c r="K66" s="385"/>
      <c r="L66" s="651"/>
      <c r="M66" s="651"/>
      <c r="N66" s="651"/>
      <c r="O66" s="733"/>
      <c r="P66" s="385"/>
      <c r="Q66" s="734"/>
      <c r="R66" s="388"/>
      <c r="S66" s="385"/>
      <c r="T66" s="385"/>
      <c r="U66" s="385"/>
      <c r="V66" s="393"/>
      <c r="W66" s="389"/>
      <c r="X66" s="184"/>
      <c r="AO66" s="390"/>
      <c r="AP66" s="735"/>
      <c r="AQ66" s="392"/>
    </row>
    <row r="67" spans="1:43" s="668" customFormat="1" ht="27" customHeight="1" x14ac:dyDescent="0.2">
      <c r="A67" s="732"/>
      <c r="K67" s="385"/>
      <c r="L67" s="651"/>
      <c r="M67" s="651"/>
      <c r="N67" s="651"/>
      <c r="O67" s="733"/>
      <c r="P67" s="385"/>
      <c r="Q67" s="734"/>
      <c r="R67" s="388"/>
      <c r="S67" s="385"/>
      <c r="T67" s="385"/>
      <c r="U67" s="385"/>
      <c r="V67" s="393"/>
      <c r="W67" s="389"/>
      <c r="X67" s="184"/>
      <c r="AO67" s="390"/>
      <c r="AP67" s="735"/>
      <c r="AQ67" s="392"/>
    </row>
    <row r="68" spans="1:43" s="668" customFormat="1" ht="27" customHeight="1" x14ac:dyDescent="0.2">
      <c r="A68" s="732"/>
      <c r="K68" s="385"/>
      <c r="L68" s="651"/>
      <c r="M68" s="651"/>
      <c r="N68" s="651"/>
      <c r="O68" s="733"/>
      <c r="P68" s="385"/>
      <c r="Q68" s="734"/>
      <c r="R68" s="388"/>
      <c r="S68" s="385"/>
      <c r="T68" s="385"/>
      <c r="U68" s="385"/>
      <c r="V68" s="393"/>
      <c r="W68" s="389"/>
      <c r="X68" s="184"/>
      <c r="AO68" s="390"/>
      <c r="AP68" s="735"/>
      <c r="AQ68" s="392"/>
    </row>
    <row r="69" spans="1:43" s="668" customFormat="1" ht="27" customHeight="1" x14ac:dyDescent="0.2">
      <c r="A69" s="732"/>
      <c r="K69" s="385"/>
      <c r="L69" s="651"/>
      <c r="M69" s="651"/>
      <c r="N69" s="651"/>
      <c r="O69" s="733"/>
      <c r="P69" s="385"/>
      <c r="Q69" s="734"/>
      <c r="R69" s="388"/>
      <c r="S69" s="385"/>
      <c r="T69" s="385"/>
      <c r="U69" s="385"/>
      <c r="V69" s="393"/>
      <c r="W69" s="389"/>
      <c r="X69" s="184"/>
      <c r="AO69" s="390"/>
      <c r="AP69" s="735"/>
      <c r="AQ69" s="392"/>
    </row>
    <row r="70" spans="1:43" s="668" customFormat="1" ht="27" customHeight="1" x14ac:dyDescent="0.2">
      <c r="A70" s="732"/>
      <c r="K70" s="385"/>
      <c r="L70" s="651"/>
      <c r="M70" s="651"/>
      <c r="N70" s="651"/>
      <c r="O70" s="733"/>
      <c r="P70" s="385"/>
      <c r="Q70" s="734"/>
      <c r="R70" s="388"/>
      <c r="S70" s="385"/>
      <c r="T70" s="385"/>
      <c r="U70" s="385"/>
      <c r="V70" s="393"/>
      <c r="W70" s="389"/>
      <c r="X70" s="184"/>
      <c r="AO70" s="390"/>
      <c r="AP70" s="735"/>
      <c r="AQ70" s="392"/>
    </row>
    <row r="71" spans="1:43" s="668" customFormat="1" ht="27" customHeight="1" x14ac:dyDescent="0.2">
      <c r="A71" s="732"/>
      <c r="K71" s="385"/>
      <c r="L71" s="651"/>
      <c r="M71" s="651"/>
      <c r="N71" s="651"/>
      <c r="O71" s="733"/>
      <c r="P71" s="385"/>
      <c r="Q71" s="734"/>
      <c r="R71" s="388"/>
      <c r="S71" s="385"/>
      <c r="T71" s="385"/>
      <c r="U71" s="385"/>
      <c r="V71" s="393"/>
      <c r="W71" s="389"/>
      <c r="X71" s="184"/>
      <c r="AO71" s="390"/>
      <c r="AP71" s="735"/>
      <c r="AQ71" s="392"/>
    </row>
    <row r="72" spans="1:43" s="668" customFormat="1" ht="27" customHeight="1" x14ac:dyDescent="0.2">
      <c r="A72" s="732"/>
      <c r="K72" s="385"/>
      <c r="L72" s="651"/>
      <c r="M72" s="651"/>
      <c r="N72" s="651"/>
      <c r="O72" s="733"/>
      <c r="P72" s="385"/>
      <c r="Q72" s="734"/>
      <c r="R72" s="388"/>
      <c r="S72" s="385"/>
      <c r="T72" s="385"/>
      <c r="U72" s="385"/>
      <c r="V72" s="393"/>
      <c r="W72" s="389"/>
      <c r="X72" s="184"/>
      <c r="AO72" s="390"/>
      <c r="AP72" s="735"/>
      <c r="AQ72" s="392"/>
    </row>
    <row r="73" spans="1:43" s="668" customFormat="1" ht="27" customHeight="1" x14ac:dyDescent="0.2">
      <c r="A73" s="732"/>
      <c r="K73" s="385"/>
      <c r="L73" s="651"/>
      <c r="M73" s="651"/>
      <c r="N73" s="651"/>
      <c r="O73" s="733"/>
      <c r="P73" s="385"/>
      <c r="Q73" s="734"/>
      <c r="R73" s="388"/>
      <c r="S73" s="385"/>
      <c r="T73" s="385"/>
      <c r="U73" s="385"/>
      <c r="V73" s="393"/>
      <c r="W73" s="389"/>
      <c r="X73" s="184"/>
      <c r="AO73" s="390"/>
      <c r="AP73" s="735"/>
      <c r="AQ73" s="392"/>
    </row>
    <row r="74" spans="1:43" s="668" customFormat="1" ht="27" customHeight="1" x14ac:dyDescent="0.2">
      <c r="A74" s="732"/>
      <c r="K74" s="385"/>
      <c r="L74" s="651"/>
      <c r="M74" s="651"/>
      <c r="N74" s="651"/>
      <c r="O74" s="733"/>
      <c r="P74" s="385"/>
      <c r="Q74" s="734"/>
      <c r="R74" s="388"/>
      <c r="S74" s="385"/>
      <c r="T74" s="385"/>
      <c r="U74" s="385"/>
      <c r="V74" s="393"/>
      <c r="W74" s="389"/>
      <c r="X74" s="184"/>
      <c r="AO74" s="390"/>
      <c r="AP74" s="735"/>
      <c r="AQ74" s="392"/>
    </row>
    <row r="75" spans="1:43" s="668" customFormat="1" ht="27" customHeight="1" x14ac:dyDescent="0.2">
      <c r="A75" s="732"/>
      <c r="K75" s="385"/>
      <c r="L75" s="651"/>
      <c r="M75" s="651"/>
      <c r="N75" s="651"/>
      <c r="O75" s="733"/>
      <c r="P75" s="385"/>
      <c r="Q75" s="734"/>
      <c r="R75" s="388"/>
      <c r="S75" s="385"/>
      <c r="T75" s="385"/>
      <c r="U75" s="385"/>
      <c r="V75" s="393"/>
      <c r="W75" s="389"/>
      <c r="X75" s="184"/>
      <c r="AO75" s="390"/>
      <c r="AP75" s="735"/>
      <c r="AQ75" s="392"/>
    </row>
    <row r="76" spans="1:43" s="668" customFormat="1" ht="27" customHeight="1" x14ac:dyDescent="0.2">
      <c r="A76" s="732"/>
      <c r="K76" s="385"/>
      <c r="L76" s="651"/>
      <c r="M76" s="651"/>
      <c r="N76" s="651"/>
      <c r="O76" s="733"/>
      <c r="P76" s="385"/>
      <c r="Q76" s="734"/>
      <c r="R76" s="388"/>
      <c r="S76" s="385"/>
      <c r="T76" s="385"/>
      <c r="U76" s="385"/>
      <c r="V76" s="393"/>
      <c r="W76" s="389"/>
      <c r="X76" s="184"/>
      <c r="AO76" s="390"/>
      <c r="AP76" s="735"/>
      <c r="AQ76" s="392"/>
    </row>
    <row r="77" spans="1:43" s="668" customFormat="1" ht="27" customHeight="1" x14ac:dyDescent="0.2">
      <c r="A77" s="732"/>
      <c r="K77" s="385"/>
      <c r="L77" s="651"/>
      <c r="M77" s="651"/>
      <c r="N77" s="651"/>
      <c r="O77" s="733"/>
      <c r="P77" s="385"/>
      <c r="Q77" s="734"/>
      <c r="R77" s="388"/>
      <c r="S77" s="385"/>
      <c r="T77" s="385"/>
      <c r="U77" s="385"/>
      <c r="V77" s="393"/>
      <c r="W77" s="389"/>
      <c r="X77" s="184"/>
      <c r="AO77" s="390"/>
      <c r="AP77" s="735"/>
      <c r="AQ77" s="392"/>
    </row>
    <row r="78" spans="1:43" s="668" customFormat="1" ht="27" customHeight="1" x14ac:dyDescent="0.2">
      <c r="A78" s="732"/>
      <c r="K78" s="385"/>
      <c r="L78" s="651"/>
      <c r="M78" s="651"/>
      <c r="N78" s="651"/>
      <c r="O78" s="733"/>
      <c r="P78" s="385"/>
      <c r="Q78" s="734"/>
      <c r="R78" s="388"/>
      <c r="S78" s="385"/>
      <c r="T78" s="385"/>
      <c r="U78" s="385"/>
      <c r="V78" s="393"/>
      <c r="W78" s="389"/>
      <c r="X78" s="184"/>
      <c r="AO78" s="390"/>
      <c r="AP78" s="735"/>
      <c r="AQ78" s="392"/>
    </row>
    <row r="79" spans="1:43" s="668" customFormat="1" ht="27" customHeight="1" x14ac:dyDescent="0.2">
      <c r="A79" s="732"/>
      <c r="K79" s="385"/>
      <c r="L79" s="651"/>
      <c r="M79" s="651"/>
      <c r="N79" s="651"/>
      <c r="O79" s="733"/>
      <c r="P79" s="385"/>
      <c r="Q79" s="734"/>
      <c r="R79" s="388"/>
      <c r="S79" s="385"/>
      <c r="T79" s="385"/>
      <c r="U79" s="385"/>
      <c r="V79" s="393"/>
      <c r="W79" s="389"/>
      <c r="X79" s="184"/>
      <c r="AO79" s="390"/>
      <c r="AP79" s="735"/>
      <c r="AQ79" s="392"/>
    </row>
    <row r="80" spans="1:43" s="668" customFormat="1" ht="27" customHeight="1" x14ac:dyDescent="0.2">
      <c r="A80" s="732"/>
      <c r="K80" s="385"/>
      <c r="L80" s="651"/>
      <c r="M80" s="651"/>
      <c r="N80" s="651"/>
      <c r="O80" s="733"/>
      <c r="P80" s="385"/>
      <c r="Q80" s="734"/>
      <c r="R80" s="388"/>
      <c r="S80" s="385"/>
      <c r="T80" s="385"/>
      <c r="U80" s="385"/>
      <c r="V80" s="393"/>
      <c r="W80" s="389"/>
      <c r="X80" s="184"/>
      <c r="AO80" s="390"/>
      <c r="AP80" s="735"/>
      <c r="AQ80" s="392"/>
    </row>
    <row r="81" spans="1:43" s="668" customFormat="1" ht="27" customHeight="1" x14ac:dyDescent="0.2">
      <c r="A81" s="732"/>
      <c r="K81" s="385"/>
      <c r="L81" s="651"/>
      <c r="M81" s="651"/>
      <c r="N81" s="651"/>
      <c r="O81" s="733"/>
      <c r="P81" s="385"/>
      <c r="Q81" s="734"/>
      <c r="R81" s="388"/>
      <c r="S81" s="385"/>
      <c r="T81" s="385"/>
      <c r="U81" s="385"/>
      <c r="V81" s="393"/>
      <c r="W81" s="389"/>
      <c r="X81" s="184"/>
      <c r="AO81" s="390"/>
      <c r="AP81" s="735"/>
      <c r="AQ81" s="392"/>
    </row>
    <row r="82" spans="1:43" s="668" customFormat="1" ht="27" customHeight="1" x14ac:dyDescent="0.2">
      <c r="A82" s="732"/>
      <c r="K82" s="385"/>
      <c r="L82" s="651"/>
      <c r="M82" s="651"/>
      <c r="N82" s="651"/>
      <c r="O82" s="733"/>
      <c r="P82" s="385"/>
      <c r="Q82" s="734"/>
      <c r="R82" s="388"/>
      <c r="S82" s="385"/>
      <c r="T82" s="385"/>
      <c r="U82" s="385"/>
      <c r="V82" s="393"/>
      <c r="W82" s="389"/>
      <c r="X82" s="184"/>
      <c r="AO82" s="390"/>
      <c r="AP82" s="735"/>
      <c r="AQ82" s="392"/>
    </row>
    <row r="83" spans="1:43" s="668" customFormat="1" ht="27" customHeight="1" x14ac:dyDescent="0.2">
      <c r="A83" s="732"/>
      <c r="K83" s="385"/>
      <c r="L83" s="651"/>
      <c r="M83" s="651"/>
      <c r="N83" s="651"/>
      <c r="O83" s="733"/>
      <c r="P83" s="385"/>
      <c r="Q83" s="734"/>
      <c r="R83" s="388"/>
      <c r="S83" s="385"/>
      <c r="T83" s="385"/>
      <c r="U83" s="385"/>
      <c r="V83" s="393"/>
      <c r="W83" s="389"/>
      <c r="X83" s="184"/>
      <c r="AO83" s="390"/>
      <c r="AP83" s="735"/>
      <c r="AQ83" s="392"/>
    </row>
    <row r="84" spans="1:43" s="668" customFormat="1" ht="27" customHeight="1" x14ac:dyDescent="0.2">
      <c r="A84" s="732"/>
      <c r="K84" s="385"/>
      <c r="L84" s="651"/>
      <c r="M84" s="651"/>
      <c r="N84" s="651"/>
      <c r="O84" s="733"/>
      <c r="P84" s="385"/>
      <c r="Q84" s="734"/>
      <c r="R84" s="388"/>
      <c r="S84" s="385"/>
      <c r="T84" s="385"/>
      <c r="U84" s="385"/>
      <c r="V84" s="393"/>
      <c r="W84" s="389"/>
      <c r="X84" s="184"/>
      <c r="AO84" s="390"/>
      <c r="AP84" s="735"/>
      <c r="AQ84" s="392"/>
    </row>
    <row r="85" spans="1:43" s="668" customFormat="1" ht="27" customHeight="1" x14ac:dyDescent="0.2">
      <c r="A85" s="732"/>
      <c r="K85" s="385"/>
      <c r="L85" s="651"/>
      <c r="M85" s="651"/>
      <c r="N85" s="651"/>
      <c r="O85" s="733"/>
      <c r="P85" s="385"/>
      <c r="Q85" s="734"/>
      <c r="R85" s="388"/>
      <c r="S85" s="385"/>
      <c r="T85" s="385"/>
      <c r="U85" s="385"/>
      <c r="V85" s="393"/>
      <c r="W85" s="389"/>
      <c r="X85" s="184"/>
      <c r="AO85" s="390"/>
      <c r="AP85" s="735"/>
      <c r="AQ85" s="392"/>
    </row>
    <row r="86" spans="1:43" s="668" customFormat="1" ht="27" customHeight="1" x14ac:dyDescent="0.2">
      <c r="A86" s="732"/>
      <c r="K86" s="385"/>
      <c r="L86" s="651"/>
      <c r="M86" s="651"/>
      <c r="N86" s="651"/>
      <c r="O86" s="733"/>
      <c r="P86" s="385"/>
      <c r="Q86" s="734"/>
      <c r="R86" s="388"/>
      <c r="S86" s="385"/>
      <c r="T86" s="385"/>
      <c r="U86" s="385"/>
      <c r="V86" s="393"/>
      <c r="W86" s="389"/>
      <c r="X86" s="184"/>
      <c r="AO86" s="390"/>
      <c r="AP86" s="735"/>
      <c r="AQ86" s="392"/>
    </row>
    <row r="87" spans="1:43" s="668" customFormat="1" ht="27" customHeight="1" x14ac:dyDescent="0.2">
      <c r="A87" s="732"/>
      <c r="K87" s="385"/>
      <c r="L87" s="651"/>
      <c r="M87" s="651"/>
      <c r="N87" s="651"/>
      <c r="O87" s="733"/>
      <c r="P87" s="385"/>
      <c r="Q87" s="734"/>
      <c r="R87" s="388"/>
      <c r="S87" s="385"/>
      <c r="T87" s="385"/>
      <c r="U87" s="385"/>
      <c r="V87" s="393"/>
      <c r="W87" s="389"/>
      <c r="X87" s="184"/>
      <c r="AO87" s="390"/>
      <c r="AP87" s="735"/>
      <c r="AQ87" s="392"/>
    </row>
    <row r="88" spans="1:43" s="668" customFormat="1" ht="27" customHeight="1" x14ac:dyDescent="0.2">
      <c r="A88" s="732"/>
      <c r="K88" s="385"/>
      <c r="L88" s="651"/>
      <c r="M88" s="651"/>
      <c r="N88" s="651"/>
      <c r="O88" s="733"/>
      <c r="P88" s="385"/>
      <c r="Q88" s="734"/>
      <c r="R88" s="388"/>
      <c r="S88" s="385"/>
      <c r="T88" s="385"/>
      <c r="U88" s="385"/>
      <c r="V88" s="393"/>
      <c r="W88" s="389"/>
      <c r="X88" s="184"/>
      <c r="AO88" s="390"/>
      <c r="AP88" s="735"/>
      <c r="AQ88" s="392"/>
    </row>
    <row r="89" spans="1:43" s="668" customFormat="1" ht="27" customHeight="1" x14ac:dyDescent="0.2">
      <c r="A89" s="732"/>
      <c r="K89" s="385"/>
      <c r="L89" s="651"/>
      <c r="M89" s="651"/>
      <c r="N89" s="651"/>
      <c r="O89" s="733"/>
      <c r="P89" s="385"/>
      <c r="Q89" s="734"/>
      <c r="R89" s="388"/>
      <c r="S89" s="385"/>
      <c r="T89" s="385"/>
      <c r="U89" s="385"/>
      <c r="V89" s="393"/>
      <c r="W89" s="389"/>
      <c r="X89" s="184"/>
      <c r="AO89" s="390"/>
      <c r="AP89" s="735"/>
      <c r="AQ89" s="392"/>
    </row>
    <row r="90" spans="1:43" s="668" customFormat="1" ht="27" customHeight="1" x14ac:dyDescent="0.2">
      <c r="A90" s="732"/>
      <c r="K90" s="385"/>
      <c r="L90" s="651"/>
      <c r="M90" s="651"/>
      <c r="N90" s="651"/>
      <c r="O90" s="733"/>
      <c r="P90" s="385"/>
      <c r="Q90" s="734"/>
      <c r="R90" s="388"/>
      <c r="S90" s="385"/>
      <c r="T90" s="385"/>
      <c r="U90" s="385"/>
      <c r="V90" s="393"/>
      <c r="W90" s="389"/>
      <c r="X90" s="184"/>
      <c r="AO90" s="390"/>
      <c r="AP90" s="735"/>
      <c r="AQ90" s="392"/>
    </row>
    <row r="91" spans="1:43" s="668" customFormat="1" ht="27" customHeight="1" x14ac:dyDescent="0.2">
      <c r="A91" s="732"/>
      <c r="K91" s="385"/>
      <c r="L91" s="651"/>
      <c r="M91" s="651"/>
      <c r="N91" s="651"/>
      <c r="O91" s="733"/>
      <c r="P91" s="385"/>
      <c r="Q91" s="734"/>
      <c r="R91" s="388"/>
      <c r="S91" s="385"/>
      <c r="T91" s="385"/>
      <c r="U91" s="385"/>
      <c r="V91" s="393"/>
      <c r="W91" s="389"/>
      <c r="X91" s="184"/>
      <c r="AO91" s="390"/>
      <c r="AP91" s="735"/>
      <c r="AQ91" s="392"/>
    </row>
    <row r="92" spans="1:43" s="668" customFormat="1" ht="27" customHeight="1" x14ac:dyDescent="0.2">
      <c r="A92" s="732"/>
      <c r="K92" s="385"/>
      <c r="L92" s="651"/>
      <c r="M92" s="651"/>
      <c r="N92" s="651"/>
      <c r="O92" s="733"/>
      <c r="P92" s="385"/>
      <c r="Q92" s="734"/>
      <c r="R92" s="388"/>
      <c r="S92" s="385"/>
      <c r="T92" s="385"/>
      <c r="U92" s="385"/>
      <c r="V92" s="393"/>
      <c r="W92" s="389"/>
      <c r="X92" s="184"/>
      <c r="AO92" s="390"/>
      <c r="AP92" s="735"/>
      <c r="AQ92" s="392"/>
    </row>
    <row r="93" spans="1:43" s="668" customFormat="1" ht="27" customHeight="1" x14ac:dyDescent="0.2">
      <c r="A93" s="732"/>
      <c r="K93" s="385"/>
      <c r="L93" s="651"/>
      <c r="M93" s="651"/>
      <c r="N93" s="651"/>
      <c r="O93" s="733"/>
      <c r="P93" s="385"/>
      <c r="Q93" s="734"/>
      <c r="R93" s="388"/>
      <c r="S93" s="385"/>
      <c r="T93" s="385"/>
      <c r="U93" s="385"/>
      <c r="V93" s="393"/>
      <c r="W93" s="389"/>
      <c r="X93" s="184"/>
      <c r="AO93" s="390"/>
      <c r="AP93" s="735"/>
      <c r="AQ93" s="392"/>
    </row>
    <row r="94" spans="1:43" s="668" customFormat="1" ht="27" customHeight="1" x14ac:dyDescent="0.2">
      <c r="A94" s="732"/>
      <c r="K94" s="385"/>
      <c r="L94" s="651"/>
      <c r="M94" s="651"/>
      <c r="N94" s="651"/>
      <c r="O94" s="733"/>
      <c r="P94" s="385"/>
      <c r="Q94" s="734"/>
      <c r="R94" s="388"/>
      <c r="S94" s="385"/>
      <c r="T94" s="385"/>
      <c r="U94" s="385"/>
      <c r="V94" s="393"/>
      <c r="W94" s="389"/>
      <c r="X94" s="184"/>
      <c r="AO94" s="390"/>
      <c r="AP94" s="735"/>
      <c r="AQ94" s="392"/>
    </row>
    <row r="95" spans="1:43" s="668" customFormat="1" ht="27" customHeight="1" x14ac:dyDescent="0.2">
      <c r="A95" s="732"/>
      <c r="K95" s="385"/>
      <c r="L95" s="651"/>
      <c r="M95" s="651"/>
      <c r="N95" s="651"/>
      <c r="O95" s="733"/>
      <c r="P95" s="385"/>
      <c r="Q95" s="734"/>
      <c r="R95" s="388"/>
      <c r="S95" s="385"/>
      <c r="T95" s="385"/>
      <c r="U95" s="385"/>
      <c r="V95" s="393"/>
      <c r="W95" s="389"/>
      <c r="X95" s="184"/>
      <c r="AO95" s="390"/>
      <c r="AP95" s="735"/>
      <c r="AQ95" s="392"/>
    </row>
    <row r="96" spans="1:43" s="668" customFormat="1" ht="27" customHeight="1" x14ac:dyDescent="0.2">
      <c r="A96" s="732"/>
      <c r="K96" s="385"/>
      <c r="L96" s="651"/>
      <c r="M96" s="651"/>
      <c r="N96" s="651"/>
      <c r="O96" s="733"/>
      <c r="P96" s="385"/>
      <c r="Q96" s="734"/>
      <c r="R96" s="388"/>
      <c r="S96" s="385"/>
      <c r="T96" s="385"/>
      <c r="U96" s="385"/>
      <c r="V96" s="393"/>
      <c r="W96" s="389"/>
      <c r="X96" s="184"/>
      <c r="AO96" s="390"/>
      <c r="AP96" s="735"/>
      <c r="AQ96" s="392"/>
    </row>
    <row r="97" spans="1:43" s="668" customFormat="1" ht="27" customHeight="1" x14ac:dyDescent="0.2">
      <c r="A97" s="732"/>
      <c r="K97" s="385"/>
      <c r="L97" s="651"/>
      <c r="M97" s="651"/>
      <c r="N97" s="651"/>
      <c r="O97" s="733"/>
      <c r="P97" s="385"/>
      <c r="Q97" s="734"/>
      <c r="R97" s="388"/>
      <c r="S97" s="385"/>
      <c r="T97" s="385"/>
      <c r="U97" s="385"/>
      <c r="V97" s="393"/>
      <c r="W97" s="389"/>
      <c r="X97" s="184"/>
      <c r="AO97" s="390"/>
      <c r="AP97" s="735"/>
      <c r="AQ97" s="392"/>
    </row>
    <row r="98" spans="1:43" s="668" customFormat="1" ht="27" customHeight="1" x14ac:dyDescent="0.2">
      <c r="A98" s="732"/>
      <c r="K98" s="385"/>
      <c r="L98" s="651"/>
      <c r="M98" s="651"/>
      <c r="N98" s="651"/>
      <c r="O98" s="733"/>
      <c r="P98" s="385"/>
      <c r="Q98" s="734"/>
      <c r="R98" s="388"/>
      <c r="S98" s="385"/>
      <c r="T98" s="385"/>
      <c r="U98" s="385"/>
      <c r="V98" s="393"/>
      <c r="W98" s="389"/>
      <c r="X98" s="184"/>
      <c r="AO98" s="390"/>
      <c r="AP98" s="735"/>
      <c r="AQ98" s="392"/>
    </row>
    <row r="99" spans="1:43" s="668" customFormat="1" ht="27" customHeight="1" x14ac:dyDescent="0.2">
      <c r="A99" s="732"/>
      <c r="K99" s="385"/>
      <c r="L99" s="651"/>
      <c r="M99" s="651"/>
      <c r="N99" s="651"/>
      <c r="O99" s="733"/>
      <c r="P99" s="385"/>
      <c r="Q99" s="734"/>
      <c r="R99" s="388"/>
      <c r="S99" s="385"/>
      <c r="T99" s="385"/>
      <c r="U99" s="385"/>
      <c r="V99" s="393"/>
      <c r="W99" s="389"/>
      <c r="X99" s="184"/>
      <c r="AO99" s="390"/>
      <c r="AP99" s="735"/>
      <c r="AQ99" s="392"/>
    </row>
    <row r="100" spans="1:43" s="668" customFormat="1" ht="27" customHeight="1" x14ac:dyDescent="0.2">
      <c r="A100" s="732"/>
      <c r="K100" s="385"/>
      <c r="L100" s="651"/>
      <c r="M100" s="651"/>
      <c r="N100" s="651"/>
      <c r="O100" s="733"/>
      <c r="P100" s="385"/>
      <c r="Q100" s="734"/>
      <c r="R100" s="388"/>
      <c r="S100" s="385"/>
      <c r="T100" s="385"/>
      <c r="U100" s="385"/>
      <c r="V100" s="393"/>
      <c r="W100" s="389"/>
      <c r="X100" s="184"/>
      <c r="AO100" s="390"/>
      <c r="AP100" s="735"/>
      <c r="AQ100" s="392"/>
    </row>
    <row r="101" spans="1:43" s="668" customFormat="1" ht="27" customHeight="1" x14ac:dyDescent="0.2">
      <c r="A101" s="732"/>
      <c r="K101" s="385"/>
      <c r="L101" s="651"/>
      <c r="M101" s="651"/>
      <c r="N101" s="651"/>
      <c r="O101" s="733"/>
      <c r="P101" s="385"/>
      <c r="Q101" s="734"/>
      <c r="R101" s="388"/>
      <c r="S101" s="385"/>
      <c r="T101" s="385"/>
      <c r="U101" s="385"/>
      <c r="V101" s="393"/>
      <c r="W101" s="389"/>
      <c r="X101" s="184"/>
      <c r="AO101" s="390"/>
      <c r="AP101" s="735"/>
      <c r="AQ101" s="392"/>
    </row>
    <row r="102" spans="1:43" s="668" customFormat="1" ht="27" customHeight="1" x14ac:dyDescent="0.2">
      <c r="A102" s="732"/>
      <c r="K102" s="385"/>
      <c r="L102" s="651"/>
      <c r="M102" s="651"/>
      <c r="N102" s="651"/>
      <c r="O102" s="733"/>
      <c r="P102" s="385"/>
      <c r="Q102" s="734"/>
      <c r="R102" s="388"/>
      <c r="S102" s="385"/>
      <c r="T102" s="385"/>
      <c r="U102" s="385"/>
      <c r="V102" s="393"/>
      <c r="W102" s="389"/>
      <c r="X102" s="184"/>
      <c r="AO102" s="390"/>
      <c r="AP102" s="735"/>
      <c r="AQ102" s="392"/>
    </row>
    <row r="103" spans="1:43" s="668" customFormat="1" ht="27" customHeight="1" x14ac:dyDescent="0.2">
      <c r="A103" s="732"/>
      <c r="K103" s="385"/>
      <c r="L103" s="651"/>
      <c r="M103" s="651"/>
      <c r="N103" s="651"/>
      <c r="O103" s="733"/>
      <c r="P103" s="385"/>
      <c r="Q103" s="734"/>
      <c r="R103" s="388"/>
      <c r="S103" s="385"/>
      <c r="T103" s="385"/>
      <c r="U103" s="385"/>
      <c r="V103" s="393"/>
      <c r="W103" s="389"/>
      <c r="X103" s="184"/>
      <c r="AO103" s="390"/>
      <c r="AP103" s="735"/>
      <c r="AQ103" s="392"/>
    </row>
    <row r="104" spans="1:43" s="668" customFormat="1" ht="27" customHeight="1" x14ac:dyDescent="0.2">
      <c r="A104" s="732"/>
      <c r="K104" s="385"/>
      <c r="L104" s="651"/>
      <c r="M104" s="651"/>
      <c r="N104" s="651"/>
      <c r="O104" s="733"/>
      <c r="P104" s="385"/>
      <c r="Q104" s="734"/>
      <c r="R104" s="388"/>
      <c r="S104" s="385"/>
      <c r="T104" s="385"/>
      <c r="U104" s="385"/>
      <c r="V104" s="393"/>
      <c r="W104" s="389"/>
      <c r="X104" s="184"/>
      <c r="AO104" s="390"/>
      <c r="AP104" s="735"/>
      <c r="AQ104" s="392"/>
    </row>
    <row r="105" spans="1:43" s="668" customFormat="1" ht="27" customHeight="1" x14ac:dyDescent="0.2">
      <c r="A105" s="732"/>
      <c r="K105" s="385"/>
      <c r="L105" s="651"/>
      <c r="M105" s="651"/>
      <c r="N105" s="651"/>
      <c r="O105" s="733"/>
      <c r="P105" s="385"/>
      <c r="Q105" s="734"/>
      <c r="R105" s="388"/>
      <c r="S105" s="385"/>
      <c r="T105" s="385"/>
      <c r="U105" s="385"/>
      <c r="V105" s="393"/>
      <c r="W105" s="389"/>
      <c r="X105" s="184"/>
      <c r="AO105" s="390"/>
      <c r="AP105" s="735"/>
      <c r="AQ105" s="392"/>
    </row>
    <row r="106" spans="1:43" s="668" customFormat="1" ht="27" customHeight="1" x14ac:dyDescent="0.2">
      <c r="A106" s="732"/>
      <c r="K106" s="385"/>
      <c r="L106" s="651"/>
      <c r="M106" s="651"/>
      <c r="N106" s="651"/>
      <c r="O106" s="733"/>
      <c r="P106" s="385"/>
      <c r="Q106" s="734"/>
      <c r="R106" s="388"/>
      <c r="S106" s="385"/>
      <c r="T106" s="385"/>
      <c r="U106" s="385"/>
      <c r="V106" s="393"/>
      <c r="W106" s="389"/>
      <c r="X106" s="184"/>
      <c r="AO106" s="390"/>
      <c r="AP106" s="735"/>
      <c r="AQ106" s="392"/>
    </row>
    <row r="107" spans="1:43" s="668" customFormat="1" ht="27" customHeight="1" x14ac:dyDescent="0.2">
      <c r="A107" s="732"/>
      <c r="K107" s="385"/>
      <c r="L107" s="651"/>
      <c r="M107" s="651"/>
      <c r="N107" s="651"/>
      <c r="O107" s="733"/>
      <c r="P107" s="385"/>
      <c r="Q107" s="734"/>
      <c r="R107" s="388"/>
      <c r="S107" s="385"/>
      <c r="T107" s="385"/>
      <c r="U107" s="385"/>
      <c r="V107" s="393"/>
      <c r="W107" s="389"/>
      <c r="X107" s="184"/>
      <c r="AO107" s="390"/>
      <c r="AP107" s="735"/>
      <c r="AQ107" s="392"/>
    </row>
    <row r="108" spans="1:43" s="668" customFormat="1" ht="27" customHeight="1" x14ac:dyDescent="0.2">
      <c r="A108" s="732"/>
      <c r="K108" s="385"/>
      <c r="L108" s="651"/>
      <c r="M108" s="651"/>
      <c r="N108" s="651"/>
      <c r="O108" s="733"/>
      <c r="P108" s="385"/>
      <c r="Q108" s="734"/>
      <c r="R108" s="388"/>
      <c r="S108" s="385"/>
      <c r="T108" s="385"/>
      <c r="U108" s="385"/>
      <c r="V108" s="393"/>
      <c r="W108" s="389"/>
      <c r="X108" s="184"/>
      <c r="AO108" s="390"/>
      <c r="AP108" s="735"/>
      <c r="AQ108" s="392"/>
    </row>
    <row r="109" spans="1:43" s="668" customFormat="1" ht="27" customHeight="1" x14ac:dyDescent="0.2">
      <c r="A109" s="732"/>
      <c r="K109" s="385"/>
      <c r="L109" s="651"/>
      <c r="M109" s="651"/>
      <c r="N109" s="651"/>
      <c r="O109" s="733"/>
      <c r="P109" s="385"/>
      <c r="Q109" s="734"/>
      <c r="R109" s="388"/>
      <c r="S109" s="385"/>
      <c r="T109" s="385"/>
      <c r="U109" s="385"/>
      <c r="V109" s="393"/>
      <c r="W109" s="389"/>
      <c r="X109" s="184"/>
      <c r="AO109" s="390"/>
      <c r="AP109" s="735"/>
      <c r="AQ109" s="392"/>
    </row>
    <row r="110" spans="1:43" s="668" customFormat="1" ht="27" customHeight="1" x14ac:dyDescent="0.2">
      <c r="A110" s="732"/>
      <c r="K110" s="385"/>
      <c r="L110" s="651"/>
      <c r="M110" s="651"/>
      <c r="N110" s="651"/>
      <c r="O110" s="733"/>
      <c r="P110" s="385"/>
      <c r="Q110" s="734"/>
      <c r="R110" s="388"/>
      <c r="S110" s="385"/>
      <c r="T110" s="385"/>
      <c r="U110" s="385"/>
      <c r="V110" s="393"/>
      <c r="W110" s="389"/>
      <c r="X110" s="184"/>
      <c r="AO110" s="390"/>
      <c r="AP110" s="735"/>
      <c r="AQ110" s="392"/>
    </row>
    <row r="111" spans="1:43" s="668" customFormat="1" ht="27" customHeight="1" x14ac:dyDescent="0.2">
      <c r="A111" s="732"/>
      <c r="K111" s="385"/>
      <c r="L111" s="651"/>
      <c r="M111" s="651"/>
      <c r="N111" s="651"/>
      <c r="O111" s="733"/>
      <c r="P111" s="385"/>
      <c r="Q111" s="734"/>
      <c r="R111" s="388"/>
      <c r="S111" s="385"/>
      <c r="T111" s="385"/>
      <c r="U111" s="385"/>
      <c r="V111" s="393"/>
      <c r="W111" s="389"/>
      <c r="X111" s="184"/>
      <c r="AO111" s="390"/>
      <c r="AP111" s="735"/>
      <c r="AQ111" s="392"/>
    </row>
    <row r="112" spans="1:43" s="668" customFormat="1" ht="27" customHeight="1" x14ac:dyDescent="0.2">
      <c r="A112" s="732"/>
      <c r="K112" s="385"/>
      <c r="L112" s="651"/>
      <c r="M112" s="651"/>
      <c r="N112" s="651"/>
      <c r="O112" s="733"/>
      <c r="P112" s="385"/>
      <c r="Q112" s="734"/>
      <c r="R112" s="388"/>
      <c r="S112" s="385"/>
      <c r="T112" s="385"/>
      <c r="U112" s="385"/>
      <c r="V112" s="393"/>
      <c r="W112" s="389"/>
      <c r="X112" s="184"/>
      <c r="AO112" s="390"/>
      <c r="AP112" s="735"/>
      <c r="AQ112" s="392"/>
    </row>
    <row r="113" spans="1:43" s="668" customFormat="1" ht="27" customHeight="1" x14ac:dyDescent="0.2">
      <c r="A113" s="732"/>
      <c r="K113" s="385"/>
      <c r="L113" s="651"/>
      <c r="M113" s="651"/>
      <c r="N113" s="651"/>
      <c r="O113" s="733"/>
      <c r="P113" s="385"/>
      <c r="Q113" s="734"/>
      <c r="R113" s="388"/>
      <c r="S113" s="385"/>
      <c r="T113" s="385"/>
      <c r="U113" s="385"/>
      <c r="V113" s="393"/>
      <c r="W113" s="389"/>
      <c r="X113" s="184"/>
      <c r="AO113" s="390"/>
      <c r="AP113" s="735"/>
      <c r="AQ113" s="392"/>
    </row>
    <row r="114" spans="1:43" s="668" customFormat="1" ht="27" customHeight="1" x14ac:dyDescent="0.2">
      <c r="A114" s="732"/>
      <c r="K114" s="385"/>
      <c r="L114" s="651"/>
      <c r="M114" s="651"/>
      <c r="N114" s="651"/>
      <c r="O114" s="733"/>
      <c r="P114" s="385"/>
      <c r="Q114" s="734"/>
      <c r="R114" s="388"/>
      <c r="S114" s="385"/>
      <c r="T114" s="385"/>
      <c r="U114" s="385"/>
      <c r="V114" s="393"/>
      <c r="W114" s="389"/>
      <c r="X114" s="184"/>
      <c r="AO114" s="390"/>
      <c r="AP114" s="735"/>
      <c r="AQ114" s="392"/>
    </row>
    <row r="115" spans="1:43" s="668" customFormat="1" ht="27" customHeight="1" x14ac:dyDescent="0.2">
      <c r="A115" s="732"/>
      <c r="K115" s="385"/>
      <c r="L115" s="651"/>
      <c r="M115" s="651"/>
      <c r="N115" s="651"/>
      <c r="O115" s="733"/>
      <c r="P115" s="385"/>
      <c r="Q115" s="734"/>
      <c r="R115" s="388"/>
      <c r="S115" s="385"/>
      <c r="T115" s="385"/>
      <c r="U115" s="385"/>
      <c r="V115" s="393"/>
      <c r="W115" s="389"/>
      <c r="X115" s="184"/>
      <c r="AO115" s="390"/>
      <c r="AP115" s="735"/>
      <c r="AQ115" s="392"/>
    </row>
    <row r="116" spans="1:43" s="668" customFormat="1" ht="27" customHeight="1" x14ac:dyDescent="0.2">
      <c r="A116" s="732"/>
      <c r="K116" s="385"/>
      <c r="L116" s="651"/>
      <c r="M116" s="651"/>
      <c r="N116" s="651"/>
      <c r="O116" s="733"/>
      <c r="P116" s="385"/>
      <c r="Q116" s="734"/>
      <c r="R116" s="388"/>
      <c r="S116" s="385"/>
      <c r="T116" s="385"/>
      <c r="U116" s="385"/>
      <c r="V116" s="393"/>
      <c r="W116" s="389"/>
      <c r="X116" s="184"/>
      <c r="AO116" s="390"/>
      <c r="AP116" s="735"/>
      <c r="AQ116" s="392"/>
    </row>
    <row r="117" spans="1:43" s="668" customFormat="1" ht="27" customHeight="1" x14ac:dyDescent="0.2">
      <c r="A117" s="732"/>
      <c r="K117" s="385"/>
      <c r="L117" s="651"/>
      <c r="M117" s="651"/>
      <c r="N117" s="651"/>
      <c r="O117" s="733"/>
      <c r="P117" s="385"/>
      <c r="Q117" s="734"/>
      <c r="R117" s="388"/>
      <c r="S117" s="385"/>
      <c r="T117" s="385"/>
      <c r="U117" s="385"/>
      <c r="V117" s="393"/>
      <c r="W117" s="389"/>
      <c r="X117" s="184"/>
      <c r="AO117" s="390"/>
      <c r="AP117" s="735"/>
      <c r="AQ117" s="392"/>
    </row>
    <row r="118" spans="1:43" s="668" customFormat="1" ht="27" customHeight="1" x14ac:dyDescent="0.2">
      <c r="A118" s="732"/>
      <c r="K118" s="385"/>
      <c r="L118" s="651"/>
      <c r="M118" s="651"/>
      <c r="N118" s="651"/>
      <c r="O118" s="733"/>
      <c r="P118" s="385"/>
      <c r="Q118" s="734"/>
      <c r="R118" s="388"/>
      <c r="S118" s="385"/>
      <c r="T118" s="385"/>
      <c r="U118" s="385"/>
      <c r="V118" s="393"/>
      <c r="W118" s="389"/>
      <c r="X118" s="184"/>
      <c r="AO118" s="390"/>
      <c r="AP118" s="735"/>
      <c r="AQ118" s="392"/>
    </row>
    <row r="119" spans="1:43" s="668" customFormat="1" ht="27" customHeight="1" x14ac:dyDescent="0.2">
      <c r="A119" s="732"/>
      <c r="K119" s="385"/>
      <c r="L119" s="651"/>
      <c r="M119" s="651"/>
      <c r="N119" s="651"/>
      <c r="O119" s="733"/>
      <c r="P119" s="385"/>
      <c r="Q119" s="734"/>
      <c r="R119" s="388"/>
      <c r="S119" s="385"/>
      <c r="T119" s="385"/>
      <c r="U119" s="385"/>
      <c r="V119" s="393"/>
      <c r="W119" s="389"/>
      <c r="X119" s="184"/>
      <c r="AO119" s="390"/>
      <c r="AP119" s="735"/>
      <c r="AQ119" s="392"/>
    </row>
    <row r="120" spans="1:43" s="668" customFormat="1" ht="27" customHeight="1" x14ac:dyDescent="0.2">
      <c r="A120" s="732"/>
      <c r="K120" s="385"/>
      <c r="L120" s="651"/>
      <c r="M120" s="651"/>
      <c r="N120" s="651"/>
      <c r="O120" s="733"/>
      <c r="P120" s="385"/>
      <c r="Q120" s="734"/>
      <c r="R120" s="388"/>
      <c r="S120" s="385"/>
      <c r="T120" s="385"/>
      <c r="U120" s="385"/>
      <c r="V120" s="393"/>
      <c r="W120" s="389"/>
      <c r="X120" s="184"/>
      <c r="AO120" s="390"/>
      <c r="AP120" s="735"/>
      <c r="AQ120" s="392"/>
    </row>
    <row r="121" spans="1:43" s="668" customFormat="1" ht="27" customHeight="1" x14ac:dyDescent="0.2">
      <c r="A121" s="732"/>
      <c r="K121" s="385"/>
      <c r="L121" s="651"/>
      <c r="M121" s="651"/>
      <c r="N121" s="651"/>
      <c r="O121" s="733"/>
      <c r="P121" s="385"/>
      <c r="Q121" s="734"/>
      <c r="R121" s="388"/>
      <c r="S121" s="385"/>
      <c r="T121" s="385"/>
      <c r="U121" s="385"/>
      <c r="V121" s="393"/>
      <c r="W121" s="389"/>
      <c r="X121" s="184"/>
      <c r="AO121" s="390"/>
      <c r="AP121" s="735"/>
      <c r="AQ121" s="392"/>
    </row>
    <row r="122" spans="1:43" s="668" customFormat="1" ht="27" customHeight="1" x14ac:dyDescent="0.2">
      <c r="A122" s="732"/>
      <c r="K122" s="385"/>
      <c r="L122" s="651"/>
      <c r="M122" s="651"/>
      <c r="N122" s="651"/>
      <c r="O122" s="733"/>
      <c r="P122" s="385"/>
      <c r="Q122" s="734"/>
      <c r="R122" s="388"/>
      <c r="S122" s="385"/>
      <c r="T122" s="385"/>
      <c r="U122" s="385"/>
      <c r="V122" s="393"/>
      <c r="W122" s="389"/>
      <c r="X122" s="184"/>
      <c r="AO122" s="390"/>
      <c r="AP122" s="735"/>
      <c r="AQ122" s="392"/>
    </row>
    <row r="123" spans="1:43" s="668" customFormat="1" ht="27" customHeight="1" x14ac:dyDescent="0.2">
      <c r="A123" s="732"/>
      <c r="K123" s="385"/>
      <c r="L123" s="651"/>
      <c r="M123" s="651"/>
      <c r="N123" s="651"/>
      <c r="O123" s="733"/>
      <c r="P123" s="385"/>
      <c r="Q123" s="734"/>
      <c r="R123" s="388"/>
      <c r="S123" s="385"/>
      <c r="T123" s="385"/>
      <c r="U123" s="385"/>
      <c r="V123" s="393"/>
      <c r="W123" s="389"/>
      <c r="X123" s="184"/>
      <c r="AO123" s="390"/>
      <c r="AP123" s="735"/>
      <c r="AQ123" s="392"/>
    </row>
    <row r="124" spans="1:43" s="668" customFormat="1" ht="27" customHeight="1" x14ac:dyDescent="0.2">
      <c r="A124" s="732"/>
      <c r="K124" s="385"/>
      <c r="L124" s="651"/>
      <c r="M124" s="651"/>
      <c r="N124" s="651"/>
      <c r="O124" s="733"/>
      <c r="P124" s="385"/>
      <c r="Q124" s="734"/>
      <c r="R124" s="388"/>
      <c r="S124" s="385"/>
      <c r="T124" s="385"/>
      <c r="U124" s="385"/>
      <c r="V124" s="393"/>
      <c r="W124" s="389"/>
      <c r="X124" s="184"/>
      <c r="AO124" s="390"/>
      <c r="AP124" s="735"/>
      <c r="AQ124" s="392"/>
    </row>
    <row r="125" spans="1:43" s="668" customFormat="1" ht="27" customHeight="1" x14ac:dyDescent="0.2">
      <c r="A125" s="732"/>
      <c r="K125" s="385"/>
      <c r="L125" s="651"/>
      <c r="M125" s="651"/>
      <c r="N125" s="651"/>
      <c r="O125" s="733"/>
      <c r="P125" s="385"/>
      <c r="Q125" s="734"/>
      <c r="R125" s="388"/>
      <c r="S125" s="385"/>
      <c r="T125" s="385"/>
      <c r="U125" s="385"/>
      <c r="V125" s="393"/>
      <c r="W125" s="389"/>
      <c r="X125" s="184"/>
      <c r="AO125" s="390"/>
      <c r="AP125" s="735"/>
      <c r="AQ125" s="392"/>
    </row>
    <row r="126" spans="1:43" s="668" customFormat="1" ht="27" customHeight="1" x14ac:dyDescent="0.2">
      <c r="A126" s="732"/>
      <c r="K126" s="385"/>
      <c r="L126" s="651"/>
      <c r="M126" s="651"/>
      <c r="N126" s="651"/>
      <c r="O126" s="733"/>
      <c r="P126" s="385"/>
      <c r="Q126" s="734"/>
      <c r="R126" s="388"/>
      <c r="S126" s="385"/>
      <c r="T126" s="385"/>
      <c r="U126" s="385"/>
      <c r="V126" s="393"/>
      <c r="W126" s="389"/>
      <c r="X126" s="184"/>
      <c r="AO126" s="390"/>
      <c r="AP126" s="735"/>
      <c r="AQ126" s="392"/>
    </row>
    <row r="127" spans="1:43" s="668" customFormat="1" ht="27" customHeight="1" x14ac:dyDescent="0.2">
      <c r="A127" s="732"/>
      <c r="K127" s="385"/>
      <c r="L127" s="651"/>
      <c r="M127" s="651"/>
      <c r="N127" s="651"/>
      <c r="O127" s="733"/>
      <c r="P127" s="385"/>
      <c r="Q127" s="734"/>
      <c r="R127" s="388"/>
      <c r="S127" s="385"/>
      <c r="T127" s="385"/>
      <c r="U127" s="385"/>
      <c r="V127" s="393"/>
      <c r="W127" s="389"/>
      <c r="X127" s="184"/>
      <c r="AO127" s="390"/>
      <c r="AP127" s="735"/>
      <c r="AQ127" s="392"/>
    </row>
    <row r="128" spans="1:43" s="668" customFormat="1" ht="27" customHeight="1" x14ac:dyDescent="0.2">
      <c r="A128" s="732"/>
      <c r="K128" s="385"/>
      <c r="L128" s="651"/>
      <c r="M128" s="651"/>
      <c r="N128" s="651"/>
      <c r="O128" s="733"/>
      <c r="P128" s="385"/>
      <c r="Q128" s="734"/>
      <c r="R128" s="388"/>
      <c r="S128" s="385"/>
      <c r="T128" s="385"/>
      <c r="U128" s="385"/>
      <c r="V128" s="393"/>
      <c r="W128" s="389"/>
      <c r="X128" s="184"/>
      <c r="AO128" s="390"/>
      <c r="AP128" s="735"/>
      <c r="AQ128" s="392"/>
    </row>
    <row r="129" spans="1:43" s="668" customFormat="1" ht="27" customHeight="1" x14ac:dyDescent="0.2">
      <c r="A129" s="732"/>
      <c r="K129" s="385"/>
      <c r="L129" s="651"/>
      <c r="M129" s="651"/>
      <c r="N129" s="651"/>
      <c r="O129" s="733"/>
      <c r="P129" s="385"/>
      <c r="Q129" s="734"/>
      <c r="R129" s="388"/>
      <c r="S129" s="385"/>
      <c r="T129" s="385"/>
      <c r="U129" s="385"/>
      <c r="V129" s="393"/>
      <c r="W129" s="389"/>
      <c r="X129" s="184"/>
      <c r="AO129" s="390"/>
      <c r="AP129" s="735"/>
      <c r="AQ129" s="392"/>
    </row>
    <row r="130" spans="1:43" s="668" customFormat="1" ht="27" customHeight="1" x14ac:dyDescent="0.2">
      <c r="A130" s="732"/>
      <c r="K130" s="385"/>
      <c r="L130" s="651"/>
      <c r="M130" s="651"/>
      <c r="N130" s="651"/>
      <c r="O130" s="733"/>
      <c r="P130" s="385"/>
      <c r="Q130" s="734"/>
      <c r="R130" s="388"/>
      <c r="S130" s="385"/>
      <c r="T130" s="385"/>
      <c r="U130" s="385"/>
      <c r="V130" s="393"/>
      <c r="W130" s="389"/>
      <c r="X130" s="184"/>
      <c r="AO130" s="390"/>
      <c r="AP130" s="735"/>
      <c r="AQ130" s="392"/>
    </row>
    <row r="131" spans="1:43" s="668" customFormat="1" ht="27" customHeight="1" x14ac:dyDescent="0.2">
      <c r="A131" s="732"/>
      <c r="K131" s="385"/>
      <c r="L131" s="651"/>
      <c r="M131" s="651"/>
      <c r="N131" s="651"/>
      <c r="O131" s="733"/>
      <c r="P131" s="385"/>
      <c r="Q131" s="734"/>
      <c r="R131" s="388"/>
      <c r="S131" s="385"/>
      <c r="T131" s="385"/>
      <c r="U131" s="385"/>
      <c r="V131" s="393"/>
      <c r="W131" s="389"/>
      <c r="X131" s="184"/>
      <c r="AO131" s="390"/>
      <c r="AP131" s="735"/>
      <c r="AQ131" s="392"/>
    </row>
    <row r="132" spans="1:43" s="668" customFormat="1" ht="27" customHeight="1" x14ac:dyDescent="0.2">
      <c r="A132" s="732"/>
      <c r="K132" s="385"/>
      <c r="L132" s="651"/>
      <c r="M132" s="651"/>
      <c r="N132" s="651"/>
      <c r="O132" s="733"/>
      <c r="P132" s="385"/>
      <c r="Q132" s="734"/>
      <c r="R132" s="388"/>
      <c r="S132" s="385"/>
      <c r="T132" s="385"/>
      <c r="U132" s="385"/>
      <c r="V132" s="393"/>
      <c r="W132" s="389"/>
      <c r="X132" s="184"/>
      <c r="AO132" s="390"/>
      <c r="AP132" s="735"/>
      <c r="AQ132" s="392"/>
    </row>
    <row r="133" spans="1:43" s="668" customFormat="1" ht="27" customHeight="1" x14ac:dyDescent="0.2">
      <c r="A133" s="732"/>
      <c r="K133" s="385"/>
      <c r="L133" s="651"/>
      <c r="M133" s="651"/>
      <c r="N133" s="651"/>
      <c r="O133" s="733"/>
      <c r="P133" s="385"/>
      <c r="Q133" s="734"/>
      <c r="R133" s="388"/>
      <c r="S133" s="385"/>
      <c r="T133" s="385"/>
      <c r="U133" s="385"/>
      <c r="V133" s="393"/>
      <c r="W133" s="389"/>
      <c r="X133" s="184"/>
      <c r="AO133" s="390"/>
      <c r="AP133" s="735"/>
      <c r="AQ133" s="392"/>
    </row>
    <row r="134" spans="1:43" s="668" customFormat="1" ht="27" customHeight="1" x14ac:dyDescent="0.2">
      <c r="A134" s="732"/>
      <c r="K134" s="385"/>
      <c r="L134" s="651"/>
      <c r="M134" s="651"/>
      <c r="N134" s="651"/>
      <c r="O134" s="733"/>
      <c r="P134" s="385"/>
      <c r="Q134" s="734"/>
      <c r="R134" s="388"/>
      <c r="S134" s="385"/>
      <c r="T134" s="385"/>
      <c r="U134" s="385"/>
      <c r="V134" s="393"/>
      <c r="W134" s="389"/>
      <c r="X134" s="184"/>
      <c r="AO134" s="390"/>
      <c r="AP134" s="735"/>
      <c r="AQ134" s="392"/>
    </row>
    <row r="135" spans="1:43" s="668" customFormat="1" ht="27" customHeight="1" x14ac:dyDescent="0.2">
      <c r="A135" s="732"/>
      <c r="K135" s="385"/>
      <c r="L135" s="651"/>
      <c r="M135" s="651"/>
      <c r="N135" s="651"/>
      <c r="O135" s="733"/>
      <c r="P135" s="385"/>
      <c r="Q135" s="734"/>
      <c r="R135" s="388"/>
      <c r="S135" s="385"/>
      <c r="T135" s="385"/>
      <c r="U135" s="385"/>
      <c r="V135" s="393"/>
      <c r="W135" s="389"/>
      <c r="X135" s="184"/>
      <c r="AO135" s="390"/>
      <c r="AP135" s="735"/>
      <c r="AQ135" s="392"/>
    </row>
    <row r="136" spans="1:43" s="668" customFormat="1" ht="27" customHeight="1" x14ac:dyDescent="0.2">
      <c r="A136" s="732"/>
      <c r="K136" s="385"/>
      <c r="L136" s="651"/>
      <c r="M136" s="651"/>
      <c r="N136" s="651"/>
      <c r="O136" s="733"/>
      <c r="P136" s="385"/>
      <c r="Q136" s="734"/>
      <c r="R136" s="388"/>
      <c r="S136" s="385"/>
      <c r="T136" s="385"/>
      <c r="U136" s="385"/>
      <c r="V136" s="393"/>
      <c r="W136" s="389"/>
      <c r="X136" s="184"/>
      <c r="AO136" s="390"/>
      <c r="AP136" s="735"/>
      <c r="AQ136" s="392"/>
    </row>
    <row r="137" spans="1:43" s="668" customFormat="1" ht="27" customHeight="1" x14ac:dyDescent="0.2">
      <c r="A137" s="732"/>
      <c r="K137" s="385"/>
      <c r="L137" s="651"/>
      <c r="M137" s="651"/>
      <c r="N137" s="651"/>
      <c r="O137" s="733"/>
      <c r="P137" s="385"/>
      <c r="Q137" s="734"/>
      <c r="R137" s="388"/>
      <c r="S137" s="385"/>
      <c r="T137" s="385"/>
      <c r="U137" s="385"/>
      <c r="V137" s="393"/>
      <c r="W137" s="389"/>
      <c r="X137" s="184"/>
      <c r="AO137" s="390"/>
      <c r="AP137" s="735"/>
      <c r="AQ137" s="392"/>
    </row>
    <row r="138" spans="1:43" s="668" customFormat="1" ht="27" customHeight="1" x14ac:dyDescent="0.2">
      <c r="A138" s="732"/>
      <c r="K138" s="385"/>
      <c r="L138" s="651"/>
      <c r="M138" s="651"/>
      <c r="N138" s="651"/>
      <c r="O138" s="733"/>
      <c r="P138" s="385"/>
      <c r="Q138" s="734"/>
      <c r="R138" s="388"/>
      <c r="S138" s="385"/>
      <c r="T138" s="385"/>
      <c r="U138" s="385"/>
      <c r="V138" s="393"/>
      <c r="W138" s="389"/>
      <c r="X138" s="184"/>
      <c r="AO138" s="390"/>
      <c r="AP138" s="735"/>
      <c r="AQ138" s="392"/>
    </row>
    <row r="139" spans="1:43" s="668" customFormat="1" ht="27" customHeight="1" x14ac:dyDescent="0.2">
      <c r="A139" s="732"/>
      <c r="K139" s="385"/>
      <c r="L139" s="651"/>
      <c r="M139" s="651"/>
      <c r="N139" s="651"/>
      <c r="O139" s="733"/>
      <c r="P139" s="385"/>
      <c r="Q139" s="734"/>
      <c r="R139" s="388"/>
      <c r="S139" s="385"/>
      <c r="T139" s="385"/>
      <c r="U139" s="385"/>
      <c r="V139" s="393"/>
      <c r="W139" s="389"/>
      <c r="X139" s="184"/>
      <c r="AO139" s="390"/>
      <c r="AP139" s="735"/>
      <c r="AQ139" s="392"/>
    </row>
    <row r="140" spans="1:43" s="668" customFormat="1" ht="27" customHeight="1" x14ac:dyDescent="0.2">
      <c r="A140" s="732"/>
      <c r="K140" s="385"/>
      <c r="L140" s="651"/>
      <c r="M140" s="651"/>
      <c r="N140" s="651"/>
      <c r="O140" s="733"/>
      <c r="P140" s="385"/>
      <c r="Q140" s="734"/>
      <c r="R140" s="388"/>
      <c r="S140" s="385"/>
      <c r="T140" s="385"/>
      <c r="U140" s="385"/>
      <c r="V140" s="393"/>
      <c r="W140" s="389"/>
      <c r="X140" s="184"/>
      <c r="AO140" s="390"/>
      <c r="AP140" s="735"/>
      <c r="AQ140" s="392"/>
    </row>
    <row r="141" spans="1:43" s="668" customFormat="1" ht="27" customHeight="1" x14ac:dyDescent="0.2">
      <c r="A141" s="732"/>
      <c r="K141" s="385"/>
      <c r="L141" s="651"/>
      <c r="M141" s="651"/>
      <c r="N141" s="651"/>
      <c r="O141" s="733"/>
      <c r="P141" s="385"/>
      <c r="Q141" s="734"/>
      <c r="R141" s="388"/>
      <c r="S141" s="385"/>
      <c r="T141" s="385"/>
      <c r="U141" s="385"/>
      <c r="V141" s="393"/>
      <c r="W141" s="389"/>
      <c r="X141" s="184"/>
      <c r="AO141" s="390"/>
      <c r="AP141" s="735"/>
      <c r="AQ141" s="392"/>
    </row>
    <row r="142" spans="1:43" s="668" customFormat="1" ht="27" customHeight="1" x14ac:dyDescent="0.2">
      <c r="A142" s="732"/>
      <c r="K142" s="385"/>
      <c r="L142" s="651"/>
      <c r="M142" s="651"/>
      <c r="N142" s="651"/>
      <c r="O142" s="733"/>
      <c r="P142" s="385"/>
      <c r="Q142" s="734"/>
      <c r="R142" s="388"/>
      <c r="S142" s="385"/>
      <c r="T142" s="385"/>
      <c r="U142" s="385"/>
      <c r="V142" s="393"/>
      <c r="W142" s="389"/>
      <c r="X142" s="184"/>
      <c r="AO142" s="390"/>
      <c r="AP142" s="735"/>
      <c r="AQ142" s="392"/>
    </row>
    <row r="143" spans="1:43" s="668" customFormat="1" ht="27" customHeight="1" x14ac:dyDescent="0.2">
      <c r="A143" s="732"/>
      <c r="K143" s="385"/>
      <c r="L143" s="651"/>
      <c r="M143" s="651"/>
      <c r="N143" s="651"/>
      <c r="O143" s="733"/>
      <c r="P143" s="385"/>
      <c r="Q143" s="734"/>
      <c r="R143" s="388"/>
      <c r="S143" s="385"/>
      <c r="T143" s="385"/>
      <c r="U143" s="385"/>
      <c r="V143" s="393"/>
      <c r="W143" s="389"/>
      <c r="X143" s="184"/>
      <c r="AO143" s="390"/>
      <c r="AP143" s="735"/>
      <c r="AQ143" s="392"/>
    </row>
    <row r="144" spans="1:43" s="668" customFormat="1" ht="27" customHeight="1" x14ac:dyDescent="0.2">
      <c r="A144" s="732"/>
      <c r="K144" s="385"/>
      <c r="L144" s="651"/>
      <c r="M144" s="651"/>
      <c r="N144" s="651"/>
      <c r="O144" s="733"/>
      <c r="P144" s="385"/>
      <c r="Q144" s="734"/>
      <c r="R144" s="388"/>
      <c r="S144" s="385"/>
      <c r="T144" s="385"/>
      <c r="U144" s="385"/>
      <c r="V144" s="393"/>
      <c r="W144" s="389"/>
      <c r="X144" s="184"/>
      <c r="AO144" s="390"/>
      <c r="AP144" s="735"/>
      <c r="AQ144" s="392"/>
    </row>
    <row r="145" spans="1:43" s="668" customFormat="1" ht="27" customHeight="1" x14ac:dyDescent="0.2">
      <c r="A145" s="732"/>
      <c r="K145" s="385"/>
      <c r="L145" s="651"/>
      <c r="M145" s="651"/>
      <c r="N145" s="651"/>
      <c r="O145" s="733"/>
      <c r="P145" s="385"/>
      <c r="Q145" s="734"/>
      <c r="R145" s="388"/>
      <c r="S145" s="385"/>
      <c r="T145" s="385"/>
      <c r="U145" s="385"/>
      <c r="V145" s="393"/>
      <c r="W145" s="389"/>
      <c r="X145" s="184"/>
      <c r="AO145" s="390"/>
      <c r="AP145" s="735"/>
      <c r="AQ145" s="392"/>
    </row>
    <row r="146" spans="1:43" s="668" customFormat="1" ht="27" customHeight="1" x14ac:dyDescent="0.2">
      <c r="A146" s="732"/>
      <c r="K146" s="385"/>
      <c r="L146" s="651"/>
      <c r="M146" s="651"/>
      <c r="N146" s="651"/>
      <c r="O146" s="733"/>
      <c r="P146" s="385"/>
      <c r="Q146" s="734"/>
      <c r="R146" s="388"/>
      <c r="S146" s="385"/>
      <c r="T146" s="385"/>
      <c r="U146" s="385"/>
      <c r="V146" s="393"/>
      <c r="W146" s="389"/>
      <c r="X146" s="184"/>
      <c r="AO146" s="390"/>
      <c r="AP146" s="735"/>
      <c r="AQ146" s="392"/>
    </row>
    <row r="147" spans="1:43" s="668" customFormat="1" ht="27" customHeight="1" x14ac:dyDescent="0.2">
      <c r="A147" s="732"/>
      <c r="K147" s="385"/>
      <c r="L147" s="651"/>
      <c r="M147" s="651"/>
      <c r="N147" s="651"/>
      <c r="O147" s="733"/>
      <c r="P147" s="385"/>
      <c r="Q147" s="734"/>
      <c r="R147" s="388"/>
      <c r="S147" s="385"/>
      <c r="T147" s="385"/>
      <c r="U147" s="385"/>
      <c r="V147" s="393"/>
      <c r="W147" s="389"/>
      <c r="X147" s="184"/>
      <c r="AO147" s="390"/>
      <c r="AP147" s="735"/>
      <c r="AQ147" s="392"/>
    </row>
    <row r="148" spans="1:43" s="668" customFormat="1" ht="27" customHeight="1" x14ac:dyDescent="0.2">
      <c r="A148" s="732"/>
      <c r="K148" s="385"/>
      <c r="L148" s="651"/>
      <c r="M148" s="651"/>
      <c r="N148" s="651"/>
      <c r="O148" s="733"/>
      <c r="P148" s="385"/>
      <c r="Q148" s="734"/>
      <c r="R148" s="388"/>
      <c r="S148" s="385"/>
      <c r="T148" s="385"/>
      <c r="U148" s="385"/>
      <c r="V148" s="393"/>
      <c r="W148" s="389"/>
      <c r="X148" s="184"/>
      <c r="AO148" s="390"/>
      <c r="AP148" s="735"/>
      <c r="AQ148" s="392"/>
    </row>
    <row r="149" spans="1:43" s="668" customFormat="1" ht="27" customHeight="1" x14ac:dyDescent="0.2">
      <c r="A149" s="732"/>
      <c r="K149" s="385"/>
      <c r="L149" s="651"/>
      <c r="M149" s="651"/>
      <c r="N149" s="651"/>
      <c r="O149" s="733"/>
      <c r="P149" s="385"/>
      <c r="Q149" s="734"/>
      <c r="R149" s="388"/>
      <c r="S149" s="385"/>
      <c r="T149" s="385"/>
      <c r="U149" s="385"/>
      <c r="V149" s="393"/>
      <c r="W149" s="389"/>
      <c r="X149" s="184"/>
      <c r="AO149" s="390"/>
      <c r="AP149" s="735"/>
      <c r="AQ149" s="392"/>
    </row>
    <row r="150" spans="1:43" s="668" customFormat="1" ht="27" customHeight="1" x14ac:dyDescent="0.2">
      <c r="A150" s="732"/>
      <c r="K150" s="385"/>
      <c r="L150" s="651"/>
      <c r="M150" s="651"/>
      <c r="N150" s="651"/>
      <c r="O150" s="733"/>
      <c r="P150" s="385"/>
      <c r="Q150" s="734"/>
      <c r="R150" s="388"/>
      <c r="S150" s="385"/>
      <c r="T150" s="385"/>
      <c r="U150" s="385"/>
      <c r="V150" s="393"/>
      <c r="W150" s="389"/>
      <c r="X150" s="184"/>
      <c r="AO150" s="390"/>
      <c r="AP150" s="735"/>
      <c r="AQ150" s="392"/>
    </row>
    <row r="151" spans="1:43" s="668" customFormat="1" ht="27" customHeight="1" x14ac:dyDescent="0.2">
      <c r="A151" s="732"/>
      <c r="K151" s="385"/>
      <c r="L151" s="651"/>
      <c r="M151" s="651"/>
      <c r="N151" s="651"/>
      <c r="O151" s="733"/>
      <c r="P151" s="385"/>
      <c r="Q151" s="734"/>
      <c r="R151" s="388"/>
      <c r="S151" s="385"/>
      <c r="T151" s="385"/>
      <c r="U151" s="385"/>
      <c r="V151" s="393"/>
      <c r="W151" s="389"/>
      <c r="X151" s="184"/>
      <c r="AO151" s="390"/>
      <c r="AP151" s="735"/>
      <c r="AQ151" s="392"/>
    </row>
    <row r="152" spans="1:43" s="668" customFormat="1" ht="27" customHeight="1" x14ac:dyDescent="0.2">
      <c r="A152" s="732"/>
      <c r="K152" s="385"/>
      <c r="L152" s="651"/>
      <c r="M152" s="651"/>
      <c r="N152" s="651"/>
      <c r="O152" s="733"/>
      <c r="P152" s="385"/>
      <c r="Q152" s="734"/>
      <c r="R152" s="388"/>
      <c r="S152" s="385"/>
      <c r="T152" s="385"/>
      <c r="U152" s="385"/>
      <c r="V152" s="393"/>
      <c r="W152" s="389"/>
      <c r="X152" s="184"/>
      <c r="AO152" s="390"/>
      <c r="AP152" s="735"/>
      <c r="AQ152" s="392"/>
    </row>
    <row r="153" spans="1:43" s="668" customFormat="1" ht="27" customHeight="1" x14ac:dyDescent="0.2">
      <c r="A153" s="732"/>
      <c r="K153" s="385"/>
      <c r="L153" s="651"/>
      <c r="M153" s="651"/>
      <c r="N153" s="651"/>
      <c r="O153" s="733"/>
      <c r="P153" s="385"/>
      <c r="Q153" s="734"/>
      <c r="R153" s="388"/>
      <c r="S153" s="385"/>
      <c r="T153" s="385"/>
      <c r="U153" s="385"/>
      <c r="V153" s="393"/>
      <c r="W153" s="389"/>
      <c r="X153" s="184"/>
      <c r="AO153" s="390"/>
      <c r="AP153" s="735"/>
      <c r="AQ153" s="392"/>
    </row>
    <row r="154" spans="1:43" s="668" customFormat="1" ht="27" customHeight="1" x14ac:dyDescent="0.2">
      <c r="A154" s="732"/>
      <c r="K154" s="385"/>
      <c r="L154" s="651"/>
      <c r="M154" s="651"/>
      <c r="N154" s="651"/>
      <c r="O154" s="733"/>
      <c r="P154" s="385"/>
      <c r="Q154" s="734"/>
      <c r="R154" s="388"/>
      <c r="S154" s="385"/>
      <c r="T154" s="385"/>
      <c r="U154" s="385"/>
      <c r="V154" s="393"/>
      <c r="W154" s="389"/>
      <c r="X154" s="184"/>
      <c r="AO154" s="390"/>
      <c r="AP154" s="735"/>
      <c r="AQ154" s="392"/>
    </row>
    <row r="155" spans="1:43" s="668" customFormat="1" ht="27" customHeight="1" x14ac:dyDescent="0.2">
      <c r="A155" s="732"/>
      <c r="K155" s="385"/>
      <c r="L155" s="651"/>
      <c r="M155" s="651"/>
      <c r="N155" s="651"/>
      <c r="O155" s="733"/>
      <c r="P155" s="385"/>
      <c r="Q155" s="734"/>
      <c r="R155" s="388"/>
      <c r="S155" s="385"/>
      <c r="T155" s="385"/>
      <c r="U155" s="385"/>
      <c r="V155" s="393"/>
      <c r="W155" s="389"/>
      <c r="X155" s="184"/>
      <c r="AO155" s="390"/>
      <c r="AP155" s="735"/>
      <c r="AQ155" s="392"/>
    </row>
    <row r="156" spans="1:43" s="668" customFormat="1" ht="27" customHeight="1" x14ac:dyDescent="0.2">
      <c r="A156" s="732"/>
      <c r="K156" s="385"/>
      <c r="L156" s="651"/>
      <c r="M156" s="651"/>
      <c r="N156" s="651"/>
      <c r="O156" s="733"/>
      <c r="P156" s="385"/>
      <c r="Q156" s="734"/>
      <c r="R156" s="388"/>
      <c r="S156" s="385"/>
      <c r="T156" s="385"/>
      <c r="U156" s="385"/>
      <c r="V156" s="393"/>
      <c r="W156" s="389"/>
      <c r="X156" s="184"/>
      <c r="AO156" s="390"/>
      <c r="AP156" s="735"/>
      <c r="AQ156" s="392"/>
    </row>
    <row r="157" spans="1:43" s="668" customFormat="1" ht="27" customHeight="1" x14ac:dyDescent="0.2">
      <c r="A157" s="732"/>
      <c r="K157" s="385"/>
      <c r="L157" s="651"/>
      <c r="M157" s="651"/>
      <c r="N157" s="651"/>
      <c r="O157" s="733"/>
      <c r="P157" s="385"/>
      <c r="Q157" s="734"/>
      <c r="R157" s="388"/>
      <c r="S157" s="385"/>
      <c r="T157" s="385"/>
      <c r="U157" s="385"/>
      <c r="V157" s="393"/>
      <c r="W157" s="389"/>
      <c r="X157" s="184"/>
      <c r="AO157" s="390"/>
      <c r="AP157" s="735"/>
      <c r="AQ157" s="392"/>
    </row>
    <row r="158" spans="1:43" s="668" customFormat="1" ht="27" customHeight="1" x14ac:dyDescent="0.2">
      <c r="A158" s="732"/>
      <c r="K158" s="385"/>
      <c r="L158" s="651"/>
      <c r="M158" s="651"/>
      <c r="N158" s="651"/>
      <c r="O158" s="733"/>
      <c r="P158" s="385"/>
      <c r="Q158" s="734"/>
      <c r="R158" s="388"/>
      <c r="S158" s="385"/>
      <c r="T158" s="385"/>
      <c r="U158" s="385"/>
      <c r="V158" s="393"/>
      <c r="W158" s="389"/>
      <c r="X158" s="184"/>
      <c r="AO158" s="390"/>
      <c r="AP158" s="735"/>
      <c r="AQ158" s="392"/>
    </row>
    <row r="159" spans="1:43" s="668" customFormat="1" ht="27" customHeight="1" x14ac:dyDescent="0.2">
      <c r="A159" s="732"/>
      <c r="K159" s="385"/>
      <c r="L159" s="651"/>
      <c r="M159" s="651"/>
      <c r="N159" s="651"/>
      <c r="O159" s="733"/>
      <c r="P159" s="385"/>
      <c r="Q159" s="734"/>
      <c r="R159" s="388"/>
      <c r="S159" s="385"/>
      <c r="T159" s="385"/>
      <c r="U159" s="385"/>
      <c r="V159" s="393"/>
      <c r="W159" s="389"/>
      <c r="X159" s="184"/>
      <c r="AO159" s="390"/>
      <c r="AP159" s="735"/>
      <c r="AQ159" s="392"/>
    </row>
  </sheetData>
  <sheetProtection password="A60F" sheet="1" objects="1" scenarios="1"/>
  <mergeCells count="252">
    <mergeCell ref="H7:I8"/>
    <mergeCell ref="J7:J8"/>
    <mergeCell ref="K7:K8"/>
    <mergeCell ref="L7:L8"/>
    <mergeCell ref="M7:M8"/>
    <mergeCell ref="N7:N8"/>
    <mergeCell ref="A1:AO4"/>
    <mergeCell ref="A5:M6"/>
    <mergeCell ref="P5:AQ5"/>
    <mergeCell ref="P6:X6"/>
    <mergeCell ref="AO6:AQ6"/>
    <mergeCell ref="A7:A8"/>
    <mergeCell ref="B7:C8"/>
    <mergeCell ref="D7:D8"/>
    <mergeCell ref="E7:F8"/>
    <mergeCell ref="G7:G8"/>
    <mergeCell ref="B9:D9"/>
    <mergeCell ref="AO9:AQ9"/>
    <mergeCell ref="E10:K10"/>
    <mergeCell ref="AO10:AQ10"/>
    <mergeCell ref="H11:K11"/>
    <mergeCell ref="AO11:AQ11"/>
    <mergeCell ref="AE7:AJ7"/>
    <mergeCell ref="AK7:AM7"/>
    <mergeCell ref="AN7:AN8"/>
    <mergeCell ref="AO7:AO8"/>
    <mergeCell ref="AP7:AP8"/>
    <mergeCell ref="AQ7:AQ8"/>
    <mergeCell ref="U7:U8"/>
    <mergeCell ref="V7:V8"/>
    <mergeCell ref="W7:W8"/>
    <mergeCell ref="X7:X8"/>
    <mergeCell ref="Y7:Z7"/>
    <mergeCell ref="AA7:AD7"/>
    <mergeCell ref="O7:O8"/>
    <mergeCell ref="P7:P8"/>
    <mergeCell ref="Q7:Q8"/>
    <mergeCell ref="R7:R8"/>
    <mergeCell ref="S7:S8"/>
    <mergeCell ref="T7:T8"/>
    <mergeCell ref="G12:G26"/>
    <mergeCell ref="H12:I26"/>
    <mergeCell ref="J12:J14"/>
    <mergeCell ref="K12:K14"/>
    <mergeCell ref="L12:L14"/>
    <mergeCell ref="M12:M14"/>
    <mergeCell ref="J23:J26"/>
    <mergeCell ref="K23:K26"/>
    <mergeCell ref="L23:L26"/>
    <mergeCell ref="M23:M26"/>
    <mergeCell ref="AH12:AH14"/>
    <mergeCell ref="T12:T14"/>
    <mergeCell ref="U12:U13"/>
    <mergeCell ref="Y12:Y14"/>
    <mergeCell ref="Z12:Z14"/>
    <mergeCell ref="AA12:AA14"/>
    <mergeCell ref="AB12:AB14"/>
    <mergeCell ref="N12:N14"/>
    <mergeCell ref="O12:O14"/>
    <mergeCell ref="P12:P14"/>
    <mergeCell ref="Q12:Q14"/>
    <mergeCell ref="R12:R14"/>
    <mergeCell ref="S12:S14"/>
    <mergeCell ref="Y15:Y26"/>
    <mergeCell ref="Z15:Z26"/>
    <mergeCell ref="U21:U22"/>
    <mergeCell ref="AO12:AO14"/>
    <mergeCell ref="AP12:AP14"/>
    <mergeCell ref="AQ12:AQ14"/>
    <mergeCell ref="J15:J18"/>
    <mergeCell ref="K15:K18"/>
    <mergeCell ref="L15:L18"/>
    <mergeCell ref="M15:M18"/>
    <mergeCell ref="N15:N18"/>
    <mergeCell ref="O15:O26"/>
    <mergeCell ref="P15:P26"/>
    <mergeCell ref="AI12:AI14"/>
    <mergeCell ref="AJ12:AJ14"/>
    <mergeCell ref="AK12:AK14"/>
    <mergeCell ref="AL12:AL14"/>
    <mergeCell ref="AM12:AM14"/>
    <mergeCell ref="AN12:AN14"/>
    <mergeCell ref="AC12:AC14"/>
    <mergeCell ref="AD12:AD14"/>
    <mergeCell ref="AE12:AE14"/>
    <mergeCell ref="AF12:AF14"/>
    <mergeCell ref="AG12:AG14"/>
    <mergeCell ref="AP15:AP26"/>
    <mergeCell ref="AQ15:AQ26"/>
    <mergeCell ref="U16:U17"/>
    <mergeCell ref="J19:J22"/>
    <mergeCell ref="K19:K22"/>
    <mergeCell ref="L19:L22"/>
    <mergeCell ref="M19:M22"/>
    <mergeCell ref="N19:N22"/>
    <mergeCell ref="Q19:Q22"/>
    <mergeCell ref="T19:T22"/>
    <mergeCell ref="AG15:AG26"/>
    <mergeCell ref="AH15:AH26"/>
    <mergeCell ref="AI15:AI26"/>
    <mergeCell ref="AJ15:AJ26"/>
    <mergeCell ref="AN15:AN26"/>
    <mergeCell ref="AO15:AO26"/>
    <mergeCell ref="AA15:AA26"/>
    <mergeCell ref="AB15:AB26"/>
    <mergeCell ref="AC15:AC26"/>
    <mergeCell ref="AD15:AD26"/>
    <mergeCell ref="AE15:AE26"/>
    <mergeCell ref="AF15:AF26"/>
    <mergeCell ref="Q15:Q18"/>
    <mergeCell ref="R15:R26"/>
    <mergeCell ref="N23:N26"/>
    <mergeCell ref="Q23:Q26"/>
    <mergeCell ref="T23:T26"/>
    <mergeCell ref="U25:U26"/>
    <mergeCell ref="H27:K27"/>
    <mergeCell ref="H28:I30"/>
    <mergeCell ref="J28:J30"/>
    <mergeCell ref="K28:K30"/>
    <mergeCell ref="L28:L30"/>
    <mergeCell ref="M28:M30"/>
    <mergeCell ref="S15:S26"/>
    <mergeCell ref="T15:T18"/>
    <mergeCell ref="V28:V29"/>
    <mergeCell ref="W28:W29"/>
    <mergeCell ref="X28:X29"/>
    <mergeCell ref="Y28:Y30"/>
    <mergeCell ref="N28:N30"/>
    <mergeCell ref="O28:O30"/>
    <mergeCell ref="P28:P30"/>
    <mergeCell ref="Q28:Q30"/>
    <mergeCell ref="R28:R30"/>
    <mergeCell ref="S28:S30"/>
    <mergeCell ref="AO28:AO30"/>
    <mergeCell ref="AP28:AP30"/>
    <mergeCell ref="AQ28:AQ30"/>
    <mergeCell ref="H31:K31"/>
    <mergeCell ref="H32:I39"/>
    <mergeCell ref="J32:J39"/>
    <mergeCell ref="K32:K39"/>
    <mergeCell ref="L32:L39"/>
    <mergeCell ref="M32:M39"/>
    <mergeCell ref="N32:N39"/>
    <mergeCell ref="AF28:AF30"/>
    <mergeCell ref="AG28:AG30"/>
    <mergeCell ref="AH28:AH30"/>
    <mergeCell ref="AI28:AI30"/>
    <mergeCell ref="AJ28:AJ30"/>
    <mergeCell ref="AN28:AN30"/>
    <mergeCell ref="Z28:Z30"/>
    <mergeCell ref="AA28:AA30"/>
    <mergeCell ref="AB28:AB30"/>
    <mergeCell ref="AC28:AC30"/>
    <mergeCell ref="AD28:AD30"/>
    <mergeCell ref="AE28:AE30"/>
    <mergeCell ref="T28:T30"/>
    <mergeCell ref="U28:U29"/>
    <mergeCell ref="AP32:AP39"/>
    <mergeCell ref="AQ32:AQ39"/>
    <mergeCell ref="T37:T39"/>
    <mergeCell ref="U37:U38"/>
    <mergeCell ref="AE32:AE39"/>
    <mergeCell ref="AF32:AF39"/>
    <mergeCell ref="AG32:AG39"/>
    <mergeCell ref="AH32:AH39"/>
    <mergeCell ref="AI32:AI39"/>
    <mergeCell ref="AJ32:AJ39"/>
    <mergeCell ref="Y32:Y39"/>
    <mergeCell ref="Z32:Z39"/>
    <mergeCell ref="AA32:AA39"/>
    <mergeCell ref="AB32:AB39"/>
    <mergeCell ref="AC32:AC39"/>
    <mergeCell ref="AD32:AD39"/>
    <mergeCell ref="T32:T35"/>
    <mergeCell ref="E40:K40"/>
    <mergeCell ref="H41:L41"/>
    <mergeCell ref="E42:F54"/>
    <mergeCell ref="H42:I48"/>
    <mergeCell ref="J42:J48"/>
    <mergeCell ref="K42:K48"/>
    <mergeCell ref="L42:L48"/>
    <mergeCell ref="AN32:AN39"/>
    <mergeCell ref="AO32:AO39"/>
    <mergeCell ref="O32:O39"/>
    <mergeCell ref="P32:P39"/>
    <mergeCell ref="Q32:Q39"/>
    <mergeCell ref="R32:R39"/>
    <mergeCell ref="S32:S39"/>
    <mergeCell ref="H49:L49"/>
    <mergeCell ref="H50:I54"/>
    <mergeCell ref="J50:J51"/>
    <mergeCell ref="K50:K51"/>
    <mergeCell ref="L50:L54"/>
    <mergeCell ref="M50:M51"/>
    <mergeCell ref="N50:N54"/>
    <mergeCell ref="AH42:AH48"/>
    <mergeCell ref="AI42:AI48"/>
    <mergeCell ref="AB42:AB48"/>
    <mergeCell ref="AC42:AC48"/>
    <mergeCell ref="AD42:AD48"/>
    <mergeCell ref="AE42:AE48"/>
    <mergeCell ref="AF42:AF48"/>
    <mergeCell ref="AG42:AG48"/>
    <mergeCell ref="S42:S48"/>
    <mergeCell ref="T42:T46"/>
    <mergeCell ref="U42:U44"/>
    <mergeCell ref="Y42:Y48"/>
    <mergeCell ref="Z42:Z48"/>
    <mergeCell ref="AA42:AA48"/>
    <mergeCell ref="M42:M48"/>
    <mergeCell ref="N42:N48"/>
    <mergeCell ref="O42:O48"/>
    <mergeCell ref="O50:O54"/>
    <mergeCell ref="P50:P54"/>
    <mergeCell ref="Q50:Q51"/>
    <mergeCell ref="R50:R54"/>
    <mergeCell ref="S50:S54"/>
    <mergeCell ref="T50:T51"/>
    <mergeCell ref="AQ42:AQ48"/>
    <mergeCell ref="T47:T48"/>
    <mergeCell ref="U47:U48"/>
    <mergeCell ref="AJ42:AJ48"/>
    <mergeCell ref="AN42:AN48"/>
    <mergeCell ref="AO42:AO48"/>
    <mergeCell ref="AP42:AP48"/>
    <mergeCell ref="P42:P48"/>
    <mergeCell ref="Q42:Q48"/>
    <mergeCell ref="R42:R48"/>
    <mergeCell ref="E55:F55"/>
    <mergeCell ref="K60:L60"/>
    <mergeCell ref="K61:L61"/>
    <mergeCell ref="AN50:AN54"/>
    <mergeCell ref="AO50:AO54"/>
    <mergeCell ref="AP50:AP54"/>
    <mergeCell ref="AQ50:AQ54"/>
    <mergeCell ref="J52:J54"/>
    <mergeCell ref="K52:K54"/>
    <mergeCell ref="M52:M54"/>
    <mergeCell ref="Q52:Q54"/>
    <mergeCell ref="T52:T54"/>
    <mergeCell ref="AE50:AE54"/>
    <mergeCell ref="AF50:AF54"/>
    <mergeCell ref="AG50:AG54"/>
    <mergeCell ref="AH50:AH54"/>
    <mergeCell ref="AI50:AI54"/>
    <mergeCell ref="AJ50:AJ54"/>
    <mergeCell ref="Y50:Y54"/>
    <mergeCell ref="Z50:Z54"/>
    <mergeCell ref="AA50:AA54"/>
    <mergeCell ref="AB50:AB54"/>
    <mergeCell ref="AC50:AC54"/>
    <mergeCell ref="AD50:AD5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3"/>
  <sheetViews>
    <sheetView showGridLines="0" topLeftCell="F1" zoomScale="50" zoomScaleNormal="50" workbookViewId="0">
      <selection activeCell="O10" sqref="O10"/>
    </sheetView>
  </sheetViews>
  <sheetFormatPr baseColWidth="10" defaultColWidth="25.28515625" defaultRowHeight="43.5" customHeight="1" x14ac:dyDescent="0.2"/>
  <cols>
    <col min="1" max="1" width="20.140625" style="1303" customWidth="1"/>
    <col min="2" max="2" width="16" style="597" customWidth="1"/>
    <col min="3" max="3" width="16.28515625" style="597" customWidth="1"/>
    <col min="4" max="4" width="18.42578125" style="597" customWidth="1"/>
    <col min="5" max="5" width="22.140625" style="597" customWidth="1"/>
    <col min="6" max="6" width="5.85546875" style="597" customWidth="1"/>
    <col min="7" max="7" width="20.28515625" style="597" customWidth="1"/>
    <col min="8" max="8" width="20.5703125" style="597" customWidth="1"/>
    <col min="9" max="9" width="11.85546875" style="597" customWidth="1"/>
    <col min="10" max="10" width="20" style="597" customWidth="1"/>
    <col min="11" max="11" width="25.28515625" style="1311"/>
    <col min="12" max="12" width="25.28515625" style="1297"/>
    <col min="13" max="13" width="25.28515625" style="1213"/>
    <col min="14" max="14" width="34.140625" style="1213" customWidth="1"/>
    <col min="15" max="15" width="25.28515625" style="1314"/>
    <col min="16" max="16" width="25.28515625" style="1311"/>
    <col min="17" max="17" width="25.28515625" style="1315"/>
    <col min="18" max="18" width="28.85546875" style="2479" customWidth="1"/>
    <col min="19" max="21" width="25.28515625" style="1311"/>
    <col min="22" max="22" width="27.85546875" style="2485" customWidth="1"/>
    <col min="23" max="23" width="25.28515625" style="1310"/>
    <col min="24" max="24" width="25.28515625" style="2481"/>
    <col min="25" max="26" width="25.28515625" style="2482"/>
    <col min="27" max="39" width="25.28515625" style="597"/>
    <col min="40" max="40" width="25.28515625" style="2482"/>
    <col min="41" max="42" width="25.28515625" style="2483"/>
    <col min="43" max="43" width="25.28515625" style="1305"/>
    <col min="44" max="16384" width="25.28515625" style="597"/>
  </cols>
  <sheetData>
    <row r="1" spans="1:63" ht="24" customHeight="1" x14ac:dyDescent="0.2">
      <c r="A1" s="2852" t="s">
        <v>2431</v>
      </c>
      <c r="B1" s="2853"/>
      <c r="C1" s="2853"/>
      <c r="D1" s="2853"/>
      <c r="E1" s="2853"/>
      <c r="F1" s="2853"/>
      <c r="G1" s="2853"/>
      <c r="H1" s="2853"/>
      <c r="I1" s="2853"/>
      <c r="J1" s="2853"/>
      <c r="K1" s="2853"/>
      <c r="L1" s="2853"/>
      <c r="M1" s="2853"/>
      <c r="N1" s="2853"/>
      <c r="O1" s="2853"/>
      <c r="P1" s="2853"/>
      <c r="Q1" s="2853"/>
      <c r="R1" s="2853"/>
      <c r="S1" s="2853"/>
      <c r="T1" s="2853"/>
      <c r="U1" s="2853"/>
      <c r="V1" s="2853"/>
      <c r="W1" s="2853"/>
      <c r="X1" s="2853"/>
      <c r="Y1" s="2853"/>
      <c r="Z1" s="2853"/>
      <c r="AA1" s="2853"/>
      <c r="AB1" s="2853"/>
      <c r="AC1" s="2853"/>
      <c r="AD1" s="2853"/>
      <c r="AE1" s="2853"/>
      <c r="AF1" s="2853"/>
      <c r="AG1" s="2853"/>
      <c r="AH1" s="2853"/>
      <c r="AI1" s="2853"/>
      <c r="AJ1" s="2853"/>
      <c r="AK1" s="2853"/>
      <c r="AL1" s="2853"/>
      <c r="AM1" s="2853"/>
      <c r="AN1" s="2853"/>
      <c r="AO1" s="2853"/>
      <c r="AP1" s="3316"/>
      <c r="AQ1" s="2383" t="s">
        <v>2</v>
      </c>
    </row>
    <row r="2" spans="1:63" ht="23.25" customHeight="1" x14ac:dyDescent="0.2">
      <c r="A2" s="2854"/>
      <c r="B2" s="2855"/>
      <c r="C2" s="2855"/>
      <c r="D2" s="2855"/>
      <c r="E2" s="2855"/>
      <c r="F2" s="2855"/>
      <c r="G2" s="2855"/>
      <c r="H2" s="2855"/>
      <c r="I2" s="2855"/>
      <c r="J2" s="2855"/>
      <c r="K2" s="2855"/>
      <c r="L2" s="2855"/>
      <c r="M2" s="2855"/>
      <c r="N2" s="2855"/>
      <c r="O2" s="2855"/>
      <c r="P2" s="2855"/>
      <c r="Q2" s="2855"/>
      <c r="R2" s="2855"/>
      <c r="S2" s="2855"/>
      <c r="T2" s="2855"/>
      <c r="U2" s="2855"/>
      <c r="V2" s="2855"/>
      <c r="W2" s="2855"/>
      <c r="X2" s="2855"/>
      <c r="Y2" s="2855"/>
      <c r="Z2" s="2855"/>
      <c r="AA2" s="2855"/>
      <c r="AB2" s="2855"/>
      <c r="AC2" s="2855"/>
      <c r="AD2" s="2855"/>
      <c r="AE2" s="2855"/>
      <c r="AF2" s="2855"/>
      <c r="AG2" s="2855"/>
      <c r="AH2" s="2855"/>
      <c r="AI2" s="2855"/>
      <c r="AJ2" s="2855"/>
      <c r="AK2" s="2855"/>
      <c r="AL2" s="2855"/>
      <c r="AM2" s="2855"/>
      <c r="AN2" s="2855"/>
      <c r="AO2" s="2855"/>
      <c r="AP2" s="3317"/>
      <c r="AQ2" s="2384">
        <v>6</v>
      </c>
    </row>
    <row r="3" spans="1:63" ht="24.75" customHeight="1" x14ac:dyDescent="0.2">
      <c r="A3" s="2854"/>
      <c r="B3" s="2855"/>
      <c r="C3" s="2855"/>
      <c r="D3" s="2855"/>
      <c r="E3" s="2855"/>
      <c r="F3" s="2855"/>
      <c r="G3" s="2855"/>
      <c r="H3" s="2855"/>
      <c r="I3" s="2855"/>
      <c r="J3" s="2855"/>
      <c r="K3" s="2855"/>
      <c r="L3" s="2855"/>
      <c r="M3" s="2855"/>
      <c r="N3" s="2855"/>
      <c r="O3" s="2855"/>
      <c r="P3" s="2855"/>
      <c r="Q3" s="2855"/>
      <c r="R3" s="2855"/>
      <c r="S3" s="2855"/>
      <c r="T3" s="2855"/>
      <c r="U3" s="2855"/>
      <c r="V3" s="2855"/>
      <c r="W3" s="2855"/>
      <c r="X3" s="2855"/>
      <c r="Y3" s="2855"/>
      <c r="Z3" s="2855"/>
      <c r="AA3" s="2855"/>
      <c r="AB3" s="2855"/>
      <c r="AC3" s="2855"/>
      <c r="AD3" s="2855"/>
      <c r="AE3" s="2855"/>
      <c r="AF3" s="2855"/>
      <c r="AG3" s="2855"/>
      <c r="AH3" s="2855"/>
      <c r="AI3" s="2855"/>
      <c r="AJ3" s="2855"/>
      <c r="AK3" s="2855"/>
      <c r="AL3" s="2855"/>
      <c r="AM3" s="2855"/>
      <c r="AN3" s="2855"/>
      <c r="AO3" s="2855"/>
      <c r="AP3" s="3317"/>
      <c r="AQ3" s="2385" t="s">
        <v>6</v>
      </c>
    </row>
    <row r="4" spans="1:63" s="604" customFormat="1" ht="34.5" customHeight="1" x14ac:dyDescent="0.2">
      <c r="A4" s="2856"/>
      <c r="B4" s="2857"/>
      <c r="C4" s="2857"/>
      <c r="D4" s="2857"/>
      <c r="E4" s="2857"/>
      <c r="F4" s="2857"/>
      <c r="G4" s="2857"/>
      <c r="H4" s="2857"/>
      <c r="I4" s="2857"/>
      <c r="J4" s="2857"/>
      <c r="K4" s="2857"/>
      <c r="L4" s="2857"/>
      <c r="M4" s="2857"/>
      <c r="N4" s="2857"/>
      <c r="O4" s="2857"/>
      <c r="P4" s="2857"/>
      <c r="Q4" s="2857"/>
      <c r="R4" s="2857"/>
      <c r="S4" s="2857"/>
      <c r="T4" s="2857"/>
      <c r="U4" s="2857"/>
      <c r="V4" s="2857"/>
      <c r="W4" s="2857"/>
      <c r="X4" s="2857"/>
      <c r="Y4" s="2857"/>
      <c r="Z4" s="2857"/>
      <c r="AA4" s="2857"/>
      <c r="AB4" s="2857"/>
      <c r="AC4" s="2857"/>
      <c r="AD4" s="2857"/>
      <c r="AE4" s="2857"/>
      <c r="AF4" s="2857"/>
      <c r="AG4" s="2857"/>
      <c r="AH4" s="2857"/>
      <c r="AI4" s="2857"/>
      <c r="AJ4" s="2857"/>
      <c r="AK4" s="2857"/>
      <c r="AL4" s="2857"/>
      <c r="AM4" s="2857"/>
      <c r="AN4" s="2857"/>
      <c r="AO4" s="2857"/>
      <c r="AP4" s="3318"/>
      <c r="AQ4" s="2386" t="s">
        <v>323</v>
      </c>
    </row>
    <row r="5" spans="1:63" ht="43.5" customHeight="1" x14ac:dyDescent="0.2">
      <c r="A5" s="2858" t="s">
        <v>9</v>
      </c>
      <c r="B5" s="2859"/>
      <c r="C5" s="2859"/>
      <c r="D5" s="2859"/>
      <c r="E5" s="2859"/>
      <c r="F5" s="2859"/>
      <c r="G5" s="2859"/>
      <c r="H5" s="2859"/>
      <c r="I5" s="2859"/>
      <c r="J5" s="2859"/>
      <c r="K5" s="2859"/>
      <c r="L5" s="2859"/>
      <c r="M5" s="2859"/>
      <c r="N5" s="2862" t="s">
        <v>10</v>
      </c>
      <c r="O5" s="2862"/>
      <c r="P5" s="2862"/>
      <c r="Q5" s="2862"/>
      <c r="R5" s="2862"/>
      <c r="S5" s="2862"/>
      <c r="T5" s="2862"/>
      <c r="U5" s="2862"/>
      <c r="V5" s="2862"/>
      <c r="W5" s="2862"/>
      <c r="X5" s="2862"/>
      <c r="Y5" s="2862"/>
      <c r="Z5" s="2862"/>
      <c r="AA5" s="2862"/>
      <c r="AB5" s="2862"/>
      <c r="AC5" s="2862"/>
      <c r="AD5" s="2862"/>
      <c r="AE5" s="2862"/>
      <c r="AF5" s="2862"/>
      <c r="AG5" s="2862"/>
      <c r="AH5" s="2862"/>
      <c r="AI5" s="2862"/>
      <c r="AJ5" s="2862"/>
      <c r="AK5" s="2862"/>
      <c r="AL5" s="2862"/>
      <c r="AM5" s="2862"/>
      <c r="AN5" s="2862"/>
      <c r="AO5" s="2862"/>
      <c r="AP5" s="2862"/>
      <c r="AQ5" s="2863"/>
      <c r="AR5" s="1213"/>
      <c r="AS5" s="1213"/>
      <c r="AT5" s="1213"/>
      <c r="AU5" s="1213"/>
      <c r="AV5" s="1213"/>
      <c r="AW5" s="1213"/>
      <c r="AX5" s="1213"/>
      <c r="AY5" s="1213"/>
      <c r="AZ5" s="1213"/>
      <c r="BA5" s="1213"/>
      <c r="BB5" s="1213"/>
      <c r="BC5" s="1213"/>
      <c r="BD5" s="1213"/>
      <c r="BE5" s="1213"/>
      <c r="BF5" s="1213"/>
      <c r="BG5" s="1213"/>
      <c r="BH5" s="1213"/>
      <c r="BI5" s="1213"/>
      <c r="BJ5" s="1213"/>
      <c r="BK5" s="1213"/>
    </row>
    <row r="6" spans="1:63" ht="43.5" customHeight="1" x14ac:dyDescent="0.2">
      <c r="A6" s="2860"/>
      <c r="B6" s="2861"/>
      <c r="C6" s="2861"/>
      <c r="D6" s="2861"/>
      <c r="E6" s="2861"/>
      <c r="F6" s="2861"/>
      <c r="G6" s="2861"/>
      <c r="H6" s="2861"/>
      <c r="I6" s="2861"/>
      <c r="J6" s="2861"/>
      <c r="K6" s="2861"/>
      <c r="L6" s="2861"/>
      <c r="M6" s="2861"/>
      <c r="N6" s="2387"/>
      <c r="O6" s="2388"/>
      <c r="P6" s="1218"/>
      <c r="Q6" s="1222"/>
      <c r="R6" s="2389"/>
      <c r="S6" s="1218"/>
      <c r="T6" s="1218"/>
      <c r="U6" s="1218"/>
      <c r="V6" s="1222"/>
      <c r="W6" s="1219"/>
      <c r="X6" s="1219"/>
      <c r="Y6" s="2864" t="s">
        <v>11</v>
      </c>
      <c r="Z6" s="2861"/>
      <c r="AA6" s="2861"/>
      <c r="AB6" s="2861"/>
      <c r="AC6" s="2861"/>
      <c r="AD6" s="2861"/>
      <c r="AE6" s="2861"/>
      <c r="AF6" s="2861"/>
      <c r="AG6" s="2861"/>
      <c r="AH6" s="2861"/>
      <c r="AI6" s="2861"/>
      <c r="AJ6" s="2861"/>
      <c r="AK6" s="2861"/>
      <c r="AL6" s="2861"/>
      <c r="AM6" s="2861"/>
      <c r="AN6" s="2390"/>
      <c r="AO6" s="2391"/>
      <c r="AP6" s="2391"/>
      <c r="AQ6" s="2392"/>
      <c r="AR6" s="1213"/>
      <c r="AS6" s="1213"/>
      <c r="AT6" s="1213"/>
      <c r="AU6" s="1213"/>
      <c r="AV6" s="1213"/>
      <c r="AW6" s="1213"/>
      <c r="AX6" s="1213"/>
      <c r="AY6" s="1213"/>
      <c r="AZ6" s="1213"/>
      <c r="BA6" s="1213"/>
      <c r="BB6" s="1213"/>
      <c r="BC6" s="1213"/>
      <c r="BD6" s="1213"/>
      <c r="BE6" s="1213"/>
      <c r="BF6" s="1213"/>
      <c r="BG6" s="1213"/>
      <c r="BH6" s="1213"/>
      <c r="BI6" s="1213"/>
      <c r="BJ6" s="1213"/>
      <c r="BK6" s="1213"/>
    </row>
    <row r="7" spans="1:63" s="1307" customFormat="1" ht="43.5" customHeight="1" x14ac:dyDescent="0.2">
      <c r="A7" s="2866" t="s">
        <v>12</v>
      </c>
      <c r="B7" s="2849" t="s">
        <v>13</v>
      </c>
      <c r="C7" s="2835"/>
      <c r="D7" s="2835" t="s">
        <v>12</v>
      </c>
      <c r="E7" s="2849" t="s">
        <v>14</v>
      </c>
      <c r="F7" s="2835"/>
      <c r="G7" s="2835" t="s">
        <v>12</v>
      </c>
      <c r="H7" s="2849" t="s">
        <v>15</v>
      </c>
      <c r="I7" s="2835"/>
      <c r="J7" s="2835" t="s">
        <v>12</v>
      </c>
      <c r="K7" s="2849" t="s">
        <v>16</v>
      </c>
      <c r="L7" s="2843" t="s">
        <v>17</v>
      </c>
      <c r="M7" s="2843" t="s">
        <v>2432</v>
      </c>
      <c r="N7" s="2843" t="s">
        <v>19</v>
      </c>
      <c r="O7" s="2843" t="s">
        <v>20</v>
      </c>
      <c r="P7" s="2843" t="s">
        <v>10</v>
      </c>
      <c r="Q7" s="2845" t="s">
        <v>21</v>
      </c>
      <c r="R7" s="3477" t="s">
        <v>22</v>
      </c>
      <c r="S7" s="2849" t="s">
        <v>23</v>
      </c>
      <c r="T7" s="2849" t="s">
        <v>24</v>
      </c>
      <c r="U7" s="3479" t="s">
        <v>25</v>
      </c>
      <c r="V7" s="3472" t="s">
        <v>22</v>
      </c>
      <c r="W7" s="3474" t="s">
        <v>12</v>
      </c>
      <c r="X7" s="2843" t="s">
        <v>26</v>
      </c>
      <c r="Y7" s="3476" t="s">
        <v>27</v>
      </c>
      <c r="Z7" s="3476"/>
      <c r="AA7" s="2840" t="s">
        <v>28</v>
      </c>
      <c r="AB7" s="2840"/>
      <c r="AC7" s="2840"/>
      <c r="AD7" s="2840"/>
      <c r="AE7" s="2841" t="s">
        <v>29</v>
      </c>
      <c r="AF7" s="2842"/>
      <c r="AG7" s="2842"/>
      <c r="AH7" s="2842"/>
      <c r="AI7" s="2842"/>
      <c r="AJ7" s="2842"/>
      <c r="AK7" s="2839" t="s">
        <v>30</v>
      </c>
      <c r="AL7" s="2840"/>
      <c r="AM7" s="2840"/>
      <c r="AN7" s="2827" t="s">
        <v>31</v>
      </c>
      <c r="AO7" s="2829" t="s">
        <v>32</v>
      </c>
      <c r="AP7" s="2829" t="s">
        <v>33</v>
      </c>
      <c r="AQ7" s="3462" t="s">
        <v>34</v>
      </c>
      <c r="AR7" s="1314"/>
      <c r="AS7" s="1314"/>
      <c r="AT7" s="1314"/>
      <c r="AU7" s="1314"/>
      <c r="AV7" s="1314"/>
      <c r="AW7" s="1314"/>
      <c r="AX7" s="1314"/>
      <c r="AY7" s="1314"/>
      <c r="AZ7" s="1314"/>
      <c r="BA7" s="1314"/>
      <c r="BB7" s="1314"/>
      <c r="BC7" s="1314"/>
      <c r="BD7" s="1314"/>
      <c r="BE7" s="1314"/>
      <c r="BF7" s="1314"/>
      <c r="BG7" s="1314"/>
      <c r="BH7" s="1314"/>
      <c r="BI7" s="1314"/>
      <c r="BJ7" s="1314"/>
      <c r="BK7" s="1314"/>
    </row>
    <row r="8" spans="1:63" s="1307" customFormat="1" ht="133.5" customHeight="1" x14ac:dyDescent="0.2">
      <c r="A8" s="2867"/>
      <c r="B8" s="2850"/>
      <c r="C8" s="2836"/>
      <c r="D8" s="2836"/>
      <c r="E8" s="2850"/>
      <c r="F8" s="2836"/>
      <c r="G8" s="2836"/>
      <c r="H8" s="2850"/>
      <c r="I8" s="2836"/>
      <c r="J8" s="2836"/>
      <c r="K8" s="2850"/>
      <c r="L8" s="2844"/>
      <c r="M8" s="2844"/>
      <c r="N8" s="2844"/>
      <c r="O8" s="2844"/>
      <c r="P8" s="2844"/>
      <c r="Q8" s="2846"/>
      <c r="R8" s="3478"/>
      <c r="S8" s="2850"/>
      <c r="T8" s="2850"/>
      <c r="U8" s="3480"/>
      <c r="V8" s="3473"/>
      <c r="W8" s="3475"/>
      <c r="X8" s="2844"/>
      <c r="Y8" s="1227" t="s">
        <v>35</v>
      </c>
      <c r="Z8" s="1227" t="s">
        <v>36</v>
      </c>
      <c r="AA8" s="1227" t="s">
        <v>37</v>
      </c>
      <c r="AB8" s="1227" t="s">
        <v>118</v>
      </c>
      <c r="AC8" s="2393" t="s">
        <v>473</v>
      </c>
      <c r="AD8" s="1227" t="s">
        <v>120</v>
      </c>
      <c r="AE8" s="1227" t="s">
        <v>41</v>
      </c>
      <c r="AF8" s="1227" t="s">
        <v>42</v>
      </c>
      <c r="AG8" s="1227" t="s">
        <v>43</v>
      </c>
      <c r="AH8" s="1227" t="s">
        <v>44</v>
      </c>
      <c r="AI8" s="1227" t="s">
        <v>45</v>
      </c>
      <c r="AJ8" s="1227" t="s">
        <v>46</v>
      </c>
      <c r="AK8" s="1227" t="s">
        <v>47</v>
      </c>
      <c r="AL8" s="1227" t="s">
        <v>48</v>
      </c>
      <c r="AM8" s="1227" t="s">
        <v>49</v>
      </c>
      <c r="AN8" s="2828"/>
      <c r="AO8" s="2829"/>
      <c r="AP8" s="2829"/>
      <c r="AQ8" s="3463"/>
      <c r="AR8" s="1314"/>
      <c r="AS8" s="1314"/>
      <c r="AT8" s="1314"/>
      <c r="AU8" s="1314"/>
      <c r="AV8" s="1314"/>
      <c r="AW8" s="1314"/>
      <c r="AX8" s="1314"/>
      <c r="AY8" s="1314"/>
      <c r="AZ8" s="1314"/>
      <c r="BA8" s="1314"/>
      <c r="BB8" s="1314"/>
      <c r="BC8" s="1314"/>
      <c r="BD8" s="1314"/>
      <c r="BE8" s="1314"/>
      <c r="BF8" s="1314"/>
      <c r="BG8" s="1314"/>
      <c r="BH8" s="1314"/>
      <c r="BI8" s="1314"/>
      <c r="BJ8" s="1314"/>
      <c r="BK8" s="1314"/>
    </row>
    <row r="9" spans="1:63" ht="43.5" customHeight="1" x14ac:dyDescent="0.2">
      <c r="A9" s="2394">
        <v>2</v>
      </c>
      <c r="B9" s="1230"/>
      <c r="C9" s="1230" t="s">
        <v>193</v>
      </c>
      <c r="D9" s="1231"/>
      <c r="E9" s="1230"/>
      <c r="F9" s="1230"/>
      <c r="G9" s="1230"/>
      <c r="H9" s="1230"/>
      <c r="I9" s="1230"/>
      <c r="J9" s="1230"/>
      <c r="K9" s="1232"/>
      <c r="L9" s="1232"/>
      <c r="M9" s="1230"/>
      <c r="N9" s="1230"/>
      <c r="O9" s="2395"/>
      <c r="P9" s="1232"/>
      <c r="Q9" s="1234"/>
      <c r="R9" s="2396"/>
      <c r="S9" s="1232"/>
      <c r="T9" s="1232"/>
      <c r="U9" s="1232"/>
      <c r="V9" s="2397"/>
      <c r="W9" s="1237"/>
      <c r="X9" s="1233"/>
      <c r="Y9" s="2398"/>
      <c r="Z9" s="2398"/>
      <c r="AA9" s="1230"/>
      <c r="AB9" s="1230"/>
      <c r="AC9" s="1230"/>
      <c r="AD9" s="1230"/>
      <c r="AE9" s="1230"/>
      <c r="AF9" s="1230"/>
      <c r="AG9" s="1230"/>
      <c r="AH9" s="1230"/>
      <c r="AI9" s="1230"/>
      <c r="AJ9" s="1230"/>
      <c r="AK9" s="1230"/>
      <c r="AL9" s="1230"/>
      <c r="AM9" s="1230"/>
      <c r="AN9" s="2399"/>
      <c r="AO9" s="2400"/>
      <c r="AP9" s="2400"/>
      <c r="AQ9" s="2401"/>
      <c r="AR9" s="1213"/>
      <c r="AS9" s="1213"/>
      <c r="AT9" s="1213"/>
      <c r="AU9" s="1213"/>
      <c r="AV9" s="1213"/>
      <c r="AW9" s="1213"/>
      <c r="AX9" s="1213"/>
      <c r="AY9" s="1213"/>
      <c r="AZ9" s="1213"/>
      <c r="BA9" s="1213"/>
      <c r="BB9" s="1213"/>
      <c r="BC9" s="1213"/>
      <c r="BD9" s="1213"/>
      <c r="BE9" s="1213"/>
      <c r="BF9" s="1213"/>
      <c r="BG9" s="1213"/>
      <c r="BH9" s="1213"/>
      <c r="BI9" s="1213"/>
      <c r="BJ9" s="1213"/>
      <c r="BK9" s="1213"/>
    </row>
    <row r="10" spans="1:63" s="1213" customFormat="1" ht="43.5" customHeight="1" x14ac:dyDescent="0.2">
      <c r="A10" s="3464"/>
      <c r="B10" s="3465"/>
      <c r="C10" s="3466"/>
      <c r="D10" s="2402">
        <v>2</v>
      </c>
      <c r="E10" s="1956" t="s">
        <v>194</v>
      </c>
      <c r="F10" s="1956"/>
      <c r="G10" s="1956"/>
      <c r="H10" s="1956"/>
      <c r="I10" s="1956"/>
      <c r="J10" s="1243"/>
      <c r="K10" s="1244"/>
      <c r="L10" s="1244"/>
      <c r="M10" s="1243"/>
      <c r="N10" s="1243"/>
      <c r="O10" s="2403"/>
      <c r="P10" s="1244"/>
      <c r="Q10" s="1247"/>
      <c r="R10" s="2404"/>
      <c r="S10" s="1244"/>
      <c r="T10" s="1244"/>
      <c r="U10" s="1244"/>
      <c r="V10" s="2405"/>
      <c r="W10" s="1250"/>
      <c r="X10" s="1245"/>
      <c r="Y10" s="2406"/>
      <c r="Z10" s="2406"/>
      <c r="AA10" s="1243"/>
      <c r="AB10" s="1243"/>
      <c r="AC10" s="1243"/>
      <c r="AD10" s="1243"/>
      <c r="AE10" s="1243"/>
      <c r="AF10" s="1243"/>
      <c r="AG10" s="1243"/>
      <c r="AH10" s="1243"/>
      <c r="AI10" s="1243"/>
      <c r="AJ10" s="1243"/>
      <c r="AK10" s="1243"/>
      <c r="AL10" s="1243"/>
      <c r="AM10" s="1243"/>
      <c r="AN10" s="2407"/>
      <c r="AO10" s="2408"/>
      <c r="AP10" s="2408"/>
      <c r="AQ10" s="2409"/>
    </row>
    <row r="11" spans="1:63" s="1213" customFormat="1" ht="43.5" customHeight="1" x14ac:dyDescent="0.2">
      <c r="A11" s="3467"/>
      <c r="B11" s="3468"/>
      <c r="C11" s="3469"/>
      <c r="D11" s="3436"/>
      <c r="E11" s="3436"/>
      <c r="F11" s="3437"/>
      <c r="G11" s="2410">
        <v>8</v>
      </c>
      <c r="H11" s="1964" t="s">
        <v>2433</v>
      </c>
      <c r="I11" s="1964"/>
      <c r="J11" s="1254"/>
      <c r="K11" s="2411"/>
      <c r="L11" s="2411"/>
      <c r="M11" s="1254"/>
      <c r="N11" s="1262"/>
      <c r="O11" s="2412"/>
      <c r="P11" s="2411"/>
      <c r="Q11" s="2413"/>
      <c r="R11" s="2414"/>
      <c r="S11" s="2411"/>
      <c r="T11" s="2411"/>
      <c r="U11" s="2411"/>
      <c r="V11" s="2415"/>
      <c r="W11" s="2416"/>
      <c r="X11" s="2417"/>
      <c r="Y11" s="2418"/>
      <c r="Z11" s="2418"/>
      <c r="AA11" s="1254"/>
      <c r="AB11" s="1254"/>
      <c r="AC11" s="1254"/>
      <c r="AD11" s="1254"/>
      <c r="AE11" s="1254"/>
      <c r="AF11" s="1254"/>
      <c r="AG11" s="1254"/>
      <c r="AH11" s="1254"/>
      <c r="AI11" s="1254"/>
      <c r="AJ11" s="1254"/>
      <c r="AK11" s="1254"/>
      <c r="AL11" s="1254"/>
      <c r="AM11" s="1254"/>
      <c r="AN11" s="2419"/>
      <c r="AO11" s="2420"/>
      <c r="AP11" s="2420"/>
      <c r="AQ11" s="2421"/>
    </row>
    <row r="12" spans="1:63" s="1213" customFormat="1" ht="52.5" customHeight="1" x14ac:dyDescent="0.2">
      <c r="A12" s="3467"/>
      <c r="B12" s="3468"/>
      <c r="C12" s="3469"/>
      <c r="D12" s="3439"/>
      <c r="E12" s="3439"/>
      <c r="F12" s="3440"/>
      <c r="G12" s="3470"/>
      <c r="H12" s="3470"/>
      <c r="I12" s="3384"/>
      <c r="J12" s="3444">
        <v>38</v>
      </c>
      <c r="K12" s="3352" t="s">
        <v>2434</v>
      </c>
      <c r="L12" s="3352" t="s">
        <v>2435</v>
      </c>
      <c r="M12" s="3396">
        <v>4</v>
      </c>
      <c r="N12" s="3350" t="s">
        <v>2436</v>
      </c>
      <c r="O12" s="3384" t="s">
        <v>2437</v>
      </c>
      <c r="P12" s="3352" t="s">
        <v>2438</v>
      </c>
      <c r="Q12" s="3354">
        <f>SUM(V12:V15)/R12</f>
        <v>0.66764214046822745</v>
      </c>
      <c r="R12" s="3388">
        <f>SUM(V12:V21)</f>
        <v>119600000</v>
      </c>
      <c r="S12" s="3352" t="s">
        <v>2439</v>
      </c>
      <c r="T12" s="3378" t="s">
        <v>2440</v>
      </c>
      <c r="U12" s="3352" t="s">
        <v>2441</v>
      </c>
      <c r="V12" s="2422">
        <v>16425000</v>
      </c>
      <c r="W12" s="2423">
        <v>20</v>
      </c>
      <c r="X12" s="2424" t="s">
        <v>2442</v>
      </c>
      <c r="Y12" s="3455">
        <v>294321</v>
      </c>
      <c r="Z12" s="3455">
        <v>283947</v>
      </c>
      <c r="AA12" s="3455">
        <v>135754</v>
      </c>
      <c r="AB12" s="3455">
        <v>44640</v>
      </c>
      <c r="AC12" s="3455">
        <v>308178</v>
      </c>
      <c r="AD12" s="3455">
        <v>89696</v>
      </c>
      <c r="AE12" s="3458"/>
      <c r="AF12" s="2425"/>
      <c r="AG12" s="2425"/>
      <c r="AH12" s="2425"/>
      <c r="AI12" s="2425"/>
      <c r="AJ12" s="2425"/>
      <c r="AK12" s="2425"/>
      <c r="AL12" s="2425"/>
      <c r="AM12" s="2425"/>
      <c r="AN12" s="3333">
        <f>Y12+Z12</f>
        <v>578268</v>
      </c>
      <c r="AO12" s="3335">
        <v>43467</v>
      </c>
      <c r="AP12" s="3335">
        <v>43830</v>
      </c>
      <c r="AQ12" s="3337" t="s">
        <v>2443</v>
      </c>
    </row>
    <row r="13" spans="1:63" s="1213" customFormat="1" ht="43.5" customHeight="1" x14ac:dyDescent="0.2">
      <c r="A13" s="3467"/>
      <c r="B13" s="3468"/>
      <c r="C13" s="3469"/>
      <c r="D13" s="3439"/>
      <c r="E13" s="3439"/>
      <c r="F13" s="3440"/>
      <c r="G13" s="2802"/>
      <c r="H13" s="2802"/>
      <c r="I13" s="3385"/>
      <c r="J13" s="3445"/>
      <c r="K13" s="3353"/>
      <c r="L13" s="3353"/>
      <c r="M13" s="3396"/>
      <c r="N13" s="3351"/>
      <c r="O13" s="3385"/>
      <c r="P13" s="3353"/>
      <c r="Q13" s="3355"/>
      <c r="R13" s="3389"/>
      <c r="S13" s="3353"/>
      <c r="T13" s="3360"/>
      <c r="U13" s="3377"/>
      <c r="V13" s="2426">
        <f>0+60000000</f>
        <v>60000000</v>
      </c>
      <c r="W13" s="2427">
        <v>88</v>
      </c>
      <c r="X13" s="1270" t="s">
        <v>2444</v>
      </c>
      <c r="Y13" s="3461"/>
      <c r="Z13" s="3456"/>
      <c r="AA13" s="3456"/>
      <c r="AB13" s="3456"/>
      <c r="AC13" s="3456"/>
      <c r="AD13" s="3456"/>
      <c r="AE13" s="3459"/>
      <c r="AF13" s="2428"/>
      <c r="AG13" s="2428"/>
      <c r="AH13" s="2428"/>
      <c r="AI13" s="2428"/>
      <c r="AJ13" s="2428"/>
      <c r="AK13" s="2428"/>
      <c r="AL13" s="2428"/>
      <c r="AM13" s="2428"/>
      <c r="AN13" s="3334"/>
      <c r="AO13" s="3336"/>
      <c r="AP13" s="3336"/>
      <c r="AQ13" s="3339"/>
      <c r="AR13" s="2368"/>
    </row>
    <row r="14" spans="1:63" s="1213" customFormat="1" ht="43.5" customHeight="1" x14ac:dyDescent="0.2">
      <c r="A14" s="3467"/>
      <c r="B14" s="3468"/>
      <c r="C14" s="3469"/>
      <c r="D14" s="3439"/>
      <c r="E14" s="3439"/>
      <c r="F14" s="3440"/>
      <c r="G14" s="2802"/>
      <c r="H14" s="2802"/>
      <c r="I14" s="3385"/>
      <c r="J14" s="3445"/>
      <c r="K14" s="3353"/>
      <c r="L14" s="3353"/>
      <c r="M14" s="3396"/>
      <c r="N14" s="3351"/>
      <c r="O14" s="3385"/>
      <c r="P14" s="3353"/>
      <c r="Q14" s="3355"/>
      <c r="R14" s="3389"/>
      <c r="S14" s="3353"/>
      <c r="T14" s="3360"/>
      <c r="U14" s="3448" t="s">
        <v>2445</v>
      </c>
      <c r="V14" s="3401">
        <v>3425000</v>
      </c>
      <c r="W14" s="3403">
        <v>20</v>
      </c>
      <c r="X14" s="2801" t="s">
        <v>2442</v>
      </c>
      <c r="Y14" s="3456"/>
      <c r="Z14" s="3456"/>
      <c r="AA14" s="3456"/>
      <c r="AB14" s="3456"/>
      <c r="AC14" s="3456"/>
      <c r="AD14" s="3456"/>
      <c r="AE14" s="3459"/>
      <c r="AF14" s="2428"/>
      <c r="AG14" s="2428"/>
      <c r="AH14" s="2428"/>
      <c r="AI14" s="2428"/>
      <c r="AJ14" s="2428"/>
      <c r="AK14" s="2428"/>
      <c r="AL14" s="2428"/>
      <c r="AM14" s="2428"/>
      <c r="AN14" s="3334"/>
      <c r="AO14" s="3336"/>
      <c r="AP14" s="3336"/>
      <c r="AQ14" s="3339"/>
    </row>
    <row r="15" spans="1:63" s="1213" customFormat="1" ht="43.5" customHeight="1" x14ac:dyDescent="0.2">
      <c r="A15" s="3467"/>
      <c r="B15" s="3468"/>
      <c r="C15" s="3469"/>
      <c r="D15" s="3439"/>
      <c r="E15" s="3439"/>
      <c r="F15" s="3440"/>
      <c r="G15" s="2802"/>
      <c r="H15" s="2802"/>
      <c r="I15" s="3385"/>
      <c r="J15" s="3445"/>
      <c r="K15" s="3353"/>
      <c r="L15" s="3353"/>
      <c r="M15" s="3396"/>
      <c r="N15" s="3351"/>
      <c r="O15" s="3385"/>
      <c r="P15" s="3353"/>
      <c r="Q15" s="3355"/>
      <c r="R15" s="3389"/>
      <c r="S15" s="3353"/>
      <c r="T15" s="3360"/>
      <c r="U15" s="3448"/>
      <c r="V15" s="3401"/>
      <c r="W15" s="3403"/>
      <c r="X15" s="3452"/>
      <c r="Y15" s="3456"/>
      <c r="Z15" s="3456"/>
      <c r="AA15" s="3456"/>
      <c r="AB15" s="3456"/>
      <c r="AC15" s="3456"/>
      <c r="AD15" s="3456"/>
      <c r="AE15" s="3459"/>
      <c r="AF15" s="2428"/>
      <c r="AG15" s="2428"/>
      <c r="AH15" s="2428"/>
      <c r="AI15" s="2428"/>
      <c r="AJ15" s="2428"/>
      <c r="AK15" s="2428"/>
      <c r="AL15" s="2428"/>
      <c r="AM15" s="2428"/>
      <c r="AN15" s="3334"/>
      <c r="AO15" s="3336"/>
      <c r="AP15" s="3336"/>
      <c r="AQ15" s="3339"/>
    </row>
    <row r="16" spans="1:63" ht="43.5" customHeight="1" x14ac:dyDescent="0.2">
      <c r="A16" s="3467"/>
      <c r="B16" s="3468"/>
      <c r="C16" s="3469"/>
      <c r="D16" s="3439"/>
      <c r="E16" s="3439"/>
      <c r="F16" s="3440"/>
      <c r="G16" s="2802"/>
      <c r="H16" s="2802"/>
      <c r="I16" s="2802"/>
      <c r="J16" s="3449">
        <v>39</v>
      </c>
      <c r="K16" s="3450" t="s">
        <v>2446</v>
      </c>
      <c r="L16" s="3352" t="s">
        <v>2447</v>
      </c>
      <c r="M16" s="3382">
        <v>3</v>
      </c>
      <c r="N16" s="3351"/>
      <c r="O16" s="3385"/>
      <c r="P16" s="3353"/>
      <c r="Q16" s="3354">
        <f>SUM(V16:V21)/R12</f>
        <v>0.33235785953177255</v>
      </c>
      <c r="R16" s="3389"/>
      <c r="S16" s="3353"/>
      <c r="T16" s="3360"/>
      <c r="U16" s="3352" t="s">
        <v>2448</v>
      </c>
      <c r="V16" s="3453">
        <v>39750000</v>
      </c>
      <c r="W16" s="3371">
        <v>20</v>
      </c>
      <c r="X16" s="3350" t="s">
        <v>2442</v>
      </c>
      <c r="Y16" s="3456"/>
      <c r="Z16" s="3456"/>
      <c r="AA16" s="3456"/>
      <c r="AB16" s="3456"/>
      <c r="AC16" s="3456"/>
      <c r="AD16" s="3456"/>
      <c r="AE16" s="3459"/>
      <c r="AF16" s="2428"/>
      <c r="AG16" s="2428"/>
      <c r="AH16" s="2428"/>
      <c r="AI16" s="2428"/>
      <c r="AJ16" s="2428"/>
      <c r="AK16" s="2428"/>
      <c r="AL16" s="2428"/>
      <c r="AM16" s="2428"/>
      <c r="AN16" s="3334"/>
      <c r="AO16" s="3336"/>
      <c r="AP16" s="3336"/>
      <c r="AQ16" s="3339"/>
    </row>
    <row r="17" spans="1:43" ht="43.5" customHeight="1" x14ac:dyDescent="0.2">
      <c r="A17" s="3467"/>
      <c r="B17" s="3468"/>
      <c r="C17" s="3469"/>
      <c r="D17" s="3439"/>
      <c r="E17" s="3439"/>
      <c r="F17" s="3440"/>
      <c r="G17" s="2802"/>
      <c r="H17" s="2802"/>
      <c r="I17" s="2802"/>
      <c r="J17" s="3449"/>
      <c r="K17" s="3451"/>
      <c r="L17" s="3353"/>
      <c r="M17" s="3382"/>
      <c r="N17" s="3351"/>
      <c r="O17" s="3385"/>
      <c r="P17" s="3353"/>
      <c r="Q17" s="3355"/>
      <c r="R17" s="3389"/>
      <c r="S17" s="3353"/>
      <c r="T17" s="3360"/>
      <c r="U17" s="3353"/>
      <c r="V17" s="3454"/>
      <c r="W17" s="3372"/>
      <c r="X17" s="3351"/>
      <c r="Y17" s="3456"/>
      <c r="Z17" s="3456"/>
      <c r="AA17" s="3456"/>
      <c r="AB17" s="3456"/>
      <c r="AC17" s="3456"/>
      <c r="AD17" s="3456"/>
      <c r="AE17" s="3459"/>
      <c r="AF17" s="2428"/>
      <c r="AG17" s="2428"/>
      <c r="AH17" s="2428"/>
      <c r="AI17" s="2428"/>
      <c r="AJ17" s="2428"/>
      <c r="AK17" s="2428"/>
      <c r="AL17" s="2428"/>
      <c r="AM17" s="2428"/>
      <c r="AN17" s="3334"/>
      <c r="AO17" s="3336"/>
      <c r="AP17" s="3336"/>
      <c r="AQ17" s="3339"/>
    </row>
    <row r="18" spans="1:43" ht="43.5" customHeight="1" x14ac:dyDescent="0.2">
      <c r="A18" s="3467"/>
      <c r="B18" s="3468"/>
      <c r="C18" s="3469"/>
      <c r="D18" s="3439"/>
      <c r="E18" s="3439"/>
      <c r="F18" s="3440"/>
      <c r="G18" s="2802"/>
      <c r="H18" s="2802"/>
      <c r="I18" s="2802"/>
      <c r="J18" s="3449"/>
      <c r="K18" s="3451"/>
      <c r="L18" s="3353"/>
      <c r="M18" s="3382"/>
      <c r="N18" s="3351"/>
      <c r="O18" s="3385"/>
      <c r="P18" s="3353"/>
      <c r="Q18" s="3355"/>
      <c r="R18" s="3389"/>
      <c r="S18" s="3353"/>
      <c r="T18" s="3360"/>
      <c r="U18" s="3353"/>
      <c r="V18" s="3454"/>
      <c r="W18" s="3372"/>
      <c r="X18" s="3351"/>
      <c r="Y18" s="3456"/>
      <c r="Z18" s="3456"/>
      <c r="AA18" s="3456"/>
      <c r="AB18" s="3456"/>
      <c r="AC18" s="3456"/>
      <c r="AD18" s="3456"/>
      <c r="AE18" s="3459"/>
      <c r="AF18" s="2428"/>
      <c r="AG18" s="2428"/>
      <c r="AH18" s="2428"/>
      <c r="AI18" s="2428"/>
      <c r="AJ18" s="2428"/>
      <c r="AK18" s="2428"/>
      <c r="AL18" s="2428"/>
      <c r="AM18" s="2428"/>
      <c r="AN18" s="3334"/>
      <c r="AO18" s="3336"/>
      <c r="AP18" s="3336"/>
      <c r="AQ18" s="3339"/>
    </row>
    <row r="19" spans="1:43" ht="43.5" customHeight="1" x14ac:dyDescent="0.2">
      <c r="A19" s="3467"/>
      <c r="B19" s="3468"/>
      <c r="C19" s="3469"/>
      <c r="D19" s="3439"/>
      <c r="E19" s="3439"/>
      <c r="F19" s="3440"/>
      <c r="G19" s="2802"/>
      <c r="H19" s="2802"/>
      <c r="I19" s="2802"/>
      <c r="J19" s="3449"/>
      <c r="K19" s="3451"/>
      <c r="L19" s="3353"/>
      <c r="M19" s="3382"/>
      <c r="N19" s="3351"/>
      <c r="O19" s="3385"/>
      <c r="P19" s="3353"/>
      <c r="Q19" s="3355"/>
      <c r="R19" s="3389"/>
      <c r="S19" s="3353"/>
      <c r="T19" s="3360"/>
      <c r="U19" s="3353"/>
      <c r="V19" s="3454"/>
      <c r="W19" s="3372"/>
      <c r="X19" s="3351"/>
      <c r="Y19" s="3456"/>
      <c r="Z19" s="3456"/>
      <c r="AA19" s="3456"/>
      <c r="AB19" s="3456"/>
      <c r="AC19" s="3456"/>
      <c r="AD19" s="3456"/>
      <c r="AE19" s="3459"/>
      <c r="AF19" s="2428"/>
      <c r="AG19" s="2428"/>
      <c r="AH19" s="2428"/>
      <c r="AI19" s="2428"/>
      <c r="AJ19" s="2428"/>
      <c r="AK19" s="2428"/>
      <c r="AL19" s="2428"/>
      <c r="AM19" s="2428"/>
      <c r="AN19" s="3334"/>
      <c r="AO19" s="3336"/>
      <c r="AP19" s="3336"/>
      <c r="AQ19" s="3339"/>
    </row>
    <row r="20" spans="1:43" ht="43.5" customHeight="1" x14ac:dyDescent="0.2">
      <c r="A20" s="3467"/>
      <c r="B20" s="3468"/>
      <c r="C20" s="3469"/>
      <c r="D20" s="3439"/>
      <c r="E20" s="3439"/>
      <c r="F20" s="3440"/>
      <c r="G20" s="2802"/>
      <c r="H20" s="2802"/>
      <c r="I20" s="2802"/>
      <c r="J20" s="3449"/>
      <c r="K20" s="3451"/>
      <c r="L20" s="3353"/>
      <c r="M20" s="3382"/>
      <c r="N20" s="3351"/>
      <c r="O20" s="3385"/>
      <c r="P20" s="3353"/>
      <c r="Q20" s="3355"/>
      <c r="R20" s="3389"/>
      <c r="S20" s="3353"/>
      <c r="T20" s="3360"/>
      <c r="U20" s="3353"/>
      <c r="V20" s="3454"/>
      <c r="W20" s="3372"/>
      <c r="X20" s="3351"/>
      <c r="Y20" s="3456"/>
      <c r="Z20" s="3456"/>
      <c r="AA20" s="3456"/>
      <c r="AB20" s="3456"/>
      <c r="AC20" s="3456"/>
      <c r="AD20" s="3456"/>
      <c r="AE20" s="3459"/>
      <c r="AF20" s="2428"/>
      <c r="AG20" s="2428"/>
      <c r="AH20" s="2428"/>
      <c r="AI20" s="2428"/>
      <c r="AJ20" s="2428"/>
      <c r="AK20" s="2428"/>
      <c r="AL20" s="2428"/>
      <c r="AM20" s="2428"/>
      <c r="AN20" s="3334"/>
      <c r="AO20" s="3336"/>
      <c r="AP20" s="3336"/>
      <c r="AQ20" s="3339"/>
    </row>
    <row r="21" spans="1:43" ht="43.5" customHeight="1" x14ac:dyDescent="0.2">
      <c r="A21" s="3467"/>
      <c r="B21" s="3468"/>
      <c r="C21" s="3469"/>
      <c r="D21" s="3439"/>
      <c r="E21" s="3439"/>
      <c r="F21" s="3440"/>
      <c r="G21" s="2802"/>
      <c r="H21" s="2802"/>
      <c r="I21" s="2802"/>
      <c r="J21" s="3449"/>
      <c r="K21" s="3451"/>
      <c r="L21" s="3353"/>
      <c r="M21" s="3382"/>
      <c r="N21" s="3380"/>
      <c r="O21" s="3385"/>
      <c r="P21" s="3353"/>
      <c r="Q21" s="3355"/>
      <c r="R21" s="3389"/>
      <c r="S21" s="3353"/>
      <c r="T21" s="3379"/>
      <c r="U21" s="3377"/>
      <c r="V21" s="3454"/>
      <c r="W21" s="3372"/>
      <c r="X21" s="3351"/>
      <c r="Y21" s="3457"/>
      <c r="Z21" s="3457"/>
      <c r="AA21" s="3457"/>
      <c r="AB21" s="3457"/>
      <c r="AC21" s="3457"/>
      <c r="AD21" s="3457"/>
      <c r="AE21" s="3460"/>
      <c r="AF21" s="2429"/>
      <c r="AG21" s="2429"/>
      <c r="AH21" s="2429"/>
      <c r="AI21" s="2429"/>
      <c r="AJ21" s="2429"/>
      <c r="AK21" s="2429"/>
      <c r="AL21" s="2429"/>
      <c r="AM21" s="2429"/>
      <c r="AN21" s="3374"/>
      <c r="AO21" s="3375"/>
      <c r="AP21" s="3375"/>
      <c r="AQ21" s="3376"/>
    </row>
    <row r="22" spans="1:43" ht="57" customHeight="1" x14ac:dyDescent="0.2">
      <c r="A22" s="3467"/>
      <c r="B22" s="3468"/>
      <c r="C22" s="3469"/>
      <c r="D22" s="3439"/>
      <c r="E22" s="3439"/>
      <c r="F22" s="3440"/>
      <c r="G22" s="2802"/>
      <c r="H22" s="2802"/>
      <c r="I22" s="3385"/>
      <c r="J22" s="3445">
        <v>40</v>
      </c>
      <c r="K22" s="3352" t="s">
        <v>2449</v>
      </c>
      <c r="L22" s="3352" t="s">
        <v>2450</v>
      </c>
      <c r="M22" s="3350">
        <v>0.56000000000000005</v>
      </c>
      <c r="N22" s="2430"/>
      <c r="O22" s="3350" t="s">
        <v>2451</v>
      </c>
      <c r="P22" s="3352" t="s">
        <v>2452</v>
      </c>
      <c r="Q22" s="3354">
        <f>(V22+V23)/R22</f>
        <v>0.53959057551178058</v>
      </c>
      <c r="R22" s="3388">
        <f>SUM(V22:V30)</f>
        <v>129450000</v>
      </c>
      <c r="S22" s="3352" t="s">
        <v>2453</v>
      </c>
      <c r="T22" s="3378" t="s">
        <v>2454</v>
      </c>
      <c r="U22" s="3448" t="s">
        <v>2455</v>
      </c>
      <c r="V22" s="2431">
        <v>19850000</v>
      </c>
      <c r="W22" s="1978">
        <v>20</v>
      </c>
      <c r="X22" s="2432" t="s">
        <v>2442</v>
      </c>
      <c r="Y22" s="3409">
        <v>294321</v>
      </c>
      <c r="Z22" s="3333">
        <v>283947</v>
      </c>
      <c r="AA22" s="3333">
        <v>135754</v>
      </c>
      <c r="AB22" s="3333">
        <v>44640</v>
      </c>
      <c r="AC22" s="3333">
        <v>308178</v>
      </c>
      <c r="AD22" s="3371">
        <v>89696</v>
      </c>
      <c r="AE22" s="3392"/>
      <c r="AF22" s="2425"/>
      <c r="AG22" s="2425"/>
      <c r="AH22" s="2425"/>
      <c r="AI22" s="2425"/>
      <c r="AJ22" s="2425"/>
      <c r="AK22" s="2425"/>
      <c r="AL22" s="2425"/>
      <c r="AM22" s="2425"/>
      <c r="AN22" s="3333">
        <f>+Y22+Z22</f>
        <v>578268</v>
      </c>
      <c r="AO22" s="3335">
        <v>43467</v>
      </c>
      <c r="AP22" s="3335">
        <v>43830</v>
      </c>
      <c r="AQ22" s="3337" t="s">
        <v>2443</v>
      </c>
    </row>
    <row r="23" spans="1:43" ht="43.5" customHeight="1" x14ac:dyDescent="0.2">
      <c r="A23" s="3467"/>
      <c r="B23" s="3468"/>
      <c r="C23" s="3469"/>
      <c r="D23" s="3439"/>
      <c r="E23" s="3439"/>
      <c r="F23" s="3440"/>
      <c r="G23" s="2802"/>
      <c r="H23" s="2802"/>
      <c r="I23" s="3385"/>
      <c r="J23" s="3445"/>
      <c r="K23" s="3353"/>
      <c r="L23" s="3353"/>
      <c r="M23" s="3351"/>
      <c r="N23" s="2430"/>
      <c r="O23" s="3351"/>
      <c r="P23" s="3353"/>
      <c r="Q23" s="3355"/>
      <c r="R23" s="3389"/>
      <c r="S23" s="3353"/>
      <c r="T23" s="3360"/>
      <c r="U23" s="3448"/>
      <c r="V23" s="3406">
        <f>0+50000000</f>
        <v>50000000</v>
      </c>
      <c r="W23" s="3446">
        <v>88</v>
      </c>
      <c r="X23" s="3447" t="s">
        <v>2444</v>
      </c>
      <c r="Y23" s="3410"/>
      <c r="Z23" s="3334"/>
      <c r="AA23" s="3334"/>
      <c r="AB23" s="3334"/>
      <c r="AC23" s="3334"/>
      <c r="AD23" s="3372"/>
      <c r="AE23" s="3393"/>
      <c r="AF23" s="2428"/>
      <c r="AG23" s="2428"/>
      <c r="AH23" s="2428"/>
      <c r="AI23" s="2428"/>
      <c r="AJ23" s="2428"/>
      <c r="AK23" s="2428"/>
      <c r="AL23" s="2428"/>
      <c r="AM23" s="2428"/>
      <c r="AN23" s="3334"/>
      <c r="AO23" s="3336"/>
      <c r="AP23" s="3336"/>
      <c r="AQ23" s="3339"/>
    </row>
    <row r="24" spans="1:43" ht="43.5" customHeight="1" x14ac:dyDescent="0.2">
      <c r="A24" s="3467"/>
      <c r="B24" s="3468"/>
      <c r="C24" s="3469"/>
      <c r="D24" s="3439"/>
      <c r="E24" s="3439"/>
      <c r="F24" s="3440"/>
      <c r="G24" s="2802"/>
      <c r="H24" s="2802"/>
      <c r="I24" s="3385"/>
      <c r="J24" s="3445"/>
      <c r="K24" s="3353"/>
      <c r="L24" s="3353"/>
      <c r="M24" s="3351"/>
      <c r="N24" s="2430" t="s">
        <v>2456</v>
      </c>
      <c r="O24" s="3351"/>
      <c r="P24" s="3353"/>
      <c r="Q24" s="3355"/>
      <c r="R24" s="3389"/>
      <c r="S24" s="3353"/>
      <c r="T24" s="3360"/>
      <c r="U24" s="3448"/>
      <c r="V24" s="3406"/>
      <c r="W24" s="3446"/>
      <c r="X24" s="3447"/>
      <c r="Y24" s="3410"/>
      <c r="Z24" s="3334"/>
      <c r="AA24" s="3334"/>
      <c r="AB24" s="3334"/>
      <c r="AC24" s="3334"/>
      <c r="AD24" s="3372"/>
      <c r="AE24" s="3393"/>
      <c r="AF24" s="2428"/>
      <c r="AG24" s="2428"/>
      <c r="AH24" s="2428"/>
      <c r="AI24" s="2428"/>
      <c r="AJ24" s="2428"/>
      <c r="AK24" s="2428"/>
      <c r="AL24" s="2428"/>
      <c r="AM24" s="2428"/>
      <c r="AN24" s="3334"/>
      <c r="AO24" s="3336"/>
      <c r="AP24" s="3336"/>
      <c r="AQ24" s="3339"/>
    </row>
    <row r="25" spans="1:43" ht="43.5" customHeight="1" x14ac:dyDescent="0.2">
      <c r="A25" s="3467"/>
      <c r="B25" s="3468"/>
      <c r="C25" s="3469"/>
      <c r="D25" s="3439"/>
      <c r="E25" s="3439"/>
      <c r="F25" s="3440"/>
      <c r="G25" s="2802"/>
      <c r="H25" s="2802"/>
      <c r="I25" s="3385"/>
      <c r="J25" s="3444">
        <v>41</v>
      </c>
      <c r="K25" s="3352" t="s">
        <v>2457</v>
      </c>
      <c r="L25" s="3352" t="s">
        <v>2458</v>
      </c>
      <c r="M25" s="3350">
        <v>1</v>
      </c>
      <c r="N25" s="2430"/>
      <c r="O25" s="3351"/>
      <c r="P25" s="3353"/>
      <c r="Q25" s="3354">
        <f>(V25)/R22</f>
        <v>0.19196601004248745</v>
      </c>
      <c r="R25" s="3389"/>
      <c r="S25" s="3353"/>
      <c r="T25" s="3378" t="s">
        <v>2459</v>
      </c>
      <c r="U25" s="3367" t="s">
        <v>2460</v>
      </c>
      <c r="V25" s="3390">
        <v>24850000</v>
      </c>
      <c r="W25" s="3372">
        <v>20</v>
      </c>
      <c r="X25" s="3351" t="s">
        <v>2442</v>
      </c>
      <c r="Y25" s="3334"/>
      <c r="Z25" s="3334"/>
      <c r="AA25" s="3334"/>
      <c r="AB25" s="3334"/>
      <c r="AC25" s="3334"/>
      <c r="AD25" s="3372"/>
      <c r="AE25" s="3393"/>
      <c r="AF25" s="2428"/>
      <c r="AG25" s="2428"/>
      <c r="AH25" s="2428"/>
      <c r="AI25" s="2428"/>
      <c r="AJ25" s="2428"/>
      <c r="AK25" s="2428"/>
      <c r="AL25" s="2428"/>
      <c r="AM25" s="2428"/>
      <c r="AN25" s="3334"/>
      <c r="AO25" s="3336"/>
      <c r="AP25" s="3336"/>
      <c r="AQ25" s="3339"/>
    </row>
    <row r="26" spans="1:43" ht="43.5" customHeight="1" x14ac:dyDescent="0.2">
      <c r="A26" s="3467"/>
      <c r="B26" s="3468"/>
      <c r="C26" s="3469"/>
      <c r="D26" s="3439"/>
      <c r="E26" s="3439"/>
      <c r="F26" s="3440"/>
      <c r="G26" s="2802"/>
      <c r="H26" s="2802"/>
      <c r="I26" s="3385"/>
      <c r="J26" s="3445"/>
      <c r="K26" s="3353"/>
      <c r="L26" s="3353"/>
      <c r="M26" s="3351"/>
      <c r="N26" s="2430" t="s">
        <v>2461</v>
      </c>
      <c r="O26" s="3351"/>
      <c r="P26" s="3353"/>
      <c r="Q26" s="3355"/>
      <c r="R26" s="3389"/>
      <c r="S26" s="3353"/>
      <c r="T26" s="3360"/>
      <c r="U26" s="3395"/>
      <c r="V26" s="3369"/>
      <c r="W26" s="3372"/>
      <c r="X26" s="3351"/>
      <c r="Y26" s="3334"/>
      <c r="Z26" s="3334"/>
      <c r="AA26" s="3334"/>
      <c r="AB26" s="3334"/>
      <c r="AC26" s="3334"/>
      <c r="AD26" s="3372"/>
      <c r="AE26" s="3393"/>
      <c r="AF26" s="2428"/>
      <c r="AG26" s="2428"/>
      <c r="AH26" s="2428"/>
      <c r="AI26" s="2428"/>
      <c r="AJ26" s="2428"/>
      <c r="AK26" s="2428"/>
      <c r="AL26" s="2428"/>
      <c r="AM26" s="2428"/>
      <c r="AN26" s="3334"/>
      <c r="AO26" s="3336"/>
      <c r="AP26" s="3336"/>
      <c r="AQ26" s="3339"/>
    </row>
    <row r="27" spans="1:43" ht="43.5" customHeight="1" x14ac:dyDescent="0.2">
      <c r="A27" s="3467"/>
      <c r="B27" s="3468"/>
      <c r="C27" s="3469"/>
      <c r="D27" s="3439"/>
      <c r="E27" s="3439"/>
      <c r="F27" s="3440"/>
      <c r="G27" s="2802"/>
      <c r="H27" s="2802"/>
      <c r="I27" s="3385"/>
      <c r="J27" s="3445"/>
      <c r="K27" s="3353"/>
      <c r="L27" s="3353"/>
      <c r="M27" s="3351"/>
      <c r="N27" s="2430"/>
      <c r="O27" s="3351"/>
      <c r="P27" s="3353"/>
      <c r="Q27" s="3355"/>
      <c r="R27" s="3389"/>
      <c r="S27" s="3353"/>
      <c r="T27" s="3360"/>
      <c r="U27" s="3368"/>
      <c r="V27" s="3369"/>
      <c r="W27" s="3373"/>
      <c r="X27" s="3380"/>
      <c r="Y27" s="3334"/>
      <c r="Z27" s="3334"/>
      <c r="AA27" s="3334"/>
      <c r="AB27" s="3334"/>
      <c r="AC27" s="3334"/>
      <c r="AD27" s="3372"/>
      <c r="AE27" s="3393"/>
      <c r="AF27" s="2428"/>
      <c r="AG27" s="2428"/>
      <c r="AH27" s="2428"/>
      <c r="AI27" s="2428"/>
      <c r="AJ27" s="2428"/>
      <c r="AK27" s="2428"/>
      <c r="AL27" s="2428"/>
      <c r="AM27" s="2428"/>
      <c r="AN27" s="3334"/>
      <c r="AO27" s="3336"/>
      <c r="AP27" s="3336"/>
      <c r="AQ27" s="3339"/>
    </row>
    <row r="28" spans="1:43" ht="43.5" customHeight="1" x14ac:dyDescent="0.2">
      <c r="A28" s="3467"/>
      <c r="B28" s="3468"/>
      <c r="C28" s="3469"/>
      <c r="D28" s="3439"/>
      <c r="E28" s="3439"/>
      <c r="F28" s="3440"/>
      <c r="G28" s="2802"/>
      <c r="H28" s="2802"/>
      <c r="I28" s="3385"/>
      <c r="J28" s="3444">
        <v>42</v>
      </c>
      <c r="K28" s="3352" t="s">
        <v>2462</v>
      </c>
      <c r="L28" s="3352" t="s">
        <v>2463</v>
      </c>
      <c r="M28" s="3350">
        <v>1</v>
      </c>
      <c r="N28" s="2430"/>
      <c r="O28" s="3351"/>
      <c r="P28" s="3353"/>
      <c r="Q28" s="3354">
        <f>(V28)/R22</f>
        <v>0.26844341444573194</v>
      </c>
      <c r="R28" s="3389"/>
      <c r="S28" s="3353"/>
      <c r="T28" s="3360"/>
      <c r="U28" s="3367" t="s">
        <v>2464</v>
      </c>
      <c r="V28" s="3369">
        <v>34750000</v>
      </c>
      <c r="W28" s="3371">
        <v>20</v>
      </c>
      <c r="X28" s="3350" t="s">
        <v>2442</v>
      </c>
      <c r="Y28" s="3334"/>
      <c r="Z28" s="3334"/>
      <c r="AA28" s="3334"/>
      <c r="AB28" s="3334"/>
      <c r="AC28" s="3334"/>
      <c r="AD28" s="3372"/>
      <c r="AE28" s="3393"/>
      <c r="AF28" s="2428"/>
      <c r="AG28" s="2428"/>
      <c r="AH28" s="2428"/>
      <c r="AI28" s="2428"/>
      <c r="AJ28" s="2428"/>
      <c r="AK28" s="2428"/>
      <c r="AL28" s="2428"/>
      <c r="AM28" s="2428"/>
      <c r="AN28" s="3334"/>
      <c r="AO28" s="3336"/>
      <c r="AP28" s="3336"/>
      <c r="AQ28" s="3339"/>
    </row>
    <row r="29" spans="1:43" ht="43.5" customHeight="1" x14ac:dyDescent="0.2">
      <c r="A29" s="3467"/>
      <c r="B29" s="3468"/>
      <c r="C29" s="3469"/>
      <c r="D29" s="3439"/>
      <c r="E29" s="3439"/>
      <c r="F29" s="3440"/>
      <c r="G29" s="2802"/>
      <c r="H29" s="2802"/>
      <c r="I29" s="3385"/>
      <c r="J29" s="3445"/>
      <c r="K29" s="3353"/>
      <c r="L29" s="3353"/>
      <c r="M29" s="3351"/>
      <c r="N29" s="2430"/>
      <c r="O29" s="3351"/>
      <c r="P29" s="3353"/>
      <c r="Q29" s="3355"/>
      <c r="R29" s="3389"/>
      <c r="S29" s="3353"/>
      <c r="T29" s="3360"/>
      <c r="U29" s="3395"/>
      <c r="V29" s="3369"/>
      <c r="W29" s="3372"/>
      <c r="X29" s="3351"/>
      <c r="Y29" s="3334"/>
      <c r="Z29" s="3334"/>
      <c r="AA29" s="3334"/>
      <c r="AB29" s="3334"/>
      <c r="AC29" s="3334"/>
      <c r="AD29" s="3372"/>
      <c r="AE29" s="3393"/>
      <c r="AF29" s="2428"/>
      <c r="AG29" s="2428"/>
      <c r="AH29" s="2428"/>
      <c r="AI29" s="2428"/>
      <c r="AJ29" s="2428"/>
      <c r="AK29" s="2428"/>
      <c r="AL29" s="2428"/>
      <c r="AM29" s="2428"/>
      <c r="AN29" s="3334"/>
      <c r="AO29" s="3336"/>
      <c r="AP29" s="3336"/>
      <c r="AQ29" s="3339"/>
    </row>
    <row r="30" spans="1:43" ht="43.5" customHeight="1" x14ac:dyDescent="0.2">
      <c r="A30" s="3467"/>
      <c r="B30" s="3468"/>
      <c r="C30" s="3469"/>
      <c r="D30" s="3439"/>
      <c r="E30" s="3439"/>
      <c r="F30" s="3440"/>
      <c r="G30" s="3471"/>
      <c r="H30" s="3471"/>
      <c r="I30" s="3386"/>
      <c r="J30" s="3445"/>
      <c r="K30" s="3353"/>
      <c r="L30" s="3353"/>
      <c r="M30" s="3351"/>
      <c r="N30" s="2430"/>
      <c r="O30" s="3351"/>
      <c r="P30" s="3353"/>
      <c r="Q30" s="3355"/>
      <c r="R30" s="3389"/>
      <c r="S30" s="3353"/>
      <c r="T30" s="3379"/>
      <c r="U30" s="3395"/>
      <c r="V30" s="3369"/>
      <c r="W30" s="3373"/>
      <c r="X30" s="3380"/>
      <c r="Y30" s="3374"/>
      <c r="Z30" s="3374"/>
      <c r="AA30" s="3374"/>
      <c r="AB30" s="3374"/>
      <c r="AC30" s="3374"/>
      <c r="AD30" s="3373"/>
      <c r="AE30" s="3394"/>
      <c r="AF30" s="2429"/>
      <c r="AG30" s="2429"/>
      <c r="AH30" s="2429"/>
      <c r="AI30" s="2429"/>
      <c r="AJ30" s="2429"/>
      <c r="AK30" s="2429"/>
      <c r="AL30" s="2429"/>
      <c r="AM30" s="2429"/>
      <c r="AN30" s="3374"/>
      <c r="AO30" s="3375"/>
      <c r="AP30" s="3375"/>
      <c r="AQ30" s="3339"/>
    </row>
    <row r="31" spans="1:43" ht="43.5" customHeight="1" x14ac:dyDescent="0.2">
      <c r="A31" s="3467"/>
      <c r="B31" s="3468"/>
      <c r="C31" s="3469"/>
      <c r="D31" s="3439"/>
      <c r="E31" s="3439"/>
      <c r="F31" s="3440"/>
      <c r="G31" s="2410">
        <v>9</v>
      </c>
      <c r="H31" s="1964" t="s">
        <v>2465</v>
      </c>
      <c r="I31" s="1964"/>
      <c r="J31" s="1254"/>
      <c r="K31" s="2411"/>
      <c r="L31" s="2411"/>
      <c r="M31" s="1254"/>
      <c r="N31" s="2417"/>
      <c r="O31" s="2412"/>
      <c r="P31" s="2411"/>
      <c r="Q31" s="1258"/>
      <c r="R31" s="2414"/>
      <c r="S31" s="2411"/>
      <c r="T31" s="1255"/>
      <c r="U31" s="1255"/>
      <c r="V31" s="2433"/>
      <c r="W31" s="1261"/>
      <c r="X31" s="1256"/>
      <c r="Y31" s="2418"/>
      <c r="Z31" s="2418"/>
      <c r="AA31" s="1254"/>
      <c r="AB31" s="1254"/>
      <c r="AC31" s="1254"/>
      <c r="AD31" s="1254"/>
      <c r="AE31" s="1254"/>
      <c r="AF31" s="1254"/>
      <c r="AG31" s="1254"/>
      <c r="AH31" s="1254"/>
      <c r="AI31" s="1254"/>
      <c r="AJ31" s="1254"/>
      <c r="AK31" s="1254"/>
      <c r="AL31" s="1254"/>
      <c r="AM31" s="1254"/>
      <c r="AN31" s="2418"/>
      <c r="AO31" s="2434"/>
      <c r="AP31" s="2434"/>
      <c r="AQ31" s="2435"/>
    </row>
    <row r="32" spans="1:43" ht="43.5" customHeight="1" x14ac:dyDescent="0.2">
      <c r="A32" s="3467"/>
      <c r="B32" s="3468"/>
      <c r="C32" s="3469"/>
      <c r="D32" s="3439"/>
      <c r="E32" s="3439"/>
      <c r="F32" s="3440"/>
      <c r="G32" s="3435"/>
      <c r="H32" s="3436"/>
      <c r="I32" s="3437"/>
      <c r="J32" s="2805">
        <v>44</v>
      </c>
      <c r="K32" s="3421" t="s">
        <v>2466</v>
      </c>
      <c r="L32" s="3421" t="s">
        <v>2467</v>
      </c>
      <c r="M32" s="3396">
        <v>1</v>
      </c>
      <c r="N32" s="2436"/>
      <c r="O32" s="3351" t="s">
        <v>2468</v>
      </c>
      <c r="P32" s="3395" t="s">
        <v>2469</v>
      </c>
      <c r="Q32" s="3417">
        <f>SUM(V32:V37)/R32</f>
        <v>0.11753978779840848</v>
      </c>
      <c r="R32" s="3430">
        <f>SUM(V32:V47)</f>
        <v>603200000</v>
      </c>
      <c r="S32" s="3353" t="s">
        <v>2470</v>
      </c>
      <c r="T32" s="3378" t="s">
        <v>2471</v>
      </c>
      <c r="U32" s="3399" t="s">
        <v>2472</v>
      </c>
      <c r="V32" s="2437">
        <v>16910000</v>
      </c>
      <c r="W32" s="2438">
        <v>20</v>
      </c>
      <c r="X32" s="1270" t="s">
        <v>2442</v>
      </c>
      <c r="Y32" s="3431">
        <v>294321</v>
      </c>
      <c r="Z32" s="3334">
        <v>283947</v>
      </c>
      <c r="AA32" s="3334">
        <v>135754</v>
      </c>
      <c r="AB32" s="3334">
        <v>44640</v>
      </c>
      <c r="AC32" s="3334">
        <v>308178</v>
      </c>
      <c r="AD32" s="3372">
        <v>89696</v>
      </c>
      <c r="AE32" s="3427"/>
      <c r="AF32" s="2428"/>
      <c r="AG32" s="2428"/>
      <c r="AH32" s="2428"/>
      <c r="AI32" s="2428"/>
      <c r="AJ32" s="2428"/>
      <c r="AK32" s="2428"/>
      <c r="AL32" s="2428"/>
      <c r="AM32" s="2428"/>
      <c r="AN32" s="3334">
        <f>+Y32+Z32</f>
        <v>578268</v>
      </c>
      <c r="AO32" s="3336">
        <v>43467</v>
      </c>
      <c r="AP32" s="3336">
        <v>43830</v>
      </c>
      <c r="AQ32" s="3338" t="s">
        <v>2443</v>
      </c>
    </row>
    <row r="33" spans="1:44" ht="43.5" customHeight="1" x14ac:dyDescent="0.2">
      <c r="A33" s="3467"/>
      <c r="B33" s="3468"/>
      <c r="C33" s="3469"/>
      <c r="D33" s="3439"/>
      <c r="E33" s="3439"/>
      <c r="F33" s="3440"/>
      <c r="G33" s="3438"/>
      <c r="H33" s="3439"/>
      <c r="I33" s="3440"/>
      <c r="J33" s="2805"/>
      <c r="K33" s="3421"/>
      <c r="L33" s="3421"/>
      <c r="M33" s="3396"/>
      <c r="N33" s="2436"/>
      <c r="O33" s="3351"/>
      <c r="P33" s="3395"/>
      <c r="Q33" s="3417"/>
      <c r="R33" s="3430"/>
      <c r="S33" s="3353"/>
      <c r="T33" s="3360"/>
      <c r="U33" s="3343"/>
      <c r="V33" s="3406">
        <f>0+39400000</f>
        <v>39400000</v>
      </c>
      <c r="W33" s="3424">
        <v>88</v>
      </c>
      <c r="X33" s="3349" t="s">
        <v>2444</v>
      </c>
      <c r="Y33" s="3431"/>
      <c r="Z33" s="3334"/>
      <c r="AA33" s="3334"/>
      <c r="AB33" s="3334"/>
      <c r="AC33" s="3334"/>
      <c r="AD33" s="3372"/>
      <c r="AE33" s="3428"/>
      <c r="AF33" s="2428"/>
      <c r="AG33" s="2428"/>
      <c r="AH33" s="2428"/>
      <c r="AI33" s="2428"/>
      <c r="AJ33" s="2428"/>
      <c r="AK33" s="2428"/>
      <c r="AL33" s="2428"/>
      <c r="AM33" s="2428"/>
      <c r="AN33" s="3334"/>
      <c r="AO33" s="3336"/>
      <c r="AP33" s="3336"/>
      <c r="AQ33" s="3339"/>
    </row>
    <row r="34" spans="1:44" ht="43.5" customHeight="1" x14ac:dyDescent="0.2">
      <c r="A34" s="3467"/>
      <c r="B34" s="3468"/>
      <c r="C34" s="3469"/>
      <c r="D34" s="3439"/>
      <c r="E34" s="3439"/>
      <c r="F34" s="3440"/>
      <c r="G34" s="3438"/>
      <c r="H34" s="3439"/>
      <c r="I34" s="3440"/>
      <c r="J34" s="2805"/>
      <c r="K34" s="3421"/>
      <c r="L34" s="3421"/>
      <c r="M34" s="3396"/>
      <c r="N34" s="2436"/>
      <c r="O34" s="3351"/>
      <c r="P34" s="3395"/>
      <c r="Q34" s="3417"/>
      <c r="R34" s="3430"/>
      <c r="S34" s="3353"/>
      <c r="T34" s="3360"/>
      <c r="U34" s="3343"/>
      <c r="V34" s="3406"/>
      <c r="W34" s="3425"/>
      <c r="X34" s="3426"/>
      <c r="Y34" s="3431"/>
      <c r="Z34" s="3334"/>
      <c r="AA34" s="3334"/>
      <c r="AB34" s="3334"/>
      <c r="AC34" s="3334"/>
      <c r="AD34" s="3372"/>
      <c r="AE34" s="3428"/>
      <c r="AF34" s="2428"/>
      <c r="AG34" s="2428"/>
      <c r="AH34" s="2428"/>
      <c r="AI34" s="2428"/>
      <c r="AJ34" s="2428"/>
      <c r="AK34" s="2428"/>
      <c r="AL34" s="2428"/>
      <c r="AM34" s="2428"/>
      <c r="AN34" s="3334"/>
      <c r="AO34" s="3336"/>
      <c r="AP34" s="3336"/>
      <c r="AQ34" s="3339"/>
    </row>
    <row r="35" spans="1:44" ht="43.5" customHeight="1" x14ac:dyDescent="0.2">
      <c r="A35" s="3467"/>
      <c r="B35" s="3468"/>
      <c r="C35" s="3469"/>
      <c r="D35" s="3439"/>
      <c r="E35" s="3439"/>
      <c r="F35" s="3440"/>
      <c r="G35" s="3438"/>
      <c r="H35" s="3439"/>
      <c r="I35" s="3440"/>
      <c r="J35" s="2805"/>
      <c r="K35" s="3421"/>
      <c r="L35" s="3421"/>
      <c r="M35" s="3396"/>
      <c r="N35" s="2436"/>
      <c r="O35" s="3351"/>
      <c r="P35" s="3395"/>
      <c r="Q35" s="3417"/>
      <c r="R35" s="3430"/>
      <c r="S35" s="3353"/>
      <c r="T35" s="3359"/>
      <c r="U35" s="3434" t="s">
        <v>2473</v>
      </c>
      <c r="V35" s="3406">
        <v>14590000</v>
      </c>
      <c r="W35" s="3424">
        <v>20</v>
      </c>
      <c r="X35" s="3349" t="s">
        <v>2442</v>
      </c>
      <c r="Y35" s="3431"/>
      <c r="Z35" s="3334"/>
      <c r="AA35" s="3334"/>
      <c r="AB35" s="3334"/>
      <c r="AC35" s="3334"/>
      <c r="AD35" s="3372"/>
      <c r="AE35" s="3428"/>
      <c r="AF35" s="2428"/>
      <c r="AG35" s="2428"/>
      <c r="AH35" s="2428"/>
      <c r="AI35" s="2428"/>
      <c r="AJ35" s="2428"/>
      <c r="AK35" s="2428"/>
      <c r="AL35" s="2428"/>
      <c r="AM35" s="2428"/>
      <c r="AN35" s="3334"/>
      <c r="AO35" s="3336"/>
      <c r="AP35" s="3336"/>
      <c r="AQ35" s="3339"/>
    </row>
    <row r="36" spans="1:44" ht="43.5" customHeight="1" x14ac:dyDescent="0.2">
      <c r="A36" s="3467"/>
      <c r="B36" s="3468"/>
      <c r="C36" s="3469"/>
      <c r="D36" s="3439"/>
      <c r="E36" s="3439"/>
      <c r="F36" s="3440"/>
      <c r="G36" s="3438"/>
      <c r="H36" s="3439"/>
      <c r="I36" s="3440"/>
      <c r="J36" s="2805"/>
      <c r="K36" s="3421"/>
      <c r="L36" s="3421"/>
      <c r="M36" s="3396"/>
      <c r="N36" s="2436"/>
      <c r="O36" s="3351"/>
      <c r="P36" s="3395"/>
      <c r="Q36" s="3417"/>
      <c r="R36" s="3430"/>
      <c r="S36" s="3353"/>
      <c r="T36" s="3359"/>
      <c r="U36" s="3434"/>
      <c r="V36" s="3406"/>
      <c r="W36" s="3424"/>
      <c r="X36" s="3349"/>
      <c r="Y36" s="3431"/>
      <c r="Z36" s="3334"/>
      <c r="AA36" s="3334"/>
      <c r="AB36" s="3334"/>
      <c r="AC36" s="3334"/>
      <c r="AD36" s="3372"/>
      <c r="AE36" s="3428"/>
      <c r="AF36" s="2428"/>
      <c r="AG36" s="2428"/>
      <c r="AH36" s="2428"/>
      <c r="AI36" s="2428"/>
      <c r="AJ36" s="2428"/>
      <c r="AK36" s="2428"/>
      <c r="AL36" s="2428"/>
      <c r="AM36" s="2428"/>
      <c r="AN36" s="3334"/>
      <c r="AO36" s="3336"/>
      <c r="AP36" s="3336"/>
      <c r="AQ36" s="3339"/>
    </row>
    <row r="37" spans="1:44" ht="43.5" customHeight="1" x14ac:dyDescent="0.2">
      <c r="A37" s="3467"/>
      <c r="B37" s="3468"/>
      <c r="C37" s="3469"/>
      <c r="D37" s="3439"/>
      <c r="E37" s="3439"/>
      <c r="F37" s="3440"/>
      <c r="G37" s="3438"/>
      <c r="H37" s="3439"/>
      <c r="I37" s="3440"/>
      <c r="J37" s="2805"/>
      <c r="K37" s="3421"/>
      <c r="L37" s="3421"/>
      <c r="M37" s="3396"/>
      <c r="N37" s="2436"/>
      <c r="O37" s="3351"/>
      <c r="P37" s="3395"/>
      <c r="Q37" s="3417"/>
      <c r="R37" s="3430"/>
      <c r="S37" s="3353"/>
      <c r="T37" s="3359"/>
      <c r="U37" s="3434"/>
      <c r="V37" s="3406"/>
      <c r="W37" s="3424"/>
      <c r="X37" s="3349"/>
      <c r="Y37" s="3431"/>
      <c r="Z37" s="3334"/>
      <c r="AA37" s="3334"/>
      <c r="AB37" s="3334"/>
      <c r="AC37" s="3334"/>
      <c r="AD37" s="3372"/>
      <c r="AE37" s="3428"/>
      <c r="AF37" s="2428"/>
      <c r="AG37" s="2428"/>
      <c r="AH37" s="2428"/>
      <c r="AI37" s="2428"/>
      <c r="AJ37" s="2428"/>
      <c r="AK37" s="2428"/>
      <c r="AL37" s="2428"/>
      <c r="AM37" s="2428"/>
      <c r="AN37" s="3334"/>
      <c r="AO37" s="3336"/>
      <c r="AP37" s="3336"/>
      <c r="AQ37" s="3339"/>
    </row>
    <row r="38" spans="1:44" ht="93.75" customHeight="1" x14ac:dyDescent="0.2">
      <c r="A38" s="3467"/>
      <c r="B38" s="3468"/>
      <c r="C38" s="3469"/>
      <c r="D38" s="3439"/>
      <c r="E38" s="3439"/>
      <c r="F38" s="3440"/>
      <c r="G38" s="3438"/>
      <c r="H38" s="3439"/>
      <c r="I38" s="3440"/>
      <c r="J38" s="2805">
        <v>43</v>
      </c>
      <c r="K38" s="3421" t="s">
        <v>2474</v>
      </c>
      <c r="L38" s="3421" t="s">
        <v>2475</v>
      </c>
      <c r="M38" s="3396">
        <v>3</v>
      </c>
      <c r="N38" s="2436"/>
      <c r="O38" s="3351"/>
      <c r="P38" s="3395"/>
      <c r="Q38" s="3417">
        <f>SUM(V38:V39)/R32</f>
        <v>0.47049071618037136</v>
      </c>
      <c r="R38" s="3430"/>
      <c r="S38" s="3353"/>
      <c r="T38" s="3422" t="s">
        <v>2476</v>
      </c>
      <c r="U38" s="2439" t="s">
        <v>2477</v>
      </c>
      <c r="V38" s="2437">
        <v>28800000</v>
      </c>
      <c r="W38" s="2438">
        <v>20</v>
      </c>
      <c r="X38" s="1270" t="s">
        <v>2442</v>
      </c>
      <c r="Y38" s="3431"/>
      <c r="Z38" s="3334"/>
      <c r="AA38" s="3334"/>
      <c r="AB38" s="3334"/>
      <c r="AC38" s="3334"/>
      <c r="AD38" s="3372"/>
      <c r="AE38" s="3428"/>
      <c r="AF38" s="2428"/>
      <c r="AG38" s="2428"/>
      <c r="AH38" s="2428"/>
      <c r="AI38" s="2428"/>
      <c r="AJ38" s="2428"/>
      <c r="AK38" s="2428"/>
      <c r="AL38" s="2428"/>
      <c r="AM38" s="2428"/>
      <c r="AN38" s="3334"/>
      <c r="AO38" s="3336"/>
      <c r="AP38" s="3336"/>
      <c r="AQ38" s="3339"/>
    </row>
    <row r="39" spans="1:44" ht="144.75" customHeight="1" x14ac:dyDescent="0.2">
      <c r="A39" s="3467"/>
      <c r="B39" s="3468"/>
      <c r="C39" s="3469"/>
      <c r="D39" s="3439"/>
      <c r="E39" s="3439"/>
      <c r="F39" s="3440"/>
      <c r="G39" s="3438"/>
      <c r="H39" s="3439"/>
      <c r="I39" s="3440"/>
      <c r="J39" s="2805"/>
      <c r="K39" s="3421"/>
      <c r="L39" s="3421"/>
      <c r="M39" s="3396"/>
      <c r="N39" s="2430" t="s">
        <v>2478</v>
      </c>
      <c r="O39" s="3351"/>
      <c r="P39" s="3395"/>
      <c r="Q39" s="3417"/>
      <c r="R39" s="3430"/>
      <c r="S39" s="3353"/>
      <c r="T39" s="3422"/>
      <c r="U39" s="2439" t="s">
        <v>2479</v>
      </c>
      <c r="V39" s="2437">
        <v>255000000</v>
      </c>
      <c r="W39" s="2438">
        <v>88</v>
      </c>
      <c r="X39" s="1270" t="s">
        <v>2444</v>
      </c>
      <c r="Y39" s="3431"/>
      <c r="Z39" s="3334"/>
      <c r="AA39" s="3334"/>
      <c r="AB39" s="3334"/>
      <c r="AC39" s="3334"/>
      <c r="AD39" s="3372"/>
      <c r="AE39" s="3428"/>
      <c r="AF39" s="2428"/>
      <c r="AG39" s="2428"/>
      <c r="AH39" s="2428"/>
      <c r="AI39" s="2428"/>
      <c r="AJ39" s="2428"/>
      <c r="AK39" s="2428"/>
      <c r="AL39" s="2428"/>
      <c r="AM39" s="2428"/>
      <c r="AN39" s="3334"/>
      <c r="AO39" s="3336"/>
      <c r="AP39" s="3336"/>
      <c r="AQ39" s="3339"/>
      <c r="AR39" s="2440"/>
    </row>
    <row r="40" spans="1:44" ht="43.5" customHeight="1" x14ac:dyDescent="0.2">
      <c r="A40" s="3467"/>
      <c r="B40" s="3468"/>
      <c r="C40" s="3469"/>
      <c r="D40" s="3439"/>
      <c r="E40" s="3439"/>
      <c r="F40" s="3440"/>
      <c r="G40" s="3438"/>
      <c r="H40" s="3439"/>
      <c r="I40" s="3440"/>
      <c r="J40" s="2805">
        <v>45</v>
      </c>
      <c r="K40" s="3421" t="s">
        <v>2480</v>
      </c>
      <c r="L40" s="3421" t="s">
        <v>2475</v>
      </c>
      <c r="M40" s="3396">
        <v>4</v>
      </c>
      <c r="N40" s="2430" t="s">
        <v>2481</v>
      </c>
      <c r="O40" s="3351"/>
      <c r="P40" s="3395"/>
      <c r="Q40" s="3417">
        <f>SUM(V40:V43)/R32</f>
        <v>0.16329575596816975</v>
      </c>
      <c r="R40" s="3430"/>
      <c r="S40" s="3353"/>
      <c r="T40" s="3423"/>
      <c r="U40" s="3418" t="s">
        <v>2482</v>
      </c>
      <c r="V40" s="3406">
        <v>98500000</v>
      </c>
      <c r="W40" s="3420">
        <v>20</v>
      </c>
      <c r="X40" s="2801" t="s">
        <v>2442</v>
      </c>
      <c r="Y40" s="3432"/>
      <c r="Z40" s="3334"/>
      <c r="AA40" s="3334"/>
      <c r="AB40" s="3334"/>
      <c r="AC40" s="3334"/>
      <c r="AD40" s="3372"/>
      <c r="AE40" s="3428"/>
      <c r="AF40" s="2428"/>
      <c r="AG40" s="2428"/>
      <c r="AH40" s="2428"/>
      <c r="AI40" s="2428"/>
      <c r="AJ40" s="2428"/>
      <c r="AK40" s="2428"/>
      <c r="AL40" s="2428"/>
      <c r="AM40" s="2428"/>
      <c r="AN40" s="3334"/>
      <c r="AO40" s="3336"/>
      <c r="AP40" s="3336"/>
      <c r="AQ40" s="3339"/>
    </row>
    <row r="41" spans="1:44" ht="43.5" customHeight="1" x14ac:dyDescent="0.2">
      <c r="A41" s="3467"/>
      <c r="B41" s="3468"/>
      <c r="C41" s="3469"/>
      <c r="D41" s="3439"/>
      <c r="E41" s="3439"/>
      <c r="F41" s="3440"/>
      <c r="G41" s="3438"/>
      <c r="H41" s="3439"/>
      <c r="I41" s="3440"/>
      <c r="J41" s="2805"/>
      <c r="K41" s="3421"/>
      <c r="L41" s="3421"/>
      <c r="M41" s="3396"/>
      <c r="N41" s="2436"/>
      <c r="O41" s="3351"/>
      <c r="P41" s="3395"/>
      <c r="Q41" s="3417"/>
      <c r="R41" s="3430"/>
      <c r="S41" s="3353"/>
      <c r="T41" s="3423"/>
      <c r="U41" s="3419"/>
      <c r="V41" s="3406"/>
      <c r="W41" s="3420"/>
      <c r="X41" s="2801"/>
      <c r="Y41" s="3432"/>
      <c r="Z41" s="3334"/>
      <c r="AA41" s="3334"/>
      <c r="AB41" s="3334"/>
      <c r="AC41" s="3334"/>
      <c r="AD41" s="3372"/>
      <c r="AE41" s="3428"/>
      <c r="AF41" s="2428"/>
      <c r="AG41" s="2428"/>
      <c r="AH41" s="2428"/>
      <c r="AI41" s="2428"/>
      <c r="AJ41" s="2428"/>
      <c r="AK41" s="2428"/>
      <c r="AL41" s="2428"/>
      <c r="AM41" s="2428"/>
      <c r="AN41" s="3334"/>
      <c r="AO41" s="3336"/>
      <c r="AP41" s="3336"/>
      <c r="AQ41" s="3339"/>
    </row>
    <row r="42" spans="1:44" ht="43.5" customHeight="1" x14ac:dyDescent="0.2">
      <c r="A42" s="3467"/>
      <c r="B42" s="3468"/>
      <c r="C42" s="3469"/>
      <c r="D42" s="3439"/>
      <c r="E42" s="3439"/>
      <c r="F42" s="3440"/>
      <c r="G42" s="3438"/>
      <c r="H42" s="3439"/>
      <c r="I42" s="3440"/>
      <c r="J42" s="2805"/>
      <c r="K42" s="3421"/>
      <c r="L42" s="3421"/>
      <c r="M42" s="3396"/>
      <c r="N42" s="2436"/>
      <c r="O42" s="3351"/>
      <c r="P42" s="3395"/>
      <c r="Q42" s="3417"/>
      <c r="R42" s="3430"/>
      <c r="S42" s="3353"/>
      <c r="T42" s="3423"/>
      <c r="U42" s="3419"/>
      <c r="V42" s="3406"/>
      <c r="W42" s="3420"/>
      <c r="X42" s="2801"/>
      <c r="Y42" s="3432"/>
      <c r="Z42" s="3334"/>
      <c r="AA42" s="3334"/>
      <c r="AB42" s="3334"/>
      <c r="AC42" s="3334"/>
      <c r="AD42" s="3372"/>
      <c r="AE42" s="3428"/>
      <c r="AF42" s="2428"/>
      <c r="AG42" s="2428"/>
      <c r="AH42" s="2428"/>
      <c r="AI42" s="2428"/>
      <c r="AJ42" s="2428"/>
      <c r="AK42" s="2428"/>
      <c r="AL42" s="2428"/>
      <c r="AM42" s="2428"/>
      <c r="AN42" s="3334"/>
      <c r="AO42" s="3336"/>
      <c r="AP42" s="3336"/>
      <c r="AQ42" s="3339"/>
    </row>
    <row r="43" spans="1:44" ht="43.5" customHeight="1" x14ac:dyDescent="0.2">
      <c r="A43" s="3467"/>
      <c r="B43" s="3468"/>
      <c r="C43" s="3469"/>
      <c r="D43" s="3439"/>
      <c r="E43" s="3439"/>
      <c r="F43" s="3440"/>
      <c r="G43" s="3438"/>
      <c r="H43" s="3439"/>
      <c r="I43" s="3440"/>
      <c r="J43" s="2805"/>
      <c r="K43" s="3421"/>
      <c r="L43" s="3421"/>
      <c r="M43" s="3396"/>
      <c r="N43" s="2436"/>
      <c r="O43" s="3351"/>
      <c r="P43" s="3395"/>
      <c r="Q43" s="3417"/>
      <c r="R43" s="3430"/>
      <c r="S43" s="3353"/>
      <c r="T43" s="3423"/>
      <c r="U43" s="3419"/>
      <c r="V43" s="3406"/>
      <c r="W43" s="3420"/>
      <c r="X43" s="2801"/>
      <c r="Y43" s="3432"/>
      <c r="Z43" s="3334"/>
      <c r="AA43" s="3334"/>
      <c r="AB43" s="3334"/>
      <c r="AC43" s="3334"/>
      <c r="AD43" s="3372"/>
      <c r="AE43" s="3428"/>
      <c r="AF43" s="2428"/>
      <c r="AG43" s="2428"/>
      <c r="AH43" s="2428"/>
      <c r="AI43" s="2428"/>
      <c r="AJ43" s="2428"/>
      <c r="AK43" s="2428"/>
      <c r="AL43" s="2428"/>
      <c r="AM43" s="2428"/>
      <c r="AN43" s="3334"/>
      <c r="AO43" s="3336"/>
      <c r="AP43" s="3336"/>
      <c r="AQ43" s="3339"/>
    </row>
    <row r="44" spans="1:44" ht="43.5" customHeight="1" x14ac:dyDescent="0.2">
      <c r="A44" s="3467"/>
      <c r="B44" s="3468"/>
      <c r="C44" s="3469"/>
      <c r="D44" s="3439"/>
      <c r="E44" s="3439"/>
      <c r="F44" s="3440"/>
      <c r="G44" s="3438"/>
      <c r="H44" s="3439"/>
      <c r="I44" s="3440"/>
      <c r="J44" s="2785">
        <v>46</v>
      </c>
      <c r="K44" s="3352" t="s">
        <v>2483</v>
      </c>
      <c r="L44" s="3352" t="s">
        <v>2484</v>
      </c>
      <c r="M44" s="3350">
        <v>1</v>
      </c>
      <c r="N44" s="2436"/>
      <c r="O44" s="3351"/>
      <c r="P44" s="3395"/>
      <c r="Q44" s="3417">
        <f>SUM(V44:V47)/R32</f>
        <v>0.2486737400530504</v>
      </c>
      <c r="R44" s="3430"/>
      <c r="S44" s="3353"/>
      <c r="T44" s="3423"/>
      <c r="U44" s="3399" t="s">
        <v>2485</v>
      </c>
      <c r="V44" s="2437">
        <v>99400000</v>
      </c>
      <c r="W44" s="2438">
        <v>20</v>
      </c>
      <c r="X44" s="1270" t="s">
        <v>2442</v>
      </c>
      <c r="Y44" s="3431"/>
      <c r="Z44" s="3334"/>
      <c r="AA44" s="3334"/>
      <c r="AB44" s="3334"/>
      <c r="AC44" s="3334"/>
      <c r="AD44" s="3372"/>
      <c r="AE44" s="3428"/>
      <c r="AF44" s="2428"/>
      <c r="AG44" s="2428"/>
      <c r="AH44" s="2428"/>
      <c r="AI44" s="2428"/>
      <c r="AJ44" s="2428"/>
      <c r="AK44" s="2428"/>
      <c r="AL44" s="2428"/>
      <c r="AM44" s="2428"/>
      <c r="AN44" s="3334"/>
      <c r="AO44" s="3336"/>
      <c r="AP44" s="3336"/>
      <c r="AQ44" s="3339"/>
    </row>
    <row r="45" spans="1:44" ht="43.5" customHeight="1" x14ac:dyDescent="0.2">
      <c r="A45" s="3467"/>
      <c r="B45" s="3468"/>
      <c r="C45" s="3469"/>
      <c r="D45" s="3439"/>
      <c r="E45" s="3439"/>
      <c r="F45" s="3440"/>
      <c r="G45" s="3438"/>
      <c r="H45" s="3439"/>
      <c r="I45" s="3440"/>
      <c r="J45" s="2803"/>
      <c r="K45" s="3353"/>
      <c r="L45" s="3353"/>
      <c r="M45" s="3351"/>
      <c r="N45" s="2436"/>
      <c r="O45" s="3351"/>
      <c r="P45" s="3395"/>
      <c r="Q45" s="3417"/>
      <c r="R45" s="3430"/>
      <c r="S45" s="3353"/>
      <c r="T45" s="3423"/>
      <c r="U45" s="3343"/>
      <c r="V45" s="3406">
        <f>0+50600000</f>
        <v>50600000</v>
      </c>
      <c r="W45" s="3424">
        <v>88</v>
      </c>
      <c r="X45" s="3349" t="s">
        <v>2444</v>
      </c>
      <c r="Y45" s="3431"/>
      <c r="Z45" s="3334"/>
      <c r="AA45" s="3334"/>
      <c r="AB45" s="3334"/>
      <c r="AC45" s="3334"/>
      <c r="AD45" s="3372"/>
      <c r="AE45" s="3428"/>
      <c r="AF45" s="2428"/>
      <c r="AG45" s="2428"/>
      <c r="AH45" s="2428"/>
      <c r="AI45" s="2428"/>
      <c r="AJ45" s="2428"/>
      <c r="AK45" s="2428"/>
      <c r="AL45" s="2428"/>
      <c r="AM45" s="2428"/>
      <c r="AN45" s="3334"/>
      <c r="AO45" s="3336"/>
      <c r="AP45" s="3336"/>
      <c r="AQ45" s="3339"/>
    </row>
    <row r="46" spans="1:44" ht="43.5" customHeight="1" x14ac:dyDescent="0.2">
      <c r="A46" s="3467"/>
      <c r="B46" s="3468"/>
      <c r="C46" s="3469"/>
      <c r="D46" s="3439"/>
      <c r="E46" s="3439"/>
      <c r="F46" s="3440"/>
      <c r="G46" s="3438"/>
      <c r="H46" s="3439"/>
      <c r="I46" s="3440"/>
      <c r="J46" s="2803"/>
      <c r="K46" s="3353"/>
      <c r="L46" s="3353"/>
      <c r="M46" s="3351"/>
      <c r="N46" s="2436"/>
      <c r="O46" s="3351"/>
      <c r="P46" s="3395"/>
      <c r="Q46" s="3417"/>
      <c r="R46" s="3430"/>
      <c r="S46" s="3353"/>
      <c r="T46" s="3423"/>
      <c r="U46" s="3343"/>
      <c r="V46" s="3406"/>
      <c r="W46" s="3424"/>
      <c r="X46" s="3349"/>
      <c r="Y46" s="3431"/>
      <c r="Z46" s="3334"/>
      <c r="AA46" s="3334"/>
      <c r="AB46" s="3334"/>
      <c r="AC46" s="3334"/>
      <c r="AD46" s="3372"/>
      <c r="AE46" s="3428"/>
      <c r="AF46" s="2428"/>
      <c r="AG46" s="2428"/>
      <c r="AH46" s="2428"/>
      <c r="AI46" s="2428"/>
      <c r="AJ46" s="2428"/>
      <c r="AK46" s="2428"/>
      <c r="AL46" s="2428"/>
      <c r="AM46" s="2428"/>
      <c r="AN46" s="3334"/>
      <c r="AO46" s="3336"/>
      <c r="AP46" s="3336"/>
      <c r="AQ46" s="3339"/>
    </row>
    <row r="47" spans="1:44" ht="43.5" customHeight="1" x14ac:dyDescent="0.2">
      <c r="A47" s="3467"/>
      <c r="B47" s="3468"/>
      <c r="C47" s="3469"/>
      <c r="D47" s="3439"/>
      <c r="E47" s="3439"/>
      <c r="F47" s="3440"/>
      <c r="G47" s="3441"/>
      <c r="H47" s="3442"/>
      <c r="I47" s="3443"/>
      <c r="J47" s="2803"/>
      <c r="K47" s="3353"/>
      <c r="L47" s="3353"/>
      <c r="M47" s="3351"/>
      <c r="N47" s="2436"/>
      <c r="O47" s="3351"/>
      <c r="P47" s="3395"/>
      <c r="Q47" s="3417"/>
      <c r="R47" s="3430"/>
      <c r="S47" s="3353"/>
      <c r="T47" s="3423"/>
      <c r="U47" s="3400"/>
      <c r="V47" s="3406"/>
      <c r="W47" s="3424"/>
      <c r="X47" s="3349"/>
      <c r="Y47" s="3433"/>
      <c r="Z47" s="3374"/>
      <c r="AA47" s="3374"/>
      <c r="AB47" s="3374"/>
      <c r="AC47" s="3374"/>
      <c r="AD47" s="3373"/>
      <c r="AE47" s="3429"/>
      <c r="AF47" s="2429"/>
      <c r="AG47" s="2429"/>
      <c r="AH47" s="2429"/>
      <c r="AI47" s="2429"/>
      <c r="AJ47" s="2429"/>
      <c r="AK47" s="2429"/>
      <c r="AL47" s="2429"/>
      <c r="AM47" s="2429"/>
      <c r="AN47" s="3374"/>
      <c r="AO47" s="3375"/>
      <c r="AP47" s="3375"/>
      <c r="AQ47" s="3339"/>
    </row>
    <row r="48" spans="1:44" ht="43.5" customHeight="1" x14ac:dyDescent="0.2">
      <c r="A48" s="3467"/>
      <c r="B48" s="3468"/>
      <c r="C48" s="3469"/>
      <c r="D48" s="3439"/>
      <c r="E48" s="3439"/>
      <c r="F48" s="3440"/>
      <c r="G48" s="2410">
        <v>10</v>
      </c>
      <c r="H48" s="1964" t="s">
        <v>2486</v>
      </c>
      <c r="I48" s="1964"/>
      <c r="J48" s="1254"/>
      <c r="K48" s="2411"/>
      <c r="L48" s="2411"/>
      <c r="M48" s="1254"/>
      <c r="N48" s="2417"/>
      <c r="O48" s="2412"/>
      <c r="P48" s="2411"/>
      <c r="Q48" s="2441"/>
      <c r="R48" s="2414"/>
      <c r="S48" s="2411"/>
      <c r="T48" s="2411"/>
      <c r="U48" s="1255"/>
      <c r="V48" s="2442"/>
      <c r="W48" s="2443"/>
      <c r="X48" s="2444"/>
      <c r="Y48" s="2418"/>
      <c r="Z48" s="2418"/>
      <c r="AA48" s="1254"/>
      <c r="AB48" s="1254"/>
      <c r="AC48" s="1254"/>
      <c r="AD48" s="1254"/>
      <c r="AE48" s="1254"/>
      <c r="AF48" s="1254"/>
      <c r="AG48" s="1254"/>
      <c r="AH48" s="1254"/>
      <c r="AI48" s="1254"/>
      <c r="AJ48" s="1254"/>
      <c r="AK48" s="1254"/>
      <c r="AL48" s="1254"/>
      <c r="AM48" s="1254"/>
      <c r="AN48" s="2418"/>
      <c r="AO48" s="2434"/>
      <c r="AP48" s="2434"/>
      <c r="AQ48" s="2435"/>
    </row>
    <row r="49" spans="1:43" ht="43.5" customHeight="1" x14ac:dyDescent="0.2">
      <c r="A49" s="3467"/>
      <c r="B49" s="3468"/>
      <c r="C49" s="3469"/>
      <c r="D49" s="3439"/>
      <c r="E49" s="3439"/>
      <c r="F49" s="3440"/>
      <c r="G49" s="3411"/>
      <c r="H49" s="3412"/>
      <c r="I49" s="3413"/>
      <c r="J49" s="2785">
        <v>47</v>
      </c>
      <c r="K49" s="3352" t="s">
        <v>2487</v>
      </c>
      <c r="L49" s="3352" t="s">
        <v>2488</v>
      </c>
      <c r="M49" s="3350">
        <v>48</v>
      </c>
      <c r="N49" s="635"/>
      <c r="O49" s="3350" t="s">
        <v>2489</v>
      </c>
      <c r="P49" s="3352" t="s">
        <v>2490</v>
      </c>
      <c r="Q49" s="3354">
        <f>(V49+V50)/R49</f>
        <v>0.43158041567861627</v>
      </c>
      <c r="R49" s="3388">
        <f>SUM(V49:V57)</f>
        <v>358450000</v>
      </c>
      <c r="S49" s="3352" t="s">
        <v>2491</v>
      </c>
      <c r="T49" s="3358" t="s">
        <v>2492</v>
      </c>
      <c r="U49" s="3340" t="s">
        <v>2493</v>
      </c>
      <c r="V49" s="2437">
        <v>54700000</v>
      </c>
      <c r="W49" s="2427">
        <v>20</v>
      </c>
      <c r="X49" s="1270" t="s">
        <v>2442</v>
      </c>
      <c r="Y49" s="3409">
        <v>294321</v>
      </c>
      <c r="Z49" s="3333">
        <v>283947</v>
      </c>
      <c r="AA49" s="3333">
        <v>135754</v>
      </c>
      <c r="AB49" s="3333">
        <v>44640</v>
      </c>
      <c r="AC49" s="3333">
        <v>308178</v>
      </c>
      <c r="AD49" s="3333"/>
      <c r="AE49" s="3392"/>
      <c r="AF49" s="2425"/>
      <c r="AG49" s="2425"/>
      <c r="AH49" s="2425"/>
      <c r="AI49" s="2425"/>
      <c r="AJ49" s="2425"/>
      <c r="AK49" s="2425"/>
      <c r="AL49" s="2425"/>
      <c r="AM49" s="2425"/>
      <c r="AN49" s="3333">
        <f>+Y49+Z49</f>
        <v>578268</v>
      </c>
      <c r="AO49" s="3335">
        <v>43467</v>
      </c>
      <c r="AP49" s="3335">
        <v>43830</v>
      </c>
      <c r="AQ49" s="3337" t="s">
        <v>2443</v>
      </c>
    </row>
    <row r="50" spans="1:43" ht="43.5" customHeight="1" x14ac:dyDescent="0.2">
      <c r="A50" s="3467"/>
      <c r="B50" s="3468"/>
      <c r="C50" s="3469"/>
      <c r="D50" s="3439"/>
      <c r="E50" s="3439"/>
      <c r="F50" s="3440"/>
      <c r="G50" s="3414"/>
      <c r="H50" s="3415"/>
      <c r="I50" s="3416"/>
      <c r="J50" s="2803"/>
      <c r="K50" s="3353"/>
      <c r="L50" s="3353"/>
      <c r="M50" s="3351"/>
      <c r="N50" s="2430"/>
      <c r="O50" s="3351"/>
      <c r="P50" s="3353"/>
      <c r="Q50" s="3355"/>
      <c r="R50" s="3389"/>
      <c r="S50" s="3353"/>
      <c r="T50" s="3359"/>
      <c r="U50" s="3340"/>
      <c r="V50" s="3406">
        <f>0+100000000</f>
        <v>100000000</v>
      </c>
      <c r="W50" s="3407">
        <v>88</v>
      </c>
      <c r="X50" s="3349" t="s">
        <v>2444</v>
      </c>
      <c r="Y50" s="3410"/>
      <c r="Z50" s="3334"/>
      <c r="AA50" s="3334"/>
      <c r="AB50" s="3334"/>
      <c r="AC50" s="3334"/>
      <c r="AD50" s="3334"/>
      <c r="AE50" s="3393"/>
      <c r="AF50" s="2428"/>
      <c r="AG50" s="2428"/>
      <c r="AH50" s="2428"/>
      <c r="AI50" s="2428"/>
      <c r="AJ50" s="2428"/>
      <c r="AK50" s="2428"/>
      <c r="AL50" s="2428"/>
      <c r="AM50" s="2428"/>
      <c r="AN50" s="3334"/>
      <c r="AO50" s="3336"/>
      <c r="AP50" s="3336"/>
      <c r="AQ50" s="3339"/>
    </row>
    <row r="51" spans="1:43" ht="43.5" customHeight="1" x14ac:dyDescent="0.2">
      <c r="A51" s="3467"/>
      <c r="B51" s="3468"/>
      <c r="C51" s="3469"/>
      <c r="D51" s="3439"/>
      <c r="E51" s="3439"/>
      <c r="F51" s="3440"/>
      <c r="G51" s="3414"/>
      <c r="H51" s="3415"/>
      <c r="I51" s="3416"/>
      <c r="J51" s="2803"/>
      <c r="K51" s="3353"/>
      <c r="L51" s="3353"/>
      <c r="M51" s="3351"/>
      <c r="N51" s="2430"/>
      <c r="O51" s="3351"/>
      <c r="P51" s="3353"/>
      <c r="Q51" s="3355"/>
      <c r="R51" s="3389"/>
      <c r="S51" s="3353"/>
      <c r="T51" s="3359"/>
      <c r="U51" s="3340"/>
      <c r="V51" s="3406"/>
      <c r="W51" s="3407"/>
      <c r="X51" s="3349"/>
      <c r="Y51" s="3410"/>
      <c r="Z51" s="3334"/>
      <c r="AA51" s="3334"/>
      <c r="AB51" s="3334"/>
      <c r="AC51" s="3334"/>
      <c r="AD51" s="3334"/>
      <c r="AE51" s="3393"/>
      <c r="AF51" s="2428"/>
      <c r="AG51" s="2428"/>
      <c r="AH51" s="2428"/>
      <c r="AI51" s="2428"/>
      <c r="AJ51" s="2428"/>
      <c r="AK51" s="2428"/>
      <c r="AL51" s="2428"/>
      <c r="AM51" s="2428"/>
      <c r="AN51" s="3334"/>
      <c r="AO51" s="3336"/>
      <c r="AP51" s="3336"/>
      <c r="AQ51" s="3339"/>
    </row>
    <row r="52" spans="1:43" ht="43.5" customHeight="1" x14ac:dyDescent="0.2">
      <c r="A52" s="3467"/>
      <c r="B52" s="3468"/>
      <c r="C52" s="3469"/>
      <c r="D52" s="3439"/>
      <c r="E52" s="3439"/>
      <c r="F52" s="3440"/>
      <c r="G52" s="3414"/>
      <c r="H52" s="3415"/>
      <c r="I52" s="3416"/>
      <c r="J52" s="2785">
        <v>48</v>
      </c>
      <c r="K52" s="3352" t="s">
        <v>2494</v>
      </c>
      <c r="L52" s="3352" t="s">
        <v>2495</v>
      </c>
      <c r="M52" s="3350">
        <v>1</v>
      </c>
      <c r="N52" s="2430" t="s">
        <v>2496</v>
      </c>
      <c r="O52" s="3351"/>
      <c r="P52" s="3353"/>
      <c r="Q52" s="3354">
        <f>(V52)/R49</f>
        <v>0.55795787418049936</v>
      </c>
      <c r="R52" s="3389"/>
      <c r="S52" s="3353"/>
      <c r="T52" s="3378" t="s">
        <v>2497</v>
      </c>
      <c r="U52" s="3343" t="s">
        <v>2498</v>
      </c>
      <c r="V52" s="3408">
        <f>198750000+1250000</f>
        <v>200000000</v>
      </c>
      <c r="W52" s="3403">
        <v>20</v>
      </c>
      <c r="X52" s="2801" t="s">
        <v>2442</v>
      </c>
      <c r="Y52" s="3334"/>
      <c r="Z52" s="3334"/>
      <c r="AA52" s="3334"/>
      <c r="AB52" s="3334"/>
      <c r="AC52" s="3334"/>
      <c r="AD52" s="3334"/>
      <c r="AE52" s="3393"/>
      <c r="AF52" s="2428"/>
      <c r="AG52" s="2428"/>
      <c r="AH52" s="2428"/>
      <c r="AI52" s="2428"/>
      <c r="AJ52" s="2428"/>
      <c r="AK52" s="2428"/>
      <c r="AL52" s="2428"/>
      <c r="AM52" s="2428"/>
      <c r="AN52" s="3334"/>
      <c r="AO52" s="3336"/>
      <c r="AP52" s="3336"/>
      <c r="AQ52" s="3339"/>
    </row>
    <row r="53" spans="1:43" ht="43.5" customHeight="1" x14ac:dyDescent="0.2">
      <c r="A53" s="3467"/>
      <c r="B53" s="3468"/>
      <c r="C53" s="3469"/>
      <c r="D53" s="3439"/>
      <c r="E53" s="3439"/>
      <c r="F53" s="3440"/>
      <c r="G53" s="3414"/>
      <c r="H53" s="3415"/>
      <c r="I53" s="3416"/>
      <c r="J53" s="2803"/>
      <c r="K53" s="3353"/>
      <c r="L53" s="3353"/>
      <c r="M53" s="3351"/>
      <c r="N53" s="2430"/>
      <c r="O53" s="3351"/>
      <c r="P53" s="3353"/>
      <c r="Q53" s="3355"/>
      <c r="R53" s="3389"/>
      <c r="S53" s="3353"/>
      <c r="T53" s="3360"/>
      <c r="U53" s="3343"/>
      <c r="V53" s="3401"/>
      <c r="W53" s="3403"/>
      <c r="X53" s="2801"/>
      <c r="Y53" s="3334"/>
      <c r="Z53" s="3334"/>
      <c r="AA53" s="3334"/>
      <c r="AB53" s="3334"/>
      <c r="AC53" s="3334"/>
      <c r="AD53" s="3334"/>
      <c r="AE53" s="3393"/>
      <c r="AF53" s="2428"/>
      <c r="AG53" s="2428"/>
      <c r="AH53" s="2428"/>
      <c r="AI53" s="2428"/>
      <c r="AJ53" s="2428"/>
      <c r="AK53" s="2428"/>
      <c r="AL53" s="2428"/>
      <c r="AM53" s="2428"/>
      <c r="AN53" s="3334"/>
      <c r="AO53" s="3336"/>
      <c r="AP53" s="3336"/>
      <c r="AQ53" s="3339"/>
    </row>
    <row r="54" spans="1:43" ht="43.5" customHeight="1" x14ac:dyDescent="0.2">
      <c r="A54" s="3467"/>
      <c r="B54" s="3468"/>
      <c r="C54" s="3469"/>
      <c r="D54" s="3439"/>
      <c r="E54" s="3439"/>
      <c r="F54" s="3440"/>
      <c r="G54" s="3414"/>
      <c r="H54" s="3415"/>
      <c r="I54" s="3416"/>
      <c r="J54" s="2803"/>
      <c r="K54" s="3353"/>
      <c r="L54" s="3353"/>
      <c r="M54" s="3351"/>
      <c r="N54" s="2430" t="s">
        <v>2499</v>
      </c>
      <c r="O54" s="3351"/>
      <c r="P54" s="3353"/>
      <c r="Q54" s="3355"/>
      <c r="R54" s="3389"/>
      <c r="S54" s="3353"/>
      <c r="T54" s="3360"/>
      <c r="U54" s="3400"/>
      <c r="V54" s="3401"/>
      <c r="W54" s="3404"/>
      <c r="X54" s="2801"/>
      <c r="Y54" s="3334"/>
      <c r="Z54" s="3334"/>
      <c r="AA54" s="3334"/>
      <c r="AB54" s="3334"/>
      <c r="AC54" s="3334"/>
      <c r="AD54" s="3334"/>
      <c r="AE54" s="3393"/>
      <c r="AF54" s="2428"/>
      <c r="AG54" s="2428"/>
      <c r="AH54" s="2428"/>
      <c r="AI54" s="2428"/>
      <c r="AJ54" s="2428"/>
      <c r="AK54" s="2428"/>
      <c r="AL54" s="2428"/>
      <c r="AM54" s="2428"/>
      <c r="AN54" s="3334"/>
      <c r="AO54" s="3336"/>
      <c r="AP54" s="3336"/>
      <c r="AQ54" s="3339"/>
    </row>
    <row r="55" spans="1:43" ht="43.5" customHeight="1" x14ac:dyDescent="0.2">
      <c r="A55" s="3467"/>
      <c r="B55" s="3468"/>
      <c r="C55" s="3469"/>
      <c r="D55" s="3439"/>
      <c r="E55" s="3439"/>
      <c r="F55" s="3440"/>
      <c r="G55" s="3414"/>
      <c r="H55" s="3415"/>
      <c r="I55" s="3416"/>
      <c r="J55" s="2785">
        <v>49</v>
      </c>
      <c r="K55" s="3352" t="s">
        <v>2500</v>
      </c>
      <c r="L55" s="3352" t="s">
        <v>2501</v>
      </c>
      <c r="M55" s="3350">
        <v>1</v>
      </c>
      <c r="N55" s="2430"/>
      <c r="O55" s="3351"/>
      <c r="P55" s="3353"/>
      <c r="Q55" s="3354">
        <f>(V55)/R49</f>
        <v>1.0461710140884364E-2</v>
      </c>
      <c r="R55" s="3389"/>
      <c r="S55" s="3353"/>
      <c r="T55" s="3360"/>
      <c r="U55" s="3399" t="s">
        <v>2502</v>
      </c>
      <c r="V55" s="3401">
        <f>5000000-1250000</f>
        <v>3750000</v>
      </c>
      <c r="W55" s="3402">
        <v>20</v>
      </c>
      <c r="X55" s="3405" t="s">
        <v>2442</v>
      </c>
      <c r="Y55" s="3334"/>
      <c r="Z55" s="3334"/>
      <c r="AA55" s="3334"/>
      <c r="AB55" s="3334"/>
      <c r="AC55" s="3334"/>
      <c r="AD55" s="3334"/>
      <c r="AE55" s="3393"/>
      <c r="AF55" s="2428"/>
      <c r="AG55" s="2428"/>
      <c r="AH55" s="2428"/>
      <c r="AI55" s="2428"/>
      <c r="AJ55" s="2428"/>
      <c r="AK55" s="2428"/>
      <c r="AL55" s="2428"/>
      <c r="AM55" s="2428"/>
      <c r="AN55" s="3334"/>
      <c r="AO55" s="3336"/>
      <c r="AP55" s="3336"/>
      <c r="AQ55" s="3339"/>
    </row>
    <row r="56" spans="1:43" ht="43.5" customHeight="1" x14ac:dyDescent="0.2">
      <c r="A56" s="3467"/>
      <c r="B56" s="3468"/>
      <c r="C56" s="3469"/>
      <c r="D56" s="3439"/>
      <c r="E56" s="3439"/>
      <c r="F56" s="3440"/>
      <c r="G56" s="3414"/>
      <c r="H56" s="3415"/>
      <c r="I56" s="3416"/>
      <c r="J56" s="2803"/>
      <c r="K56" s="3353"/>
      <c r="L56" s="3353"/>
      <c r="M56" s="3351"/>
      <c r="N56" s="2430"/>
      <c r="O56" s="3351"/>
      <c r="P56" s="3353"/>
      <c r="Q56" s="3355"/>
      <c r="R56" s="3389"/>
      <c r="S56" s="3353"/>
      <c r="T56" s="3360"/>
      <c r="U56" s="3343"/>
      <c r="V56" s="3401"/>
      <c r="W56" s="3403"/>
      <c r="X56" s="2801"/>
      <c r="Y56" s="3334"/>
      <c r="Z56" s="3334"/>
      <c r="AA56" s="3334"/>
      <c r="AB56" s="3334"/>
      <c r="AC56" s="3334"/>
      <c r="AD56" s="3334"/>
      <c r="AE56" s="3393"/>
      <c r="AF56" s="2428"/>
      <c r="AG56" s="2428"/>
      <c r="AH56" s="2428"/>
      <c r="AI56" s="2428"/>
      <c r="AJ56" s="2428"/>
      <c r="AK56" s="2428"/>
      <c r="AL56" s="2428"/>
      <c r="AM56" s="2428"/>
      <c r="AN56" s="3334"/>
      <c r="AO56" s="3336"/>
      <c r="AP56" s="3336"/>
      <c r="AQ56" s="3339"/>
    </row>
    <row r="57" spans="1:43" ht="43.5" customHeight="1" x14ac:dyDescent="0.2">
      <c r="A57" s="3467"/>
      <c r="B57" s="3468"/>
      <c r="C57" s="3469"/>
      <c r="D57" s="3439"/>
      <c r="E57" s="3439"/>
      <c r="F57" s="3440"/>
      <c r="G57" s="3414"/>
      <c r="H57" s="3415"/>
      <c r="I57" s="3416"/>
      <c r="J57" s="2809"/>
      <c r="K57" s="3377"/>
      <c r="L57" s="3377"/>
      <c r="M57" s="3380"/>
      <c r="N57" s="2445"/>
      <c r="O57" s="3380"/>
      <c r="P57" s="3377"/>
      <c r="Q57" s="3387"/>
      <c r="R57" s="3390"/>
      <c r="S57" s="3377"/>
      <c r="T57" s="3379"/>
      <c r="U57" s="3400"/>
      <c r="V57" s="3401"/>
      <c r="W57" s="3404"/>
      <c r="X57" s="2801"/>
      <c r="Y57" s="3374"/>
      <c r="Z57" s="3374"/>
      <c r="AA57" s="3374"/>
      <c r="AB57" s="3374"/>
      <c r="AC57" s="3374"/>
      <c r="AD57" s="3374"/>
      <c r="AE57" s="3394"/>
      <c r="AF57" s="2429"/>
      <c r="AG57" s="2429"/>
      <c r="AH57" s="2429"/>
      <c r="AI57" s="2429"/>
      <c r="AJ57" s="2429"/>
      <c r="AK57" s="2429"/>
      <c r="AL57" s="2429"/>
      <c r="AM57" s="2429"/>
      <c r="AN57" s="3374"/>
      <c r="AO57" s="3375"/>
      <c r="AP57" s="3375"/>
      <c r="AQ57" s="3376"/>
    </row>
    <row r="58" spans="1:43" ht="43.5" customHeight="1" x14ac:dyDescent="0.2">
      <c r="A58" s="3467"/>
      <c r="B58" s="3468"/>
      <c r="C58" s="3469"/>
      <c r="D58" s="2402">
        <v>3</v>
      </c>
      <c r="E58" s="1956" t="s">
        <v>2503</v>
      </c>
      <c r="F58" s="1956"/>
      <c r="G58" s="1956"/>
      <c r="H58" s="1956"/>
      <c r="I58" s="1956"/>
      <c r="J58" s="1243"/>
      <c r="K58" s="1244"/>
      <c r="L58" s="1244"/>
      <c r="M58" s="1243"/>
      <c r="N58" s="1245"/>
      <c r="O58" s="2403"/>
      <c r="P58" s="1244"/>
      <c r="Q58" s="1247"/>
      <c r="R58" s="2404"/>
      <c r="S58" s="1244"/>
      <c r="T58" s="1244"/>
      <c r="U58" s="1244"/>
      <c r="V58" s="1958"/>
      <c r="W58" s="1250"/>
      <c r="X58" s="1245"/>
      <c r="Y58" s="2406"/>
      <c r="Z58" s="2406"/>
      <c r="AA58" s="1243"/>
      <c r="AB58" s="1243"/>
      <c r="AC58" s="1243"/>
      <c r="AD58" s="1243"/>
      <c r="AE58" s="1243"/>
      <c r="AF58" s="1243"/>
      <c r="AG58" s="1243"/>
      <c r="AH58" s="1243"/>
      <c r="AI58" s="1243"/>
      <c r="AJ58" s="1243"/>
      <c r="AK58" s="1243"/>
      <c r="AL58" s="1243"/>
      <c r="AM58" s="1243"/>
      <c r="AN58" s="2406"/>
      <c r="AO58" s="2446"/>
      <c r="AP58" s="2446"/>
      <c r="AQ58" s="2447"/>
    </row>
    <row r="59" spans="1:43" ht="43.5" customHeight="1" x14ac:dyDescent="0.2">
      <c r="A59" s="3467"/>
      <c r="B59" s="3468"/>
      <c r="C59" s="3469"/>
      <c r="D59" s="3361"/>
      <c r="E59" s="3362"/>
      <c r="F59" s="3363"/>
      <c r="G59" s="2410">
        <v>11</v>
      </c>
      <c r="H59" s="1964" t="s">
        <v>2504</v>
      </c>
      <c r="I59" s="1964"/>
      <c r="J59" s="1254"/>
      <c r="K59" s="2411"/>
      <c r="L59" s="2411"/>
      <c r="M59" s="1254"/>
      <c r="N59" s="2417"/>
      <c r="O59" s="2412"/>
      <c r="P59" s="2411"/>
      <c r="Q59" s="2413"/>
      <c r="R59" s="2414"/>
      <c r="S59" s="2411"/>
      <c r="T59" s="2411"/>
      <c r="U59" s="2411"/>
      <c r="V59" s="2448"/>
      <c r="W59" s="2416"/>
      <c r="X59" s="2417"/>
      <c r="Y59" s="2418"/>
      <c r="Z59" s="2418"/>
      <c r="AA59" s="1254"/>
      <c r="AB59" s="1254"/>
      <c r="AC59" s="1254"/>
      <c r="AD59" s="1254"/>
      <c r="AE59" s="1254"/>
      <c r="AF59" s="1254"/>
      <c r="AG59" s="1254"/>
      <c r="AH59" s="1254"/>
      <c r="AI59" s="1254"/>
      <c r="AJ59" s="1254"/>
      <c r="AK59" s="1254"/>
      <c r="AL59" s="1254"/>
      <c r="AM59" s="1254"/>
      <c r="AN59" s="2418"/>
      <c r="AO59" s="2434"/>
      <c r="AP59" s="2434"/>
      <c r="AQ59" s="2435"/>
    </row>
    <row r="60" spans="1:43" ht="43.5" customHeight="1" x14ac:dyDescent="0.2">
      <c r="A60" s="3467"/>
      <c r="B60" s="3468"/>
      <c r="C60" s="3469"/>
      <c r="D60" s="3364"/>
      <c r="E60" s="3365"/>
      <c r="F60" s="3366"/>
      <c r="G60" s="1213"/>
      <c r="H60" s="1213"/>
      <c r="I60" s="1213"/>
      <c r="J60" s="2803">
        <v>50</v>
      </c>
      <c r="K60" s="3353" t="s">
        <v>2505</v>
      </c>
      <c r="L60" s="3353" t="s">
        <v>2506</v>
      </c>
      <c r="M60" s="3351">
        <v>3</v>
      </c>
      <c r="N60" s="3350" t="s">
        <v>2507</v>
      </c>
      <c r="O60" s="3350" t="s">
        <v>2508</v>
      </c>
      <c r="P60" s="3352" t="s">
        <v>2509</v>
      </c>
      <c r="Q60" s="3355">
        <f>(V60)/R60</f>
        <v>0.80006709158000666</v>
      </c>
      <c r="R60" s="3356">
        <f>SUM(V60:V64)</f>
        <v>149050000</v>
      </c>
      <c r="S60" s="3352" t="s">
        <v>2510</v>
      </c>
      <c r="T60" s="3378" t="s">
        <v>2511</v>
      </c>
      <c r="U60" s="3367" t="s">
        <v>2512</v>
      </c>
      <c r="V60" s="3391">
        <v>119250000</v>
      </c>
      <c r="W60" s="3371">
        <v>20</v>
      </c>
      <c r="X60" s="3396" t="s">
        <v>2442</v>
      </c>
      <c r="Y60" s="3333">
        <v>294321</v>
      </c>
      <c r="Z60" s="3333">
        <v>283947</v>
      </c>
      <c r="AA60" s="3333">
        <v>135754</v>
      </c>
      <c r="AB60" s="3333">
        <v>44640</v>
      </c>
      <c r="AC60" s="3333">
        <v>308178</v>
      </c>
      <c r="AD60" s="3371">
        <v>89696</v>
      </c>
      <c r="AE60" s="3392"/>
      <c r="AF60" s="2425"/>
      <c r="AG60" s="2425"/>
      <c r="AH60" s="2425"/>
      <c r="AI60" s="2425"/>
      <c r="AJ60" s="2425"/>
      <c r="AK60" s="2425"/>
      <c r="AL60" s="2425"/>
      <c r="AM60" s="2425"/>
      <c r="AN60" s="3333">
        <f>+Y60+Z60</f>
        <v>578268</v>
      </c>
      <c r="AO60" s="3335">
        <v>43467</v>
      </c>
      <c r="AP60" s="3335">
        <v>43830</v>
      </c>
      <c r="AQ60" s="3337" t="s">
        <v>2443</v>
      </c>
    </row>
    <row r="61" spans="1:43" ht="43.5" customHeight="1" x14ac:dyDescent="0.2">
      <c r="A61" s="3467"/>
      <c r="B61" s="3468"/>
      <c r="C61" s="3469"/>
      <c r="D61" s="3364"/>
      <c r="E61" s="3365"/>
      <c r="F61" s="3366"/>
      <c r="G61" s="1213"/>
      <c r="H61" s="1213"/>
      <c r="I61" s="1213"/>
      <c r="J61" s="2803"/>
      <c r="K61" s="3353"/>
      <c r="L61" s="3353"/>
      <c r="M61" s="3351"/>
      <c r="N61" s="3351"/>
      <c r="O61" s="3351"/>
      <c r="P61" s="3353"/>
      <c r="Q61" s="3355"/>
      <c r="R61" s="3357"/>
      <c r="S61" s="3353"/>
      <c r="T61" s="3360"/>
      <c r="U61" s="3395"/>
      <c r="V61" s="3391"/>
      <c r="W61" s="3372"/>
      <c r="X61" s="3396"/>
      <c r="Y61" s="3334"/>
      <c r="Z61" s="3334"/>
      <c r="AA61" s="3334"/>
      <c r="AB61" s="3334"/>
      <c r="AC61" s="3334"/>
      <c r="AD61" s="3372"/>
      <c r="AE61" s="3393"/>
      <c r="AF61" s="2428"/>
      <c r="AG61" s="2428"/>
      <c r="AH61" s="2428"/>
      <c r="AI61" s="2428"/>
      <c r="AJ61" s="2428"/>
      <c r="AK61" s="2428"/>
      <c r="AL61" s="2428"/>
      <c r="AM61" s="2428"/>
      <c r="AN61" s="3334"/>
      <c r="AO61" s="3336"/>
      <c r="AP61" s="3336"/>
      <c r="AQ61" s="3339"/>
    </row>
    <row r="62" spans="1:43" ht="43.5" customHeight="1" x14ac:dyDescent="0.2">
      <c r="A62" s="3467"/>
      <c r="B62" s="3468"/>
      <c r="C62" s="3469"/>
      <c r="D62" s="3364"/>
      <c r="E62" s="3365"/>
      <c r="F62" s="3366"/>
      <c r="G62" s="1213"/>
      <c r="H62" s="1213"/>
      <c r="I62" s="1213"/>
      <c r="J62" s="2803"/>
      <c r="K62" s="3353"/>
      <c r="L62" s="3353"/>
      <c r="M62" s="3351"/>
      <c r="N62" s="3351"/>
      <c r="O62" s="3351"/>
      <c r="P62" s="3353"/>
      <c r="Q62" s="3355"/>
      <c r="R62" s="3357"/>
      <c r="S62" s="3353"/>
      <c r="T62" s="3360"/>
      <c r="U62" s="3395"/>
      <c r="V62" s="3391"/>
      <c r="W62" s="3373"/>
      <c r="X62" s="3396"/>
      <c r="Y62" s="3334"/>
      <c r="Z62" s="3334"/>
      <c r="AA62" s="3334"/>
      <c r="AB62" s="3334"/>
      <c r="AC62" s="3334"/>
      <c r="AD62" s="3372"/>
      <c r="AE62" s="3393"/>
      <c r="AF62" s="2428"/>
      <c r="AG62" s="2428"/>
      <c r="AH62" s="2428"/>
      <c r="AI62" s="2428"/>
      <c r="AJ62" s="2428"/>
      <c r="AK62" s="2428"/>
      <c r="AL62" s="2428"/>
      <c r="AM62" s="2428"/>
      <c r="AN62" s="3334"/>
      <c r="AO62" s="3336"/>
      <c r="AP62" s="3336"/>
      <c r="AQ62" s="3339"/>
    </row>
    <row r="63" spans="1:43" ht="43.5" customHeight="1" x14ac:dyDescent="0.2">
      <c r="A63" s="3467"/>
      <c r="B63" s="3468"/>
      <c r="C63" s="3469"/>
      <c r="D63" s="3364"/>
      <c r="E63" s="3365"/>
      <c r="F63" s="3366"/>
      <c r="G63" s="1213"/>
      <c r="H63" s="1213"/>
      <c r="I63" s="1213"/>
      <c r="J63" s="2785">
        <v>51</v>
      </c>
      <c r="K63" s="3352" t="s">
        <v>2513</v>
      </c>
      <c r="L63" s="3352" t="s">
        <v>2514</v>
      </c>
      <c r="M63" s="3350">
        <v>1</v>
      </c>
      <c r="N63" s="3351"/>
      <c r="O63" s="3351"/>
      <c r="P63" s="3353"/>
      <c r="Q63" s="3354">
        <f>(V63)/R60</f>
        <v>0.19993290841999328</v>
      </c>
      <c r="R63" s="3357"/>
      <c r="S63" s="3353"/>
      <c r="T63" s="3360"/>
      <c r="U63" s="3367" t="s">
        <v>2515</v>
      </c>
      <c r="V63" s="3391">
        <v>29800000</v>
      </c>
      <c r="W63" s="3371">
        <v>20</v>
      </c>
      <c r="X63" s="3396" t="s">
        <v>2442</v>
      </c>
      <c r="Y63" s="3334"/>
      <c r="Z63" s="3334"/>
      <c r="AA63" s="3334"/>
      <c r="AB63" s="3334"/>
      <c r="AC63" s="3334"/>
      <c r="AD63" s="3372"/>
      <c r="AE63" s="3393"/>
      <c r="AF63" s="2428"/>
      <c r="AG63" s="2428"/>
      <c r="AH63" s="2428"/>
      <c r="AI63" s="2428"/>
      <c r="AJ63" s="2428"/>
      <c r="AK63" s="2428"/>
      <c r="AL63" s="2428"/>
      <c r="AM63" s="2428"/>
      <c r="AN63" s="3334"/>
      <c r="AO63" s="3336"/>
      <c r="AP63" s="3336"/>
      <c r="AQ63" s="3339"/>
    </row>
    <row r="64" spans="1:43" ht="43.5" customHeight="1" x14ac:dyDescent="0.2">
      <c r="A64" s="3467"/>
      <c r="B64" s="3468"/>
      <c r="C64" s="3469"/>
      <c r="D64" s="3364"/>
      <c r="E64" s="3365"/>
      <c r="F64" s="3366"/>
      <c r="G64" s="1213"/>
      <c r="H64" s="1213"/>
      <c r="I64" s="1213"/>
      <c r="J64" s="2803"/>
      <c r="K64" s="3353"/>
      <c r="L64" s="3353"/>
      <c r="M64" s="3351"/>
      <c r="N64" s="3380"/>
      <c r="O64" s="3380"/>
      <c r="P64" s="3377"/>
      <c r="Q64" s="3355"/>
      <c r="R64" s="3357"/>
      <c r="S64" s="3353"/>
      <c r="T64" s="3360"/>
      <c r="U64" s="3368"/>
      <c r="V64" s="3391"/>
      <c r="W64" s="3373"/>
      <c r="X64" s="3396"/>
      <c r="Y64" s="3374"/>
      <c r="Z64" s="3374"/>
      <c r="AA64" s="3374"/>
      <c r="AB64" s="3374"/>
      <c r="AC64" s="3374"/>
      <c r="AD64" s="3373"/>
      <c r="AE64" s="3394"/>
      <c r="AF64" s="2429"/>
      <c r="AG64" s="2429"/>
      <c r="AH64" s="2429"/>
      <c r="AI64" s="2429"/>
      <c r="AJ64" s="2429"/>
      <c r="AK64" s="2429"/>
      <c r="AL64" s="2429"/>
      <c r="AM64" s="2429"/>
      <c r="AN64" s="3374"/>
      <c r="AO64" s="3375"/>
      <c r="AP64" s="3375"/>
      <c r="AQ64" s="3376"/>
    </row>
    <row r="65" spans="1:44" ht="43.5" customHeight="1" x14ac:dyDescent="0.2">
      <c r="A65" s="3467"/>
      <c r="B65" s="3468"/>
      <c r="C65" s="3469"/>
      <c r="D65" s="3364"/>
      <c r="E65" s="3365"/>
      <c r="F65" s="3366"/>
      <c r="G65" s="2410">
        <v>12</v>
      </c>
      <c r="H65" s="1964" t="s">
        <v>2516</v>
      </c>
      <c r="I65" s="1964"/>
      <c r="J65" s="1254"/>
      <c r="K65" s="2411"/>
      <c r="L65" s="2411"/>
      <c r="M65" s="1254"/>
      <c r="N65" s="1256"/>
      <c r="O65" s="2412"/>
      <c r="P65" s="2411"/>
      <c r="Q65" s="2413"/>
      <c r="R65" s="2414"/>
      <c r="S65" s="2411"/>
      <c r="T65" s="2411"/>
      <c r="U65" s="2411"/>
      <c r="V65" s="2448"/>
      <c r="W65" s="2416"/>
      <c r="X65" s="2417"/>
      <c r="Y65" s="2418"/>
      <c r="Z65" s="2418"/>
      <c r="AA65" s="1254"/>
      <c r="AB65" s="1254"/>
      <c r="AC65" s="1254"/>
      <c r="AD65" s="1254"/>
      <c r="AE65" s="1254"/>
      <c r="AF65" s="1254"/>
      <c r="AG65" s="1254"/>
      <c r="AH65" s="1254"/>
      <c r="AI65" s="1254"/>
      <c r="AJ65" s="1254"/>
      <c r="AK65" s="1254"/>
      <c r="AL65" s="1254"/>
      <c r="AM65" s="1254"/>
      <c r="AN65" s="2418"/>
      <c r="AO65" s="2434"/>
      <c r="AP65" s="2434"/>
      <c r="AQ65" s="2435"/>
    </row>
    <row r="66" spans="1:44" ht="43.5" customHeight="1" x14ac:dyDescent="0.2">
      <c r="A66" s="3467"/>
      <c r="B66" s="3468"/>
      <c r="C66" s="3469"/>
      <c r="D66" s="3364"/>
      <c r="E66" s="3365"/>
      <c r="F66" s="3366"/>
      <c r="G66" s="3362"/>
      <c r="H66" s="3362"/>
      <c r="I66" s="3363"/>
      <c r="J66" s="2785">
        <v>52</v>
      </c>
      <c r="K66" s="3352" t="s">
        <v>2517</v>
      </c>
      <c r="L66" s="3352" t="s">
        <v>2518</v>
      </c>
      <c r="M66" s="3381">
        <v>3</v>
      </c>
      <c r="N66" s="3350" t="s">
        <v>2519</v>
      </c>
      <c r="O66" s="3384" t="s">
        <v>2520</v>
      </c>
      <c r="P66" s="3352" t="s">
        <v>2521</v>
      </c>
      <c r="Q66" s="3354">
        <f>(V66+V68+V70+V72+V74+V76)/R66</f>
        <v>1</v>
      </c>
      <c r="R66" s="3388">
        <f>SUM(V66:V77)</f>
        <v>119240000</v>
      </c>
      <c r="S66" s="3352" t="s">
        <v>2522</v>
      </c>
      <c r="T66" s="3378" t="s">
        <v>2523</v>
      </c>
      <c r="U66" s="3367" t="s">
        <v>2524</v>
      </c>
      <c r="V66" s="3369">
        <v>25000000</v>
      </c>
      <c r="W66" s="3370">
        <v>20</v>
      </c>
      <c r="X66" s="3350" t="s">
        <v>2442</v>
      </c>
      <c r="Y66" s="3333">
        <v>294321</v>
      </c>
      <c r="Z66" s="3333">
        <v>283947</v>
      </c>
      <c r="AA66" s="3333">
        <v>135754</v>
      </c>
      <c r="AB66" s="3333">
        <v>44640</v>
      </c>
      <c r="AC66" s="3333">
        <v>308178</v>
      </c>
      <c r="AD66" s="3371">
        <v>89696</v>
      </c>
      <c r="AE66" s="3371"/>
      <c r="AF66" s="2449"/>
      <c r="AG66" s="2449"/>
      <c r="AH66" s="2449"/>
      <c r="AI66" s="2449"/>
      <c r="AJ66" s="2449"/>
      <c r="AK66" s="2449"/>
      <c r="AL66" s="2449"/>
      <c r="AM66" s="2449"/>
      <c r="AN66" s="3333">
        <f>+Y66+Z66</f>
        <v>578268</v>
      </c>
      <c r="AO66" s="3335">
        <v>43467</v>
      </c>
      <c r="AP66" s="3335">
        <v>43830</v>
      </c>
      <c r="AQ66" s="3337" t="s">
        <v>2443</v>
      </c>
    </row>
    <row r="67" spans="1:44" ht="43.5" customHeight="1" x14ac:dyDescent="0.2">
      <c r="A67" s="3467"/>
      <c r="B67" s="3468"/>
      <c r="C67" s="3469"/>
      <c r="D67" s="3364"/>
      <c r="E67" s="3365"/>
      <c r="F67" s="3366"/>
      <c r="G67" s="3365"/>
      <c r="H67" s="3365"/>
      <c r="I67" s="3366"/>
      <c r="J67" s="2803"/>
      <c r="K67" s="3353"/>
      <c r="L67" s="3353"/>
      <c r="M67" s="3382"/>
      <c r="N67" s="3351"/>
      <c r="O67" s="3385"/>
      <c r="P67" s="3353"/>
      <c r="Q67" s="3355"/>
      <c r="R67" s="3389"/>
      <c r="S67" s="3353"/>
      <c r="T67" s="3360"/>
      <c r="U67" s="3368"/>
      <c r="V67" s="3369"/>
      <c r="W67" s="3370"/>
      <c r="X67" s="3351"/>
      <c r="Y67" s="3334"/>
      <c r="Z67" s="3334"/>
      <c r="AA67" s="3334"/>
      <c r="AB67" s="3334"/>
      <c r="AC67" s="3334"/>
      <c r="AD67" s="3372"/>
      <c r="AE67" s="3372"/>
      <c r="AF67" s="2450"/>
      <c r="AG67" s="2450"/>
      <c r="AH67" s="2450"/>
      <c r="AI67" s="2450"/>
      <c r="AJ67" s="2450"/>
      <c r="AK67" s="2450"/>
      <c r="AL67" s="2450"/>
      <c r="AM67" s="2450"/>
      <c r="AN67" s="3334"/>
      <c r="AO67" s="3336"/>
      <c r="AP67" s="3336"/>
      <c r="AQ67" s="3339"/>
    </row>
    <row r="68" spans="1:44" ht="43.5" customHeight="1" x14ac:dyDescent="0.2">
      <c r="A68" s="3467"/>
      <c r="B68" s="3468"/>
      <c r="C68" s="3469"/>
      <c r="D68" s="3364"/>
      <c r="E68" s="3365"/>
      <c r="F68" s="3366"/>
      <c r="G68" s="3365"/>
      <c r="H68" s="3365"/>
      <c r="I68" s="3366"/>
      <c r="J68" s="2803"/>
      <c r="K68" s="3353"/>
      <c r="L68" s="3353"/>
      <c r="M68" s="3382"/>
      <c r="N68" s="3351"/>
      <c r="O68" s="3385"/>
      <c r="P68" s="3353"/>
      <c r="Q68" s="3355"/>
      <c r="R68" s="3389"/>
      <c r="S68" s="3353"/>
      <c r="T68" s="3360"/>
      <c r="U68" s="3367" t="s">
        <v>2525</v>
      </c>
      <c r="V68" s="3369">
        <v>25000000</v>
      </c>
      <c r="W68" s="3370">
        <v>20</v>
      </c>
      <c r="X68" s="3351"/>
      <c r="Y68" s="3334"/>
      <c r="Z68" s="3334"/>
      <c r="AA68" s="3334"/>
      <c r="AB68" s="3334"/>
      <c r="AC68" s="3334"/>
      <c r="AD68" s="3372"/>
      <c r="AE68" s="3372"/>
      <c r="AF68" s="2450"/>
      <c r="AG68" s="2450"/>
      <c r="AH68" s="2450"/>
      <c r="AI68" s="2450"/>
      <c r="AJ68" s="2450"/>
      <c r="AK68" s="2450"/>
      <c r="AL68" s="2450"/>
      <c r="AM68" s="2450"/>
      <c r="AN68" s="3334"/>
      <c r="AO68" s="3336"/>
      <c r="AP68" s="3336"/>
      <c r="AQ68" s="3339"/>
    </row>
    <row r="69" spans="1:44" ht="43.5" customHeight="1" x14ac:dyDescent="0.2">
      <c r="A69" s="3467"/>
      <c r="B69" s="3468"/>
      <c r="C69" s="3469"/>
      <c r="D69" s="3364"/>
      <c r="E69" s="3365"/>
      <c r="F69" s="3366"/>
      <c r="G69" s="3365"/>
      <c r="H69" s="3365"/>
      <c r="I69" s="3366"/>
      <c r="J69" s="2803"/>
      <c r="K69" s="3353"/>
      <c r="L69" s="3353"/>
      <c r="M69" s="3382"/>
      <c r="N69" s="3351"/>
      <c r="O69" s="3385"/>
      <c r="P69" s="3353"/>
      <c r="Q69" s="3355"/>
      <c r="R69" s="3389"/>
      <c r="S69" s="3353"/>
      <c r="T69" s="3360"/>
      <c r="U69" s="3368"/>
      <c r="V69" s="3369"/>
      <c r="W69" s="3370"/>
      <c r="X69" s="3351"/>
      <c r="Y69" s="3334"/>
      <c r="Z69" s="3334"/>
      <c r="AA69" s="3334"/>
      <c r="AB69" s="3334"/>
      <c r="AC69" s="3334"/>
      <c r="AD69" s="3372"/>
      <c r="AE69" s="3372"/>
      <c r="AF69" s="2450"/>
      <c r="AG69" s="2450"/>
      <c r="AH69" s="2450"/>
      <c r="AI69" s="2450"/>
      <c r="AJ69" s="2450"/>
      <c r="AK69" s="2450"/>
      <c r="AL69" s="2450"/>
      <c r="AM69" s="2450"/>
      <c r="AN69" s="3334"/>
      <c r="AO69" s="3336"/>
      <c r="AP69" s="3336"/>
      <c r="AQ69" s="3339"/>
    </row>
    <row r="70" spans="1:44" ht="43.5" customHeight="1" x14ac:dyDescent="0.2">
      <c r="A70" s="3467"/>
      <c r="B70" s="3468"/>
      <c r="C70" s="3469"/>
      <c r="D70" s="3364"/>
      <c r="E70" s="3365"/>
      <c r="F70" s="3366"/>
      <c r="G70" s="3365"/>
      <c r="H70" s="3365"/>
      <c r="I70" s="3366"/>
      <c r="J70" s="2803"/>
      <c r="K70" s="3353"/>
      <c r="L70" s="3353"/>
      <c r="M70" s="3382"/>
      <c r="N70" s="3351"/>
      <c r="O70" s="3385"/>
      <c r="P70" s="3353"/>
      <c r="Q70" s="3355"/>
      <c r="R70" s="3389"/>
      <c r="S70" s="3353"/>
      <c r="T70" s="3360"/>
      <c r="U70" s="3367" t="s">
        <v>2526</v>
      </c>
      <c r="V70" s="3369">
        <v>30000000</v>
      </c>
      <c r="W70" s="3370">
        <v>20</v>
      </c>
      <c r="X70" s="3351"/>
      <c r="Y70" s="3334"/>
      <c r="Z70" s="3334"/>
      <c r="AA70" s="3334"/>
      <c r="AB70" s="3334"/>
      <c r="AC70" s="3334"/>
      <c r="AD70" s="3372"/>
      <c r="AE70" s="3372"/>
      <c r="AF70" s="2450"/>
      <c r="AG70" s="2450"/>
      <c r="AH70" s="2450"/>
      <c r="AI70" s="2450"/>
      <c r="AJ70" s="2450"/>
      <c r="AK70" s="2450"/>
      <c r="AL70" s="2450"/>
      <c r="AM70" s="2450"/>
      <c r="AN70" s="3334"/>
      <c r="AO70" s="3336"/>
      <c r="AP70" s="3336"/>
      <c r="AQ70" s="3339"/>
    </row>
    <row r="71" spans="1:44" ht="43.5" customHeight="1" x14ac:dyDescent="0.2">
      <c r="A71" s="3467"/>
      <c r="B71" s="3468"/>
      <c r="C71" s="3469"/>
      <c r="D71" s="3364"/>
      <c r="E71" s="3365"/>
      <c r="F71" s="3366"/>
      <c r="G71" s="3365"/>
      <c r="H71" s="3365"/>
      <c r="I71" s="3366"/>
      <c r="J71" s="2803"/>
      <c r="K71" s="3353"/>
      <c r="L71" s="3353"/>
      <c r="M71" s="3382"/>
      <c r="N71" s="3351"/>
      <c r="O71" s="3385"/>
      <c r="P71" s="3353"/>
      <c r="Q71" s="3355"/>
      <c r="R71" s="3389"/>
      <c r="S71" s="3353"/>
      <c r="T71" s="3360"/>
      <c r="U71" s="3368"/>
      <c r="V71" s="3369"/>
      <c r="W71" s="3370"/>
      <c r="X71" s="3351"/>
      <c r="Y71" s="3334"/>
      <c r="Z71" s="3334"/>
      <c r="AA71" s="3334"/>
      <c r="AB71" s="3334"/>
      <c r="AC71" s="3334"/>
      <c r="AD71" s="3372"/>
      <c r="AE71" s="3372"/>
      <c r="AF71" s="2450"/>
      <c r="AG71" s="2450"/>
      <c r="AH71" s="2450"/>
      <c r="AI71" s="2450"/>
      <c r="AJ71" s="2450"/>
      <c r="AK71" s="2450"/>
      <c r="AL71" s="2450"/>
      <c r="AM71" s="2450"/>
      <c r="AN71" s="3334"/>
      <c r="AO71" s="3336"/>
      <c r="AP71" s="3336"/>
      <c r="AQ71" s="3339"/>
    </row>
    <row r="72" spans="1:44" ht="43.5" customHeight="1" x14ac:dyDescent="0.2">
      <c r="A72" s="3467"/>
      <c r="B72" s="3468"/>
      <c r="C72" s="3469"/>
      <c r="D72" s="3364"/>
      <c r="E72" s="3365"/>
      <c r="F72" s="3366"/>
      <c r="G72" s="3365"/>
      <c r="H72" s="3365"/>
      <c r="I72" s="3366"/>
      <c r="J72" s="2803"/>
      <c r="K72" s="3353"/>
      <c r="L72" s="3353"/>
      <c r="M72" s="3382"/>
      <c r="N72" s="3351"/>
      <c r="O72" s="3385"/>
      <c r="P72" s="3353"/>
      <c r="Q72" s="3355"/>
      <c r="R72" s="3389"/>
      <c r="S72" s="3353"/>
      <c r="T72" s="3360"/>
      <c r="U72" s="3367" t="s">
        <v>2527</v>
      </c>
      <c r="V72" s="3369">
        <v>12000000</v>
      </c>
      <c r="W72" s="3370">
        <v>20</v>
      </c>
      <c r="X72" s="3351"/>
      <c r="Y72" s="3334"/>
      <c r="Z72" s="3334"/>
      <c r="AA72" s="3334"/>
      <c r="AB72" s="3334"/>
      <c r="AC72" s="3334"/>
      <c r="AD72" s="3372"/>
      <c r="AE72" s="3372"/>
      <c r="AF72" s="2450"/>
      <c r="AG72" s="2450"/>
      <c r="AH72" s="2450"/>
      <c r="AI72" s="2450"/>
      <c r="AJ72" s="2450"/>
      <c r="AK72" s="2450"/>
      <c r="AL72" s="2450"/>
      <c r="AM72" s="2450"/>
      <c r="AN72" s="3334"/>
      <c r="AO72" s="3336"/>
      <c r="AP72" s="3336"/>
      <c r="AQ72" s="3339"/>
    </row>
    <row r="73" spans="1:44" ht="43.5" customHeight="1" x14ac:dyDescent="0.2">
      <c r="A73" s="3467"/>
      <c r="B73" s="3468"/>
      <c r="C73" s="3469"/>
      <c r="D73" s="3364"/>
      <c r="E73" s="3365"/>
      <c r="F73" s="3366"/>
      <c r="G73" s="3365"/>
      <c r="H73" s="3365"/>
      <c r="I73" s="3366"/>
      <c r="J73" s="2803"/>
      <c r="K73" s="3353"/>
      <c r="L73" s="3353"/>
      <c r="M73" s="3382"/>
      <c r="N73" s="3351"/>
      <c r="O73" s="3385"/>
      <c r="P73" s="3353"/>
      <c r="Q73" s="3355"/>
      <c r="R73" s="3389"/>
      <c r="S73" s="3353"/>
      <c r="T73" s="3360"/>
      <c r="U73" s="3368"/>
      <c r="V73" s="3369"/>
      <c r="W73" s="3370"/>
      <c r="X73" s="3351"/>
      <c r="Y73" s="3334"/>
      <c r="Z73" s="3334"/>
      <c r="AA73" s="3334"/>
      <c r="AB73" s="3334"/>
      <c r="AC73" s="3334"/>
      <c r="AD73" s="3372"/>
      <c r="AE73" s="3372"/>
      <c r="AF73" s="2450"/>
      <c r="AG73" s="2450"/>
      <c r="AH73" s="2450"/>
      <c r="AI73" s="2450"/>
      <c r="AJ73" s="2450"/>
      <c r="AK73" s="2450"/>
      <c r="AL73" s="2450"/>
      <c r="AM73" s="2450"/>
      <c r="AN73" s="3334"/>
      <c r="AO73" s="3336"/>
      <c r="AP73" s="3336"/>
      <c r="AQ73" s="3339"/>
    </row>
    <row r="74" spans="1:44" ht="43.5" customHeight="1" x14ac:dyDescent="0.2">
      <c r="A74" s="3467"/>
      <c r="B74" s="3468"/>
      <c r="C74" s="3469"/>
      <c r="D74" s="3364"/>
      <c r="E74" s="3365"/>
      <c r="F74" s="3366"/>
      <c r="G74" s="3365"/>
      <c r="H74" s="3365"/>
      <c r="I74" s="3366"/>
      <c r="J74" s="2803"/>
      <c r="K74" s="3353"/>
      <c r="L74" s="3353"/>
      <c r="M74" s="3382"/>
      <c r="N74" s="3351"/>
      <c r="O74" s="3385"/>
      <c r="P74" s="3353"/>
      <c r="Q74" s="3355"/>
      <c r="R74" s="3389"/>
      <c r="S74" s="3353"/>
      <c r="T74" s="3360"/>
      <c r="U74" s="3367" t="s">
        <v>2528</v>
      </c>
      <c r="V74" s="3369">
        <v>4740000</v>
      </c>
      <c r="W74" s="3370">
        <v>20</v>
      </c>
      <c r="X74" s="3351"/>
      <c r="Y74" s="3334"/>
      <c r="Z74" s="3334"/>
      <c r="AA74" s="3334"/>
      <c r="AB74" s="3334"/>
      <c r="AC74" s="3334"/>
      <c r="AD74" s="3372"/>
      <c r="AE74" s="3372"/>
      <c r="AF74" s="2450"/>
      <c r="AG74" s="2450"/>
      <c r="AH74" s="2450"/>
      <c r="AI74" s="2450"/>
      <c r="AJ74" s="2450"/>
      <c r="AK74" s="2450"/>
      <c r="AL74" s="2450"/>
      <c r="AM74" s="2450"/>
      <c r="AN74" s="3334"/>
      <c r="AO74" s="3336"/>
      <c r="AP74" s="3336"/>
      <c r="AQ74" s="3339"/>
    </row>
    <row r="75" spans="1:44" ht="43.5" customHeight="1" x14ac:dyDescent="0.2">
      <c r="A75" s="3467"/>
      <c r="B75" s="3468"/>
      <c r="C75" s="3469"/>
      <c r="D75" s="3364"/>
      <c r="E75" s="3365"/>
      <c r="F75" s="3366"/>
      <c r="G75" s="3365"/>
      <c r="H75" s="3365"/>
      <c r="I75" s="3366"/>
      <c r="J75" s="2803"/>
      <c r="K75" s="3353"/>
      <c r="L75" s="3353"/>
      <c r="M75" s="3382"/>
      <c r="N75" s="3351"/>
      <c r="O75" s="3385"/>
      <c r="P75" s="3353"/>
      <c r="Q75" s="3355"/>
      <c r="R75" s="3389"/>
      <c r="S75" s="3353"/>
      <c r="T75" s="3360"/>
      <c r="U75" s="3368"/>
      <c r="V75" s="3369"/>
      <c r="W75" s="3370"/>
      <c r="X75" s="3351"/>
      <c r="Y75" s="3334"/>
      <c r="Z75" s="3334"/>
      <c r="AA75" s="3334"/>
      <c r="AB75" s="3334"/>
      <c r="AC75" s="3334"/>
      <c r="AD75" s="3372"/>
      <c r="AE75" s="3372"/>
      <c r="AF75" s="2450"/>
      <c r="AG75" s="2450"/>
      <c r="AH75" s="2450"/>
      <c r="AI75" s="2450"/>
      <c r="AJ75" s="2450"/>
      <c r="AK75" s="2450"/>
      <c r="AL75" s="2450"/>
      <c r="AM75" s="2450"/>
      <c r="AN75" s="3334"/>
      <c r="AO75" s="3336"/>
      <c r="AP75" s="3336"/>
      <c r="AQ75" s="3339"/>
    </row>
    <row r="76" spans="1:44" ht="43.5" customHeight="1" x14ac:dyDescent="0.2">
      <c r="A76" s="3467"/>
      <c r="B76" s="3468"/>
      <c r="C76" s="3469"/>
      <c r="D76" s="3364"/>
      <c r="E76" s="3365"/>
      <c r="F76" s="3366"/>
      <c r="G76" s="3365"/>
      <c r="H76" s="3365"/>
      <c r="I76" s="3366"/>
      <c r="J76" s="2803"/>
      <c r="K76" s="3353"/>
      <c r="L76" s="3353"/>
      <c r="M76" s="3382"/>
      <c r="N76" s="3351"/>
      <c r="O76" s="3385"/>
      <c r="P76" s="3353"/>
      <c r="Q76" s="3355"/>
      <c r="R76" s="3389"/>
      <c r="S76" s="3353"/>
      <c r="T76" s="3360"/>
      <c r="U76" s="3367" t="s">
        <v>2529</v>
      </c>
      <c r="V76" s="3369">
        <v>22500000</v>
      </c>
      <c r="W76" s="3370">
        <v>20</v>
      </c>
      <c r="X76" s="3351"/>
      <c r="Y76" s="3334"/>
      <c r="Z76" s="3334"/>
      <c r="AA76" s="3334"/>
      <c r="AB76" s="3334"/>
      <c r="AC76" s="3334"/>
      <c r="AD76" s="3372"/>
      <c r="AE76" s="3372"/>
      <c r="AF76" s="2450"/>
      <c r="AG76" s="2450"/>
      <c r="AH76" s="2450"/>
      <c r="AI76" s="2450"/>
      <c r="AJ76" s="2450"/>
      <c r="AK76" s="2450"/>
      <c r="AL76" s="2450"/>
      <c r="AM76" s="2450"/>
      <c r="AN76" s="3334"/>
      <c r="AO76" s="3336"/>
      <c r="AP76" s="3336"/>
      <c r="AQ76" s="3339"/>
    </row>
    <row r="77" spans="1:44" ht="43.5" customHeight="1" x14ac:dyDescent="0.2">
      <c r="A77" s="3467"/>
      <c r="B77" s="3468"/>
      <c r="C77" s="3469"/>
      <c r="D77" s="3364"/>
      <c r="E77" s="3365"/>
      <c r="F77" s="3366"/>
      <c r="G77" s="3397"/>
      <c r="H77" s="3397"/>
      <c r="I77" s="3398"/>
      <c r="J77" s="2809"/>
      <c r="K77" s="3377"/>
      <c r="L77" s="3377"/>
      <c r="M77" s="3383"/>
      <c r="N77" s="3380"/>
      <c r="O77" s="3386"/>
      <c r="P77" s="3377"/>
      <c r="Q77" s="3387"/>
      <c r="R77" s="3390"/>
      <c r="S77" s="3377"/>
      <c r="T77" s="3379"/>
      <c r="U77" s="3368"/>
      <c r="V77" s="3369"/>
      <c r="W77" s="3370"/>
      <c r="X77" s="3380"/>
      <c r="Y77" s="3374"/>
      <c r="Z77" s="3374"/>
      <c r="AA77" s="3374"/>
      <c r="AB77" s="3374"/>
      <c r="AC77" s="3374"/>
      <c r="AD77" s="3373"/>
      <c r="AE77" s="3373"/>
      <c r="AF77" s="1986"/>
      <c r="AG77" s="1986"/>
      <c r="AH77" s="1986"/>
      <c r="AI77" s="1986"/>
      <c r="AJ77" s="1986"/>
      <c r="AK77" s="1986"/>
      <c r="AL77" s="1986"/>
      <c r="AM77" s="1986"/>
      <c r="AN77" s="3374"/>
      <c r="AO77" s="3375"/>
      <c r="AP77" s="3375"/>
      <c r="AQ77" s="3376"/>
    </row>
    <row r="78" spans="1:44" ht="43.5" customHeight="1" x14ac:dyDescent="0.2">
      <c r="A78" s="3467"/>
      <c r="B78" s="3468"/>
      <c r="C78" s="3469"/>
      <c r="D78" s="3364"/>
      <c r="E78" s="3365"/>
      <c r="F78" s="3366"/>
      <c r="G78" s="2410">
        <v>13</v>
      </c>
      <c r="H78" s="1964" t="s">
        <v>2530</v>
      </c>
      <c r="I78" s="1964"/>
      <c r="J78" s="2451"/>
      <c r="K78" s="2452"/>
      <c r="L78" s="2452"/>
      <c r="M78" s="2451"/>
      <c r="N78" s="2453"/>
      <c r="O78" s="2454"/>
      <c r="P78" s="2452"/>
      <c r="Q78" s="2441"/>
      <c r="R78" s="2455"/>
      <c r="S78" s="2452"/>
      <c r="T78" s="2452"/>
      <c r="U78" s="2456"/>
      <c r="V78" s="2433"/>
      <c r="W78" s="2443"/>
      <c r="X78" s="2444"/>
      <c r="Y78" s="2457"/>
      <c r="Z78" s="2457"/>
      <c r="AA78" s="2451"/>
      <c r="AB78" s="2451"/>
      <c r="AC78" s="2451"/>
      <c r="AD78" s="2451"/>
      <c r="AE78" s="2451"/>
      <c r="AF78" s="2451"/>
      <c r="AG78" s="2451"/>
      <c r="AH78" s="2451"/>
      <c r="AI78" s="2451"/>
      <c r="AJ78" s="2451"/>
      <c r="AK78" s="2451"/>
      <c r="AL78" s="2451"/>
      <c r="AM78" s="2451"/>
      <c r="AN78" s="2457"/>
      <c r="AO78" s="2458"/>
      <c r="AP78" s="2458"/>
      <c r="AQ78" s="2459"/>
    </row>
    <row r="79" spans="1:44" ht="43.5" customHeight="1" x14ac:dyDescent="0.2">
      <c r="A79" s="3467"/>
      <c r="B79" s="3468"/>
      <c r="C79" s="3469"/>
      <c r="D79" s="3364"/>
      <c r="E79" s="3365"/>
      <c r="F79" s="3366"/>
      <c r="G79" s="3361"/>
      <c r="H79" s="3362"/>
      <c r="I79" s="3363"/>
      <c r="J79" s="2803">
        <v>53</v>
      </c>
      <c r="K79" s="3352" t="s">
        <v>2531</v>
      </c>
      <c r="L79" s="3352" t="s">
        <v>2532</v>
      </c>
      <c r="M79" s="3350">
        <v>1</v>
      </c>
      <c r="N79" s="3350" t="s">
        <v>2533</v>
      </c>
      <c r="O79" s="3350" t="s">
        <v>2534</v>
      </c>
      <c r="P79" s="3352" t="s">
        <v>2535</v>
      </c>
      <c r="Q79" s="3354">
        <f>SUM(V79:V84)/R79</f>
        <v>1</v>
      </c>
      <c r="R79" s="3356">
        <f>SUM(V79:V84)</f>
        <v>1431890390</v>
      </c>
      <c r="S79" s="3352" t="s">
        <v>2536</v>
      </c>
      <c r="T79" s="3358" t="s">
        <v>2537</v>
      </c>
      <c r="U79" s="3340" t="s">
        <v>2538</v>
      </c>
      <c r="V79" s="2437">
        <v>248604326</v>
      </c>
      <c r="W79" s="1857">
        <v>20</v>
      </c>
      <c r="X79" s="1270" t="s">
        <v>62</v>
      </c>
      <c r="Y79" s="3341">
        <v>294321</v>
      </c>
      <c r="Z79" s="3341">
        <v>283947</v>
      </c>
      <c r="AA79" s="3341">
        <v>135754</v>
      </c>
      <c r="AB79" s="3341">
        <v>44640</v>
      </c>
      <c r="AC79" s="3341">
        <v>308178</v>
      </c>
      <c r="AD79" s="3331">
        <v>89696</v>
      </c>
      <c r="AE79" s="3331"/>
      <c r="AF79" s="2460"/>
      <c r="AG79" s="2449"/>
      <c r="AH79" s="2449"/>
      <c r="AI79" s="2449"/>
      <c r="AJ79" s="2449"/>
      <c r="AK79" s="2449"/>
      <c r="AL79" s="2449"/>
      <c r="AM79" s="2449"/>
      <c r="AN79" s="3333">
        <f>+Y79+Z79</f>
        <v>578268</v>
      </c>
      <c r="AO79" s="3335">
        <v>43467</v>
      </c>
      <c r="AP79" s="3335">
        <v>43830</v>
      </c>
      <c r="AQ79" s="3337" t="s">
        <v>2443</v>
      </c>
      <c r="AR79" s="106"/>
    </row>
    <row r="80" spans="1:44" ht="43.5" customHeight="1" x14ac:dyDescent="0.2">
      <c r="A80" s="3467"/>
      <c r="B80" s="3468"/>
      <c r="C80" s="3469"/>
      <c r="D80" s="3364"/>
      <c r="E80" s="3365"/>
      <c r="F80" s="3366"/>
      <c r="G80" s="3364"/>
      <c r="H80" s="3365"/>
      <c r="I80" s="3366"/>
      <c r="J80" s="2803"/>
      <c r="K80" s="3353"/>
      <c r="L80" s="3353"/>
      <c r="M80" s="3351"/>
      <c r="N80" s="3351"/>
      <c r="O80" s="3351"/>
      <c r="P80" s="3353"/>
      <c r="Q80" s="3355"/>
      <c r="R80" s="3357"/>
      <c r="S80" s="3353"/>
      <c r="T80" s="3359"/>
      <c r="U80" s="3340"/>
      <c r="V80" s="2437">
        <f>581320553-V83</f>
        <v>413395674</v>
      </c>
      <c r="W80" s="1857">
        <v>52</v>
      </c>
      <c r="X80" s="1270" t="s">
        <v>2539</v>
      </c>
      <c r="Y80" s="3342"/>
      <c r="Z80" s="3342"/>
      <c r="AA80" s="3342"/>
      <c r="AB80" s="3342"/>
      <c r="AC80" s="3342"/>
      <c r="AD80" s="3332"/>
      <c r="AE80" s="3332"/>
      <c r="AF80" s="2461"/>
      <c r="AG80" s="2450"/>
      <c r="AH80" s="2450"/>
      <c r="AI80" s="2450"/>
      <c r="AJ80" s="2450"/>
      <c r="AK80" s="2450"/>
      <c r="AL80" s="2450"/>
      <c r="AM80" s="2450"/>
      <c r="AN80" s="3334"/>
      <c r="AO80" s="3336"/>
      <c r="AP80" s="3336"/>
      <c r="AQ80" s="3338"/>
      <c r="AR80" s="106"/>
    </row>
    <row r="81" spans="1:44" ht="43.5" customHeight="1" x14ac:dyDescent="0.2">
      <c r="A81" s="3467"/>
      <c r="B81" s="3468"/>
      <c r="C81" s="3469"/>
      <c r="D81" s="3364"/>
      <c r="E81" s="3365"/>
      <c r="F81" s="3366"/>
      <c r="G81" s="3364"/>
      <c r="H81" s="3365"/>
      <c r="I81" s="3366"/>
      <c r="J81" s="2803"/>
      <c r="K81" s="3353"/>
      <c r="L81" s="3353"/>
      <c r="M81" s="3351"/>
      <c r="N81" s="3351"/>
      <c r="O81" s="3351"/>
      <c r="P81" s="3353"/>
      <c r="Q81" s="3355"/>
      <c r="R81" s="3357"/>
      <c r="S81" s="3353"/>
      <c r="T81" s="3359"/>
      <c r="U81" s="3340"/>
      <c r="V81" s="2437">
        <f>0+400000000+128998611</f>
        <v>528998611</v>
      </c>
      <c r="W81" s="2462">
        <v>88</v>
      </c>
      <c r="X81" s="1270" t="s">
        <v>589</v>
      </c>
      <c r="Y81" s="3342"/>
      <c r="Z81" s="3342"/>
      <c r="AA81" s="3342"/>
      <c r="AB81" s="3342"/>
      <c r="AC81" s="3342"/>
      <c r="AD81" s="3332"/>
      <c r="AE81" s="3332"/>
      <c r="AF81" s="2461"/>
      <c r="AG81" s="2450"/>
      <c r="AH81" s="2450"/>
      <c r="AI81" s="2450"/>
      <c r="AJ81" s="2450"/>
      <c r="AK81" s="2450"/>
      <c r="AL81" s="2450"/>
      <c r="AM81" s="2450"/>
      <c r="AN81" s="3334"/>
      <c r="AO81" s="3336"/>
      <c r="AP81" s="3336"/>
      <c r="AQ81" s="3338"/>
      <c r="AR81" s="106"/>
    </row>
    <row r="82" spans="1:44" ht="43.5" customHeight="1" x14ac:dyDescent="0.2">
      <c r="A82" s="3467"/>
      <c r="B82" s="3468"/>
      <c r="C82" s="3469"/>
      <c r="D82" s="3364"/>
      <c r="E82" s="3365"/>
      <c r="F82" s="3366"/>
      <c r="G82" s="3364"/>
      <c r="H82" s="3365"/>
      <c r="I82" s="3366"/>
      <c r="J82" s="2803"/>
      <c r="K82" s="3353"/>
      <c r="L82" s="3353"/>
      <c r="M82" s="3351"/>
      <c r="N82" s="3351"/>
      <c r="O82" s="3351"/>
      <c r="P82" s="3353"/>
      <c r="Q82" s="3355"/>
      <c r="R82" s="3357"/>
      <c r="S82" s="3353"/>
      <c r="T82" s="3359"/>
      <c r="U82" s="3340"/>
      <c r="V82" s="2463">
        <f>0+72966900</f>
        <v>72966900</v>
      </c>
      <c r="W82" s="2462">
        <v>94</v>
      </c>
      <c r="X82" s="2462" t="s">
        <v>2540</v>
      </c>
      <c r="Y82" s="3342"/>
      <c r="Z82" s="3342"/>
      <c r="AA82" s="3342"/>
      <c r="AB82" s="3342"/>
      <c r="AC82" s="3342"/>
      <c r="AD82" s="3332"/>
      <c r="AE82" s="3332"/>
      <c r="AF82" s="2461"/>
      <c r="AG82" s="2450"/>
      <c r="AH82" s="2450"/>
      <c r="AI82" s="2450"/>
      <c r="AJ82" s="2450"/>
      <c r="AK82" s="2450"/>
      <c r="AL82" s="2450"/>
      <c r="AM82" s="2450"/>
      <c r="AN82" s="3334"/>
      <c r="AO82" s="3336"/>
      <c r="AP82" s="3336"/>
      <c r="AQ82" s="3339"/>
      <c r="AR82" s="106"/>
    </row>
    <row r="83" spans="1:44" ht="43.5" customHeight="1" x14ac:dyDescent="0.2">
      <c r="A83" s="3467"/>
      <c r="B83" s="3468"/>
      <c r="C83" s="3469"/>
      <c r="D83" s="3364"/>
      <c r="E83" s="3365"/>
      <c r="F83" s="3366"/>
      <c r="G83" s="3364"/>
      <c r="H83" s="3365"/>
      <c r="I83" s="3366"/>
      <c r="J83" s="2803"/>
      <c r="K83" s="3353"/>
      <c r="L83" s="3353"/>
      <c r="M83" s="3351"/>
      <c r="N83" s="3351"/>
      <c r="O83" s="3351"/>
      <c r="P83" s="3353"/>
      <c r="Q83" s="3355"/>
      <c r="R83" s="3357"/>
      <c r="S83" s="3353"/>
      <c r="T83" s="3360"/>
      <c r="U83" s="3343" t="s">
        <v>2541</v>
      </c>
      <c r="V83" s="3344">
        <v>167924879</v>
      </c>
      <c r="W83" s="3346">
        <v>52</v>
      </c>
      <c r="X83" s="3348" t="s">
        <v>2539</v>
      </c>
      <c r="Y83" s="3342"/>
      <c r="Z83" s="3342"/>
      <c r="AA83" s="3342"/>
      <c r="AB83" s="3342"/>
      <c r="AC83" s="3342"/>
      <c r="AD83" s="3332"/>
      <c r="AE83" s="3332"/>
      <c r="AF83" s="2461"/>
      <c r="AG83" s="2450"/>
      <c r="AH83" s="2450"/>
      <c r="AI83" s="2450"/>
      <c r="AJ83" s="2450"/>
      <c r="AK83" s="2450"/>
      <c r="AL83" s="2450"/>
      <c r="AM83" s="2450"/>
      <c r="AN83" s="3334"/>
      <c r="AO83" s="3336"/>
      <c r="AP83" s="3336"/>
      <c r="AQ83" s="3339"/>
    </row>
    <row r="84" spans="1:44" ht="79.5" customHeight="1" thickBot="1" x14ac:dyDescent="0.25">
      <c r="A84" s="3467"/>
      <c r="B84" s="3468"/>
      <c r="C84" s="3469"/>
      <c r="D84" s="3364"/>
      <c r="E84" s="3365"/>
      <c r="F84" s="3366"/>
      <c r="G84" s="3364"/>
      <c r="H84" s="3365"/>
      <c r="I84" s="3366"/>
      <c r="J84" s="2803"/>
      <c r="K84" s="3353"/>
      <c r="L84" s="3353"/>
      <c r="M84" s="3351"/>
      <c r="N84" s="3351"/>
      <c r="O84" s="3351"/>
      <c r="P84" s="3353"/>
      <c r="Q84" s="3355"/>
      <c r="R84" s="3357"/>
      <c r="S84" s="3353"/>
      <c r="T84" s="3360"/>
      <c r="U84" s="3343"/>
      <c r="V84" s="3345"/>
      <c r="W84" s="3347"/>
      <c r="X84" s="3349"/>
      <c r="Y84" s="3342"/>
      <c r="Z84" s="3342"/>
      <c r="AA84" s="3342"/>
      <c r="AB84" s="3342"/>
      <c r="AC84" s="3342"/>
      <c r="AD84" s="3332"/>
      <c r="AE84" s="3332"/>
      <c r="AF84" s="2461"/>
      <c r="AG84" s="2450"/>
      <c r="AH84" s="2450"/>
      <c r="AI84" s="2450"/>
      <c r="AJ84" s="2450"/>
      <c r="AK84" s="2450"/>
      <c r="AL84" s="2450"/>
      <c r="AM84" s="2450"/>
      <c r="AN84" s="3334"/>
      <c r="AO84" s="3336"/>
      <c r="AP84" s="3336"/>
      <c r="AQ84" s="3339"/>
    </row>
    <row r="85" spans="1:44" ht="43.5" customHeight="1" thickBot="1" x14ac:dyDescent="0.25">
      <c r="A85" s="2464"/>
      <c r="B85" s="2465"/>
      <c r="C85" s="2465"/>
      <c r="D85" s="2465"/>
      <c r="E85" s="2465"/>
      <c r="F85" s="2465"/>
      <c r="G85" s="2465"/>
      <c r="H85" s="2465"/>
      <c r="I85" s="2465"/>
      <c r="J85" s="2465"/>
      <c r="K85" s="2466"/>
      <c r="L85" s="2467"/>
      <c r="M85" s="2468"/>
      <c r="N85" s="2468"/>
      <c r="O85" s="2469"/>
      <c r="P85" s="2470" t="s">
        <v>319</v>
      </c>
      <c r="Q85" s="2471"/>
      <c r="R85" s="2472">
        <f>R79+R66+R60+R49+R32+R22+R12</f>
        <v>2910880390</v>
      </c>
      <c r="S85" s="2473"/>
      <c r="T85" s="2466"/>
      <c r="U85" s="2474"/>
      <c r="V85" s="2475">
        <f>SUM(V12:V84)</f>
        <v>2910880390</v>
      </c>
      <c r="W85" s="1290"/>
      <c r="X85" s="2476"/>
      <c r="Y85" s="2477"/>
      <c r="Z85" s="2477"/>
      <c r="AA85" s="2465"/>
      <c r="AB85" s="2465"/>
      <c r="AC85" s="2465"/>
      <c r="AD85" s="2465"/>
      <c r="AE85" s="2465"/>
      <c r="AF85" s="2465"/>
      <c r="AG85" s="2465"/>
      <c r="AH85" s="2465"/>
      <c r="AI85" s="2465"/>
      <c r="AJ85" s="2465"/>
      <c r="AK85" s="2465"/>
      <c r="AL85" s="2465"/>
      <c r="AM85" s="2465"/>
      <c r="AN85" s="2477"/>
      <c r="AO85" s="2478"/>
      <c r="AP85" s="2478"/>
      <c r="AQ85" s="1288"/>
    </row>
    <row r="86" spans="1:44" ht="43.5" customHeight="1" x14ac:dyDescent="0.2">
      <c r="V86" s="2480"/>
    </row>
    <row r="91" spans="1:44" ht="43.5" customHeight="1" x14ac:dyDescent="0.2">
      <c r="D91" s="2484"/>
      <c r="E91" s="2484"/>
      <c r="F91" s="2484"/>
      <c r="G91" s="2484"/>
      <c r="H91" s="2484"/>
      <c r="I91" s="2484"/>
      <c r="J91" s="2484"/>
    </row>
    <row r="92" spans="1:44" ht="43.5" customHeight="1" x14ac:dyDescent="0.25">
      <c r="D92" s="3330" t="s">
        <v>2542</v>
      </c>
      <c r="E92" s="3330"/>
      <c r="F92" s="3330"/>
      <c r="G92" s="3330"/>
      <c r="H92" s="3330"/>
      <c r="I92" s="3330"/>
      <c r="J92" s="3330"/>
    </row>
    <row r="93" spans="1:44" ht="43.5" customHeight="1" x14ac:dyDescent="0.25">
      <c r="D93" s="621" t="s">
        <v>2543</v>
      </c>
      <c r="E93" s="621"/>
      <c r="F93" s="621"/>
    </row>
  </sheetData>
  <sheetProtection password="A60F" sheet="1" objects="1" scenarios="1"/>
  <mergeCells count="322">
    <mergeCell ref="L7:L8"/>
    <mergeCell ref="M7:M8"/>
    <mergeCell ref="N7:N8"/>
    <mergeCell ref="O7:O8"/>
    <mergeCell ref="A1:AP4"/>
    <mergeCell ref="A5:M6"/>
    <mergeCell ref="N5:AQ5"/>
    <mergeCell ref="Y6:AM6"/>
    <mergeCell ref="A7:A8"/>
    <mergeCell ref="B7:C8"/>
    <mergeCell ref="D7:D8"/>
    <mergeCell ref="E7:F8"/>
    <mergeCell ref="G7:G8"/>
    <mergeCell ref="H7:I8"/>
    <mergeCell ref="AK7:AM7"/>
    <mergeCell ref="AN7:AN8"/>
    <mergeCell ref="AO7:AO8"/>
    <mergeCell ref="AP7:AP8"/>
    <mergeCell ref="AQ7:AQ8"/>
    <mergeCell ref="A10:C84"/>
    <mergeCell ref="D11:F57"/>
    <mergeCell ref="G12:I30"/>
    <mergeCell ref="J12:J15"/>
    <mergeCell ref="K12:K15"/>
    <mergeCell ref="V7:V8"/>
    <mergeCell ref="W7:W8"/>
    <mergeCell ref="X7:X8"/>
    <mergeCell ref="Y7:Z7"/>
    <mergeCell ref="AA7:AD7"/>
    <mergeCell ref="AE7:AJ7"/>
    <mergeCell ref="P7:P8"/>
    <mergeCell ref="Q7:Q8"/>
    <mergeCell ref="R7:R8"/>
    <mergeCell ref="S7:S8"/>
    <mergeCell ref="T7:T8"/>
    <mergeCell ref="U7:U8"/>
    <mergeCell ref="J7:J8"/>
    <mergeCell ref="K7:K8"/>
    <mergeCell ref="T12:T21"/>
    <mergeCell ref="U12:U13"/>
    <mergeCell ref="Y12:Y21"/>
    <mergeCell ref="Z12:Z21"/>
    <mergeCell ref="L12:L15"/>
    <mergeCell ref="M12:M15"/>
    <mergeCell ref="N12:N21"/>
    <mergeCell ref="O12:O21"/>
    <mergeCell ref="P12:P21"/>
    <mergeCell ref="Q12:Q15"/>
    <mergeCell ref="J16:J21"/>
    <mergeCell ref="K16:K21"/>
    <mergeCell ref="L16:L21"/>
    <mergeCell ref="M16:M21"/>
    <mergeCell ref="Q16:Q21"/>
    <mergeCell ref="U16:U21"/>
    <mergeCell ref="AO12:AO21"/>
    <mergeCell ref="AP12:AP21"/>
    <mergeCell ref="AQ12:AQ21"/>
    <mergeCell ref="U14:U15"/>
    <mergeCell ref="V14:V15"/>
    <mergeCell ref="W14:W15"/>
    <mergeCell ref="X14:X15"/>
    <mergeCell ref="V16:V21"/>
    <mergeCell ref="W16:W21"/>
    <mergeCell ref="X16:X21"/>
    <mergeCell ref="AA12:AA21"/>
    <mergeCell ref="AB12:AB21"/>
    <mergeCell ref="AC12:AC21"/>
    <mergeCell ref="AD12:AD21"/>
    <mergeCell ref="AE12:AE21"/>
    <mergeCell ref="AN12:AN21"/>
    <mergeCell ref="R12:R21"/>
    <mergeCell ref="S12:S21"/>
    <mergeCell ref="J22:J24"/>
    <mergeCell ref="K22:K24"/>
    <mergeCell ref="L22:L24"/>
    <mergeCell ref="M22:M24"/>
    <mergeCell ref="O22:O30"/>
    <mergeCell ref="P22:P30"/>
    <mergeCell ref="J25:J27"/>
    <mergeCell ref="K25:K27"/>
    <mergeCell ref="L25:L27"/>
    <mergeCell ref="M25:M27"/>
    <mergeCell ref="Q22:Q24"/>
    <mergeCell ref="R22:R30"/>
    <mergeCell ref="S22:S30"/>
    <mergeCell ref="T22:T24"/>
    <mergeCell ref="U22:U24"/>
    <mergeCell ref="Y22:Y30"/>
    <mergeCell ref="Q25:Q27"/>
    <mergeCell ref="T25:T30"/>
    <mergeCell ref="U25:U27"/>
    <mergeCell ref="V28:V30"/>
    <mergeCell ref="AN22:AN30"/>
    <mergeCell ref="AO22:AO30"/>
    <mergeCell ref="AP22:AP30"/>
    <mergeCell ref="AQ22:AQ30"/>
    <mergeCell ref="V23:V24"/>
    <mergeCell ref="W23:W24"/>
    <mergeCell ref="X23:X24"/>
    <mergeCell ref="V25:V27"/>
    <mergeCell ref="W25:W27"/>
    <mergeCell ref="X25:X27"/>
    <mergeCell ref="Z22:Z30"/>
    <mergeCell ref="AA22:AA30"/>
    <mergeCell ref="AB22:AB30"/>
    <mergeCell ref="AC22:AC30"/>
    <mergeCell ref="AD22:AD30"/>
    <mergeCell ref="AE22:AE30"/>
    <mergeCell ref="G32:I47"/>
    <mergeCell ref="J32:J37"/>
    <mergeCell ref="K32:K37"/>
    <mergeCell ref="L32:L37"/>
    <mergeCell ref="M32:M37"/>
    <mergeCell ref="O32:O47"/>
    <mergeCell ref="P32:P47"/>
    <mergeCell ref="Q32:Q37"/>
    <mergeCell ref="J28:J30"/>
    <mergeCell ref="K28:K30"/>
    <mergeCell ref="L28:L30"/>
    <mergeCell ref="M28:M30"/>
    <mergeCell ref="Q28:Q30"/>
    <mergeCell ref="U32:U34"/>
    <mergeCell ref="Y32:Y47"/>
    <mergeCell ref="Z32:Z47"/>
    <mergeCell ref="U35:U37"/>
    <mergeCell ref="U44:U47"/>
    <mergeCell ref="W45:W47"/>
    <mergeCell ref="X45:X47"/>
    <mergeCell ref="W28:W30"/>
    <mergeCell ref="X28:X30"/>
    <mergeCell ref="U28:U30"/>
    <mergeCell ref="AO32:AO47"/>
    <mergeCell ref="AP32:AP47"/>
    <mergeCell ref="AQ32:AQ47"/>
    <mergeCell ref="V33:V34"/>
    <mergeCell ref="W33:W34"/>
    <mergeCell ref="X33:X34"/>
    <mergeCell ref="V35:V37"/>
    <mergeCell ref="W35:W37"/>
    <mergeCell ref="X35:X37"/>
    <mergeCell ref="V45:V47"/>
    <mergeCell ref="AA32:AA47"/>
    <mergeCell ref="AB32:AB47"/>
    <mergeCell ref="AC32:AC47"/>
    <mergeCell ref="AD32:AD47"/>
    <mergeCell ref="AE32:AE47"/>
    <mergeCell ref="AN32:AN47"/>
    <mergeCell ref="J38:J39"/>
    <mergeCell ref="K38:K39"/>
    <mergeCell ref="L38:L39"/>
    <mergeCell ref="M38:M39"/>
    <mergeCell ref="Q38:Q39"/>
    <mergeCell ref="T38:T47"/>
    <mergeCell ref="J40:J43"/>
    <mergeCell ref="K40:K43"/>
    <mergeCell ref="L40:L43"/>
    <mergeCell ref="M40:M43"/>
    <mergeCell ref="R32:R47"/>
    <mergeCell ref="S32:S47"/>
    <mergeCell ref="T32:T37"/>
    <mergeCell ref="Q40:Q43"/>
    <mergeCell ref="U40:U43"/>
    <mergeCell ref="V40:V43"/>
    <mergeCell ref="W40:W43"/>
    <mergeCell ref="X40:X43"/>
    <mergeCell ref="J44:J47"/>
    <mergeCell ref="K44:K47"/>
    <mergeCell ref="L44:L47"/>
    <mergeCell ref="M44:M47"/>
    <mergeCell ref="Q44:Q47"/>
    <mergeCell ref="G49:I57"/>
    <mergeCell ref="J49:J51"/>
    <mergeCell ref="K49:K51"/>
    <mergeCell ref="L49:L51"/>
    <mergeCell ref="M49:M51"/>
    <mergeCell ref="O49:O57"/>
    <mergeCell ref="J52:J54"/>
    <mergeCell ref="K52:K54"/>
    <mergeCell ref="L52:L54"/>
    <mergeCell ref="M52:M54"/>
    <mergeCell ref="AE49:AE57"/>
    <mergeCell ref="AN49:AN57"/>
    <mergeCell ref="AO49:AO57"/>
    <mergeCell ref="AP49:AP57"/>
    <mergeCell ref="AQ49:AQ57"/>
    <mergeCell ref="V50:V51"/>
    <mergeCell ref="W50:W51"/>
    <mergeCell ref="X50:X51"/>
    <mergeCell ref="V52:V54"/>
    <mergeCell ref="W52:W54"/>
    <mergeCell ref="Y49:Y57"/>
    <mergeCell ref="Z49:Z57"/>
    <mergeCell ref="AA49:AA57"/>
    <mergeCell ref="AB49:AB57"/>
    <mergeCell ref="AC49:AC57"/>
    <mergeCell ref="AD49:AD57"/>
    <mergeCell ref="X52:X54"/>
    <mergeCell ref="J55:J57"/>
    <mergeCell ref="K55:K57"/>
    <mergeCell ref="L55:L57"/>
    <mergeCell ref="M55:M57"/>
    <mergeCell ref="Q55:Q57"/>
    <mergeCell ref="U55:U57"/>
    <mergeCell ref="V55:V57"/>
    <mergeCell ref="W55:W57"/>
    <mergeCell ref="X55:X57"/>
    <mergeCell ref="P49:P57"/>
    <mergeCell ref="Q49:Q51"/>
    <mergeCell ref="R49:R57"/>
    <mergeCell ref="S49:S57"/>
    <mergeCell ref="T49:T51"/>
    <mergeCell ref="U49:U51"/>
    <mergeCell ref="Q52:Q54"/>
    <mergeCell ref="T52:T57"/>
    <mergeCell ref="U52:U54"/>
    <mergeCell ref="O60:O64"/>
    <mergeCell ref="P60:P64"/>
    <mergeCell ref="Q60:Q62"/>
    <mergeCell ref="R60:R64"/>
    <mergeCell ref="S60:S64"/>
    <mergeCell ref="T60:T64"/>
    <mergeCell ref="D59:F84"/>
    <mergeCell ref="J60:J62"/>
    <mergeCell ref="K60:K62"/>
    <mergeCell ref="L60:L62"/>
    <mergeCell ref="M60:M62"/>
    <mergeCell ref="N60:N64"/>
    <mergeCell ref="G66:I77"/>
    <mergeCell ref="J66:J77"/>
    <mergeCell ref="K66:K77"/>
    <mergeCell ref="L66:L77"/>
    <mergeCell ref="AO60:AO64"/>
    <mergeCell ref="AP60:AP64"/>
    <mergeCell ref="AQ60:AQ64"/>
    <mergeCell ref="J63:J64"/>
    <mergeCell ref="K63:K64"/>
    <mergeCell ref="L63:L64"/>
    <mergeCell ref="M63:M64"/>
    <mergeCell ref="Q63:Q64"/>
    <mergeCell ref="U63:U64"/>
    <mergeCell ref="V63:V64"/>
    <mergeCell ref="AA60:AA64"/>
    <mergeCell ref="AB60:AB64"/>
    <mergeCell ref="AC60:AC64"/>
    <mergeCell ref="AD60:AD64"/>
    <mergeCell ref="AE60:AE64"/>
    <mergeCell ref="AN60:AN64"/>
    <mergeCell ref="U60:U62"/>
    <mergeCell ref="V60:V62"/>
    <mergeCell ref="W60:W62"/>
    <mergeCell ref="X60:X62"/>
    <mergeCell ref="Y60:Y64"/>
    <mergeCell ref="Z60:Z64"/>
    <mergeCell ref="W63:W64"/>
    <mergeCell ref="X63:X64"/>
    <mergeCell ref="AE66:AE77"/>
    <mergeCell ref="AN66:AN77"/>
    <mergeCell ref="AO66:AO77"/>
    <mergeCell ref="AP66:AP77"/>
    <mergeCell ref="AQ66:AQ77"/>
    <mergeCell ref="U68:U69"/>
    <mergeCell ref="V68:V69"/>
    <mergeCell ref="W68:W69"/>
    <mergeCell ref="U70:U71"/>
    <mergeCell ref="V70:V71"/>
    <mergeCell ref="Y66:Y77"/>
    <mergeCell ref="Z66:Z77"/>
    <mergeCell ref="AA66:AA77"/>
    <mergeCell ref="AB66:AB77"/>
    <mergeCell ref="AC66:AC77"/>
    <mergeCell ref="AD66:AD77"/>
    <mergeCell ref="U66:U67"/>
    <mergeCell ref="V66:V67"/>
    <mergeCell ref="W66:W67"/>
    <mergeCell ref="X66:X77"/>
    <mergeCell ref="W70:W71"/>
    <mergeCell ref="U72:U73"/>
    <mergeCell ref="V72:V73"/>
    <mergeCell ref="W72:W73"/>
    <mergeCell ref="J79:J84"/>
    <mergeCell ref="K79:K84"/>
    <mergeCell ref="L79:L84"/>
    <mergeCell ref="M79:M84"/>
    <mergeCell ref="N79:N84"/>
    <mergeCell ref="U74:U75"/>
    <mergeCell ref="V74:V75"/>
    <mergeCell ref="W74:W75"/>
    <mergeCell ref="U76:U77"/>
    <mergeCell ref="V76:V77"/>
    <mergeCell ref="W76:W77"/>
    <mergeCell ref="S66:S77"/>
    <mergeCell ref="T66:T77"/>
    <mergeCell ref="M66:M77"/>
    <mergeCell ref="N66:N77"/>
    <mergeCell ref="O66:O77"/>
    <mergeCell ref="P66:P77"/>
    <mergeCell ref="Q66:Q77"/>
    <mergeCell ref="R66:R77"/>
    <mergeCell ref="D92:J92"/>
    <mergeCell ref="AD79:AD84"/>
    <mergeCell ref="AE79:AE84"/>
    <mergeCell ref="AN79:AN84"/>
    <mergeCell ref="AO79:AO84"/>
    <mergeCell ref="AP79:AP84"/>
    <mergeCell ref="AQ79:AQ84"/>
    <mergeCell ref="U79:U82"/>
    <mergeCell ref="Y79:Y84"/>
    <mergeCell ref="Z79:Z84"/>
    <mergeCell ref="AA79:AA84"/>
    <mergeCell ref="AB79:AB84"/>
    <mergeCell ref="AC79:AC84"/>
    <mergeCell ref="U83:U84"/>
    <mergeCell ref="V83:V84"/>
    <mergeCell ref="W83:W84"/>
    <mergeCell ref="X83:X84"/>
    <mergeCell ref="O79:O84"/>
    <mergeCell ref="P79:P84"/>
    <mergeCell ref="Q79:Q84"/>
    <mergeCell ref="R79:R84"/>
    <mergeCell ref="S79:S84"/>
    <mergeCell ref="T79:T84"/>
    <mergeCell ref="G79:I84"/>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0"/>
  <sheetViews>
    <sheetView showGridLines="0" topLeftCell="A10" zoomScale="60" zoomScaleNormal="60" workbookViewId="0">
      <selection activeCell="A10" sqref="A10:B30"/>
    </sheetView>
  </sheetViews>
  <sheetFormatPr baseColWidth="10" defaultColWidth="11.42578125" defaultRowHeight="14.25" x14ac:dyDescent="0.25"/>
  <cols>
    <col min="1" max="1" width="15.85546875" style="384" customWidth="1"/>
    <col min="2" max="2" width="25.42578125" style="169" customWidth="1"/>
    <col min="3" max="3" width="17.5703125" style="169" customWidth="1"/>
    <col min="4" max="4" width="21.5703125" style="169" customWidth="1"/>
    <col min="5" max="5" width="14.85546875" style="169" customWidth="1"/>
    <col min="6" max="6" width="31.28515625" style="169" customWidth="1"/>
    <col min="7" max="7" width="19" style="185" customWidth="1"/>
    <col min="8" max="8" width="45.140625" style="385" customWidth="1"/>
    <col min="9" max="9" width="38" style="168" customWidth="1"/>
    <col min="10" max="10" width="24.85546875" style="168" customWidth="1"/>
    <col min="11" max="11" width="27" style="168" customWidth="1"/>
    <col min="12" max="12" width="23.140625" style="184" customWidth="1"/>
    <col min="13" max="13" width="28.140625" style="385" customWidth="1"/>
    <col min="14" max="14" width="19" style="387" customWidth="1"/>
    <col min="15" max="15" width="26.7109375" style="388" customWidth="1"/>
    <col min="16" max="16" width="29.7109375" style="385" customWidth="1"/>
    <col min="17" max="17" width="40.85546875" style="385" customWidth="1"/>
    <col min="18" max="18" width="55.140625" style="385" customWidth="1"/>
    <col min="19" max="19" width="25" style="393" customWidth="1"/>
    <col min="20" max="20" width="11.7109375" style="389" customWidth="1"/>
    <col min="21" max="21" width="23" style="184" customWidth="1"/>
    <col min="22" max="22" width="9.140625" style="169" customWidth="1"/>
    <col min="23" max="23" width="9.7109375" style="169" customWidth="1"/>
    <col min="24" max="24" width="9.85546875" style="169" customWidth="1"/>
    <col min="25" max="25" width="7.28515625" style="169" customWidth="1"/>
    <col min="26" max="26" width="10.42578125" style="169" customWidth="1"/>
    <col min="27" max="27" width="9.42578125" style="169" customWidth="1"/>
    <col min="28" max="36" width="7.28515625" style="169" customWidth="1"/>
    <col min="37" max="37" width="9.85546875" style="169" customWidth="1"/>
    <col min="38" max="38" width="13.7109375" style="390" customWidth="1"/>
    <col min="39" max="39" width="13.7109375" style="391" customWidth="1"/>
    <col min="40" max="40" width="20.85546875" style="392" customWidth="1"/>
    <col min="41" max="253" width="11.42578125" style="169"/>
    <col min="254" max="254" width="13.140625" style="169" customWidth="1"/>
    <col min="255" max="255" width="35.28515625" style="169" customWidth="1"/>
    <col min="256" max="256" width="12.85546875" style="169" customWidth="1"/>
    <col min="257" max="257" width="19.5703125" style="169" customWidth="1"/>
    <col min="258" max="258" width="12.28515625" style="169" customWidth="1"/>
    <col min="259" max="259" width="21.28515625" style="169" customWidth="1"/>
    <col min="260" max="260" width="11.5703125" style="169" customWidth="1"/>
    <col min="261" max="261" width="33.140625" style="169" customWidth="1"/>
    <col min="262" max="262" width="22.7109375" style="169" customWidth="1"/>
    <col min="263" max="263" width="10.7109375" style="169" customWidth="1"/>
    <col min="264" max="264" width="27.7109375" style="169" customWidth="1"/>
    <col min="265" max="265" width="21.42578125" style="169" customWidth="1"/>
    <col min="266" max="266" width="22.140625" style="169" customWidth="1"/>
    <col min="267" max="267" width="12.7109375" style="169" customWidth="1"/>
    <col min="268" max="268" width="16.42578125" style="169" customWidth="1"/>
    <col min="269" max="269" width="29.7109375" style="169" customWidth="1"/>
    <col min="270" max="270" width="29.140625" style="169" customWidth="1"/>
    <col min="271" max="271" width="33.5703125" style="169" customWidth="1"/>
    <col min="272" max="272" width="25" style="169" customWidth="1"/>
    <col min="273" max="273" width="11.7109375" style="169" customWidth="1"/>
    <col min="274" max="274" width="17.28515625" style="169" customWidth="1"/>
    <col min="275" max="290" width="7.28515625" style="169" customWidth="1"/>
    <col min="291" max="292" width="13.7109375" style="169" customWidth="1"/>
    <col min="293" max="293" width="20.85546875" style="169" customWidth="1"/>
    <col min="294" max="509" width="11.42578125" style="169"/>
    <col min="510" max="510" width="13.140625" style="169" customWidth="1"/>
    <col min="511" max="511" width="35.28515625" style="169" customWidth="1"/>
    <col min="512" max="512" width="12.85546875" style="169" customWidth="1"/>
    <col min="513" max="513" width="19.5703125" style="169" customWidth="1"/>
    <col min="514" max="514" width="12.28515625" style="169" customWidth="1"/>
    <col min="515" max="515" width="21.28515625" style="169" customWidth="1"/>
    <col min="516" max="516" width="11.5703125" style="169" customWidth="1"/>
    <col min="517" max="517" width="33.140625" style="169" customWidth="1"/>
    <col min="518" max="518" width="22.7109375" style="169" customWidth="1"/>
    <col min="519" max="519" width="10.7109375" style="169" customWidth="1"/>
    <col min="520" max="520" width="27.7109375" style="169" customWidth="1"/>
    <col min="521" max="521" width="21.42578125" style="169" customWidth="1"/>
    <col min="522" max="522" width="22.140625" style="169" customWidth="1"/>
    <col min="523" max="523" width="12.7109375" style="169" customWidth="1"/>
    <col min="524" max="524" width="16.42578125" style="169" customWidth="1"/>
    <col min="525" max="525" width="29.7109375" style="169" customWidth="1"/>
    <col min="526" max="526" width="29.140625" style="169" customWidth="1"/>
    <col min="527" max="527" width="33.5703125" style="169" customWidth="1"/>
    <col min="528" max="528" width="25" style="169" customWidth="1"/>
    <col min="529" max="529" width="11.7109375" style="169" customWidth="1"/>
    <col min="530" max="530" width="17.28515625" style="169" customWidth="1"/>
    <col min="531" max="546" width="7.28515625" style="169" customWidth="1"/>
    <col min="547" max="548" width="13.7109375" style="169" customWidth="1"/>
    <col min="549" max="549" width="20.85546875" style="169" customWidth="1"/>
    <col min="550" max="765" width="11.42578125" style="169"/>
    <col min="766" max="766" width="13.140625" style="169" customWidth="1"/>
    <col min="767" max="767" width="35.28515625" style="169" customWidth="1"/>
    <col min="768" max="768" width="12.85546875" style="169" customWidth="1"/>
    <col min="769" max="769" width="19.5703125" style="169" customWidth="1"/>
    <col min="770" max="770" width="12.28515625" style="169" customWidth="1"/>
    <col min="771" max="771" width="21.28515625" style="169" customWidth="1"/>
    <col min="772" max="772" width="11.5703125" style="169" customWidth="1"/>
    <col min="773" max="773" width="33.140625" style="169" customWidth="1"/>
    <col min="774" max="774" width="22.7109375" style="169" customWidth="1"/>
    <col min="775" max="775" width="10.7109375" style="169" customWidth="1"/>
    <col min="776" max="776" width="27.7109375" style="169" customWidth="1"/>
    <col min="777" max="777" width="21.42578125" style="169" customWidth="1"/>
    <col min="778" max="778" width="22.140625" style="169" customWidth="1"/>
    <col min="779" max="779" width="12.7109375" style="169" customWidth="1"/>
    <col min="780" max="780" width="16.42578125" style="169" customWidth="1"/>
    <col min="781" max="781" width="29.7109375" style="169" customWidth="1"/>
    <col min="782" max="782" width="29.140625" style="169" customWidth="1"/>
    <col min="783" max="783" width="33.5703125" style="169" customWidth="1"/>
    <col min="784" max="784" width="25" style="169" customWidth="1"/>
    <col min="785" max="785" width="11.7109375" style="169" customWidth="1"/>
    <col min="786" max="786" width="17.28515625" style="169" customWidth="1"/>
    <col min="787" max="802" width="7.28515625" style="169" customWidth="1"/>
    <col min="803" max="804" width="13.7109375" style="169" customWidth="1"/>
    <col min="805" max="805" width="20.85546875" style="169" customWidth="1"/>
    <col min="806" max="1021" width="11.42578125" style="169"/>
    <col min="1022" max="1022" width="13.140625" style="169" customWidth="1"/>
    <col min="1023" max="1023" width="35.28515625" style="169" customWidth="1"/>
    <col min="1024" max="1024" width="12.85546875" style="169" customWidth="1"/>
    <col min="1025" max="1025" width="19.5703125" style="169" customWidth="1"/>
    <col min="1026" max="1026" width="12.28515625" style="169" customWidth="1"/>
    <col min="1027" max="1027" width="21.28515625" style="169" customWidth="1"/>
    <col min="1028" max="1028" width="11.5703125" style="169" customWidth="1"/>
    <col min="1029" max="1029" width="33.140625" style="169" customWidth="1"/>
    <col min="1030" max="1030" width="22.7109375" style="169" customWidth="1"/>
    <col min="1031" max="1031" width="10.7109375" style="169" customWidth="1"/>
    <col min="1032" max="1032" width="27.7109375" style="169" customWidth="1"/>
    <col min="1033" max="1033" width="21.42578125" style="169" customWidth="1"/>
    <col min="1034" max="1034" width="22.140625" style="169" customWidth="1"/>
    <col min="1035" max="1035" width="12.7109375" style="169" customWidth="1"/>
    <col min="1036" max="1036" width="16.42578125" style="169" customWidth="1"/>
    <col min="1037" max="1037" width="29.7109375" style="169" customWidth="1"/>
    <col min="1038" max="1038" width="29.140625" style="169" customWidth="1"/>
    <col min="1039" max="1039" width="33.5703125" style="169" customWidth="1"/>
    <col min="1040" max="1040" width="25" style="169" customWidth="1"/>
    <col min="1041" max="1041" width="11.7109375" style="169" customWidth="1"/>
    <col min="1042" max="1042" width="17.28515625" style="169" customWidth="1"/>
    <col min="1043" max="1058" width="7.28515625" style="169" customWidth="1"/>
    <col min="1059" max="1060" width="13.7109375" style="169" customWidth="1"/>
    <col min="1061" max="1061" width="20.85546875" style="169" customWidth="1"/>
    <col min="1062" max="1277" width="11.42578125" style="169"/>
    <col min="1278" max="1278" width="13.140625" style="169" customWidth="1"/>
    <col min="1279" max="1279" width="35.28515625" style="169" customWidth="1"/>
    <col min="1280" max="1280" width="12.85546875" style="169" customWidth="1"/>
    <col min="1281" max="1281" width="19.5703125" style="169" customWidth="1"/>
    <col min="1282" max="1282" width="12.28515625" style="169" customWidth="1"/>
    <col min="1283" max="1283" width="21.28515625" style="169" customWidth="1"/>
    <col min="1284" max="1284" width="11.5703125" style="169" customWidth="1"/>
    <col min="1285" max="1285" width="33.140625" style="169" customWidth="1"/>
    <col min="1286" max="1286" width="22.7109375" style="169" customWidth="1"/>
    <col min="1287" max="1287" width="10.7109375" style="169" customWidth="1"/>
    <col min="1288" max="1288" width="27.7109375" style="169" customWidth="1"/>
    <col min="1289" max="1289" width="21.42578125" style="169" customWidth="1"/>
    <col min="1290" max="1290" width="22.140625" style="169" customWidth="1"/>
    <col min="1291" max="1291" width="12.7109375" style="169" customWidth="1"/>
    <col min="1292" max="1292" width="16.42578125" style="169" customWidth="1"/>
    <col min="1293" max="1293" width="29.7109375" style="169" customWidth="1"/>
    <col min="1294" max="1294" width="29.140625" style="169" customWidth="1"/>
    <col min="1295" max="1295" width="33.5703125" style="169" customWidth="1"/>
    <col min="1296" max="1296" width="25" style="169" customWidth="1"/>
    <col min="1297" max="1297" width="11.7109375" style="169" customWidth="1"/>
    <col min="1298" max="1298" width="17.28515625" style="169" customWidth="1"/>
    <col min="1299" max="1314" width="7.28515625" style="169" customWidth="1"/>
    <col min="1315" max="1316" width="13.7109375" style="169" customWidth="1"/>
    <col min="1317" max="1317" width="20.85546875" style="169" customWidth="1"/>
    <col min="1318" max="1533" width="11.42578125" style="169"/>
    <col min="1534" max="1534" width="13.140625" style="169" customWidth="1"/>
    <col min="1535" max="1535" width="35.28515625" style="169" customWidth="1"/>
    <col min="1536" max="1536" width="12.85546875" style="169" customWidth="1"/>
    <col min="1537" max="1537" width="19.5703125" style="169" customWidth="1"/>
    <col min="1538" max="1538" width="12.28515625" style="169" customWidth="1"/>
    <col min="1539" max="1539" width="21.28515625" style="169" customWidth="1"/>
    <col min="1540" max="1540" width="11.5703125" style="169" customWidth="1"/>
    <col min="1541" max="1541" width="33.140625" style="169" customWidth="1"/>
    <col min="1542" max="1542" width="22.7109375" style="169" customWidth="1"/>
    <col min="1543" max="1543" width="10.7109375" style="169" customWidth="1"/>
    <col min="1544" max="1544" width="27.7109375" style="169" customWidth="1"/>
    <col min="1545" max="1545" width="21.42578125" style="169" customWidth="1"/>
    <col min="1546" max="1546" width="22.140625" style="169" customWidth="1"/>
    <col min="1547" max="1547" width="12.7109375" style="169" customWidth="1"/>
    <col min="1548" max="1548" width="16.42578125" style="169" customWidth="1"/>
    <col min="1549" max="1549" width="29.7109375" style="169" customWidth="1"/>
    <col min="1550" max="1550" width="29.140625" style="169" customWidth="1"/>
    <col min="1551" max="1551" width="33.5703125" style="169" customWidth="1"/>
    <col min="1552" max="1552" width="25" style="169" customWidth="1"/>
    <col min="1553" max="1553" width="11.7109375" style="169" customWidth="1"/>
    <col min="1554" max="1554" width="17.28515625" style="169" customWidth="1"/>
    <col min="1555" max="1570" width="7.28515625" style="169" customWidth="1"/>
    <col min="1571" max="1572" width="13.7109375" style="169" customWidth="1"/>
    <col min="1573" max="1573" width="20.85546875" style="169" customWidth="1"/>
    <col min="1574" max="1789" width="11.42578125" style="169"/>
    <col min="1790" max="1790" width="13.140625" style="169" customWidth="1"/>
    <col min="1791" max="1791" width="35.28515625" style="169" customWidth="1"/>
    <col min="1792" max="1792" width="12.85546875" style="169" customWidth="1"/>
    <col min="1793" max="1793" width="19.5703125" style="169" customWidth="1"/>
    <col min="1794" max="1794" width="12.28515625" style="169" customWidth="1"/>
    <col min="1795" max="1795" width="21.28515625" style="169" customWidth="1"/>
    <col min="1796" max="1796" width="11.5703125" style="169" customWidth="1"/>
    <col min="1797" max="1797" width="33.140625" style="169" customWidth="1"/>
    <col min="1798" max="1798" width="22.7109375" style="169" customWidth="1"/>
    <col min="1799" max="1799" width="10.7109375" style="169" customWidth="1"/>
    <col min="1800" max="1800" width="27.7109375" style="169" customWidth="1"/>
    <col min="1801" max="1801" width="21.42578125" style="169" customWidth="1"/>
    <col min="1802" max="1802" width="22.140625" style="169" customWidth="1"/>
    <col min="1803" max="1803" width="12.7109375" style="169" customWidth="1"/>
    <col min="1804" max="1804" width="16.42578125" style="169" customWidth="1"/>
    <col min="1805" max="1805" width="29.7109375" style="169" customWidth="1"/>
    <col min="1806" max="1806" width="29.140625" style="169" customWidth="1"/>
    <col min="1807" max="1807" width="33.5703125" style="169" customWidth="1"/>
    <col min="1808" max="1808" width="25" style="169" customWidth="1"/>
    <col min="1809" max="1809" width="11.7109375" style="169" customWidth="1"/>
    <col min="1810" max="1810" width="17.28515625" style="169" customWidth="1"/>
    <col min="1811" max="1826" width="7.28515625" style="169" customWidth="1"/>
    <col min="1827" max="1828" width="13.7109375" style="169" customWidth="1"/>
    <col min="1829" max="1829" width="20.85546875" style="169" customWidth="1"/>
    <col min="1830" max="2045" width="11.42578125" style="169"/>
    <col min="2046" max="2046" width="13.140625" style="169" customWidth="1"/>
    <col min="2047" max="2047" width="35.28515625" style="169" customWidth="1"/>
    <col min="2048" max="2048" width="12.85546875" style="169" customWidth="1"/>
    <col min="2049" max="2049" width="19.5703125" style="169" customWidth="1"/>
    <col min="2050" max="2050" width="12.28515625" style="169" customWidth="1"/>
    <col min="2051" max="2051" width="21.28515625" style="169" customWidth="1"/>
    <col min="2052" max="2052" width="11.5703125" style="169" customWidth="1"/>
    <col min="2053" max="2053" width="33.140625" style="169" customWidth="1"/>
    <col min="2054" max="2054" width="22.7109375" style="169" customWidth="1"/>
    <col min="2055" max="2055" width="10.7109375" style="169" customWidth="1"/>
    <col min="2056" max="2056" width="27.7109375" style="169" customWidth="1"/>
    <col min="2057" max="2057" width="21.42578125" style="169" customWidth="1"/>
    <col min="2058" max="2058" width="22.140625" style="169" customWidth="1"/>
    <col min="2059" max="2059" width="12.7109375" style="169" customWidth="1"/>
    <col min="2060" max="2060" width="16.42578125" style="169" customWidth="1"/>
    <col min="2061" max="2061" width="29.7109375" style="169" customWidth="1"/>
    <col min="2062" max="2062" width="29.140625" style="169" customWidth="1"/>
    <col min="2063" max="2063" width="33.5703125" style="169" customWidth="1"/>
    <col min="2064" max="2064" width="25" style="169" customWidth="1"/>
    <col min="2065" max="2065" width="11.7109375" style="169" customWidth="1"/>
    <col min="2066" max="2066" width="17.28515625" style="169" customWidth="1"/>
    <col min="2067" max="2082" width="7.28515625" style="169" customWidth="1"/>
    <col min="2083" max="2084" width="13.7109375" style="169" customWidth="1"/>
    <col min="2085" max="2085" width="20.85546875" style="169" customWidth="1"/>
    <col min="2086" max="2301" width="11.42578125" style="169"/>
    <col min="2302" max="2302" width="13.140625" style="169" customWidth="1"/>
    <col min="2303" max="2303" width="35.28515625" style="169" customWidth="1"/>
    <col min="2304" max="2304" width="12.85546875" style="169" customWidth="1"/>
    <col min="2305" max="2305" width="19.5703125" style="169" customWidth="1"/>
    <col min="2306" max="2306" width="12.28515625" style="169" customWidth="1"/>
    <col min="2307" max="2307" width="21.28515625" style="169" customWidth="1"/>
    <col min="2308" max="2308" width="11.5703125" style="169" customWidth="1"/>
    <col min="2309" max="2309" width="33.140625" style="169" customWidth="1"/>
    <col min="2310" max="2310" width="22.7109375" style="169" customWidth="1"/>
    <col min="2311" max="2311" width="10.7109375" style="169" customWidth="1"/>
    <col min="2312" max="2312" width="27.7109375" style="169" customWidth="1"/>
    <col min="2313" max="2313" width="21.42578125" style="169" customWidth="1"/>
    <col min="2314" max="2314" width="22.140625" style="169" customWidth="1"/>
    <col min="2315" max="2315" width="12.7109375" style="169" customWidth="1"/>
    <col min="2316" max="2316" width="16.42578125" style="169" customWidth="1"/>
    <col min="2317" max="2317" width="29.7109375" style="169" customWidth="1"/>
    <col min="2318" max="2318" width="29.140625" style="169" customWidth="1"/>
    <col min="2319" max="2319" width="33.5703125" style="169" customWidth="1"/>
    <col min="2320" max="2320" width="25" style="169" customWidth="1"/>
    <col min="2321" max="2321" width="11.7109375" style="169" customWidth="1"/>
    <col min="2322" max="2322" width="17.28515625" style="169" customWidth="1"/>
    <col min="2323" max="2338" width="7.28515625" style="169" customWidth="1"/>
    <col min="2339" max="2340" width="13.7109375" style="169" customWidth="1"/>
    <col min="2341" max="2341" width="20.85546875" style="169" customWidth="1"/>
    <col min="2342" max="2557" width="11.42578125" style="169"/>
    <col min="2558" max="2558" width="13.140625" style="169" customWidth="1"/>
    <col min="2559" max="2559" width="35.28515625" style="169" customWidth="1"/>
    <col min="2560" max="2560" width="12.85546875" style="169" customWidth="1"/>
    <col min="2561" max="2561" width="19.5703125" style="169" customWidth="1"/>
    <col min="2562" max="2562" width="12.28515625" style="169" customWidth="1"/>
    <col min="2563" max="2563" width="21.28515625" style="169" customWidth="1"/>
    <col min="2564" max="2564" width="11.5703125" style="169" customWidth="1"/>
    <col min="2565" max="2565" width="33.140625" style="169" customWidth="1"/>
    <col min="2566" max="2566" width="22.7109375" style="169" customWidth="1"/>
    <col min="2567" max="2567" width="10.7109375" style="169" customWidth="1"/>
    <col min="2568" max="2568" width="27.7109375" style="169" customWidth="1"/>
    <col min="2569" max="2569" width="21.42578125" style="169" customWidth="1"/>
    <col min="2570" max="2570" width="22.140625" style="169" customWidth="1"/>
    <col min="2571" max="2571" width="12.7109375" style="169" customWidth="1"/>
    <col min="2572" max="2572" width="16.42578125" style="169" customWidth="1"/>
    <col min="2573" max="2573" width="29.7109375" style="169" customWidth="1"/>
    <col min="2574" max="2574" width="29.140625" style="169" customWidth="1"/>
    <col min="2575" max="2575" width="33.5703125" style="169" customWidth="1"/>
    <col min="2576" max="2576" width="25" style="169" customWidth="1"/>
    <col min="2577" max="2577" width="11.7109375" style="169" customWidth="1"/>
    <col min="2578" max="2578" width="17.28515625" style="169" customWidth="1"/>
    <col min="2579" max="2594" width="7.28515625" style="169" customWidth="1"/>
    <col min="2595" max="2596" width="13.7109375" style="169" customWidth="1"/>
    <col min="2597" max="2597" width="20.85546875" style="169" customWidth="1"/>
    <col min="2598" max="2813" width="11.42578125" style="169"/>
    <col min="2814" max="2814" width="13.140625" style="169" customWidth="1"/>
    <col min="2815" max="2815" width="35.28515625" style="169" customWidth="1"/>
    <col min="2816" max="2816" width="12.85546875" style="169" customWidth="1"/>
    <col min="2817" max="2817" width="19.5703125" style="169" customWidth="1"/>
    <col min="2818" max="2818" width="12.28515625" style="169" customWidth="1"/>
    <col min="2819" max="2819" width="21.28515625" style="169" customWidth="1"/>
    <col min="2820" max="2820" width="11.5703125" style="169" customWidth="1"/>
    <col min="2821" max="2821" width="33.140625" style="169" customWidth="1"/>
    <col min="2822" max="2822" width="22.7109375" style="169" customWidth="1"/>
    <col min="2823" max="2823" width="10.7109375" style="169" customWidth="1"/>
    <col min="2824" max="2824" width="27.7109375" style="169" customWidth="1"/>
    <col min="2825" max="2825" width="21.42578125" style="169" customWidth="1"/>
    <col min="2826" max="2826" width="22.140625" style="169" customWidth="1"/>
    <col min="2827" max="2827" width="12.7109375" style="169" customWidth="1"/>
    <col min="2828" max="2828" width="16.42578125" style="169" customWidth="1"/>
    <col min="2829" max="2829" width="29.7109375" style="169" customWidth="1"/>
    <col min="2830" max="2830" width="29.140625" style="169" customWidth="1"/>
    <col min="2831" max="2831" width="33.5703125" style="169" customWidth="1"/>
    <col min="2832" max="2832" width="25" style="169" customWidth="1"/>
    <col min="2833" max="2833" width="11.7109375" style="169" customWidth="1"/>
    <col min="2834" max="2834" width="17.28515625" style="169" customWidth="1"/>
    <col min="2835" max="2850" width="7.28515625" style="169" customWidth="1"/>
    <col min="2851" max="2852" width="13.7109375" style="169" customWidth="1"/>
    <col min="2853" max="2853" width="20.85546875" style="169" customWidth="1"/>
    <col min="2854" max="3069" width="11.42578125" style="169"/>
    <col min="3070" max="3070" width="13.140625" style="169" customWidth="1"/>
    <col min="3071" max="3071" width="35.28515625" style="169" customWidth="1"/>
    <col min="3072" max="3072" width="12.85546875" style="169" customWidth="1"/>
    <col min="3073" max="3073" width="19.5703125" style="169" customWidth="1"/>
    <col min="3074" max="3074" width="12.28515625" style="169" customWidth="1"/>
    <col min="3075" max="3075" width="21.28515625" style="169" customWidth="1"/>
    <col min="3076" max="3076" width="11.5703125" style="169" customWidth="1"/>
    <col min="3077" max="3077" width="33.140625" style="169" customWidth="1"/>
    <col min="3078" max="3078" width="22.7109375" style="169" customWidth="1"/>
    <col min="3079" max="3079" width="10.7109375" style="169" customWidth="1"/>
    <col min="3080" max="3080" width="27.7109375" style="169" customWidth="1"/>
    <col min="3081" max="3081" width="21.42578125" style="169" customWidth="1"/>
    <col min="3082" max="3082" width="22.140625" style="169" customWidth="1"/>
    <col min="3083" max="3083" width="12.7109375" style="169" customWidth="1"/>
    <col min="3084" max="3084" width="16.42578125" style="169" customWidth="1"/>
    <col min="3085" max="3085" width="29.7109375" style="169" customWidth="1"/>
    <col min="3086" max="3086" width="29.140625" style="169" customWidth="1"/>
    <col min="3087" max="3087" width="33.5703125" style="169" customWidth="1"/>
    <col min="3088" max="3088" width="25" style="169" customWidth="1"/>
    <col min="3089" max="3089" width="11.7109375" style="169" customWidth="1"/>
    <col min="3090" max="3090" width="17.28515625" style="169" customWidth="1"/>
    <col min="3091" max="3106" width="7.28515625" style="169" customWidth="1"/>
    <col min="3107" max="3108" width="13.7109375" style="169" customWidth="1"/>
    <col min="3109" max="3109" width="20.85546875" style="169" customWidth="1"/>
    <col min="3110" max="3325" width="11.42578125" style="169"/>
    <col min="3326" max="3326" width="13.140625" style="169" customWidth="1"/>
    <col min="3327" max="3327" width="35.28515625" style="169" customWidth="1"/>
    <col min="3328" max="3328" width="12.85546875" style="169" customWidth="1"/>
    <col min="3329" max="3329" width="19.5703125" style="169" customWidth="1"/>
    <col min="3330" max="3330" width="12.28515625" style="169" customWidth="1"/>
    <col min="3331" max="3331" width="21.28515625" style="169" customWidth="1"/>
    <col min="3332" max="3332" width="11.5703125" style="169" customWidth="1"/>
    <col min="3333" max="3333" width="33.140625" style="169" customWidth="1"/>
    <col min="3334" max="3334" width="22.7109375" style="169" customWidth="1"/>
    <col min="3335" max="3335" width="10.7109375" style="169" customWidth="1"/>
    <col min="3336" max="3336" width="27.7109375" style="169" customWidth="1"/>
    <col min="3337" max="3337" width="21.42578125" style="169" customWidth="1"/>
    <col min="3338" max="3338" width="22.140625" style="169" customWidth="1"/>
    <col min="3339" max="3339" width="12.7109375" style="169" customWidth="1"/>
    <col min="3340" max="3340" width="16.42578125" style="169" customWidth="1"/>
    <col min="3341" max="3341" width="29.7109375" style="169" customWidth="1"/>
    <col min="3342" max="3342" width="29.140625" style="169" customWidth="1"/>
    <col min="3343" max="3343" width="33.5703125" style="169" customWidth="1"/>
    <col min="3344" max="3344" width="25" style="169" customWidth="1"/>
    <col min="3345" max="3345" width="11.7109375" style="169" customWidth="1"/>
    <col min="3346" max="3346" width="17.28515625" style="169" customWidth="1"/>
    <col min="3347" max="3362" width="7.28515625" style="169" customWidth="1"/>
    <col min="3363" max="3364" width="13.7109375" style="169" customWidth="1"/>
    <col min="3365" max="3365" width="20.85546875" style="169" customWidth="1"/>
    <col min="3366" max="3581" width="11.42578125" style="169"/>
    <col min="3582" max="3582" width="13.140625" style="169" customWidth="1"/>
    <col min="3583" max="3583" width="35.28515625" style="169" customWidth="1"/>
    <col min="3584" max="3584" width="12.85546875" style="169" customWidth="1"/>
    <col min="3585" max="3585" width="19.5703125" style="169" customWidth="1"/>
    <col min="3586" max="3586" width="12.28515625" style="169" customWidth="1"/>
    <col min="3587" max="3587" width="21.28515625" style="169" customWidth="1"/>
    <col min="3588" max="3588" width="11.5703125" style="169" customWidth="1"/>
    <col min="3589" max="3589" width="33.140625" style="169" customWidth="1"/>
    <col min="3590" max="3590" width="22.7109375" style="169" customWidth="1"/>
    <col min="3591" max="3591" width="10.7109375" style="169" customWidth="1"/>
    <col min="3592" max="3592" width="27.7109375" style="169" customWidth="1"/>
    <col min="3593" max="3593" width="21.42578125" style="169" customWidth="1"/>
    <col min="3594" max="3594" width="22.140625" style="169" customWidth="1"/>
    <col min="3595" max="3595" width="12.7109375" style="169" customWidth="1"/>
    <col min="3596" max="3596" width="16.42578125" style="169" customWidth="1"/>
    <col min="3597" max="3597" width="29.7109375" style="169" customWidth="1"/>
    <col min="3598" max="3598" width="29.140625" style="169" customWidth="1"/>
    <col min="3599" max="3599" width="33.5703125" style="169" customWidth="1"/>
    <col min="3600" max="3600" width="25" style="169" customWidth="1"/>
    <col min="3601" max="3601" width="11.7109375" style="169" customWidth="1"/>
    <col min="3602" max="3602" width="17.28515625" style="169" customWidth="1"/>
    <col min="3603" max="3618" width="7.28515625" style="169" customWidth="1"/>
    <col min="3619" max="3620" width="13.7109375" style="169" customWidth="1"/>
    <col min="3621" max="3621" width="20.85546875" style="169" customWidth="1"/>
    <col min="3622" max="3837" width="11.42578125" style="169"/>
    <col min="3838" max="3838" width="13.140625" style="169" customWidth="1"/>
    <col min="3839" max="3839" width="35.28515625" style="169" customWidth="1"/>
    <col min="3840" max="3840" width="12.85546875" style="169" customWidth="1"/>
    <col min="3841" max="3841" width="19.5703125" style="169" customWidth="1"/>
    <col min="3842" max="3842" width="12.28515625" style="169" customWidth="1"/>
    <col min="3843" max="3843" width="21.28515625" style="169" customWidth="1"/>
    <col min="3844" max="3844" width="11.5703125" style="169" customWidth="1"/>
    <col min="3845" max="3845" width="33.140625" style="169" customWidth="1"/>
    <col min="3846" max="3846" width="22.7109375" style="169" customWidth="1"/>
    <col min="3847" max="3847" width="10.7109375" style="169" customWidth="1"/>
    <col min="3848" max="3848" width="27.7109375" style="169" customWidth="1"/>
    <col min="3849" max="3849" width="21.42578125" style="169" customWidth="1"/>
    <col min="3850" max="3850" width="22.140625" style="169" customWidth="1"/>
    <col min="3851" max="3851" width="12.7109375" style="169" customWidth="1"/>
    <col min="3852" max="3852" width="16.42578125" style="169" customWidth="1"/>
    <col min="3853" max="3853" width="29.7109375" style="169" customWidth="1"/>
    <col min="3854" max="3854" width="29.140625" style="169" customWidth="1"/>
    <col min="3855" max="3855" width="33.5703125" style="169" customWidth="1"/>
    <col min="3856" max="3856" width="25" style="169" customWidth="1"/>
    <col min="3857" max="3857" width="11.7109375" style="169" customWidth="1"/>
    <col min="3858" max="3858" width="17.28515625" style="169" customWidth="1"/>
    <col min="3859" max="3874" width="7.28515625" style="169" customWidth="1"/>
    <col min="3875" max="3876" width="13.7109375" style="169" customWidth="1"/>
    <col min="3877" max="3877" width="20.85546875" style="169" customWidth="1"/>
    <col min="3878" max="4093" width="11.42578125" style="169"/>
    <col min="4094" max="4094" width="13.140625" style="169" customWidth="1"/>
    <col min="4095" max="4095" width="35.28515625" style="169" customWidth="1"/>
    <col min="4096" max="4096" width="12.85546875" style="169" customWidth="1"/>
    <col min="4097" max="4097" width="19.5703125" style="169" customWidth="1"/>
    <col min="4098" max="4098" width="12.28515625" style="169" customWidth="1"/>
    <col min="4099" max="4099" width="21.28515625" style="169" customWidth="1"/>
    <col min="4100" max="4100" width="11.5703125" style="169" customWidth="1"/>
    <col min="4101" max="4101" width="33.140625" style="169" customWidth="1"/>
    <col min="4102" max="4102" width="22.7109375" style="169" customWidth="1"/>
    <col min="4103" max="4103" width="10.7109375" style="169" customWidth="1"/>
    <col min="4104" max="4104" width="27.7109375" style="169" customWidth="1"/>
    <col min="4105" max="4105" width="21.42578125" style="169" customWidth="1"/>
    <col min="4106" max="4106" width="22.140625" style="169" customWidth="1"/>
    <col min="4107" max="4107" width="12.7109375" style="169" customWidth="1"/>
    <col min="4108" max="4108" width="16.42578125" style="169" customWidth="1"/>
    <col min="4109" max="4109" width="29.7109375" style="169" customWidth="1"/>
    <col min="4110" max="4110" width="29.140625" style="169" customWidth="1"/>
    <col min="4111" max="4111" width="33.5703125" style="169" customWidth="1"/>
    <col min="4112" max="4112" width="25" style="169" customWidth="1"/>
    <col min="4113" max="4113" width="11.7109375" style="169" customWidth="1"/>
    <col min="4114" max="4114" width="17.28515625" style="169" customWidth="1"/>
    <col min="4115" max="4130" width="7.28515625" style="169" customWidth="1"/>
    <col min="4131" max="4132" width="13.7109375" style="169" customWidth="1"/>
    <col min="4133" max="4133" width="20.85546875" style="169" customWidth="1"/>
    <col min="4134" max="4349" width="11.42578125" style="169"/>
    <col min="4350" max="4350" width="13.140625" style="169" customWidth="1"/>
    <col min="4351" max="4351" width="35.28515625" style="169" customWidth="1"/>
    <col min="4352" max="4352" width="12.85546875" style="169" customWidth="1"/>
    <col min="4353" max="4353" width="19.5703125" style="169" customWidth="1"/>
    <col min="4354" max="4354" width="12.28515625" style="169" customWidth="1"/>
    <col min="4355" max="4355" width="21.28515625" style="169" customWidth="1"/>
    <col min="4356" max="4356" width="11.5703125" style="169" customWidth="1"/>
    <col min="4357" max="4357" width="33.140625" style="169" customWidth="1"/>
    <col min="4358" max="4358" width="22.7109375" style="169" customWidth="1"/>
    <col min="4359" max="4359" width="10.7109375" style="169" customWidth="1"/>
    <col min="4360" max="4360" width="27.7109375" style="169" customWidth="1"/>
    <col min="4361" max="4361" width="21.42578125" style="169" customWidth="1"/>
    <col min="4362" max="4362" width="22.140625" style="169" customWidth="1"/>
    <col min="4363" max="4363" width="12.7109375" style="169" customWidth="1"/>
    <col min="4364" max="4364" width="16.42578125" style="169" customWidth="1"/>
    <col min="4365" max="4365" width="29.7109375" style="169" customWidth="1"/>
    <col min="4366" max="4366" width="29.140625" style="169" customWidth="1"/>
    <col min="4367" max="4367" width="33.5703125" style="169" customWidth="1"/>
    <col min="4368" max="4368" width="25" style="169" customWidth="1"/>
    <col min="4369" max="4369" width="11.7109375" style="169" customWidth="1"/>
    <col min="4370" max="4370" width="17.28515625" style="169" customWidth="1"/>
    <col min="4371" max="4386" width="7.28515625" style="169" customWidth="1"/>
    <col min="4387" max="4388" width="13.7109375" style="169" customWidth="1"/>
    <col min="4389" max="4389" width="20.85546875" style="169" customWidth="1"/>
    <col min="4390" max="4605" width="11.42578125" style="169"/>
    <col min="4606" max="4606" width="13.140625" style="169" customWidth="1"/>
    <col min="4607" max="4607" width="35.28515625" style="169" customWidth="1"/>
    <col min="4608" max="4608" width="12.85546875" style="169" customWidth="1"/>
    <col min="4609" max="4609" width="19.5703125" style="169" customWidth="1"/>
    <col min="4610" max="4610" width="12.28515625" style="169" customWidth="1"/>
    <col min="4611" max="4611" width="21.28515625" style="169" customWidth="1"/>
    <col min="4612" max="4612" width="11.5703125" style="169" customWidth="1"/>
    <col min="4613" max="4613" width="33.140625" style="169" customWidth="1"/>
    <col min="4614" max="4614" width="22.7109375" style="169" customWidth="1"/>
    <col min="4615" max="4615" width="10.7109375" style="169" customWidth="1"/>
    <col min="4616" max="4616" width="27.7109375" style="169" customWidth="1"/>
    <col min="4617" max="4617" width="21.42578125" style="169" customWidth="1"/>
    <col min="4618" max="4618" width="22.140625" style="169" customWidth="1"/>
    <col min="4619" max="4619" width="12.7109375" style="169" customWidth="1"/>
    <col min="4620" max="4620" width="16.42578125" style="169" customWidth="1"/>
    <col min="4621" max="4621" width="29.7109375" style="169" customWidth="1"/>
    <col min="4622" max="4622" width="29.140625" style="169" customWidth="1"/>
    <col min="4623" max="4623" width="33.5703125" style="169" customWidth="1"/>
    <col min="4624" max="4624" width="25" style="169" customWidth="1"/>
    <col min="4625" max="4625" width="11.7109375" style="169" customWidth="1"/>
    <col min="4626" max="4626" width="17.28515625" style="169" customWidth="1"/>
    <col min="4627" max="4642" width="7.28515625" style="169" customWidth="1"/>
    <col min="4643" max="4644" width="13.7109375" style="169" customWidth="1"/>
    <col min="4645" max="4645" width="20.85546875" style="169" customWidth="1"/>
    <col min="4646" max="4861" width="11.42578125" style="169"/>
    <col min="4862" max="4862" width="13.140625" style="169" customWidth="1"/>
    <col min="4863" max="4863" width="35.28515625" style="169" customWidth="1"/>
    <col min="4864" max="4864" width="12.85546875" style="169" customWidth="1"/>
    <col min="4865" max="4865" width="19.5703125" style="169" customWidth="1"/>
    <col min="4866" max="4866" width="12.28515625" style="169" customWidth="1"/>
    <col min="4867" max="4867" width="21.28515625" style="169" customWidth="1"/>
    <col min="4868" max="4868" width="11.5703125" style="169" customWidth="1"/>
    <col min="4869" max="4869" width="33.140625" style="169" customWidth="1"/>
    <col min="4870" max="4870" width="22.7109375" style="169" customWidth="1"/>
    <col min="4871" max="4871" width="10.7109375" style="169" customWidth="1"/>
    <col min="4872" max="4872" width="27.7109375" style="169" customWidth="1"/>
    <col min="4873" max="4873" width="21.42578125" style="169" customWidth="1"/>
    <col min="4874" max="4874" width="22.140625" style="169" customWidth="1"/>
    <col min="4875" max="4875" width="12.7109375" style="169" customWidth="1"/>
    <col min="4876" max="4876" width="16.42578125" style="169" customWidth="1"/>
    <col min="4877" max="4877" width="29.7109375" style="169" customWidth="1"/>
    <col min="4878" max="4878" width="29.140625" style="169" customWidth="1"/>
    <col min="4879" max="4879" width="33.5703125" style="169" customWidth="1"/>
    <col min="4880" max="4880" width="25" style="169" customWidth="1"/>
    <col min="4881" max="4881" width="11.7109375" style="169" customWidth="1"/>
    <col min="4882" max="4882" width="17.28515625" style="169" customWidth="1"/>
    <col min="4883" max="4898" width="7.28515625" style="169" customWidth="1"/>
    <col min="4899" max="4900" width="13.7109375" style="169" customWidth="1"/>
    <col min="4901" max="4901" width="20.85546875" style="169" customWidth="1"/>
    <col min="4902" max="5117" width="11.42578125" style="169"/>
    <col min="5118" max="5118" width="13.140625" style="169" customWidth="1"/>
    <col min="5119" max="5119" width="35.28515625" style="169" customWidth="1"/>
    <col min="5120" max="5120" width="12.85546875" style="169" customWidth="1"/>
    <col min="5121" max="5121" width="19.5703125" style="169" customWidth="1"/>
    <col min="5122" max="5122" width="12.28515625" style="169" customWidth="1"/>
    <col min="5123" max="5123" width="21.28515625" style="169" customWidth="1"/>
    <col min="5124" max="5124" width="11.5703125" style="169" customWidth="1"/>
    <col min="5125" max="5125" width="33.140625" style="169" customWidth="1"/>
    <col min="5126" max="5126" width="22.7109375" style="169" customWidth="1"/>
    <col min="5127" max="5127" width="10.7109375" style="169" customWidth="1"/>
    <col min="5128" max="5128" width="27.7109375" style="169" customWidth="1"/>
    <col min="5129" max="5129" width="21.42578125" style="169" customWidth="1"/>
    <col min="5130" max="5130" width="22.140625" style="169" customWidth="1"/>
    <col min="5131" max="5131" width="12.7109375" style="169" customWidth="1"/>
    <col min="5132" max="5132" width="16.42578125" style="169" customWidth="1"/>
    <col min="5133" max="5133" width="29.7109375" style="169" customWidth="1"/>
    <col min="5134" max="5134" width="29.140625" style="169" customWidth="1"/>
    <col min="5135" max="5135" width="33.5703125" style="169" customWidth="1"/>
    <col min="5136" max="5136" width="25" style="169" customWidth="1"/>
    <col min="5137" max="5137" width="11.7109375" style="169" customWidth="1"/>
    <col min="5138" max="5138" width="17.28515625" style="169" customWidth="1"/>
    <col min="5139" max="5154" width="7.28515625" style="169" customWidth="1"/>
    <col min="5155" max="5156" width="13.7109375" style="169" customWidth="1"/>
    <col min="5157" max="5157" width="20.85546875" style="169" customWidth="1"/>
    <col min="5158" max="5373" width="11.42578125" style="169"/>
    <col min="5374" max="5374" width="13.140625" style="169" customWidth="1"/>
    <col min="5375" max="5375" width="35.28515625" style="169" customWidth="1"/>
    <col min="5376" max="5376" width="12.85546875" style="169" customWidth="1"/>
    <col min="5377" max="5377" width="19.5703125" style="169" customWidth="1"/>
    <col min="5378" max="5378" width="12.28515625" style="169" customWidth="1"/>
    <col min="5379" max="5379" width="21.28515625" style="169" customWidth="1"/>
    <col min="5380" max="5380" width="11.5703125" style="169" customWidth="1"/>
    <col min="5381" max="5381" width="33.140625" style="169" customWidth="1"/>
    <col min="5382" max="5382" width="22.7109375" style="169" customWidth="1"/>
    <col min="5383" max="5383" width="10.7109375" style="169" customWidth="1"/>
    <col min="5384" max="5384" width="27.7109375" style="169" customWidth="1"/>
    <col min="5385" max="5385" width="21.42578125" style="169" customWidth="1"/>
    <col min="5386" max="5386" width="22.140625" style="169" customWidth="1"/>
    <col min="5387" max="5387" width="12.7109375" style="169" customWidth="1"/>
    <col min="5388" max="5388" width="16.42578125" style="169" customWidth="1"/>
    <col min="5389" max="5389" width="29.7109375" style="169" customWidth="1"/>
    <col min="5390" max="5390" width="29.140625" style="169" customWidth="1"/>
    <col min="5391" max="5391" width="33.5703125" style="169" customWidth="1"/>
    <col min="5392" max="5392" width="25" style="169" customWidth="1"/>
    <col min="5393" max="5393" width="11.7109375" style="169" customWidth="1"/>
    <col min="5394" max="5394" width="17.28515625" style="169" customWidth="1"/>
    <col min="5395" max="5410" width="7.28515625" style="169" customWidth="1"/>
    <col min="5411" max="5412" width="13.7109375" style="169" customWidth="1"/>
    <col min="5413" max="5413" width="20.85546875" style="169" customWidth="1"/>
    <col min="5414" max="5629" width="11.42578125" style="169"/>
    <col min="5630" max="5630" width="13.140625" style="169" customWidth="1"/>
    <col min="5631" max="5631" width="35.28515625" style="169" customWidth="1"/>
    <col min="5632" max="5632" width="12.85546875" style="169" customWidth="1"/>
    <col min="5633" max="5633" width="19.5703125" style="169" customWidth="1"/>
    <col min="5634" max="5634" width="12.28515625" style="169" customWidth="1"/>
    <col min="5635" max="5635" width="21.28515625" style="169" customWidth="1"/>
    <col min="5636" max="5636" width="11.5703125" style="169" customWidth="1"/>
    <col min="5637" max="5637" width="33.140625" style="169" customWidth="1"/>
    <col min="5638" max="5638" width="22.7109375" style="169" customWidth="1"/>
    <col min="5639" max="5639" width="10.7109375" style="169" customWidth="1"/>
    <col min="5640" max="5640" width="27.7109375" style="169" customWidth="1"/>
    <col min="5641" max="5641" width="21.42578125" style="169" customWidth="1"/>
    <col min="5642" max="5642" width="22.140625" style="169" customWidth="1"/>
    <col min="5643" max="5643" width="12.7109375" style="169" customWidth="1"/>
    <col min="5644" max="5644" width="16.42578125" style="169" customWidth="1"/>
    <col min="5645" max="5645" width="29.7109375" style="169" customWidth="1"/>
    <col min="5646" max="5646" width="29.140625" style="169" customWidth="1"/>
    <col min="5647" max="5647" width="33.5703125" style="169" customWidth="1"/>
    <col min="5648" max="5648" width="25" style="169" customWidth="1"/>
    <col min="5649" max="5649" width="11.7109375" style="169" customWidth="1"/>
    <col min="5650" max="5650" width="17.28515625" style="169" customWidth="1"/>
    <col min="5651" max="5666" width="7.28515625" style="169" customWidth="1"/>
    <col min="5667" max="5668" width="13.7109375" style="169" customWidth="1"/>
    <col min="5669" max="5669" width="20.85546875" style="169" customWidth="1"/>
    <col min="5670" max="5885" width="11.42578125" style="169"/>
    <col min="5886" max="5886" width="13.140625" style="169" customWidth="1"/>
    <col min="5887" max="5887" width="35.28515625" style="169" customWidth="1"/>
    <col min="5888" max="5888" width="12.85546875" style="169" customWidth="1"/>
    <col min="5889" max="5889" width="19.5703125" style="169" customWidth="1"/>
    <col min="5890" max="5890" width="12.28515625" style="169" customWidth="1"/>
    <col min="5891" max="5891" width="21.28515625" style="169" customWidth="1"/>
    <col min="5892" max="5892" width="11.5703125" style="169" customWidth="1"/>
    <col min="5893" max="5893" width="33.140625" style="169" customWidth="1"/>
    <col min="5894" max="5894" width="22.7109375" style="169" customWidth="1"/>
    <col min="5895" max="5895" width="10.7109375" style="169" customWidth="1"/>
    <col min="5896" max="5896" width="27.7109375" style="169" customWidth="1"/>
    <col min="5897" max="5897" width="21.42578125" style="169" customWidth="1"/>
    <col min="5898" max="5898" width="22.140625" style="169" customWidth="1"/>
    <col min="5899" max="5899" width="12.7109375" style="169" customWidth="1"/>
    <col min="5900" max="5900" width="16.42578125" style="169" customWidth="1"/>
    <col min="5901" max="5901" width="29.7109375" style="169" customWidth="1"/>
    <col min="5902" max="5902" width="29.140625" style="169" customWidth="1"/>
    <col min="5903" max="5903" width="33.5703125" style="169" customWidth="1"/>
    <col min="5904" max="5904" width="25" style="169" customWidth="1"/>
    <col min="5905" max="5905" width="11.7109375" style="169" customWidth="1"/>
    <col min="5906" max="5906" width="17.28515625" style="169" customWidth="1"/>
    <col min="5907" max="5922" width="7.28515625" style="169" customWidth="1"/>
    <col min="5923" max="5924" width="13.7109375" style="169" customWidth="1"/>
    <col min="5925" max="5925" width="20.85546875" style="169" customWidth="1"/>
    <col min="5926" max="6141" width="11.42578125" style="169"/>
    <col min="6142" max="6142" width="13.140625" style="169" customWidth="1"/>
    <col min="6143" max="6143" width="35.28515625" style="169" customWidth="1"/>
    <col min="6144" max="6144" width="12.85546875" style="169" customWidth="1"/>
    <col min="6145" max="6145" width="19.5703125" style="169" customWidth="1"/>
    <col min="6146" max="6146" width="12.28515625" style="169" customWidth="1"/>
    <col min="6147" max="6147" width="21.28515625" style="169" customWidth="1"/>
    <col min="6148" max="6148" width="11.5703125" style="169" customWidth="1"/>
    <col min="6149" max="6149" width="33.140625" style="169" customWidth="1"/>
    <col min="6150" max="6150" width="22.7109375" style="169" customWidth="1"/>
    <col min="6151" max="6151" width="10.7109375" style="169" customWidth="1"/>
    <col min="6152" max="6152" width="27.7109375" style="169" customWidth="1"/>
    <col min="6153" max="6153" width="21.42578125" style="169" customWidth="1"/>
    <col min="6154" max="6154" width="22.140625" style="169" customWidth="1"/>
    <col min="6155" max="6155" width="12.7109375" style="169" customWidth="1"/>
    <col min="6156" max="6156" width="16.42578125" style="169" customWidth="1"/>
    <col min="6157" max="6157" width="29.7109375" style="169" customWidth="1"/>
    <col min="6158" max="6158" width="29.140625" style="169" customWidth="1"/>
    <col min="6159" max="6159" width="33.5703125" style="169" customWidth="1"/>
    <col min="6160" max="6160" width="25" style="169" customWidth="1"/>
    <col min="6161" max="6161" width="11.7109375" style="169" customWidth="1"/>
    <col min="6162" max="6162" width="17.28515625" style="169" customWidth="1"/>
    <col min="6163" max="6178" width="7.28515625" style="169" customWidth="1"/>
    <col min="6179" max="6180" width="13.7109375" style="169" customWidth="1"/>
    <col min="6181" max="6181" width="20.85546875" style="169" customWidth="1"/>
    <col min="6182" max="6397" width="11.42578125" style="169"/>
    <col min="6398" max="6398" width="13.140625" style="169" customWidth="1"/>
    <col min="6399" max="6399" width="35.28515625" style="169" customWidth="1"/>
    <col min="6400" max="6400" width="12.85546875" style="169" customWidth="1"/>
    <col min="6401" max="6401" width="19.5703125" style="169" customWidth="1"/>
    <col min="6402" max="6402" width="12.28515625" style="169" customWidth="1"/>
    <col min="6403" max="6403" width="21.28515625" style="169" customWidth="1"/>
    <col min="6404" max="6404" width="11.5703125" style="169" customWidth="1"/>
    <col min="6405" max="6405" width="33.140625" style="169" customWidth="1"/>
    <col min="6406" max="6406" width="22.7109375" style="169" customWidth="1"/>
    <col min="6407" max="6407" width="10.7109375" style="169" customWidth="1"/>
    <col min="6408" max="6408" width="27.7109375" style="169" customWidth="1"/>
    <col min="6409" max="6409" width="21.42578125" style="169" customWidth="1"/>
    <col min="6410" max="6410" width="22.140625" style="169" customWidth="1"/>
    <col min="6411" max="6411" width="12.7109375" style="169" customWidth="1"/>
    <col min="6412" max="6412" width="16.42578125" style="169" customWidth="1"/>
    <col min="6413" max="6413" width="29.7109375" style="169" customWidth="1"/>
    <col min="6414" max="6414" width="29.140625" style="169" customWidth="1"/>
    <col min="6415" max="6415" width="33.5703125" style="169" customWidth="1"/>
    <col min="6416" max="6416" width="25" style="169" customWidth="1"/>
    <col min="6417" max="6417" width="11.7109375" style="169" customWidth="1"/>
    <col min="6418" max="6418" width="17.28515625" style="169" customWidth="1"/>
    <col min="6419" max="6434" width="7.28515625" style="169" customWidth="1"/>
    <col min="6435" max="6436" width="13.7109375" style="169" customWidth="1"/>
    <col min="6437" max="6437" width="20.85546875" style="169" customWidth="1"/>
    <col min="6438" max="6653" width="11.42578125" style="169"/>
    <col min="6654" max="6654" width="13.140625" style="169" customWidth="1"/>
    <col min="6655" max="6655" width="35.28515625" style="169" customWidth="1"/>
    <col min="6656" max="6656" width="12.85546875" style="169" customWidth="1"/>
    <col min="6657" max="6657" width="19.5703125" style="169" customWidth="1"/>
    <col min="6658" max="6658" width="12.28515625" style="169" customWidth="1"/>
    <col min="6659" max="6659" width="21.28515625" style="169" customWidth="1"/>
    <col min="6660" max="6660" width="11.5703125" style="169" customWidth="1"/>
    <col min="6661" max="6661" width="33.140625" style="169" customWidth="1"/>
    <col min="6662" max="6662" width="22.7109375" style="169" customWidth="1"/>
    <col min="6663" max="6663" width="10.7109375" style="169" customWidth="1"/>
    <col min="6664" max="6664" width="27.7109375" style="169" customWidth="1"/>
    <col min="6665" max="6665" width="21.42578125" style="169" customWidth="1"/>
    <col min="6666" max="6666" width="22.140625" style="169" customWidth="1"/>
    <col min="6667" max="6667" width="12.7109375" style="169" customWidth="1"/>
    <col min="6668" max="6668" width="16.42578125" style="169" customWidth="1"/>
    <col min="6669" max="6669" width="29.7109375" style="169" customWidth="1"/>
    <col min="6670" max="6670" width="29.140625" style="169" customWidth="1"/>
    <col min="6671" max="6671" width="33.5703125" style="169" customWidth="1"/>
    <col min="6672" max="6672" width="25" style="169" customWidth="1"/>
    <col min="6673" max="6673" width="11.7109375" style="169" customWidth="1"/>
    <col min="6674" max="6674" width="17.28515625" style="169" customWidth="1"/>
    <col min="6675" max="6690" width="7.28515625" style="169" customWidth="1"/>
    <col min="6691" max="6692" width="13.7109375" style="169" customWidth="1"/>
    <col min="6693" max="6693" width="20.85546875" style="169" customWidth="1"/>
    <col min="6694" max="6909" width="11.42578125" style="169"/>
    <col min="6910" max="6910" width="13.140625" style="169" customWidth="1"/>
    <col min="6911" max="6911" width="35.28515625" style="169" customWidth="1"/>
    <col min="6912" max="6912" width="12.85546875" style="169" customWidth="1"/>
    <col min="6913" max="6913" width="19.5703125" style="169" customWidth="1"/>
    <col min="6914" max="6914" width="12.28515625" style="169" customWidth="1"/>
    <col min="6915" max="6915" width="21.28515625" style="169" customWidth="1"/>
    <col min="6916" max="6916" width="11.5703125" style="169" customWidth="1"/>
    <col min="6917" max="6917" width="33.140625" style="169" customWidth="1"/>
    <col min="6918" max="6918" width="22.7109375" style="169" customWidth="1"/>
    <col min="6919" max="6919" width="10.7109375" style="169" customWidth="1"/>
    <col min="6920" max="6920" width="27.7109375" style="169" customWidth="1"/>
    <col min="6921" max="6921" width="21.42578125" style="169" customWidth="1"/>
    <col min="6922" max="6922" width="22.140625" style="169" customWidth="1"/>
    <col min="6923" max="6923" width="12.7109375" style="169" customWidth="1"/>
    <col min="6924" max="6924" width="16.42578125" style="169" customWidth="1"/>
    <col min="6925" max="6925" width="29.7109375" style="169" customWidth="1"/>
    <col min="6926" max="6926" width="29.140625" style="169" customWidth="1"/>
    <col min="6927" max="6927" width="33.5703125" style="169" customWidth="1"/>
    <col min="6928" max="6928" width="25" style="169" customWidth="1"/>
    <col min="6929" max="6929" width="11.7109375" style="169" customWidth="1"/>
    <col min="6930" max="6930" width="17.28515625" style="169" customWidth="1"/>
    <col min="6931" max="6946" width="7.28515625" style="169" customWidth="1"/>
    <col min="6947" max="6948" width="13.7109375" style="169" customWidth="1"/>
    <col min="6949" max="6949" width="20.85546875" style="169" customWidth="1"/>
    <col min="6950" max="7165" width="11.42578125" style="169"/>
    <col min="7166" max="7166" width="13.140625" style="169" customWidth="1"/>
    <col min="7167" max="7167" width="35.28515625" style="169" customWidth="1"/>
    <col min="7168" max="7168" width="12.85546875" style="169" customWidth="1"/>
    <col min="7169" max="7169" width="19.5703125" style="169" customWidth="1"/>
    <col min="7170" max="7170" width="12.28515625" style="169" customWidth="1"/>
    <col min="7171" max="7171" width="21.28515625" style="169" customWidth="1"/>
    <col min="7172" max="7172" width="11.5703125" style="169" customWidth="1"/>
    <col min="7173" max="7173" width="33.140625" style="169" customWidth="1"/>
    <col min="7174" max="7174" width="22.7109375" style="169" customWidth="1"/>
    <col min="7175" max="7175" width="10.7109375" style="169" customWidth="1"/>
    <col min="7176" max="7176" width="27.7109375" style="169" customWidth="1"/>
    <col min="7177" max="7177" width="21.42578125" style="169" customWidth="1"/>
    <col min="7178" max="7178" width="22.140625" style="169" customWidth="1"/>
    <col min="7179" max="7179" width="12.7109375" style="169" customWidth="1"/>
    <col min="7180" max="7180" width="16.42578125" style="169" customWidth="1"/>
    <col min="7181" max="7181" width="29.7109375" style="169" customWidth="1"/>
    <col min="7182" max="7182" width="29.140625" style="169" customWidth="1"/>
    <col min="7183" max="7183" width="33.5703125" style="169" customWidth="1"/>
    <col min="7184" max="7184" width="25" style="169" customWidth="1"/>
    <col min="7185" max="7185" width="11.7109375" style="169" customWidth="1"/>
    <col min="7186" max="7186" width="17.28515625" style="169" customWidth="1"/>
    <col min="7187" max="7202" width="7.28515625" style="169" customWidth="1"/>
    <col min="7203" max="7204" width="13.7109375" style="169" customWidth="1"/>
    <col min="7205" max="7205" width="20.85546875" style="169" customWidth="1"/>
    <col min="7206" max="7421" width="11.42578125" style="169"/>
    <col min="7422" max="7422" width="13.140625" style="169" customWidth="1"/>
    <col min="7423" max="7423" width="35.28515625" style="169" customWidth="1"/>
    <col min="7424" max="7424" width="12.85546875" style="169" customWidth="1"/>
    <col min="7425" max="7425" width="19.5703125" style="169" customWidth="1"/>
    <col min="7426" max="7426" width="12.28515625" style="169" customWidth="1"/>
    <col min="7427" max="7427" width="21.28515625" style="169" customWidth="1"/>
    <col min="7428" max="7428" width="11.5703125" style="169" customWidth="1"/>
    <col min="7429" max="7429" width="33.140625" style="169" customWidth="1"/>
    <col min="7430" max="7430" width="22.7109375" style="169" customWidth="1"/>
    <col min="7431" max="7431" width="10.7109375" style="169" customWidth="1"/>
    <col min="7432" max="7432" width="27.7109375" style="169" customWidth="1"/>
    <col min="7433" max="7433" width="21.42578125" style="169" customWidth="1"/>
    <col min="7434" max="7434" width="22.140625" style="169" customWidth="1"/>
    <col min="7435" max="7435" width="12.7109375" style="169" customWidth="1"/>
    <col min="7436" max="7436" width="16.42578125" style="169" customWidth="1"/>
    <col min="7437" max="7437" width="29.7109375" style="169" customWidth="1"/>
    <col min="7438" max="7438" width="29.140625" style="169" customWidth="1"/>
    <col min="7439" max="7439" width="33.5703125" style="169" customWidth="1"/>
    <col min="7440" max="7440" width="25" style="169" customWidth="1"/>
    <col min="7441" max="7441" width="11.7109375" style="169" customWidth="1"/>
    <col min="7442" max="7442" width="17.28515625" style="169" customWidth="1"/>
    <col min="7443" max="7458" width="7.28515625" style="169" customWidth="1"/>
    <col min="7459" max="7460" width="13.7109375" style="169" customWidth="1"/>
    <col min="7461" max="7461" width="20.85546875" style="169" customWidth="1"/>
    <col min="7462" max="7677" width="11.42578125" style="169"/>
    <col min="7678" max="7678" width="13.140625" style="169" customWidth="1"/>
    <col min="7679" max="7679" width="35.28515625" style="169" customWidth="1"/>
    <col min="7680" max="7680" width="12.85546875" style="169" customWidth="1"/>
    <col min="7681" max="7681" width="19.5703125" style="169" customWidth="1"/>
    <col min="7682" max="7682" width="12.28515625" style="169" customWidth="1"/>
    <col min="7683" max="7683" width="21.28515625" style="169" customWidth="1"/>
    <col min="7684" max="7684" width="11.5703125" style="169" customWidth="1"/>
    <col min="7685" max="7685" width="33.140625" style="169" customWidth="1"/>
    <col min="7686" max="7686" width="22.7109375" style="169" customWidth="1"/>
    <col min="7687" max="7687" width="10.7109375" style="169" customWidth="1"/>
    <col min="7688" max="7688" width="27.7109375" style="169" customWidth="1"/>
    <col min="7689" max="7689" width="21.42578125" style="169" customWidth="1"/>
    <col min="7690" max="7690" width="22.140625" style="169" customWidth="1"/>
    <col min="7691" max="7691" width="12.7109375" style="169" customWidth="1"/>
    <col min="7692" max="7692" width="16.42578125" style="169" customWidth="1"/>
    <col min="7693" max="7693" width="29.7109375" style="169" customWidth="1"/>
    <col min="7694" max="7694" width="29.140625" style="169" customWidth="1"/>
    <col min="7695" max="7695" width="33.5703125" style="169" customWidth="1"/>
    <col min="7696" max="7696" width="25" style="169" customWidth="1"/>
    <col min="7697" max="7697" width="11.7109375" style="169" customWidth="1"/>
    <col min="7698" max="7698" width="17.28515625" style="169" customWidth="1"/>
    <col min="7699" max="7714" width="7.28515625" style="169" customWidth="1"/>
    <col min="7715" max="7716" width="13.7109375" style="169" customWidth="1"/>
    <col min="7717" max="7717" width="20.85546875" style="169" customWidth="1"/>
    <col min="7718" max="7933" width="11.42578125" style="169"/>
    <col min="7934" max="7934" width="13.140625" style="169" customWidth="1"/>
    <col min="7935" max="7935" width="35.28515625" style="169" customWidth="1"/>
    <col min="7936" max="7936" width="12.85546875" style="169" customWidth="1"/>
    <col min="7937" max="7937" width="19.5703125" style="169" customWidth="1"/>
    <col min="7938" max="7938" width="12.28515625" style="169" customWidth="1"/>
    <col min="7939" max="7939" width="21.28515625" style="169" customWidth="1"/>
    <col min="7940" max="7940" width="11.5703125" style="169" customWidth="1"/>
    <col min="7941" max="7941" width="33.140625" style="169" customWidth="1"/>
    <col min="7942" max="7942" width="22.7109375" style="169" customWidth="1"/>
    <col min="7943" max="7943" width="10.7109375" style="169" customWidth="1"/>
    <col min="7944" max="7944" width="27.7109375" style="169" customWidth="1"/>
    <col min="7945" max="7945" width="21.42578125" style="169" customWidth="1"/>
    <col min="7946" max="7946" width="22.140625" style="169" customWidth="1"/>
    <col min="7947" max="7947" width="12.7109375" style="169" customWidth="1"/>
    <col min="7948" max="7948" width="16.42578125" style="169" customWidth="1"/>
    <col min="7949" max="7949" width="29.7109375" style="169" customWidth="1"/>
    <col min="7950" max="7950" width="29.140625" style="169" customWidth="1"/>
    <col min="7951" max="7951" width="33.5703125" style="169" customWidth="1"/>
    <col min="7952" max="7952" width="25" style="169" customWidth="1"/>
    <col min="7953" max="7953" width="11.7109375" style="169" customWidth="1"/>
    <col min="7954" max="7954" width="17.28515625" style="169" customWidth="1"/>
    <col min="7955" max="7970" width="7.28515625" style="169" customWidth="1"/>
    <col min="7971" max="7972" width="13.7109375" style="169" customWidth="1"/>
    <col min="7973" max="7973" width="20.85546875" style="169" customWidth="1"/>
    <col min="7974" max="8189" width="11.42578125" style="169"/>
    <col min="8190" max="8190" width="13.140625" style="169" customWidth="1"/>
    <col min="8191" max="8191" width="35.28515625" style="169" customWidth="1"/>
    <col min="8192" max="8192" width="12.85546875" style="169" customWidth="1"/>
    <col min="8193" max="8193" width="19.5703125" style="169" customWidth="1"/>
    <col min="8194" max="8194" width="12.28515625" style="169" customWidth="1"/>
    <col min="8195" max="8195" width="21.28515625" style="169" customWidth="1"/>
    <col min="8196" max="8196" width="11.5703125" style="169" customWidth="1"/>
    <col min="8197" max="8197" width="33.140625" style="169" customWidth="1"/>
    <col min="8198" max="8198" width="22.7109375" style="169" customWidth="1"/>
    <col min="8199" max="8199" width="10.7109375" style="169" customWidth="1"/>
    <col min="8200" max="8200" width="27.7109375" style="169" customWidth="1"/>
    <col min="8201" max="8201" width="21.42578125" style="169" customWidth="1"/>
    <col min="8202" max="8202" width="22.140625" style="169" customWidth="1"/>
    <col min="8203" max="8203" width="12.7109375" style="169" customWidth="1"/>
    <col min="8204" max="8204" width="16.42578125" style="169" customWidth="1"/>
    <col min="8205" max="8205" width="29.7109375" style="169" customWidth="1"/>
    <col min="8206" max="8206" width="29.140625" style="169" customWidth="1"/>
    <col min="8207" max="8207" width="33.5703125" style="169" customWidth="1"/>
    <col min="8208" max="8208" width="25" style="169" customWidth="1"/>
    <col min="8209" max="8209" width="11.7109375" style="169" customWidth="1"/>
    <col min="8210" max="8210" width="17.28515625" style="169" customWidth="1"/>
    <col min="8211" max="8226" width="7.28515625" style="169" customWidth="1"/>
    <col min="8227" max="8228" width="13.7109375" style="169" customWidth="1"/>
    <col min="8229" max="8229" width="20.85546875" style="169" customWidth="1"/>
    <col min="8230" max="8445" width="11.42578125" style="169"/>
    <col min="8446" max="8446" width="13.140625" style="169" customWidth="1"/>
    <col min="8447" max="8447" width="35.28515625" style="169" customWidth="1"/>
    <col min="8448" max="8448" width="12.85546875" style="169" customWidth="1"/>
    <col min="8449" max="8449" width="19.5703125" style="169" customWidth="1"/>
    <col min="8450" max="8450" width="12.28515625" style="169" customWidth="1"/>
    <col min="8451" max="8451" width="21.28515625" style="169" customWidth="1"/>
    <col min="8452" max="8452" width="11.5703125" style="169" customWidth="1"/>
    <col min="8453" max="8453" width="33.140625" style="169" customWidth="1"/>
    <col min="8454" max="8454" width="22.7109375" style="169" customWidth="1"/>
    <col min="8455" max="8455" width="10.7109375" style="169" customWidth="1"/>
    <col min="8456" max="8456" width="27.7109375" style="169" customWidth="1"/>
    <col min="8457" max="8457" width="21.42578125" style="169" customWidth="1"/>
    <col min="8458" max="8458" width="22.140625" style="169" customWidth="1"/>
    <col min="8459" max="8459" width="12.7109375" style="169" customWidth="1"/>
    <col min="8460" max="8460" width="16.42578125" style="169" customWidth="1"/>
    <col min="8461" max="8461" width="29.7109375" style="169" customWidth="1"/>
    <col min="8462" max="8462" width="29.140625" style="169" customWidth="1"/>
    <col min="8463" max="8463" width="33.5703125" style="169" customWidth="1"/>
    <col min="8464" max="8464" width="25" style="169" customWidth="1"/>
    <col min="8465" max="8465" width="11.7109375" style="169" customWidth="1"/>
    <col min="8466" max="8466" width="17.28515625" style="169" customWidth="1"/>
    <col min="8467" max="8482" width="7.28515625" style="169" customWidth="1"/>
    <col min="8483" max="8484" width="13.7109375" style="169" customWidth="1"/>
    <col min="8485" max="8485" width="20.85546875" style="169" customWidth="1"/>
    <col min="8486" max="8701" width="11.42578125" style="169"/>
    <col min="8702" max="8702" width="13.140625" style="169" customWidth="1"/>
    <col min="8703" max="8703" width="35.28515625" style="169" customWidth="1"/>
    <col min="8704" max="8704" width="12.85546875" style="169" customWidth="1"/>
    <col min="8705" max="8705" width="19.5703125" style="169" customWidth="1"/>
    <col min="8706" max="8706" width="12.28515625" style="169" customWidth="1"/>
    <col min="8707" max="8707" width="21.28515625" style="169" customWidth="1"/>
    <col min="8708" max="8708" width="11.5703125" style="169" customWidth="1"/>
    <col min="8709" max="8709" width="33.140625" style="169" customWidth="1"/>
    <col min="8710" max="8710" width="22.7109375" style="169" customWidth="1"/>
    <col min="8711" max="8711" width="10.7109375" style="169" customWidth="1"/>
    <col min="8712" max="8712" width="27.7109375" style="169" customWidth="1"/>
    <col min="8713" max="8713" width="21.42578125" style="169" customWidth="1"/>
    <col min="8714" max="8714" width="22.140625" style="169" customWidth="1"/>
    <col min="8715" max="8715" width="12.7109375" style="169" customWidth="1"/>
    <col min="8716" max="8716" width="16.42578125" style="169" customWidth="1"/>
    <col min="8717" max="8717" width="29.7109375" style="169" customWidth="1"/>
    <col min="8718" max="8718" width="29.140625" style="169" customWidth="1"/>
    <col min="8719" max="8719" width="33.5703125" style="169" customWidth="1"/>
    <col min="8720" max="8720" width="25" style="169" customWidth="1"/>
    <col min="8721" max="8721" width="11.7109375" style="169" customWidth="1"/>
    <col min="8722" max="8722" width="17.28515625" style="169" customWidth="1"/>
    <col min="8723" max="8738" width="7.28515625" style="169" customWidth="1"/>
    <col min="8739" max="8740" width="13.7109375" style="169" customWidth="1"/>
    <col min="8741" max="8741" width="20.85546875" style="169" customWidth="1"/>
    <col min="8742" max="8957" width="11.42578125" style="169"/>
    <col min="8958" max="8958" width="13.140625" style="169" customWidth="1"/>
    <col min="8959" max="8959" width="35.28515625" style="169" customWidth="1"/>
    <col min="8960" max="8960" width="12.85546875" style="169" customWidth="1"/>
    <col min="8961" max="8961" width="19.5703125" style="169" customWidth="1"/>
    <col min="8962" max="8962" width="12.28515625" style="169" customWidth="1"/>
    <col min="8963" max="8963" width="21.28515625" style="169" customWidth="1"/>
    <col min="8964" max="8964" width="11.5703125" style="169" customWidth="1"/>
    <col min="8965" max="8965" width="33.140625" style="169" customWidth="1"/>
    <col min="8966" max="8966" width="22.7109375" style="169" customWidth="1"/>
    <col min="8967" max="8967" width="10.7109375" style="169" customWidth="1"/>
    <col min="8968" max="8968" width="27.7109375" style="169" customWidth="1"/>
    <col min="8969" max="8969" width="21.42578125" style="169" customWidth="1"/>
    <col min="8970" max="8970" width="22.140625" style="169" customWidth="1"/>
    <col min="8971" max="8971" width="12.7109375" style="169" customWidth="1"/>
    <col min="8972" max="8972" width="16.42578125" style="169" customWidth="1"/>
    <col min="8973" max="8973" width="29.7109375" style="169" customWidth="1"/>
    <col min="8974" max="8974" width="29.140625" style="169" customWidth="1"/>
    <col min="8975" max="8975" width="33.5703125" style="169" customWidth="1"/>
    <col min="8976" max="8976" width="25" style="169" customWidth="1"/>
    <col min="8977" max="8977" width="11.7109375" style="169" customWidth="1"/>
    <col min="8978" max="8978" width="17.28515625" style="169" customWidth="1"/>
    <col min="8979" max="8994" width="7.28515625" style="169" customWidth="1"/>
    <col min="8995" max="8996" width="13.7109375" style="169" customWidth="1"/>
    <col min="8997" max="8997" width="20.85546875" style="169" customWidth="1"/>
    <col min="8998" max="9213" width="11.42578125" style="169"/>
    <col min="9214" max="9214" width="13.140625" style="169" customWidth="1"/>
    <col min="9215" max="9215" width="35.28515625" style="169" customWidth="1"/>
    <col min="9216" max="9216" width="12.85546875" style="169" customWidth="1"/>
    <col min="9217" max="9217" width="19.5703125" style="169" customWidth="1"/>
    <col min="9218" max="9218" width="12.28515625" style="169" customWidth="1"/>
    <col min="9219" max="9219" width="21.28515625" style="169" customWidth="1"/>
    <col min="9220" max="9220" width="11.5703125" style="169" customWidth="1"/>
    <col min="9221" max="9221" width="33.140625" style="169" customWidth="1"/>
    <col min="9222" max="9222" width="22.7109375" style="169" customWidth="1"/>
    <col min="9223" max="9223" width="10.7109375" style="169" customWidth="1"/>
    <col min="9224" max="9224" width="27.7109375" style="169" customWidth="1"/>
    <col min="9225" max="9225" width="21.42578125" style="169" customWidth="1"/>
    <col min="9226" max="9226" width="22.140625" style="169" customWidth="1"/>
    <col min="9227" max="9227" width="12.7109375" style="169" customWidth="1"/>
    <col min="9228" max="9228" width="16.42578125" style="169" customWidth="1"/>
    <col min="9229" max="9229" width="29.7109375" style="169" customWidth="1"/>
    <col min="9230" max="9230" width="29.140625" style="169" customWidth="1"/>
    <col min="9231" max="9231" width="33.5703125" style="169" customWidth="1"/>
    <col min="9232" max="9232" width="25" style="169" customWidth="1"/>
    <col min="9233" max="9233" width="11.7109375" style="169" customWidth="1"/>
    <col min="9234" max="9234" width="17.28515625" style="169" customWidth="1"/>
    <col min="9235" max="9250" width="7.28515625" style="169" customWidth="1"/>
    <col min="9251" max="9252" width="13.7109375" style="169" customWidth="1"/>
    <col min="9253" max="9253" width="20.85546875" style="169" customWidth="1"/>
    <col min="9254" max="9469" width="11.42578125" style="169"/>
    <col min="9470" max="9470" width="13.140625" style="169" customWidth="1"/>
    <col min="9471" max="9471" width="35.28515625" style="169" customWidth="1"/>
    <col min="9472" max="9472" width="12.85546875" style="169" customWidth="1"/>
    <col min="9473" max="9473" width="19.5703125" style="169" customWidth="1"/>
    <col min="9474" max="9474" width="12.28515625" style="169" customWidth="1"/>
    <col min="9475" max="9475" width="21.28515625" style="169" customWidth="1"/>
    <col min="9476" max="9476" width="11.5703125" style="169" customWidth="1"/>
    <col min="9477" max="9477" width="33.140625" style="169" customWidth="1"/>
    <col min="9478" max="9478" width="22.7109375" style="169" customWidth="1"/>
    <col min="9479" max="9479" width="10.7109375" style="169" customWidth="1"/>
    <col min="9480" max="9480" width="27.7109375" style="169" customWidth="1"/>
    <col min="9481" max="9481" width="21.42578125" style="169" customWidth="1"/>
    <col min="9482" max="9482" width="22.140625" style="169" customWidth="1"/>
    <col min="9483" max="9483" width="12.7109375" style="169" customWidth="1"/>
    <col min="9484" max="9484" width="16.42578125" style="169" customWidth="1"/>
    <col min="9485" max="9485" width="29.7109375" style="169" customWidth="1"/>
    <col min="9486" max="9486" width="29.140625" style="169" customWidth="1"/>
    <col min="9487" max="9487" width="33.5703125" style="169" customWidth="1"/>
    <col min="9488" max="9488" width="25" style="169" customWidth="1"/>
    <col min="9489" max="9489" width="11.7109375" style="169" customWidth="1"/>
    <col min="9490" max="9490" width="17.28515625" style="169" customWidth="1"/>
    <col min="9491" max="9506" width="7.28515625" style="169" customWidth="1"/>
    <col min="9507" max="9508" width="13.7109375" style="169" customWidth="1"/>
    <col min="9509" max="9509" width="20.85546875" style="169" customWidth="1"/>
    <col min="9510" max="9725" width="11.42578125" style="169"/>
    <col min="9726" max="9726" width="13.140625" style="169" customWidth="1"/>
    <col min="9727" max="9727" width="35.28515625" style="169" customWidth="1"/>
    <col min="9728" max="9728" width="12.85546875" style="169" customWidth="1"/>
    <col min="9729" max="9729" width="19.5703125" style="169" customWidth="1"/>
    <col min="9730" max="9730" width="12.28515625" style="169" customWidth="1"/>
    <col min="9731" max="9731" width="21.28515625" style="169" customWidth="1"/>
    <col min="9732" max="9732" width="11.5703125" style="169" customWidth="1"/>
    <col min="9733" max="9733" width="33.140625" style="169" customWidth="1"/>
    <col min="9734" max="9734" width="22.7109375" style="169" customWidth="1"/>
    <col min="9735" max="9735" width="10.7109375" style="169" customWidth="1"/>
    <col min="9736" max="9736" width="27.7109375" style="169" customWidth="1"/>
    <col min="9737" max="9737" width="21.42578125" style="169" customWidth="1"/>
    <col min="9738" max="9738" width="22.140625" style="169" customWidth="1"/>
    <col min="9739" max="9739" width="12.7109375" style="169" customWidth="1"/>
    <col min="9740" max="9740" width="16.42578125" style="169" customWidth="1"/>
    <col min="9741" max="9741" width="29.7109375" style="169" customWidth="1"/>
    <col min="9742" max="9742" width="29.140625" style="169" customWidth="1"/>
    <col min="9743" max="9743" width="33.5703125" style="169" customWidth="1"/>
    <col min="9744" max="9744" width="25" style="169" customWidth="1"/>
    <col min="9745" max="9745" width="11.7109375" style="169" customWidth="1"/>
    <col min="9746" max="9746" width="17.28515625" style="169" customWidth="1"/>
    <col min="9747" max="9762" width="7.28515625" style="169" customWidth="1"/>
    <col min="9763" max="9764" width="13.7109375" style="169" customWidth="1"/>
    <col min="9765" max="9765" width="20.85546875" style="169" customWidth="1"/>
    <col min="9766" max="9981" width="11.42578125" style="169"/>
    <col min="9982" max="9982" width="13.140625" style="169" customWidth="1"/>
    <col min="9983" max="9983" width="35.28515625" style="169" customWidth="1"/>
    <col min="9984" max="9984" width="12.85546875" style="169" customWidth="1"/>
    <col min="9985" max="9985" width="19.5703125" style="169" customWidth="1"/>
    <col min="9986" max="9986" width="12.28515625" style="169" customWidth="1"/>
    <col min="9987" max="9987" width="21.28515625" style="169" customWidth="1"/>
    <col min="9988" max="9988" width="11.5703125" style="169" customWidth="1"/>
    <col min="9989" max="9989" width="33.140625" style="169" customWidth="1"/>
    <col min="9990" max="9990" width="22.7109375" style="169" customWidth="1"/>
    <col min="9991" max="9991" width="10.7109375" style="169" customWidth="1"/>
    <col min="9992" max="9992" width="27.7109375" style="169" customWidth="1"/>
    <col min="9993" max="9993" width="21.42578125" style="169" customWidth="1"/>
    <col min="9994" max="9994" width="22.140625" style="169" customWidth="1"/>
    <col min="9995" max="9995" width="12.7109375" style="169" customWidth="1"/>
    <col min="9996" max="9996" width="16.42578125" style="169" customWidth="1"/>
    <col min="9997" max="9997" width="29.7109375" style="169" customWidth="1"/>
    <col min="9998" max="9998" width="29.140625" style="169" customWidth="1"/>
    <col min="9999" max="9999" width="33.5703125" style="169" customWidth="1"/>
    <col min="10000" max="10000" width="25" style="169" customWidth="1"/>
    <col min="10001" max="10001" width="11.7109375" style="169" customWidth="1"/>
    <col min="10002" max="10002" width="17.28515625" style="169" customWidth="1"/>
    <col min="10003" max="10018" width="7.28515625" style="169" customWidth="1"/>
    <col min="10019" max="10020" width="13.7109375" style="169" customWidth="1"/>
    <col min="10021" max="10021" width="20.85546875" style="169" customWidth="1"/>
    <col min="10022" max="10237" width="11.42578125" style="169"/>
    <col min="10238" max="10238" width="13.140625" style="169" customWidth="1"/>
    <col min="10239" max="10239" width="35.28515625" style="169" customWidth="1"/>
    <col min="10240" max="10240" width="12.85546875" style="169" customWidth="1"/>
    <col min="10241" max="10241" width="19.5703125" style="169" customWidth="1"/>
    <col min="10242" max="10242" width="12.28515625" style="169" customWidth="1"/>
    <col min="10243" max="10243" width="21.28515625" style="169" customWidth="1"/>
    <col min="10244" max="10244" width="11.5703125" style="169" customWidth="1"/>
    <col min="10245" max="10245" width="33.140625" style="169" customWidth="1"/>
    <col min="10246" max="10246" width="22.7109375" style="169" customWidth="1"/>
    <col min="10247" max="10247" width="10.7109375" style="169" customWidth="1"/>
    <col min="10248" max="10248" width="27.7109375" style="169" customWidth="1"/>
    <col min="10249" max="10249" width="21.42578125" style="169" customWidth="1"/>
    <col min="10250" max="10250" width="22.140625" style="169" customWidth="1"/>
    <col min="10251" max="10251" width="12.7109375" style="169" customWidth="1"/>
    <col min="10252" max="10252" width="16.42578125" style="169" customWidth="1"/>
    <col min="10253" max="10253" width="29.7109375" style="169" customWidth="1"/>
    <col min="10254" max="10254" width="29.140625" style="169" customWidth="1"/>
    <col min="10255" max="10255" width="33.5703125" style="169" customWidth="1"/>
    <col min="10256" max="10256" width="25" style="169" customWidth="1"/>
    <col min="10257" max="10257" width="11.7109375" style="169" customWidth="1"/>
    <col min="10258" max="10258" width="17.28515625" style="169" customWidth="1"/>
    <col min="10259" max="10274" width="7.28515625" style="169" customWidth="1"/>
    <col min="10275" max="10276" width="13.7109375" style="169" customWidth="1"/>
    <col min="10277" max="10277" width="20.85546875" style="169" customWidth="1"/>
    <col min="10278" max="10493" width="11.42578125" style="169"/>
    <col min="10494" max="10494" width="13.140625" style="169" customWidth="1"/>
    <col min="10495" max="10495" width="35.28515625" style="169" customWidth="1"/>
    <col min="10496" max="10496" width="12.85546875" style="169" customWidth="1"/>
    <col min="10497" max="10497" width="19.5703125" style="169" customWidth="1"/>
    <col min="10498" max="10498" width="12.28515625" style="169" customWidth="1"/>
    <col min="10499" max="10499" width="21.28515625" style="169" customWidth="1"/>
    <col min="10500" max="10500" width="11.5703125" style="169" customWidth="1"/>
    <col min="10501" max="10501" width="33.140625" style="169" customWidth="1"/>
    <col min="10502" max="10502" width="22.7109375" style="169" customWidth="1"/>
    <col min="10503" max="10503" width="10.7109375" style="169" customWidth="1"/>
    <col min="10504" max="10504" width="27.7109375" style="169" customWidth="1"/>
    <col min="10505" max="10505" width="21.42578125" style="169" customWidth="1"/>
    <col min="10506" max="10506" width="22.140625" style="169" customWidth="1"/>
    <col min="10507" max="10507" width="12.7109375" style="169" customWidth="1"/>
    <col min="10508" max="10508" width="16.42578125" style="169" customWidth="1"/>
    <col min="10509" max="10509" width="29.7109375" style="169" customWidth="1"/>
    <col min="10510" max="10510" width="29.140625" style="169" customWidth="1"/>
    <col min="10511" max="10511" width="33.5703125" style="169" customWidth="1"/>
    <col min="10512" max="10512" width="25" style="169" customWidth="1"/>
    <col min="10513" max="10513" width="11.7109375" style="169" customWidth="1"/>
    <col min="10514" max="10514" width="17.28515625" style="169" customWidth="1"/>
    <col min="10515" max="10530" width="7.28515625" style="169" customWidth="1"/>
    <col min="10531" max="10532" width="13.7109375" style="169" customWidth="1"/>
    <col min="10533" max="10533" width="20.85546875" style="169" customWidth="1"/>
    <col min="10534" max="10749" width="11.42578125" style="169"/>
    <col min="10750" max="10750" width="13.140625" style="169" customWidth="1"/>
    <col min="10751" max="10751" width="35.28515625" style="169" customWidth="1"/>
    <col min="10752" max="10752" width="12.85546875" style="169" customWidth="1"/>
    <col min="10753" max="10753" width="19.5703125" style="169" customWidth="1"/>
    <col min="10754" max="10754" width="12.28515625" style="169" customWidth="1"/>
    <col min="10755" max="10755" width="21.28515625" style="169" customWidth="1"/>
    <col min="10756" max="10756" width="11.5703125" style="169" customWidth="1"/>
    <col min="10757" max="10757" width="33.140625" style="169" customWidth="1"/>
    <col min="10758" max="10758" width="22.7109375" style="169" customWidth="1"/>
    <col min="10759" max="10759" width="10.7109375" style="169" customWidth="1"/>
    <col min="10760" max="10760" width="27.7109375" style="169" customWidth="1"/>
    <col min="10761" max="10761" width="21.42578125" style="169" customWidth="1"/>
    <col min="10762" max="10762" width="22.140625" style="169" customWidth="1"/>
    <col min="10763" max="10763" width="12.7109375" style="169" customWidth="1"/>
    <col min="10764" max="10764" width="16.42578125" style="169" customWidth="1"/>
    <col min="10765" max="10765" width="29.7109375" style="169" customWidth="1"/>
    <col min="10766" max="10766" width="29.140625" style="169" customWidth="1"/>
    <col min="10767" max="10767" width="33.5703125" style="169" customWidth="1"/>
    <col min="10768" max="10768" width="25" style="169" customWidth="1"/>
    <col min="10769" max="10769" width="11.7109375" style="169" customWidth="1"/>
    <col min="10770" max="10770" width="17.28515625" style="169" customWidth="1"/>
    <col min="10771" max="10786" width="7.28515625" style="169" customWidth="1"/>
    <col min="10787" max="10788" width="13.7109375" style="169" customWidth="1"/>
    <col min="10789" max="10789" width="20.85546875" style="169" customWidth="1"/>
    <col min="10790" max="11005" width="11.42578125" style="169"/>
    <col min="11006" max="11006" width="13.140625" style="169" customWidth="1"/>
    <col min="11007" max="11007" width="35.28515625" style="169" customWidth="1"/>
    <col min="11008" max="11008" width="12.85546875" style="169" customWidth="1"/>
    <col min="11009" max="11009" width="19.5703125" style="169" customWidth="1"/>
    <col min="11010" max="11010" width="12.28515625" style="169" customWidth="1"/>
    <col min="11011" max="11011" width="21.28515625" style="169" customWidth="1"/>
    <col min="11012" max="11012" width="11.5703125" style="169" customWidth="1"/>
    <col min="11013" max="11013" width="33.140625" style="169" customWidth="1"/>
    <col min="11014" max="11014" width="22.7109375" style="169" customWidth="1"/>
    <col min="11015" max="11015" width="10.7109375" style="169" customWidth="1"/>
    <col min="11016" max="11016" width="27.7109375" style="169" customWidth="1"/>
    <col min="11017" max="11017" width="21.42578125" style="169" customWidth="1"/>
    <col min="11018" max="11018" width="22.140625" style="169" customWidth="1"/>
    <col min="11019" max="11019" width="12.7109375" style="169" customWidth="1"/>
    <col min="11020" max="11020" width="16.42578125" style="169" customWidth="1"/>
    <col min="11021" max="11021" width="29.7109375" style="169" customWidth="1"/>
    <col min="11022" max="11022" width="29.140625" style="169" customWidth="1"/>
    <col min="11023" max="11023" width="33.5703125" style="169" customWidth="1"/>
    <col min="11024" max="11024" width="25" style="169" customWidth="1"/>
    <col min="11025" max="11025" width="11.7109375" style="169" customWidth="1"/>
    <col min="11026" max="11026" width="17.28515625" style="169" customWidth="1"/>
    <col min="11027" max="11042" width="7.28515625" style="169" customWidth="1"/>
    <col min="11043" max="11044" width="13.7109375" style="169" customWidth="1"/>
    <col min="11045" max="11045" width="20.85546875" style="169" customWidth="1"/>
    <col min="11046" max="11261" width="11.42578125" style="169"/>
    <col min="11262" max="11262" width="13.140625" style="169" customWidth="1"/>
    <col min="11263" max="11263" width="35.28515625" style="169" customWidth="1"/>
    <col min="11264" max="11264" width="12.85546875" style="169" customWidth="1"/>
    <col min="11265" max="11265" width="19.5703125" style="169" customWidth="1"/>
    <col min="11266" max="11266" width="12.28515625" style="169" customWidth="1"/>
    <col min="11267" max="11267" width="21.28515625" style="169" customWidth="1"/>
    <col min="11268" max="11268" width="11.5703125" style="169" customWidth="1"/>
    <col min="11269" max="11269" width="33.140625" style="169" customWidth="1"/>
    <col min="11270" max="11270" width="22.7109375" style="169" customWidth="1"/>
    <col min="11271" max="11271" width="10.7109375" style="169" customWidth="1"/>
    <col min="11272" max="11272" width="27.7109375" style="169" customWidth="1"/>
    <col min="11273" max="11273" width="21.42578125" style="169" customWidth="1"/>
    <col min="11274" max="11274" width="22.140625" style="169" customWidth="1"/>
    <col min="11275" max="11275" width="12.7109375" style="169" customWidth="1"/>
    <col min="11276" max="11276" width="16.42578125" style="169" customWidth="1"/>
    <col min="11277" max="11277" width="29.7109375" style="169" customWidth="1"/>
    <col min="11278" max="11278" width="29.140625" style="169" customWidth="1"/>
    <col min="11279" max="11279" width="33.5703125" style="169" customWidth="1"/>
    <col min="11280" max="11280" width="25" style="169" customWidth="1"/>
    <col min="11281" max="11281" width="11.7109375" style="169" customWidth="1"/>
    <col min="11282" max="11282" width="17.28515625" style="169" customWidth="1"/>
    <col min="11283" max="11298" width="7.28515625" style="169" customWidth="1"/>
    <col min="11299" max="11300" width="13.7109375" style="169" customWidth="1"/>
    <col min="11301" max="11301" width="20.85546875" style="169" customWidth="1"/>
    <col min="11302" max="11517" width="11.42578125" style="169"/>
    <col min="11518" max="11518" width="13.140625" style="169" customWidth="1"/>
    <col min="11519" max="11519" width="35.28515625" style="169" customWidth="1"/>
    <col min="11520" max="11520" width="12.85546875" style="169" customWidth="1"/>
    <col min="11521" max="11521" width="19.5703125" style="169" customWidth="1"/>
    <col min="11522" max="11522" width="12.28515625" style="169" customWidth="1"/>
    <col min="11523" max="11523" width="21.28515625" style="169" customWidth="1"/>
    <col min="11524" max="11524" width="11.5703125" style="169" customWidth="1"/>
    <col min="11525" max="11525" width="33.140625" style="169" customWidth="1"/>
    <col min="11526" max="11526" width="22.7109375" style="169" customWidth="1"/>
    <col min="11527" max="11527" width="10.7109375" style="169" customWidth="1"/>
    <col min="11528" max="11528" width="27.7109375" style="169" customWidth="1"/>
    <col min="11529" max="11529" width="21.42578125" style="169" customWidth="1"/>
    <col min="11530" max="11530" width="22.140625" style="169" customWidth="1"/>
    <col min="11531" max="11531" width="12.7109375" style="169" customWidth="1"/>
    <col min="11532" max="11532" width="16.42578125" style="169" customWidth="1"/>
    <col min="11533" max="11533" width="29.7109375" style="169" customWidth="1"/>
    <col min="11534" max="11534" width="29.140625" style="169" customWidth="1"/>
    <col min="11535" max="11535" width="33.5703125" style="169" customWidth="1"/>
    <col min="11536" max="11536" width="25" style="169" customWidth="1"/>
    <col min="11537" max="11537" width="11.7109375" style="169" customWidth="1"/>
    <col min="11538" max="11538" width="17.28515625" style="169" customWidth="1"/>
    <col min="11539" max="11554" width="7.28515625" style="169" customWidth="1"/>
    <col min="11555" max="11556" width="13.7109375" style="169" customWidth="1"/>
    <col min="11557" max="11557" width="20.85546875" style="169" customWidth="1"/>
    <col min="11558" max="11773" width="11.42578125" style="169"/>
    <col min="11774" max="11774" width="13.140625" style="169" customWidth="1"/>
    <col min="11775" max="11775" width="35.28515625" style="169" customWidth="1"/>
    <col min="11776" max="11776" width="12.85546875" style="169" customWidth="1"/>
    <col min="11777" max="11777" width="19.5703125" style="169" customWidth="1"/>
    <col min="11778" max="11778" width="12.28515625" style="169" customWidth="1"/>
    <col min="11779" max="11779" width="21.28515625" style="169" customWidth="1"/>
    <col min="11780" max="11780" width="11.5703125" style="169" customWidth="1"/>
    <col min="11781" max="11781" width="33.140625" style="169" customWidth="1"/>
    <col min="11782" max="11782" width="22.7109375" style="169" customWidth="1"/>
    <col min="11783" max="11783" width="10.7109375" style="169" customWidth="1"/>
    <col min="11784" max="11784" width="27.7109375" style="169" customWidth="1"/>
    <col min="11785" max="11785" width="21.42578125" style="169" customWidth="1"/>
    <col min="11786" max="11786" width="22.140625" style="169" customWidth="1"/>
    <col min="11787" max="11787" width="12.7109375" style="169" customWidth="1"/>
    <col min="11788" max="11788" width="16.42578125" style="169" customWidth="1"/>
    <col min="11789" max="11789" width="29.7109375" style="169" customWidth="1"/>
    <col min="11790" max="11790" width="29.140625" style="169" customWidth="1"/>
    <col min="11791" max="11791" width="33.5703125" style="169" customWidth="1"/>
    <col min="11792" max="11792" width="25" style="169" customWidth="1"/>
    <col min="11793" max="11793" width="11.7109375" style="169" customWidth="1"/>
    <col min="11794" max="11794" width="17.28515625" style="169" customWidth="1"/>
    <col min="11795" max="11810" width="7.28515625" style="169" customWidth="1"/>
    <col min="11811" max="11812" width="13.7109375" style="169" customWidth="1"/>
    <col min="11813" max="11813" width="20.85546875" style="169" customWidth="1"/>
    <col min="11814" max="12029" width="11.42578125" style="169"/>
    <col min="12030" max="12030" width="13.140625" style="169" customWidth="1"/>
    <col min="12031" max="12031" width="35.28515625" style="169" customWidth="1"/>
    <col min="12032" max="12032" width="12.85546875" style="169" customWidth="1"/>
    <col min="12033" max="12033" width="19.5703125" style="169" customWidth="1"/>
    <col min="12034" max="12034" width="12.28515625" style="169" customWidth="1"/>
    <col min="12035" max="12035" width="21.28515625" style="169" customWidth="1"/>
    <col min="12036" max="12036" width="11.5703125" style="169" customWidth="1"/>
    <col min="12037" max="12037" width="33.140625" style="169" customWidth="1"/>
    <col min="12038" max="12038" width="22.7109375" style="169" customWidth="1"/>
    <col min="12039" max="12039" width="10.7109375" style="169" customWidth="1"/>
    <col min="12040" max="12040" width="27.7109375" style="169" customWidth="1"/>
    <col min="12041" max="12041" width="21.42578125" style="169" customWidth="1"/>
    <col min="12042" max="12042" width="22.140625" style="169" customWidth="1"/>
    <col min="12043" max="12043" width="12.7109375" style="169" customWidth="1"/>
    <col min="12044" max="12044" width="16.42578125" style="169" customWidth="1"/>
    <col min="12045" max="12045" width="29.7109375" style="169" customWidth="1"/>
    <col min="12046" max="12046" width="29.140625" style="169" customWidth="1"/>
    <col min="12047" max="12047" width="33.5703125" style="169" customWidth="1"/>
    <col min="12048" max="12048" width="25" style="169" customWidth="1"/>
    <col min="12049" max="12049" width="11.7109375" style="169" customWidth="1"/>
    <col min="12050" max="12050" width="17.28515625" style="169" customWidth="1"/>
    <col min="12051" max="12066" width="7.28515625" style="169" customWidth="1"/>
    <col min="12067" max="12068" width="13.7109375" style="169" customWidth="1"/>
    <col min="12069" max="12069" width="20.85546875" style="169" customWidth="1"/>
    <col min="12070" max="12285" width="11.42578125" style="169"/>
    <col min="12286" max="12286" width="13.140625" style="169" customWidth="1"/>
    <col min="12287" max="12287" width="35.28515625" style="169" customWidth="1"/>
    <col min="12288" max="12288" width="12.85546875" style="169" customWidth="1"/>
    <col min="12289" max="12289" width="19.5703125" style="169" customWidth="1"/>
    <col min="12290" max="12290" width="12.28515625" style="169" customWidth="1"/>
    <col min="12291" max="12291" width="21.28515625" style="169" customWidth="1"/>
    <col min="12292" max="12292" width="11.5703125" style="169" customWidth="1"/>
    <col min="12293" max="12293" width="33.140625" style="169" customWidth="1"/>
    <col min="12294" max="12294" width="22.7109375" style="169" customWidth="1"/>
    <col min="12295" max="12295" width="10.7109375" style="169" customWidth="1"/>
    <col min="12296" max="12296" width="27.7109375" style="169" customWidth="1"/>
    <col min="12297" max="12297" width="21.42578125" style="169" customWidth="1"/>
    <col min="12298" max="12298" width="22.140625" style="169" customWidth="1"/>
    <col min="12299" max="12299" width="12.7109375" style="169" customWidth="1"/>
    <col min="12300" max="12300" width="16.42578125" style="169" customWidth="1"/>
    <col min="12301" max="12301" width="29.7109375" style="169" customWidth="1"/>
    <col min="12302" max="12302" width="29.140625" style="169" customWidth="1"/>
    <col min="12303" max="12303" width="33.5703125" style="169" customWidth="1"/>
    <col min="12304" max="12304" width="25" style="169" customWidth="1"/>
    <col min="12305" max="12305" width="11.7109375" style="169" customWidth="1"/>
    <col min="12306" max="12306" width="17.28515625" style="169" customWidth="1"/>
    <col min="12307" max="12322" width="7.28515625" style="169" customWidth="1"/>
    <col min="12323" max="12324" width="13.7109375" style="169" customWidth="1"/>
    <col min="12325" max="12325" width="20.85546875" style="169" customWidth="1"/>
    <col min="12326" max="12541" width="11.42578125" style="169"/>
    <col min="12542" max="12542" width="13.140625" style="169" customWidth="1"/>
    <col min="12543" max="12543" width="35.28515625" style="169" customWidth="1"/>
    <col min="12544" max="12544" width="12.85546875" style="169" customWidth="1"/>
    <col min="12545" max="12545" width="19.5703125" style="169" customWidth="1"/>
    <col min="12546" max="12546" width="12.28515625" style="169" customWidth="1"/>
    <col min="12547" max="12547" width="21.28515625" style="169" customWidth="1"/>
    <col min="12548" max="12548" width="11.5703125" style="169" customWidth="1"/>
    <col min="12549" max="12549" width="33.140625" style="169" customWidth="1"/>
    <col min="12550" max="12550" width="22.7109375" style="169" customWidth="1"/>
    <col min="12551" max="12551" width="10.7109375" style="169" customWidth="1"/>
    <col min="12552" max="12552" width="27.7109375" style="169" customWidth="1"/>
    <col min="12553" max="12553" width="21.42578125" style="169" customWidth="1"/>
    <col min="12554" max="12554" width="22.140625" style="169" customWidth="1"/>
    <col min="12555" max="12555" width="12.7109375" style="169" customWidth="1"/>
    <col min="12556" max="12556" width="16.42578125" style="169" customWidth="1"/>
    <col min="12557" max="12557" width="29.7109375" style="169" customWidth="1"/>
    <col min="12558" max="12558" width="29.140625" style="169" customWidth="1"/>
    <col min="12559" max="12559" width="33.5703125" style="169" customWidth="1"/>
    <col min="12560" max="12560" width="25" style="169" customWidth="1"/>
    <col min="12561" max="12561" width="11.7109375" style="169" customWidth="1"/>
    <col min="12562" max="12562" width="17.28515625" style="169" customWidth="1"/>
    <col min="12563" max="12578" width="7.28515625" style="169" customWidth="1"/>
    <col min="12579" max="12580" width="13.7109375" style="169" customWidth="1"/>
    <col min="12581" max="12581" width="20.85546875" style="169" customWidth="1"/>
    <col min="12582" max="12797" width="11.42578125" style="169"/>
    <col min="12798" max="12798" width="13.140625" style="169" customWidth="1"/>
    <col min="12799" max="12799" width="35.28515625" style="169" customWidth="1"/>
    <col min="12800" max="12800" width="12.85546875" style="169" customWidth="1"/>
    <col min="12801" max="12801" width="19.5703125" style="169" customWidth="1"/>
    <col min="12802" max="12802" width="12.28515625" style="169" customWidth="1"/>
    <col min="12803" max="12803" width="21.28515625" style="169" customWidth="1"/>
    <col min="12804" max="12804" width="11.5703125" style="169" customWidth="1"/>
    <col min="12805" max="12805" width="33.140625" style="169" customWidth="1"/>
    <col min="12806" max="12806" width="22.7109375" style="169" customWidth="1"/>
    <col min="12807" max="12807" width="10.7109375" style="169" customWidth="1"/>
    <col min="12808" max="12808" width="27.7109375" style="169" customWidth="1"/>
    <col min="12809" max="12809" width="21.42578125" style="169" customWidth="1"/>
    <col min="12810" max="12810" width="22.140625" style="169" customWidth="1"/>
    <col min="12811" max="12811" width="12.7109375" style="169" customWidth="1"/>
    <col min="12812" max="12812" width="16.42578125" style="169" customWidth="1"/>
    <col min="12813" max="12813" width="29.7109375" style="169" customWidth="1"/>
    <col min="12814" max="12814" width="29.140625" style="169" customWidth="1"/>
    <col min="12815" max="12815" width="33.5703125" style="169" customWidth="1"/>
    <col min="12816" max="12816" width="25" style="169" customWidth="1"/>
    <col min="12817" max="12817" width="11.7109375" style="169" customWidth="1"/>
    <col min="12818" max="12818" width="17.28515625" style="169" customWidth="1"/>
    <col min="12819" max="12834" width="7.28515625" style="169" customWidth="1"/>
    <col min="12835" max="12836" width="13.7109375" style="169" customWidth="1"/>
    <col min="12837" max="12837" width="20.85546875" style="169" customWidth="1"/>
    <col min="12838" max="13053" width="11.42578125" style="169"/>
    <col min="13054" max="13054" width="13.140625" style="169" customWidth="1"/>
    <col min="13055" max="13055" width="35.28515625" style="169" customWidth="1"/>
    <col min="13056" max="13056" width="12.85546875" style="169" customWidth="1"/>
    <col min="13057" max="13057" width="19.5703125" style="169" customWidth="1"/>
    <col min="13058" max="13058" width="12.28515625" style="169" customWidth="1"/>
    <col min="13059" max="13059" width="21.28515625" style="169" customWidth="1"/>
    <col min="13060" max="13060" width="11.5703125" style="169" customWidth="1"/>
    <col min="13061" max="13061" width="33.140625" style="169" customWidth="1"/>
    <col min="13062" max="13062" width="22.7109375" style="169" customWidth="1"/>
    <col min="13063" max="13063" width="10.7109375" style="169" customWidth="1"/>
    <col min="13064" max="13064" width="27.7109375" style="169" customWidth="1"/>
    <col min="13065" max="13065" width="21.42578125" style="169" customWidth="1"/>
    <col min="13066" max="13066" width="22.140625" style="169" customWidth="1"/>
    <col min="13067" max="13067" width="12.7109375" style="169" customWidth="1"/>
    <col min="13068" max="13068" width="16.42578125" style="169" customWidth="1"/>
    <col min="13069" max="13069" width="29.7109375" style="169" customWidth="1"/>
    <col min="13070" max="13070" width="29.140625" style="169" customWidth="1"/>
    <col min="13071" max="13071" width="33.5703125" style="169" customWidth="1"/>
    <col min="13072" max="13072" width="25" style="169" customWidth="1"/>
    <col min="13073" max="13073" width="11.7109375" style="169" customWidth="1"/>
    <col min="13074" max="13074" width="17.28515625" style="169" customWidth="1"/>
    <col min="13075" max="13090" width="7.28515625" style="169" customWidth="1"/>
    <col min="13091" max="13092" width="13.7109375" style="169" customWidth="1"/>
    <col min="13093" max="13093" width="20.85546875" style="169" customWidth="1"/>
    <col min="13094" max="13309" width="11.42578125" style="169"/>
    <col min="13310" max="13310" width="13.140625" style="169" customWidth="1"/>
    <col min="13311" max="13311" width="35.28515625" style="169" customWidth="1"/>
    <col min="13312" max="13312" width="12.85546875" style="169" customWidth="1"/>
    <col min="13313" max="13313" width="19.5703125" style="169" customWidth="1"/>
    <col min="13314" max="13314" width="12.28515625" style="169" customWidth="1"/>
    <col min="13315" max="13315" width="21.28515625" style="169" customWidth="1"/>
    <col min="13316" max="13316" width="11.5703125" style="169" customWidth="1"/>
    <col min="13317" max="13317" width="33.140625" style="169" customWidth="1"/>
    <col min="13318" max="13318" width="22.7109375" style="169" customWidth="1"/>
    <col min="13319" max="13319" width="10.7109375" style="169" customWidth="1"/>
    <col min="13320" max="13320" width="27.7109375" style="169" customWidth="1"/>
    <col min="13321" max="13321" width="21.42578125" style="169" customWidth="1"/>
    <col min="13322" max="13322" width="22.140625" style="169" customWidth="1"/>
    <col min="13323" max="13323" width="12.7109375" style="169" customWidth="1"/>
    <col min="13324" max="13324" width="16.42578125" style="169" customWidth="1"/>
    <col min="13325" max="13325" width="29.7109375" style="169" customWidth="1"/>
    <col min="13326" max="13326" width="29.140625" style="169" customWidth="1"/>
    <col min="13327" max="13327" width="33.5703125" style="169" customWidth="1"/>
    <col min="13328" max="13328" width="25" style="169" customWidth="1"/>
    <col min="13329" max="13329" width="11.7109375" style="169" customWidth="1"/>
    <col min="13330" max="13330" width="17.28515625" style="169" customWidth="1"/>
    <col min="13331" max="13346" width="7.28515625" style="169" customWidth="1"/>
    <col min="13347" max="13348" width="13.7109375" style="169" customWidth="1"/>
    <col min="13349" max="13349" width="20.85546875" style="169" customWidth="1"/>
    <col min="13350" max="13565" width="11.42578125" style="169"/>
    <col min="13566" max="13566" width="13.140625" style="169" customWidth="1"/>
    <col min="13567" max="13567" width="35.28515625" style="169" customWidth="1"/>
    <col min="13568" max="13568" width="12.85546875" style="169" customWidth="1"/>
    <col min="13569" max="13569" width="19.5703125" style="169" customWidth="1"/>
    <col min="13570" max="13570" width="12.28515625" style="169" customWidth="1"/>
    <col min="13571" max="13571" width="21.28515625" style="169" customWidth="1"/>
    <col min="13572" max="13572" width="11.5703125" style="169" customWidth="1"/>
    <col min="13573" max="13573" width="33.140625" style="169" customWidth="1"/>
    <col min="13574" max="13574" width="22.7109375" style="169" customWidth="1"/>
    <col min="13575" max="13575" width="10.7109375" style="169" customWidth="1"/>
    <col min="13576" max="13576" width="27.7109375" style="169" customWidth="1"/>
    <col min="13577" max="13577" width="21.42578125" style="169" customWidth="1"/>
    <col min="13578" max="13578" width="22.140625" style="169" customWidth="1"/>
    <col min="13579" max="13579" width="12.7109375" style="169" customWidth="1"/>
    <col min="13580" max="13580" width="16.42578125" style="169" customWidth="1"/>
    <col min="13581" max="13581" width="29.7109375" style="169" customWidth="1"/>
    <col min="13582" max="13582" width="29.140625" style="169" customWidth="1"/>
    <col min="13583" max="13583" width="33.5703125" style="169" customWidth="1"/>
    <col min="13584" max="13584" width="25" style="169" customWidth="1"/>
    <col min="13585" max="13585" width="11.7109375" style="169" customWidth="1"/>
    <col min="13586" max="13586" width="17.28515625" style="169" customWidth="1"/>
    <col min="13587" max="13602" width="7.28515625" style="169" customWidth="1"/>
    <col min="13603" max="13604" width="13.7109375" style="169" customWidth="1"/>
    <col min="13605" max="13605" width="20.85546875" style="169" customWidth="1"/>
    <col min="13606" max="13821" width="11.42578125" style="169"/>
    <col min="13822" max="13822" width="13.140625" style="169" customWidth="1"/>
    <col min="13823" max="13823" width="35.28515625" style="169" customWidth="1"/>
    <col min="13824" max="13824" width="12.85546875" style="169" customWidth="1"/>
    <col min="13825" max="13825" width="19.5703125" style="169" customWidth="1"/>
    <col min="13826" max="13826" width="12.28515625" style="169" customWidth="1"/>
    <col min="13827" max="13827" width="21.28515625" style="169" customWidth="1"/>
    <col min="13828" max="13828" width="11.5703125" style="169" customWidth="1"/>
    <col min="13829" max="13829" width="33.140625" style="169" customWidth="1"/>
    <col min="13830" max="13830" width="22.7109375" style="169" customWidth="1"/>
    <col min="13831" max="13831" width="10.7109375" style="169" customWidth="1"/>
    <col min="13832" max="13832" width="27.7109375" style="169" customWidth="1"/>
    <col min="13833" max="13833" width="21.42578125" style="169" customWidth="1"/>
    <col min="13834" max="13834" width="22.140625" style="169" customWidth="1"/>
    <col min="13835" max="13835" width="12.7109375" style="169" customWidth="1"/>
    <col min="13836" max="13836" width="16.42578125" style="169" customWidth="1"/>
    <col min="13837" max="13837" width="29.7109375" style="169" customWidth="1"/>
    <col min="13838" max="13838" width="29.140625" style="169" customWidth="1"/>
    <col min="13839" max="13839" width="33.5703125" style="169" customWidth="1"/>
    <col min="13840" max="13840" width="25" style="169" customWidth="1"/>
    <col min="13841" max="13841" width="11.7109375" style="169" customWidth="1"/>
    <col min="13842" max="13842" width="17.28515625" style="169" customWidth="1"/>
    <col min="13843" max="13858" width="7.28515625" style="169" customWidth="1"/>
    <col min="13859" max="13860" width="13.7109375" style="169" customWidth="1"/>
    <col min="13861" max="13861" width="20.85546875" style="169" customWidth="1"/>
    <col min="13862" max="14077" width="11.42578125" style="169"/>
    <col min="14078" max="14078" width="13.140625" style="169" customWidth="1"/>
    <col min="14079" max="14079" width="35.28515625" style="169" customWidth="1"/>
    <col min="14080" max="14080" width="12.85546875" style="169" customWidth="1"/>
    <col min="14081" max="14081" width="19.5703125" style="169" customWidth="1"/>
    <col min="14082" max="14082" width="12.28515625" style="169" customWidth="1"/>
    <col min="14083" max="14083" width="21.28515625" style="169" customWidth="1"/>
    <col min="14084" max="14084" width="11.5703125" style="169" customWidth="1"/>
    <col min="14085" max="14085" width="33.140625" style="169" customWidth="1"/>
    <col min="14086" max="14086" width="22.7109375" style="169" customWidth="1"/>
    <col min="14087" max="14087" width="10.7109375" style="169" customWidth="1"/>
    <col min="14088" max="14088" width="27.7109375" style="169" customWidth="1"/>
    <col min="14089" max="14089" width="21.42578125" style="169" customWidth="1"/>
    <col min="14090" max="14090" width="22.140625" style="169" customWidth="1"/>
    <col min="14091" max="14091" width="12.7109375" style="169" customWidth="1"/>
    <col min="14092" max="14092" width="16.42578125" style="169" customWidth="1"/>
    <col min="14093" max="14093" width="29.7109375" style="169" customWidth="1"/>
    <col min="14094" max="14094" width="29.140625" style="169" customWidth="1"/>
    <col min="14095" max="14095" width="33.5703125" style="169" customWidth="1"/>
    <col min="14096" max="14096" width="25" style="169" customWidth="1"/>
    <col min="14097" max="14097" width="11.7109375" style="169" customWidth="1"/>
    <col min="14098" max="14098" width="17.28515625" style="169" customWidth="1"/>
    <col min="14099" max="14114" width="7.28515625" style="169" customWidth="1"/>
    <col min="14115" max="14116" width="13.7109375" style="169" customWidth="1"/>
    <col min="14117" max="14117" width="20.85546875" style="169" customWidth="1"/>
    <col min="14118" max="14333" width="11.42578125" style="169"/>
    <col min="14334" max="14334" width="13.140625" style="169" customWidth="1"/>
    <col min="14335" max="14335" width="35.28515625" style="169" customWidth="1"/>
    <col min="14336" max="14336" width="12.85546875" style="169" customWidth="1"/>
    <col min="14337" max="14337" width="19.5703125" style="169" customWidth="1"/>
    <col min="14338" max="14338" width="12.28515625" style="169" customWidth="1"/>
    <col min="14339" max="14339" width="21.28515625" style="169" customWidth="1"/>
    <col min="14340" max="14340" width="11.5703125" style="169" customWidth="1"/>
    <col min="14341" max="14341" width="33.140625" style="169" customWidth="1"/>
    <col min="14342" max="14342" width="22.7109375" style="169" customWidth="1"/>
    <col min="14343" max="14343" width="10.7109375" style="169" customWidth="1"/>
    <col min="14344" max="14344" width="27.7109375" style="169" customWidth="1"/>
    <col min="14345" max="14345" width="21.42578125" style="169" customWidth="1"/>
    <col min="14346" max="14346" width="22.140625" style="169" customWidth="1"/>
    <col min="14347" max="14347" width="12.7109375" style="169" customWidth="1"/>
    <col min="14348" max="14348" width="16.42578125" style="169" customWidth="1"/>
    <col min="14349" max="14349" width="29.7109375" style="169" customWidth="1"/>
    <col min="14350" max="14350" width="29.140625" style="169" customWidth="1"/>
    <col min="14351" max="14351" width="33.5703125" style="169" customWidth="1"/>
    <col min="14352" max="14352" width="25" style="169" customWidth="1"/>
    <col min="14353" max="14353" width="11.7109375" style="169" customWidth="1"/>
    <col min="14354" max="14354" width="17.28515625" style="169" customWidth="1"/>
    <col min="14355" max="14370" width="7.28515625" style="169" customWidth="1"/>
    <col min="14371" max="14372" width="13.7109375" style="169" customWidth="1"/>
    <col min="14373" max="14373" width="20.85546875" style="169" customWidth="1"/>
    <col min="14374" max="14589" width="11.42578125" style="169"/>
    <col min="14590" max="14590" width="13.140625" style="169" customWidth="1"/>
    <col min="14591" max="14591" width="35.28515625" style="169" customWidth="1"/>
    <col min="14592" max="14592" width="12.85546875" style="169" customWidth="1"/>
    <col min="14593" max="14593" width="19.5703125" style="169" customWidth="1"/>
    <col min="14594" max="14594" width="12.28515625" style="169" customWidth="1"/>
    <col min="14595" max="14595" width="21.28515625" style="169" customWidth="1"/>
    <col min="14596" max="14596" width="11.5703125" style="169" customWidth="1"/>
    <col min="14597" max="14597" width="33.140625" style="169" customWidth="1"/>
    <col min="14598" max="14598" width="22.7109375" style="169" customWidth="1"/>
    <col min="14599" max="14599" width="10.7109375" style="169" customWidth="1"/>
    <col min="14600" max="14600" width="27.7109375" style="169" customWidth="1"/>
    <col min="14601" max="14601" width="21.42578125" style="169" customWidth="1"/>
    <col min="14602" max="14602" width="22.140625" style="169" customWidth="1"/>
    <col min="14603" max="14603" width="12.7109375" style="169" customWidth="1"/>
    <col min="14604" max="14604" width="16.42578125" style="169" customWidth="1"/>
    <col min="14605" max="14605" width="29.7109375" style="169" customWidth="1"/>
    <col min="14606" max="14606" width="29.140625" style="169" customWidth="1"/>
    <col min="14607" max="14607" width="33.5703125" style="169" customWidth="1"/>
    <col min="14608" max="14608" width="25" style="169" customWidth="1"/>
    <col min="14609" max="14609" width="11.7109375" style="169" customWidth="1"/>
    <col min="14610" max="14610" width="17.28515625" style="169" customWidth="1"/>
    <col min="14611" max="14626" width="7.28515625" style="169" customWidth="1"/>
    <col min="14627" max="14628" width="13.7109375" style="169" customWidth="1"/>
    <col min="14629" max="14629" width="20.85546875" style="169" customWidth="1"/>
    <col min="14630" max="14845" width="11.42578125" style="169"/>
    <col min="14846" max="14846" width="13.140625" style="169" customWidth="1"/>
    <col min="14847" max="14847" width="35.28515625" style="169" customWidth="1"/>
    <col min="14848" max="14848" width="12.85546875" style="169" customWidth="1"/>
    <col min="14849" max="14849" width="19.5703125" style="169" customWidth="1"/>
    <col min="14850" max="14850" width="12.28515625" style="169" customWidth="1"/>
    <col min="14851" max="14851" width="21.28515625" style="169" customWidth="1"/>
    <col min="14852" max="14852" width="11.5703125" style="169" customWidth="1"/>
    <col min="14853" max="14853" width="33.140625" style="169" customWidth="1"/>
    <col min="14854" max="14854" width="22.7109375" style="169" customWidth="1"/>
    <col min="14855" max="14855" width="10.7109375" style="169" customWidth="1"/>
    <col min="14856" max="14856" width="27.7109375" style="169" customWidth="1"/>
    <col min="14857" max="14857" width="21.42578125" style="169" customWidth="1"/>
    <col min="14858" max="14858" width="22.140625" style="169" customWidth="1"/>
    <col min="14859" max="14859" width="12.7109375" style="169" customWidth="1"/>
    <col min="14860" max="14860" width="16.42578125" style="169" customWidth="1"/>
    <col min="14861" max="14861" width="29.7109375" style="169" customWidth="1"/>
    <col min="14862" max="14862" width="29.140625" style="169" customWidth="1"/>
    <col min="14863" max="14863" width="33.5703125" style="169" customWidth="1"/>
    <col min="14864" max="14864" width="25" style="169" customWidth="1"/>
    <col min="14865" max="14865" width="11.7109375" style="169" customWidth="1"/>
    <col min="14866" max="14866" width="17.28515625" style="169" customWidth="1"/>
    <col min="14867" max="14882" width="7.28515625" style="169" customWidth="1"/>
    <col min="14883" max="14884" width="13.7109375" style="169" customWidth="1"/>
    <col min="14885" max="14885" width="20.85546875" style="169" customWidth="1"/>
    <col min="14886" max="15101" width="11.42578125" style="169"/>
    <col min="15102" max="15102" width="13.140625" style="169" customWidth="1"/>
    <col min="15103" max="15103" width="35.28515625" style="169" customWidth="1"/>
    <col min="15104" max="15104" width="12.85546875" style="169" customWidth="1"/>
    <col min="15105" max="15105" width="19.5703125" style="169" customWidth="1"/>
    <col min="15106" max="15106" width="12.28515625" style="169" customWidth="1"/>
    <col min="15107" max="15107" width="21.28515625" style="169" customWidth="1"/>
    <col min="15108" max="15108" width="11.5703125" style="169" customWidth="1"/>
    <col min="15109" max="15109" width="33.140625" style="169" customWidth="1"/>
    <col min="15110" max="15110" width="22.7109375" style="169" customWidth="1"/>
    <col min="15111" max="15111" width="10.7109375" style="169" customWidth="1"/>
    <col min="15112" max="15112" width="27.7109375" style="169" customWidth="1"/>
    <col min="15113" max="15113" width="21.42578125" style="169" customWidth="1"/>
    <col min="15114" max="15114" width="22.140625" style="169" customWidth="1"/>
    <col min="15115" max="15115" width="12.7109375" style="169" customWidth="1"/>
    <col min="15116" max="15116" width="16.42578125" style="169" customWidth="1"/>
    <col min="15117" max="15117" width="29.7109375" style="169" customWidth="1"/>
    <col min="15118" max="15118" width="29.140625" style="169" customWidth="1"/>
    <col min="15119" max="15119" width="33.5703125" style="169" customWidth="1"/>
    <col min="15120" max="15120" width="25" style="169" customWidth="1"/>
    <col min="15121" max="15121" width="11.7109375" style="169" customWidth="1"/>
    <col min="15122" max="15122" width="17.28515625" style="169" customWidth="1"/>
    <col min="15123" max="15138" width="7.28515625" style="169" customWidth="1"/>
    <col min="15139" max="15140" width="13.7109375" style="169" customWidth="1"/>
    <col min="15141" max="15141" width="20.85546875" style="169" customWidth="1"/>
    <col min="15142" max="15357" width="11.42578125" style="169"/>
    <col min="15358" max="15358" width="13.140625" style="169" customWidth="1"/>
    <col min="15359" max="15359" width="35.28515625" style="169" customWidth="1"/>
    <col min="15360" max="15360" width="12.85546875" style="169" customWidth="1"/>
    <col min="15361" max="15361" width="19.5703125" style="169" customWidth="1"/>
    <col min="15362" max="15362" width="12.28515625" style="169" customWidth="1"/>
    <col min="15363" max="15363" width="21.28515625" style="169" customWidth="1"/>
    <col min="15364" max="15364" width="11.5703125" style="169" customWidth="1"/>
    <col min="15365" max="15365" width="33.140625" style="169" customWidth="1"/>
    <col min="15366" max="15366" width="22.7109375" style="169" customWidth="1"/>
    <col min="15367" max="15367" width="10.7109375" style="169" customWidth="1"/>
    <col min="15368" max="15368" width="27.7109375" style="169" customWidth="1"/>
    <col min="15369" max="15369" width="21.42578125" style="169" customWidth="1"/>
    <col min="15370" max="15370" width="22.140625" style="169" customWidth="1"/>
    <col min="15371" max="15371" width="12.7109375" style="169" customWidth="1"/>
    <col min="15372" max="15372" width="16.42578125" style="169" customWidth="1"/>
    <col min="15373" max="15373" width="29.7109375" style="169" customWidth="1"/>
    <col min="15374" max="15374" width="29.140625" style="169" customWidth="1"/>
    <col min="15375" max="15375" width="33.5703125" style="169" customWidth="1"/>
    <col min="15376" max="15376" width="25" style="169" customWidth="1"/>
    <col min="15377" max="15377" width="11.7109375" style="169" customWidth="1"/>
    <col min="15378" max="15378" width="17.28515625" style="169" customWidth="1"/>
    <col min="15379" max="15394" width="7.28515625" style="169" customWidth="1"/>
    <col min="15395" max="15396" width="13.7109375" style="169" customWidth="1"/>
    <col min="15397" max="15397" width="20.85546875" style="169" customWidth="1"/>
    <col min="15398" max="15613" width="11.42578125" style="169"/>
    <col min="15614" max="15614" width="13.140625" style="169" customWidth="1"/>
    <col min="15615" max="15615" width="35.28515625" style="169" customWidth="1"/>
    <col min="15616" max="15616" width="12.85546875" style="169" customWidth="1"/>
    <col min="15617" max="15617" width="19.5703125" style="169" customWidth="1"/>
    <col min="15618" max="15618" width="12.28515625" style="169" customWidth="1"/>
    <col min="15619" max="15619" width="21.28515625" style="169" customWidth="1"/>
    <col min="15620" max="15620" width="11.5703125" style="169" customWidth="1"/>
    <col min="15621" max="15621" width="33.140625" style="169" customWidth="1"/>
    <col min="15622" max="15622" width="22.7109375" style="169" customWidth="1"/>
    <col min="15623" max="15623" width="10.7109375" style="169" customWidth="1"/>
    <col min="15624" max="15624" width="27.7109375" style="169" customWidth="1"/>
    <col min="15625" max="15625" width="21.42578125" style="169" customWidth="1"/>
    <col min="15626" max="15626" width="22.140625" style="169" customWidth="1"/>
    <col min="15627" max="15627" width="12.7109375" style="169" customWidth="1"/>
    <col min="15628" max="15628" width="16.42578125" style="169" customWidth="1"/>
    <col min="15629" max="15629" width="29.7109375" style="169" customWidth="1"/>
    <col min="15630" max="15630" width="29.140625" style="169" customWidth="1"/>
    <col min="15631" max="15631" width="33.5703125" style="169" customWidth="1"/>
    <col min="15632" max="15632" width="25" style="169" customWidth="1"/>
    <col min="15633" max="15633" width="11.7109375" style="169" customWidth="1"/>
    <col min="15634" max="15634" width="17.28515625" style="169" customWidth="1"/>
    <col min="15635" max="15650" width="7.28515625" style="169" customWidth="1"/>
    <col min="15651" max="15652" width="13.7109375" style="169" customWidth="1"/>
    <col min="15653" max="15653" width="20.85546875" style="169" customWidth="1"/>
    <col min="15654" max="15869" width="11.42578125" style="169"/>
    <col min="15870" max="15870" width="13.140625" style="169" customWidth="1"/>
    <col min="15871" max="15871" width="35.28515625" style="169" customWidth="1"/>
    <col min="15872" max="15872" width="12.85546875" style="169" customWidth="1"/>
    <col min="15873" max="15873" width="19.5703125" style="169" customWidth="1"/>
    <col min="15874" max="15874" width="12.28515625" style="169" customWidth="1"/>
    <col min="15875" max="15875" width="21.28515625" style="169" customWidth="1"/>
    <col min="15876" max="15876" width="11.5703125" style="169" customWidth="1"/>
    <col min="15877" max="15877" width="33.140625" style="169" customWidth="1"/>
    <col min="15878" max="15878" width="22.7109375" style="169" customWidth="1"/>
    <col min="15879" max="15879" width="10.7109375" style="169" customWidth="1"/>
    <col min="15880" max="15880" width="27.7109375" style="169" customWidth="1"/>
    <col min="15881" max="15881" width="21.42578125" style="169" customWidth="1"/>
    <col min="15882" max="15882" width="22.140625" style="169" customWidth="1"/>
    <col min="15883" max="15883" width="12.7109375" style="169" customWidth="1"/>
    <col min="15884" max="15884" width="16.42578125" style="169" customWidth="1"/>
    <col min="15885" max="15885" width="29.7109375" style="169" customWidth="1"/>
    <col min="15886" max="15886" width="29.140625" style="169" customWidth="1"/>
    <col min="15887" max="15887" width="33.5703125" style="169" customWidth="1"/>
    <col min="15888" max="15888" width="25" style="169" customWidth="1"/>
    <col min="15889" max="15889" width="11.7109375" style="169" customWidth="1"/>
    <col min="15890" max="15890" width="17.28515625" style="169" customWidth="1"/>
    <col min="15891" max="15906" width="7.28515625" style="169" customWidth="1"/>
    <col min="15907" max="15908" width="13.7109375" style="169" customWidth="1"/>
    <col min="15909" max="15909" width="20.85546875" style="169" customWidth="1"/>
    <col min="15910" max="16125" width="11.42578125" style="169"/>
    <col min="16126" max="16126" width="13.140625" style="169" customWidth="1"/>
    <col min="16127" max="16127" width="35.28515625" style="169" customWidth="1"/>
    <col min="16128" max="16128" width="12.85546875" style="169" customWidth="1"/>
    <col min="16129" max="16129" width="19.5703125" style="169" customWidth="1"/>
    <col min="16130" max="16130" width="12.28515625" style="169" customWidth="1"/>
    <col min="16131" max="16131" width="21.28515625" style="169" customWidth="1"/>
    <col min="16132" max="16132" width="11.5703125" style="169" customWidth="1"/>
    <col min="16133" max="16133" width="33.140625" style="169" customWidth="1"/>
    <col min="16134" max="16134" width="22.7109375" style="169" customWidth="1"/>
    <col min="16135" max="16135" width="10.7109375" style="169" customWidth="1"/>
    <col min="16136" max="16136" width="27.7109375" style="169" customWidth="1"/>
    <col min="16137" max="16137" width="21.42578125" style="169" customWidth="1"/>
    <col min="16138" max="16138" width="22.140625" style="169" customWidth="1"/>
    <col min="16139" max="16139" width="12.7109375" style="169" customWidth="1"/>
    <col min="16140" max="16140" width="16.42578125" style="169" customWidth="1"/>
    <col min="16141" max="16141" width="29.7109375" style="169" customWidth="1"/>
    <col min="16142" max="16142" width="29.140625" style="169" customWidth="1"/>
    <col min="16143" max="16143" width="33.5703125" style="169" customWidth="1"/>
    <col min="16144" max="16144" width="25" style="169" customWidth="1"/>
    <col min="16145" max="16145" width="11.7109375" style="169" customWidth="1"/>
    <col min="16146" max="16146" width="17.28515625" style="169" customWidth="1"/>
    <col min="16147" max="16162" width="7.28515625" style="169" customWidth="1"/>
    <col min="16163" max="16164" width="13.7109375" style="169" customWidth="1"/>
    <col min="16165" max="16165" width="20.85546875" style="169" customWidth="1"/>
    <col min="16166" max="16384" width="11.42578125" style="169"/>
  </cols>
  <sheetData>
    <row r="1" spans="1:57" ht="15" x14ac:dyDescent="0.25">
      <c r="A1" s="2855" t="s">
        <v>115</v>
      </c>
      <c r="B1" s="3601"/>
      <c r="C1" s="3601"/>
      <c r="D1" s="3601"/>
      <c r="E1" s="3601"/>
      <c r="F1" s="3601"/>
      <c r="G1" s="3601"/>
      <c r="H1" s="3601"/>
      <c r="I1" s="3601"/>
      <c r="J1" s="3601"/>
      <c r="K1" s="3601"/>
      <c r="L1" s="3601"/>
      <c r="M1" s="3601"/>
      <c r="N1" s="3601"/>
      <c r="O1" s="3601"/>
      <c r="P1" s="3601"/>
      <c r="Q1" s="3601"/>
      <c r="R1" s="3601"/>
      <c r="S1" s="3601"/>
      <c r="T1" s="3601"/>
      <c r="U1" s="3601"/>
      <c r="V1" s="3601"/>
      <c r="W1" s="3601"/>
      <c r="X1" s="3601"/>
      <c r="Y1" s="3601"/>
      <c r="Z1" s="3601"/>
      <c r="AA1" s="3601"/>
      <c r="AB1" s="3601"/>
      <c r="AC1" s="3601"/>
      <c r="AD1" s="3601"/>
      <c r="AE1" s="3601"/>
      <c r="AF1" s="3601"/>
      <c r="AG1" s="3601"/>
      <c r="AH1" s="3601"/>
      <c r="AI1" s="3601"/>
      <c r="AJ1" s="3601"/>
      <c r="AK1" s="3601"/>
      <c r="AL1" s="3602"/>
      <c r="AM1" s="167" t="s">
        <v>1</v>
      </c>
      <c r="AN1" s="167" t="s">
        <v>116</v>
      </c>
      <c r="AO1" s="168"/>
      <c r="AP1" s="168"/>
      <c r="AQ1" s="168"/>
      <c r="AR1" s="168"/>
      <c r="AS1" s="168"/>
      <c r="AT1" s="168"/>
      <c r="AU1" s="168"/>
      <c r="AV1" s="168"/>
      <c r="AW1" s="168"/>
      <c r="AX1" s="168"/>
      <c r="AY1" s="168"/>
      <c r="AZ1" s="168"/>
      <c r="BA1" s="168"/>
      <c r="BB1" s="168"/>
      <c r="BC1" s="168"/>
      <c r="BD1" s="168"/>
      <c r="BE1" s="168"/>
    </row>
    <row r="2" spans="1:57" ht="15" x14ac:dyDescent="0.25">
      <c r="A2" s="3601"/>
      <c r="B2" s="3601"/>
      <c r="C2" s="3601"/>
      <c r="D2" s="3601"/>
      <c r="E2" s="3601"/>
      <c r="F2" s="3601"/>
      <c r="G2" s="3601"/>
      <c r="H2" s="3601"/>
      <c r="I2" s="3601"/>
      <c r="J2" s="3601"/>
      <c r="K2" s="3601"/>
      <c r="L2" s="3601"/>
      <c r="M2" s="3601"/>
      <c r="N2" s="3601"/>
      <c r="O2" s="3601"/>
      <c r="P2" s="3601"/>
      <c r="Q2" s="3601"/>
      <c r="R2" s="3601"/>
      <c r="S2" s="3601"/>
      <c r="T2" s="3601"/>
      <c r="U2" s="3601"/>
      <c r="V2" s="3601"/>
      <c r="W2" s="3601"/>
      <c r="X2" s="3601"/>
      <c r="Y2" s="3601"/>
      <c r="Z2" s="3601"/>
      <c r="AA2" s="3601"/>
      <c r="AB2" s="3601"/>
      <c r="AC2" s="3601"/>
      <c r="AD2" s="3601"/>
      <c r="AE2" s="3601"/>
      <c r="AF2" s="3601"/>
      <c r="AG2" s="3601"/>
      <c r="AH2" s="3601"/>
      <c r="AI2" s="3601"/>
      <c r="AJ2" s="3601"/>
      <c r="AK2" s="3601"/>
      <c r="AL2" s="3602"/>
      <c r="AM2" s="170" t="s">
        <v>3</v>
      </c>
      <c r="AN2" s="167" t="s">
        <v>117</v>
      </c>
      <c r="AO2" s="168"/>
      <c r="AP2" s="168"/>
      <c r="AQ2" s="168"/>
      <c r="AR2" s="168"/>
      <c r="AS2" s="168"/>
      <c r="AT2" s="168"/>
      <c r="AU2" s="168"/>
      <c r="AV2" s="168"/>
      <c r="AW2" s="168"/>
      <c r="AX2" s="168"/>
      <c r="AY2" s="168"/>
      <c r="AZ2" s="168"/>
      <c r="BA2" s="168"/>
      <c r="BB2" s="168"/>
      <c r="BC2" s="168"/>
      <c r="BD2" s="168"/>
      <c r="BE2" s="168"/>
    </row>
    <row r="3" spans="1:57" ht="15" x14ac:dyDescent="0.25">
      <c r="A3" s="3601"/>
      <c r="B3" s="3601"/>
      <c r="C3" s="3601"/>
      <c r="D3" s="3601"/>
      <c r="E3" s="3601"/>
      <c r="F3" s="3601"/>
      <c r="G3" s="3601"/>
      <c r="H3" s="3601"/>
      <c r="I3" s="3601"/>
      <c r="J3" s="3601"/>
      <c r="K3" s="3601"/>
      <c r="L3" s="3601"/>
      <c r="M3" s="3601"/>
      <c r="N3" s="3601"/>
      <c r="O3" s="3601"/>
      <c r="P3" s="3601"/>
      <c r="Q3" s="3601"/>
      <c r="R3" s="3601"/>
      <c r="S3" s="3601"/>
      <c r="T3" s="3601"/>
      <c r="U3" s="3601"/>
      <c r="V3" s="3601"/>
      <c r="W3" s="3601"/>
      <c r="X3" s="3601"/>
      <c r="Y3" s="3601"/>
      <c r="Z3" s="3601"/>
      <c r="AA3" s="3601"/>
      <c r="AB3" s="3601"/>
      <c r="AC3" s="3601"/>
      <c r="AD3" s="3601"/>
      <c r="AE3" s="3601"/>
      <c r="AF3" s="3601"/>
      <c r="AG3" s="3601"/>
      <c r="AH3" s="3601"/>
      <c r="AI3" s="3601"/>
      <c r="AJ3" s="3601"/>
      <c r="AK3" s="3601"/>
      <c r="AL3" s="3602"/>
      <c r="AM3" s="167" t="s">
        <v>5</v>
      </c>
      <c r="AN3" s="171" t="s">
        <v>6</v>
      </c>
      <c r="AO3" s="168"/>
      <c r="AP3" s="168"/>
      <c r="AQ3" s="168"/>
      <c r="AR3" s="168"/>
      <c r="AS3" s="168"/>
      <c r="AT3" s="168"/>
      <c r="AU3" s="168"/>
      <c r="AV3" s="168"/>
      <c r="AW3" s="168"/>
      <c r="AX3" s="168"/>
      <c r="AY3" s="168"/>
      <c r="AZ3" s="168"/>
      <c r="BA3" s="168"/>
      <c r="BB3" s="168"/>
      <c r="BC3" s="168"/>
      <c r="BD3" s="168"/>
      <c r="BE3" s="168"/>
    </row>
    <row r="4" spans="1:57" ht="15" x14ac:dyDescent="0.25">
      <c r="A4" s="3603"/>
      <c r="B4" s="3603"/>
      <c r="C4" s="3603"/>
      <c r="D4" s="3603"/>
      <c r="E4" s="3603"/>
      <c r="F4" s="3603"/>
      <c r="G4" s="3603"/>
      <c r="H4" s="3603"/>
      <c r="I4" s="3603"/>
      <c r="J4" s="3603"/>
      <c r="K4" s="3603"/>
      <c r="L4" s="3603"/>
      <c r="M4" s="3603"/>
      <c r="N4" s="3603"/>
      <c r="O4" s="3603"/>
      <c r="P4" s="3603"/>
      <c r="Q4" s="3603"/>
      <c r="R4" s="3603"/>
      <c r="S4" s="3603"/>
      <c r="T4" s="3603"/>
      <c r="U4" s="3603"/>
      <c r="V4" s="3603"/>
      <c r="W4" s="3603"/>
      <c r="X4" s="3603"/>
      <c r="Y4" s="3603"/>
      <c r="Z4" s="3603"/>
      <c r="AA4" s="3603"/>
      <c r="AB4" s="3603"/>
      <c r="AC4" s="3603"/>
      <c r="AD4" s="3603"/>
      <c r="AE4" s="3603"/>
      <c r="AF4" s="3603"/>
      <c r="AG4" s="3603"/>
      <c r="AH4" s="3603"/>
      <c r="AI4" s="3603"/>
      <c r="AJ4" s="3603"/>
      <c r="AK4" s="3603"/>
      <c r="AL4" s="3604"/>
      <c r="AM4" s="167" t="s">
        <v>7</v>
      </c>
      <c r="AN4" s="172" t="s">
        <v>8</v>
      </c>
      <c r="AO4" s="168"/>
      <c r="AP4" s="168"/>
      <c r="AQ4" s="168"/>
      <c r="AR4" s="168"/>
      <c r="AS4" s="168"/>
      <c r="AT4" s="168"/>
      <c r="AU4" s="168"/>
      <c r="AV4" s="168"/>
      <c r="AW4" s="168"/>
      <c r="AX4" s="168"/>
      <c r="AY4" s="168"/>
      <c r="AZ4" s="168"/>
      <c r="BA4" s="168"/>
      <c r="BB4" s="168"/>
      <c r="BC4" s="168"/>
      <c r="BD4" s="168"/>
      <c r="BE4" s="168"/>
    </row>
    <row r="5" spans="1:57" ht="15" x14ac:dyDescent="0.25">
      <c r="A5" s="3605" t="s">
        <v>9</v>
      </c>
      <c r="B5" s="3605"/>
      <c r="C5" s="3605"/>
      <c r="D5" s="3605"/>
      <c r="E5" s="3605"/>
      <c r="F5" s="3605"/>
      <c r="G5" s="3605"/>
      <c r="H5" s="3605"/>
      <c r="I5" s="3605"/>
      <c r="J5" s="3605"/>
      <c r="K5" s="3607" t="s">
        <v>10</v>
      </c>
      <c r="L5" s="3607"/>
      <c r="M5" s="3607"/>
      <c r="N5" s="3607"/>
      <c r="O5" s="3607"/>
      <c r="P5" s="3607"/>
      <c r="Q5" s="3607"/>
      <c r="R5" s="3607"/>
      <c r="S5" s="3607"/>
      <c r="T5" s="3607"/>
      <c r="U5" s="3607"/>
      <c r="V5" s="3607"/>
      <c r="W5" s="3607"/>
      <c r="X5" s="3607"/>
      <c r="Y5" s="3607"/>
      <c r="Z5" s="3607"/>
      <c r="AA5" s="3607"/>
      <c r="AB5" s="3607"/>
      <c r="AC5" s="3607"/>
      <c r="AD5" s="3607"/>
      <c r="AE5" s="3607"/>
      <c r="AF5" s="3607"/>
      <c r="AG5" s="3607"/>
      <c r="AH5" s="3607"/>
      <c r="AI5" s="3607"/>
      <c r="AJ5" s="3607"/>
      <c r="AK5" s="3607"/>
      <c r="AL5" s="3607"/>
      <c r="AM5" s="3607"/>
      <c r="AN5" s="3607"/>
      <c r="AO5" s="168"/>
      <c r="AP5" s="168"/>
      <c r="AQ5" s="168"/>
      <c r="AR5" s="168"/>
      <c r="AS5" s="168"/>
      <c r="AT5" s="168"/>
      <c r="AU5" s="168"/>
      <c r="AV5" s="168"/>
      <c r="AW5" s="168"/>
      <c r="AX5" s="168"/>
      <c r="AY5" s="168"/>
      <c r="AZ5" s="168"/>
      <c r="BA5" s="168"/>
      <c r="BB5" s="168"/>
      <c r="BC5" s="168"/>
      <c r="BD5" s="168"/>
      <c r="BE5" s="168"/>
    </row>
    <row r="6" spans="1:57" ht="15" x14ac:dyDescent="0.25">
      <c r="A6" s="3606"/>
      <c r="B6" s="3606"/>
      <c r="C6" s="3606"/>
      <c r="D6" s="3606"/>
      <c r="E6" s="3606"/>
      <c r="F6" s="3606"/>
      <c r="G6" s="3606"/>
      <c r="H6" s="3606"/>
      <c r="I6" s="3606"/>
      <c r="J6" s="3606"/>
      <c r="K6" s="173"/>
      <c r="L6" s="174"/>
      <c r="M6" s="174"/>
      <c r="N6" s="175"/>
      <c r="O6" s="174"/>
      <c r="P6" s="174"/>
      <c r="Q6" s="174"/>
      <c r="R6" s="174"/>
      <c r="S6" s="174"/>
      <c r="T6" s="174"/>
      <c r="U6" s="174"/>
      <c r="V6" s="3608" t="s">
        <v>11</v>
      </c>
      <c r="W6" s="3606"/>
      <c r="X6" s="3606"/>
      <c r="Y6" s="3606"/>
      <c r="Z6" s="3606"/>
      <c r="AA6" s="3606"/>
      <c r="AB6" s="3606"/>
      <c r="AC6" s="3606"/>
      <c r="AD6" s="3606"/>
      <c r="AE6" s="3606"/>
      <c r="AF6" s="3606"/>
      <c r="AG6" s="3606"/>
      <c r="AH6" s="3606"/>
      <c r="AI6" s="3606"/>
      <c r="AJ6" s="3609"/>
      <c r="AK6" s="176"/>
      <c r="AL6" s="174"/>
      <c r="AM6" s="174"/>
      <c r="AN6" s="177"/>
      <c r="AO6" s="168"/>
      <c r="AP6" s="168"/>
      <c r="AQ6" s="168"/>
      <c r="AR6" s="168"/>
      <c r="AS6" s="168"/>
      <c r="AT6" s="168"/>
      <c r="AU6" s="168"/>
      <c r="AV6" s="168"/>
      <c r="AW6" s="168"/>
      <c r="AX6" s="168"/>
      <c r="AY6" s="168"/>
      <c r="AZ6" s="168"/>
      <c r="BA6" s="168"/>
      <c r="BB6" s="168"/>
      <c r="BC6" s="168"/>
      <c r="BD6" s="168"/>
      <c r="BE6" s="168"/>
    </row>
    <row r="7" spans="1:57" ht="22.5" customHeight="1" x14ac:dyDescent="0.25">
      <c r="A7" s="3610" t="s">
        <v>12</v>
      </c>
      <c r="B7" s="3596" t="s">
        <v>13</v>
      </c>
      <c r="C7" s="3613" t="s">
        <v>12</v>
      </c>
      <c r="D7" s="3596" t="s">
        <v>14</v>
      </c>
      <c r="E7" s="3613" t="s">
        <v>12</v>
      </c>
      <c r="F7" s="3613" t="s">
        <v>15</v>
      </c>
      <c r="G7" s="3598" t="s">
        <v>12</v>
      </c>
      <c r="H7" s="3594" t="s">
        <v>16</v>
      </c>
      <c r="I7" s="3585" t="s">
        <v>17</v>
      </c>
      <c r="J7" s="3585" t="s">
        <v>18</v>
      </c>
      <c r="K7" s="3585" t="s">
        <v>19</v>
      </c>
      <c r="L7" s="3585" t="s">
        <v>20</v>
      </c>
      <c r="M7" s="3585" t="s">
        <v>10</v>
      </c>
      <c r="N7" s="3590" t="s">
        <v>21</v>
      </c>
      <c r="O7" s="3592" t="s">
        <v>22</v>
      </c>
      <c r="P7" s="3594" t="s">
        <v>23</v>
      </c>
      <c r="Q7" s="3596" t="s">
        <v>24</v>
      </c>
      <c r="R7" s="3585" t="s">
        <v>25</v>
      </c>
      <c r="S7" s="3583" t="s">
        <v>22</v>
      </c>
      <c r="T7" s="178"/>
      <c r="U7" s="3585" t="s">
        <v>26</v>
      </c>
      <c r="V7" s="3587" t="s">
        <v>27</v>
      </c>
      <c r="W7" s="3587"/>
      <c r="X7" s="3588" t="s">
        <v>28</v>
      </c>
      <c r="Y7" s="3588"/>
      <c r="Z7" s="3588"/>
      <c r="AA7" s="3588"/>
      <c r="AB7" s="2979" t="s">
        <v>29</v>
      </c>
      <c r="AC7" s="2980"/>
      <c r="AD7" s="2980"/>
      <c r="AE7" s="2980"/>
      <c r="AF7" s="2980"/>
      <c r="AG7" s="3589"/>
      <c r="AH7" s="3588" t="s">
        <v>30</v>
      </c>
      <c r="AI7" s="3588"/>
      <c r="AJ7" s="3588"/>
      <c r="AK7" s="179" t="s">
        <v>31</v>
      </c>
      <c r="AL7" s="3567" t="s">
        <v>32</v>
      </c>
      <c r="AM7" s="3567" t="s">
        <v>33</v>
      </c>
      <c r="AN7" s="3569" t="s">
        <v>34</v>
      </c>
      <c r="AO7" s="168"/>
      <c r="AP7" s="168"/>
      <c r="AQ7" s="168"/>
      <c r="AR7" s="168"/>
      <c r="AS7" s="168"/>
      <c r="AT7" s="168"/>
      <c r="AU7" s="168"/>
      <c r="AV7" s="168"/>
      <c r="AW7" s="168"/>
      <c r="AX7" s="168"/>
      <c r="AY7" s="168"/>
      <c r="AZ7" s="168"/>
      <c r="BA7" s="168"/>
      <c r="BB7" s="168"/>
      <c r="BC7" s="168"/>
      <c r="BD7" s="168"/>
      <c r="BE7" s="168"/>
    </row>
    <row r="8" spans="1:57" s="185" customFormat="1" ht="107.25" customHeight="1" x14ac:dyDescent="0.25">
      <c r="A8" s="3611"/>
      <c r="B8" s="3612"/>
      <c r="C8" s="3613"/>
      <c r="D8" s="3612"/>
      <c r="E8" s="3613"/>
      <c r="F8" s="3613"/>
      <c r="G8" s="3599"/>
      <c r="H8" s="3595"/>
      <c r="I8" s="3586"/>
      <c r="J8" s="3600"/>
      <c r="K8" s="3586"/>
      <c r="L8" s="3586"/>
      <c r="M8" s="3586"/>
      <c r="N8" s="3591"/>
      <c r="O8" s="3593"/>
      <c r="P8" s="3595"/>
      <c r="Q8" s="3597"/>
      <c r="R8" s="3586"/>
      <c r="S8" s="3584"/>
      <c r="T8" s="180" t="s">
        <v>12</v>
      </c>
      <c r="U8" s="3586"/>
      <c r="V8" s="181" t="s">
        <v>35</v>
      </c>
      <c r="W8" s="182" t="s">
        <v>36</v>
      </c>
      <c r="X8" s="183" t="s">
        <v>37</v>
      </c>
      <c r="Y8" s="183" t="s">
        <v>118</v>
      </c>
      <c r="Z8" s="183" t="s">
        <v>119</v>
      </c>
      <c r="AA8" s="183" t="s">
        <v>120</v>
      </c>
      <c r="AB8" s="183" t="s">
        <v>41</v>
      </c>
      <c r="AC8" s="183" t="s">
        <v>42</v>
      </c>
      <c r="AD8" s="183" t="s">
        <v>43</v>
      </c>
      <c r="AE8" s="183" t="s">
        <v>44</v>
      </c>
      <c r="AF8" s="183" t="s">
        <v>45</v>
      </c>
      <c r="AG8" s="183" t="s">
        <v>46</v>
      </c>
      <c r="AH8" s="183" t="s">
        <v>47</v>
      </c>
      <c r="AI8" s="183" t="s">
        <v>48</v>
      </c>
      <c r="AJ8" s="183" t="s">
        <v>49</v>
      </c>
      <c r="AK8" s="183" t="s">
        <v>31</v>
      </c>
      <c r="AL8" s="3568"/>
      <c r="AM8" s="3568"/>
      <c r="AN8" s="3570"/>
      <c r="AO8" s="184"/>
      <c r="AP8" s="184"/>
      <c r="AQ8" s="184"/>
      <c r="AR8" s="184"/>
      <c r="AS8" s="184"/>
      <c r="AT8" s="184"/>
      <c r="AU8" s="184"/>
      <c r="AV8" s="184"/>
      <c r="AW8" s="184"/>
      <c r="AX8" s="184"/>
      <c r="AY8" s="184"/>
      <c r="AZ8" s="184"/>
      <c r="BA8" s="184"/>
      <c r="BB8" s="184"/>
      <c r="BC8" s="184"/>
      <c r="BD8" s="184"/>
      <c r="BE8" s="184"/>
    </row>
    <row r="9" spans="1:57" ht="15" x14ac:dyDescent="0.25">
      <c r="A9" s="186">
        <v>1</v>
      </c>
      <c r="B9" s="3571" t="s">
        <v>121</v>
      </c>
      <c r="C9" s="3572"/>
      <c r="D9" s="3571"/>
      <c r="E9" s="187"/>
      <c r="F9" s="187"/>
      <c r="G9" s="188"/>
      <c r="H9" s="187"/>
      <c r="I9" s="187"/>
      <c r="J9" s="187"/>
      <c r="K9" s="187"/>
      <c r="L9" s="187"/>
      <c r="M9" s="187"/>
      <c r="N9" s="189"/>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90"/>
      <c r="AO9" s="168"/>
      <c r="AP9" s="168"/>
      <c r="AQ9" s="168"/>
      <c r="AR9" s="168"/>
      <c r="AS9" s="168"/>
      <c r="AT9" s="168"/>
      <c r="AU9" s="168"/>
      <c r="AV9" s="168"/>
      <c r="AW9" s="168"/>
      <c r="AX9" s="168"/>
      <c r="AY9" s="168"/>
      <c r="AZ9" s="168"/>
      <c r="BA9" s="168"/>
      <c r="BB9" s="168"/>
      <c r="BC9" s="168"/>
      <c r="BD9" s="168"/>
      <c r="BE9" s="168"/>
    </row>
    <row r="10" spans="1:57" s="168" customFormat="1" ht="15" x14ac:dyDescent="0.25">
      <c r="A10" s="3573"/>
      <c r="B10" s="3573"/>
      <c r="C10" s="191">
        <v>1</v>
      </c>
      <c r="D10" s="192" t="s">
        <v>122</v>
      </c>
      <c r="E10" s="192"/>
      <c r="F10" s="192"/>
      <c r="G10" s="193"/>
      <c r="H10" s="194"/>
      <c r="I10" s="192"/>
      <c r="J10" s="192"/>
      <c r="K10" s="192"/>
      <c r="L10" s="193"/>
      <c r="M10" s="194"/>
      <c r="N10" s="195"/>
      <c r="O10" s="196"/>
      <c r="P10" s="194"/>
      <c r="Q10" s="194"/>
      <c r="R10" s="194"/>
      <c r="S10" s="197"/>
      <c r="T10" s="198"/>
      <c r="U10" s="193"/>
      <c r="V10" s="192"/>
      <c r="W10" s="192"/>
      <c r="X10" s="192"/>
      <c r="Y10" s="192"/>
      <c r="Z10" s="192"/>
      <c r="AA10" s="192"/>
      <c r="AB10" s="192"/>
      <c r="AC10" s="192"/>
      <c r="AD10" s="192"/>
      <c r="AE10" s="192"/>
      <c r="AF10" s="192"/>
      <c r="AG10" s="192"/>
      <c r="AH10" s="192"/>
      <c r="AI10" s="192"/>
      <c r="AJ10" s="192"/>
      <c r="AK10" s="192"/>
      <c r="AL10" s="199"/>
      <c r="AM10" s="199"/>
      <c r="AN10" s="200"/>
    </row>
    <row r="11" spans="1:57" s="168" customFormat="1" ht="15" x14ac:dyDescent="0.25">
      <c r="A11" s="3574"/>
      <c r="B11" s="3574"/>
      <c r="C11" s="3575"/>
      <c r="D11" s="3576"/>
      <c r="E11" s="201">
        <v>1</v>
      </c>
      <c r="F11" s="202" t="s">
        <v>123</v>
      </c>
      <c r="G11" s="203"/>
      <c r="H11" s="204"/>
      <c r="I11" s="202"/>
      <c r="J11" s="202"/>
      <c r="K11" s="202"/>
      <c r="L11" s="203"/>
      <c r="M11" s="204"/>
      <c r="N11" s="205"/>
      <c r="O11" s="206"/>
      <c r="P11" s="204"/>
      <c r="Q11" s="204"/>
      <c r="R11" s="204"/>
      <c r="S11" s="207"/>
      <c r="T11" s="208"/>
      <c r="U11" s="203"/>
      <c r="V11" s="202"/>
      <c r="W11" s="202"/>
      <c r="X11" s="202"/>
      <c r="Y11" s="202"/>
      <c r="Z11" s="202"/>
      <c r="AA11" s="202"/>
      <c r="AB11" s="202"/>
      <c r="AC11" s="202"/>
      <c r="AD11" s="202"/>
      <c r="AE11" s="202"/>
      <c r="AF11" s="202"/>
      <c r="AG11" s="202"/>
      <c r="AH11" s="202"/>
      <c r="AI11" s="202"/>
      <c r="AJ11" s="202"/>
      <c r="AK11" s="202"/>
      <c r="AL11" s="209"/>
      <c r="AM11" s="209"/>
      <c r="AN11" s="210"/>
    </row>
    <row r="12" spans="1:57" s="168" customFormat="1" ht="33" customHeight="1" x14ac:dyDescent="0.25">
      <c r="A12" s="3574"/>
      <c r="B12" s="3574"/>
      <c r="C12" s="3577"/>
      <c r="D12" s="3578"/>
      <c r="E12" s="3579"/>
      <c r="F12" s="3580"/>
      <c r="G12" s="3250">
        <v>1</v>
      </c>
      <c r="H12" s="3253" t="s">
        <v>124</v>
      </c>
      <c r="I12" s="3253" t="s">
        <v>125</v>
      </c>
      <c r="J12" s="3250">
        <v>1</v>
      </c>
      <c r="K12" s="3560" t="s">
        <v>126</v>
      </c>
      <c r="L12" s="3276" t="s">
        <v>127</v>
      </c>
      <c r="M12" s="3253" t="s">
        <v>128</v>
      </c>
      <c r="N12" s="3564">
        <f>+(S12+S13)/O12</f>
        <v>7.0570319609263285E-2</v>
      </c>
      <c r="O12" s="3566">
        <v>134617500</v>
      </c>
      <c r="P12" s="3253" t="s">
        <v>129</v>
      </c>
      <c r="Q12" s="3253" t="s">
        <v>130</v>
      </c>
      <c r="R12" s="211" t="s">
        <v>131</v>
      </c>
      <c r="S12" s="212">
        <v>4500000</v>
      </c>
      <c r="T12" s="213">
        <v>20</v>
      </c>
      <c r="U12" s="214" t="s">
        <v>62</v>
      </c>
      <c r="V12" s="3563">
        <v>35373</v>
      </c>
      <c r="W12" s="3276">
        <v>33985</v>
      </c>
      <c r="X12" s="3276">
        <v>16632</v>
      </c>
      <c r="Y12" s="3276">
        <v>3361</v>
      </c>
      <c r="Z12" s="3276">
        <v>39432</v>
      </c>
      <c r="AA12" s="3276">
        <v>9933</v>
      </c>
      <c r="AB12" s="3276"/>
      <c r="AC12" s="3276"/>
      <c r="AD12" s="3276"/>
      <c r="AE12" s="3276"/>
      <c r="AF12" s="3276"/>
      <c r="AG12" s="3276"/>
      <c r="AH12" s="3276"/>
      <c r="AI12" s="3276"/>
      <c r="AJ12" s="3276"/>
      <c r="AK12" s="3276">
        <f>V12+W12</f>
        <v>69358</v>
      </c>
      <c r="AL12" s="3547">
        <v>43466</v>
      </c>
      <c r="AM12" s="3547">
        <v>43830</v>
      </c>
      <c r="AN12" s="3548" t="s">
        <v>132</v>
      </c>
    </row>
    <row r="13" spans="1:57" s="168" customFormat="1" ht="33" customHeight="1" x14ac:dyDescent="0.25">
      <c r="A13" s="3574"/>
      <c r="B13" s="3574"/>
      <c r="C13" s="3577"/>
      <c r="D13" s="3578"/>
      <c r="E13" s="3581"/>
      <c r="F13" s="3269"/>
      <c r="G13" s="3252"/>
      <c r="H13" s="3255"/>
      <c r="I13" s="3255"/>
      <c r="J13" s="3252"/>
      <c r="K13" s="3560"/>
      <c r="L13" s="3276"/>
      <c r="M13" s="3254"/>
      <c r="N13" s="3565"/>
      <c r="O13" s="3566"/>
      <c r="P13" s="3254"/>
      <c r="Q13" s="3254"/>
      <c r="R13" s="215" t="s">
        <v>133</v>
      </c>
      <c r="S13" s="216">
        <v>5000000</v>
      </c>
      <c r="T13" s="217">
        <v>20</v>
      </c>
      <c r="U13" s="214" t="s">
        <v>62</v>
      </c>
      <c r="V13" s="3563"/>
      <c r="W13" s="3276"/>
      <c r="X13" s="3276"/>
      <c r="Y13" s="3276"/>
      <c r="Z13" s="3276"/>
      <c r="AA13" s="3276"/>
      <c r="AB13" s="3276"/>
      <c r="AC13" s="3276"/>
      <c r="AD13" s="3276"/>
      <c r="AE13" s="3276"/>
      <c r="AF13" s="3276"/>
      <c r="AG13" s="3276"/>
      <c r="AH13" s="3276"/>
      <c r="AI13" s="3276"/>
      <c r="AJ13" s="3276"/>
      <c r="AK13" s="3276"/>
      <c r="AL13" s="3547"/>
      <c r="AM13" s="3547"/>
      <c r="AN13" s="3548"/>
    </row>
    <row r="14" spans="1:57" s="168" customFormat="1" ht="53.25" customHeight="1" x14ac:dyDescent="0.25">
      <c r="A14" s="3574"/>
      <c r="B14" s="3574"/>
      <c r="C14" s="3577"/>
      <c r="D14" s="3578"/>
      <c r="E14" s="3581"/>
      <c r="F14" s="3269"/>
      <c r="G14" s="218">
        <v>2</v>
      </c>
      <c r="H14" s="219" t="s">
        <v>134</v>
      </c>
      <c r="I14" s="219" t="s">
        <v>135</v>
      </c>
      <c r="J14" s="220">
        <v>4</v>
      </c>
      <c r="K14" s="3560"/>
      <c r="L14" s="3276"/>
      <c r="M14" s="3254"/>
      <c r="N14" s="221">
        <f>+(S14)/O12</f>
        <v>0.19982543131465078</v>
      </c>
      <c r="O14" s="3566"/>
      <c r="P14" s="3254"/>
      <c r="Q14" s="3254"/>
      <c r="R14" s="222" t="s">
        <v>136</v>
      </c>
      <c r="S14" s="212">
        <v>26900000</v>
      </c>
      <c r="T14" s="217">
        <v>20</v>
      </c>
      <c r="U14" s="214" t="s">
        <v>62</v>
      </c>
      <c r="V14" s="3563"/>
      <c r="W14" s="3276"/>
      <c r="X14" s="3276"/>
      <c r="Y14" s="3276"/>
      <c r="Z14" s="3276"/>
      <c r="AA14" s="3276"/>
      <c r="AB14" s="3276"/>
      <c r="AC14" s="3276"/>
      <c r="AD14" s="3276"/>
      <c r="AE14" s="3276"/>
      <c r="AF14" s="3276"/>
      <c r="AG14" s="3276"/>
      <c r="AH14" s="3276"/>
      <c r="AI14" s="3276"/>
      <c r="AJ14" s="3276"/>
      <c r="AK14" s="3276"/>
      <c r="AL14" s="3547"/>
      <c r="AM14" s="3547"/>
      <c r="AN14" s="3548"/>
    </row>
    <row r="15" spans="1:57" s="168" customFormat="1" ht="76.5" customHeight="1" x14ac:dyDescent="0.25">
      <c r="A15" s="3574"/>
      <c r="B15" s="3574"/>
      <c r="C15" s="3577"/>
      <c r="D15" s="3578"/>
      <c r="E15" s="3581"/>
      <c r="F15" s="3269"/>
      <c r="G15" s="218">
        <v>3</v>
      </c>
      <c r="H15" s="219" t="s">
        <v>137</v>
      </c>
      <c r="I15" s="219" t="s">
        <v>138</v>
      </c>
      <c r="J15" s="220">
        <v>1</v>
      </c>
      <c r="K15" s="3560"/>
      <c r="L15" s="3276"/>
      <c r="M15" s="3254"/>
      <c r="N15" s="221">
        <f>+(S15)/O12</f>
        <v>0.15228332126209446</v>
      </c>
      <c r="O15" s="3566"/>
      <c r="P15" s="3254"/>
      <c r="Q15" s="3274" t="s">
        <v>139</v>
      </c>
      <c r="R15" s="222" t="s">
        <v>140</v>
      </c>
      <c r="S15" s="216">
        <v>20500000</v>
      </c>
      <c r="T15" s="223">
        <v>20</v>
      </c>
      <c r="U15" s="214" t="s">
        <v>62</v>
      </c>
      <c r="V15" s="3563"/>
      <c r="W15" s="3276"/>
      <c r="X15" s="3276"/>
      <c r="Y15" s="3276"/>
      <c r="Z15" s="3276"/>
      <c r="AA15" s="3276"/>
      <c r="AB15" s="3276"/>
      <c r="AC15" s="3276"/>
      <c r="AD15" s="3276"/>
      <c r="AE15" s="3276"/>
      <c r="AF15" s="3276"/>
      <c r="AG15" s="3276"/>
      <c r="AH15" s="3276"/>
      <c r="AI15" s="3276"/>
      <c r="AJ15" s="3276"/>
      <c r="AK15" s="3276"/>
      <c r="AL15" s="3547"/>
      <c r="AM15" s="3547"/>
      <c r="AN15" s="3548"/>
    </row>
    <row r="16" spans="1:57" s="168" customFormat="1" ht="78" customHeight="1" x14ac:dyDescent="0.25">
      <c r="A16" s="3574"/>
      <c r="B16" s="3574"/>
      <c r="C16" s="3577"/>
      <c r="D16" s="3578"/>
      <c r="E16" s="3581"/>
      <c r="F16" s="3269"/>
      <c r="G16" s="218">
        <v>4</v>
      </c>
      <c r="H16" s="219" t="s">
        <v>141</v>
      </c>
      <c r="I16" s="219" t="s">
        <v>142</v>
      </c>
      <c r="J16" s="220">
        <v>1</v>
      </c>
      <c r="K16" s="3560"/>
      <c r="L16" s="3276"/>
      <c r="M16" s="3254"/>
      <c r="N16" s="221">
        <f>+(S16)/O12</f>
        <v>0.49399223726484298</v>
      </c>
      <c r="O16" s="3566"/>
      <c r="P16" s="3254"/>
      <c r="Q16" s="3274"/>
      <c r="R16" s="222" t="s">
        <v>143</v>
      </c>
      <c r="S16" s="216">
        <v>66500000</v>
      </c>
      <c r="T16" s="223">
        <v>20</v>
      </c>
      <c r="U16" s="214" t="s">
        <v>62</v>
      </c>
      <c r="V16" s="3563"/>
      <c r="W16" s="3276"/>
      <c r="X16" s="3276"/>
      <c r="Y16" s="3276"/>
      <c r="Z16" s="3276"/>
      <c r="AA16" s="3276"/>
      <c r="AB16" s="3276"/>
      <c r="AC16" s="3276"/>
      <c r="AD16" s="3276"/>
      <c r="AE16" s="3276"/>
      <c r="AF16" s="3276"/>
      <c r="AG16" s="3276"/>
      <c r="AH16" s="3276"/>
      <c r="AI16" s="3276"/>
      <c r="AJ16" s="3276"/>
      <c r="AK16" s="3276"/>
      <c r="AL16" s="3547"/>
      <c r="AM16" s="3547"/>
      <c r="AN16" s="3548"/>
    </row>
    <row r="17" spans="1:40" s="168" customFormat="1" ht="85.5" customHeight="1" x14ac:dyDescent="0.25">
      <c r="A17" s="3574"/>
      <c r="B17" s="3574"/>
      <c r="C17" s="3577"/>
      <c r="D17" s="3578"/>
      <c r="E17" s="3582"/>
      <c r="F17" s="3286"/>
      <c r="G17" s="214">
        <v>6</v>
      </c>
      <c r="H17" s="224" t="s">
        <v>144</v>
      </c>
      <c r="I17" s="224" t="s">
        <v>145</v>
      </c>
      <c r="J17" s="220">
        <v>12</v>
      </c>
      <c r="K17" s="3250"/>
      <c r="L17" s="3553"/>
      <c r="M17" s="3255"/>
      <c r="N17" s="221">
        <f>+S17/O12</f>
        <v>8.3328690549148515E-2</v>
      </c>
      <c r="O17" s="3561"/>
      <c r="P17" s="3254"/>
      <c r="Q17" s="3253"/>
      <c r="R17" s="225" t="s">
        <v>146</v>
      </c>
      <c r="S17" s="226">
        <v>11217500</v>
      </c>
      <c r="T17" s="227">
        <v>20</v>
      </c>
      <c r="U17" s="214" t="s">
        <v>62</v>
      </c>
      <c r="V17" s="3557"/>
      <c r="W17" s="3553"/>
      <c r="X17" s="3553"/>
      <c r="Y17" s="3553"/>
      <c r="Z17" s="3553"/>
      <c r="AA17" s="3553"/>
      <c r="AB17" s="3553"/>
      <c r="AC17" s="3553"/>
      <c r="AD17" s="3553"/>
      <c r="AE17" s="3553"/>
      <c r="AF17" s="3553"/>
      <c r="AG17" s="3553"/>
      <c r="AH17" s="3553"/>
      <c r="AI17" s="3553"/>
      <c r="AJ17" s="3553"/>
      <c r="AK17" s="3553"/>
      <c r="AL17" s="3539"/>
      <c r="AM17" s="3539"/>
      <c r="AN17" s="3229"/>
    </row>
    <row r="18" spans="1:40" s="168" customFormat="1" ht="24" customHeight="1" x14ac:dyDescent="0.25">
      <c r="A18" s="3574"/>
      <c r="B18" s="3574"/>
      <c r="C18" s="3577"/>
      <c r="D18" s="3578"/>
      <c r="E18" s="228">
        <v>2</v>
      </c>
      <c r="F18" s="3260" t="s">
        <v>147</v>
      </c>
      <c r="G18" s="3261"/>
      <c r="H18" s="3261"/>
      <c r="I18" s="3559"/>
      <c r="J18" s="229"/>
      <c r="K18" s="229"/>
      <c r="L18" s="229"/>
      <c r="M18" s="230"/>
      <c r="N18" s="231"/>
      <c r="O18" s="232"/>
      <c r="P18" s="230"/>
      <c r="Q18" s="230"/>
      <c r="R18" s="230"/>
      <c r="S18" s="233"/>
      <c r="T18" s="234"/>
      <c r="U18" s="235"/>
      <c r="V18" s="236"/>
      <c r="W18" s="237"/>
      <c r="X18" s="237"/>
      <c r="Y18" s="237"/>
      <c r="Z18" s="237"/>
      <c r="AA18" s="237"/>
      <c r="AB18" s="238"/>
      <c r="AC18" s="238"/>
      <c r="AD18" s="238"/>
      <c r="AE18" s="239"/>
      <c r="AF18" s="239"/>
      <c r="AG18" s="239"/>
      <c r="AH18" s="238"/>
      <c r="AI18" s="238"/>
      <c r="AJ18" s="237"/>
      <c r="AK18" s="240"/>
      <c r="AL18" s="241"/>
      <c r="AM18" s="241"/>
      <c r="AN18" s="242"/>
    </row>
    <row r="19" spans="1:40" s="168" customFormat="1" ht="57" customHeight="1" x14ac:dyDescent="0.25">
      <c r="A19" s="3574"/>
      <c r="B19" s="3574"/>
      <c r="C19" s="3577"/>
      <c r="D19" s="3578"/>
      <c r="E19" s="3560"/>
      <c r="F19" s="3560"/>
      <c r="G19" s="243">
        <v>7</v>
      </c>
      <c r="H19" s="224" t="s">
        <v>148</v>
      </c>
      <c r="I19" s="244" t="s">
        <v>149</v>
      </c>
      <c r="J19" s="220">
        <v>1</v>
      </c>
      <c r="K19" s="3560" t="s">
        <v>150</v>
      </c>
      <c r="L19" s="3250" t="s">
        <v>151</v>
      </c>
      <c r="M19" s="3253" t="s">
        <v>152</v>
      </c>
      <c r="N19" s="245">
        <f>+S19/O19</f>
        <v>0.79984028770363513</v>
      </c>
      <c r="O19" s="3561">
        <v>158373529</v>
      </c>
      <c r="P19" s="3555" t="s">
        <v>153</v>
      </c>
      <c r="Q19" s="3555" t="s">
        <v>154</v>
      </c>
      <c r="R19" s="244" t="s">
        <v>155</v>
      </c>
      <c r="S19" s="226">
        <v>126673529</v>
      </c>
      <c r="T19" s="227">
        <v>20</v>
      </c>
      <c r="U19" s="214" t="s">
        <v>62</v>
      </c>
      <c r="V19" s="3557">
        <v>252568</v>
      </c>
      <c r="W19" s="3553">
        <v>243650</v>
      </c>
      <c r="X19" s="3553">
        <v>97896</v>
      </c>
      <c r="Y19" s="3553">
        <v>53351</v>
      </c>
      <c r="Z19" s="3553">
        <v>140316</v>
      </c>
      <c r="AA19" s="3553">
        <v>30825</v>
      </c>
      <c r="AB19" s="3553"/>
      <c r="AC19" s="3553"/>
      <c r="AD19" s="3553"/>
      <c r="AE19" s="3553"/>
      <c r="AF19" s="3553"/>
      <c r="AG19" s="3553"/>
      <c r="AH19" s="3553"/>
      <c r="AI19" s="3553"/>
      <c r="AJ19" s="3553"/>
      <c r="AK19" s="3553">
        <f>V19+W19</f>
        <v>496218</v>
      </c>
      <c r="AL19" s="3547">
        <v>43466</v>
      </c>
      <c r="AM19" s="3547">
        <v>43830</v>
      </c>
      <c r="AN19" s="3548" t="s">
        <v>132</v>
      </c>
    </row>
    <row r="20" spans="1:40" ht="57" x14ac:dyDescent="0.25">
      <c r="A20" s="3574"/>
      <c r="B20" s="3574"/>
      <c r="C20" s="3577"/>
      <c r="D20" s="3578"/>
      <c r="E20" s="3560"/>
      <c r="F20" s="3560"/>
      <c r="G20" s="246">
        <v>8</v>
      </c>
      <c r="H20" s="219" t="s">
        <v>156</v>
      </c>
      <c r="I20" s="219" t="s">
        <v>157</v>
      </c>
      <c r="J20" s="220">
        <v>1</v>
      </c>
      <c r="K20" s="3560"/>
      <c r="L20" s="3252"/>
      <c r="M20" s="3255"/>
      <c r="N20" s="221">
        <f>+S20/O19</f>
        <v>0.20015971229636487</v>
      </c>
      <c r="O20" s="3562"/>
      <c r="P20" s="3556"/>
      <c r="Q20" s="3556"/>
      <c r="R20" s="219" t="s">
        <v>158</v>
      </c>
      <c r="S20" s="247">
        <v>31700000</v>
      </c>
      <c r="T20" s="248">
        <v>20</v>
      </c>
      <c r="U20" s="218" t="s">
        <v>62</v>
      </c>
      <c r="V20" s="3558"/>
      <c r="W20" s="3554"/>
      <c r="X20" s="3554"/>
      <c r="Y20" s="3554"/>
      <c r="Z20" s="3554"/>
      <c r="AA20" s="3554"/>
      <c r="AB20" s="3554"/>
      <c r="AC20" s="3554"/>
      <c r="AD20" s="3554"/>
      <c r="AE20" s="3554"/>
      <c r="AF20" s="3554"/>
      <c r="AG20" s="3554"/>
      <c r="AH20" s="3554"/>
      <c r="AI20" s="3554"/>
      <c r="AJ20" s="3554"/>
      <c r="AK20" s="3554"/>
      <c r="AL20" s="3547"/>
      <c r="AM20" s="3547"/>
      <c r="AN20" s="3548"/>
    </row>
    <row r="21" spans="1:40" ht="24" customHeight="1" x14ac:dyDescent="0.25">
      <c r="A21" s="3574"/>
      <c r="B21" s="3574"/>
      <c r="C21" s="3577"/>
      <c r="D21" s="3578"/>
      <c r="E21" s="249">
        <v>3</v>
      </c>
      <c r="F21" s="250" t="s">
        <v>159</v>
      </c>
      <c r="G21" s="251"/>
      <c r="H21" s="252"/>
      <c r="I21" s="253"/>
      <c r="J21" s="253"/>
      <c r="K21" s="254"/>
      <c r="L21" s="251"/>
      <c r="M21" s="252"/>
      <c r="N21" s="255"/>
      <c r="O21" s="256"/>
      <c r="P21" s="257"/>
      <c r="Q21" s="257"/>
      <c r="R21" s="257"/>
      <c r="S21" s="258"/>
      <c r="T21" s="259"/>
      <c r="U21" s="251"/>
      <c r="V21" s="253"/>
      <c r="W21" s="253"/>
      <c r="X21" s="253"/>
      <c r="Y21" s="253"/>
      <c r="Z21" s="253"/>
      <c r="AA21" s="253"/>
      <c r="AB21" s="253"/>
      <c r="AC21" s="253"/>
      <c r="AD21" s="253"/>
      <c r="AE21" s="253"/>
      <c r="AF21" s="253"/>
      <c r="AG21" s="253"/>
      <c r="AH21" s="253"/>
      <c r="AI21" s="253"/>
      <c r="AJ21" s="253"/>
      <c r="AK21" s="253"/>
      <c r="AL21" s="260"/>
      <c r="AM21" s="260"/>
      <c r="AN21" s="261"/>
    </row>
    <row r="22" spans="1:40" ht="28.5" customHeight="1" x14ac:dyDescent="0.25">
      <c r="A22" s="3574"/>
      <c r="B22" s="3574"/>
      <c r="C22" s="3577"/>
      <c r="D22" s="3578"/>
      <c r="E22" s="3549"/>
      <c r="F22" s="3550"/>
      <c r="G22" s="3492">
        <v>14</v>
      </c>
      <c r="H22" s="3259" t="s">
        <v>160</v>
      </c>
      <c r="I22" s="3247" t="s">
        <v>161</v>
      </c>
      <c r="J22" s="2946">
        <v>6</v>
      </c>
      <c r="K22" s="3488" t="s">
        <v>162</v>
      </c>
      <c r="L22" s="3250" t="s">
        <v>163</v>
      </c>
      <c r="M22" s="3247" t="s">
        <v>164</v>
      </c>
      <c r="N22" s="3528">
        <f>+(S22+S23)/O22</f>
        <v>0.16270012988344068</v>
      </c>
      <c r="O22" s="3544">
        <f>SUM(S22:S25)</f>
        <v>1643514361</v>
      </c>
      <c r="P22" s="3488" t="s">
        <v>165</v>
      </c>
      <c r="Q22" s="3488" t="s">
        <v>130</v>
      </c>
      <c r="R22" s="215" t="s">
        <v>166</v>
      </c>
      <c r="S22" s="262">
        <v>133700000</v>
      </c>
      <c r="T22" s="263">
        <v>20</v>
      </c>
      <c r="U22" s="218" t="s">
        <v>62</v>
      </c>
      <c r="V22" s="3482">
        <v>35373</v>
      </c>
      <c r="W22" s="3482">
        <v>33985</v>
      </c>
      <c r="X22" s="3482">
        <v>16632</v>
      </c>
      <c r="Y22" s="3482">
        <v>3361</v>
      </c>
      <c r="Z22" s="3482">
        <v>39432</v>
      </c>
      <c r="AA22" s="3482">
        <v>9933</v>
      </c>
      <c r="AB22" s="3482"/>
      <c r="AC22" s="3482"/>
      <c r="AD22" s="3482"/>
      <c r="AE22" s="3482"/>
      <c r="AF22" s="3482"/>
      <c r="AG22" s="3482"/>
      <c r="AH22" s="3482"/>
      <c r="AI22" s="3482"/>
      <c r="AJ22" s="3482"/>
      <c r="AK22" s="3482">
        <f>V22+W22</f>
        <v>69358</v>
      </c>
      <c r="AL22" s="3539">
        <v>43466</v>
      </c>
      <c r="AM22" s="3539">
        <v>43830</v>
      </c>
      <c r="AN22" s="3229" t="s">
        <v>132</v>
      </c>
    </row>
    <row r="23" spans="1:40" ht="46.5" customHeight="1" x14ac:dyDescent="0.25">
      <c r="A23" s="3574"/>
      <c r="B23" s="3574"/>
      <c r="C23" s="3577"/>
      <c r="D23" s="3578"/>
      <c r="E23" s="3551"/>
      <c r="F23" s="3552"/>
      <c r="G23" s="3492"/>
      <c r="H23" s="3259"/>
      <c r="I23" s="3249"/>
      <c r="J23" s="2958"/>
      <c r="K23" s="3489"/>
      <c r="L23" s="3251"/>
      <c r="M23" s="3248"/>
      <c r="N23" s="3528"/>
      <c r="O23" s="3545"/>
      <c r="P23" s="3489"/>
      <c r="Q23" s="3489"/>
      <c r="R23" s="215" t="s">
        <v>167</v>
      </c>
      <c r="S23" s="262">
        <v>133700000</v>
      </c>
      <c r="T23" s="263">
        <v>20</v>
      </c>
      <c r="U23" s="218" t="s">
        <v>62</v>
      </c>
      <c r="V23" s="3483"/>
      <c r="W23" s="3483"/>
      <c r="X23" s="3483"/>
      <c r="Y23" s="3483"/>
      <c r="Z23" s="3483"/>
      <c r="AA23" s="3483"/>
      <c r="AB23" s="3483"/>
      <c r="AC23" s="3483"/>
      <c r="AD23" s="3483"/>
      <c r="AE23" s="3483"/>
      <c r="AF23" s="3483"/>
      <c r="AG23" s="3483"/>
      <c r="AH23" s="3483"/>
      <c r="AI23" s="3483"/>
      <c r="AJ23" s="3483"/>
      <c r="AK23" s="3483"/>
      <c r="AL23" s="3540"/>
      <c r="AM23" s="3540"/>
      <c r="AN23" s="3230"/>
    </row>
    <row r="24" spans="1:40" ht="71.25" customHeight="1" x14ac:dyDescent="0.25">
      <c r="A24" s="3574"/>
      <c r="B24" s="3574"/>
      <c r="C24" s="3577"/>
      <c r="D24" s="3578"/>
      <c r="E24" s="3551"/>
      <c r="F24" s="3552"/>
      <c r="G24" s="3482">
        <v>17</v>
      </c>
      <c r="H24" s="3247" t="s">
        <v>168</v>
      </c>
      <c r="I24" s="3250" t="s">
        <v>169</v>
      </c>
      <c r="J24" s="2946">
        <v>270</v>
      </c>
      <c r="K24" s="264" t="s">
        <v>170</v>
      </c>
      <c r="L24" s="3251"/>
      <c r="M24" s="3248"/>
      <c r="N24" s="3541">
        <f>SUM(S24:S25)/O22</f>
        <v>0.83729987011655937</v>
      </c>
      <c r="O24" s="3545"/>
      <c r="P24" s="3489"/>
      <c r="Q24" s="3489"/>
      <c r="R24" s="3488" t="s">
        <v>171</v>
      </c>
      <c r="S24" s="262">
        <v>550114361</v>
      </c>
      <c r="T24" s="263">
        <v>20</v>
      </c>
      <c r="U24" s="218" t="s">
        <v>62</v>
      </c>
      <c r="V24" s="3483"/>
      <c r="W24" s="3483"/>
      <c r="X24" s="3483"/>
      <c r="Y24" s="3483"/>
      <c r="Z24" s="3483"/>
      <c r="AA24" s="3483"/>
      <c r="AB24" s="3483"/>
      <c r="AC24" s="3483"/>
      <c r="AD24" s="3483"/>
      <c r="AE24" s="3483"/>
      <c r="AF24" s="3483"/>
      <c r="AG24" s="3483"/>
      <c r="AH24" s="3483"/>
      <c r="AI24" s="3483"/>
      <c r="AJ24" s="3483"/>
      <c r="AK24" s="3483"/>
      <c r="AL24" s="3540"/>
      <c r="AM24" s="3540"/>
      <c r="AN24" s="3230"/>
    </row>
    <row r="25" spans="1:40" ht="35.25" customHeight="1" x14ac:dyDescent="0.25">
      <c r="A25" s="3574"/>
      <c r="B25" s="3574"/>
      <c r="C25" s="3577"/>
      <c r="D25" s="3578"/>
      <c r="E25" s="3551"/>
      <c r="F25" s="3552"/>
      <c r="G25" s="3484"/>
      <c r="H25" s="3249"/>
      <c r="I25" s="3252"/>
      <c r="J25" s="2958"/>
      <c r="K25" s="265"/>
      <c r="L25" s="3252"/>
      <c r="M25" s="3249"/>
      <c r="N25" s="3542"/>
      <c r="O25" s="3546"/>
      <c r="P25" s="3490"/>
      <c r="Q25" s="3490"/>
      <c r="R25" s="3490"/>
      <c r="S25" s="266">
        <v>826000000</v>
      </c>
      <c r="T25" s="267">
        <v>88</v>
      </c>
      <c r="U25" s="268" t="s">
        <v>172</v>
      </c>
      <c r="V25" s="3484"/>
      <c r="W25" s="3484"/>
      <c r="X25" s="3484"/>
      <c r="Y25" s="3484"/>
      <c r="Z25" s="3484"/>
      <c r="AA25" s="3484"/>
      <c r="AB25" s="3484"/>
      <c r="AC25" s="3484"/>
      <c r="AD25" s="3484"/>
      <c r="AE25" s="3484"/>
      <c r="AF25" s="3484"/>
      <c r="AG25" s="3484"/>
      <c r="AH25" s="3484"/>
      <c r="AI25" s="3484"/>
      <c r="AJ25" s="3484"/>
      <c r="AK25" s="3484"/>
      <c r="AL25" s="3543"/>
      <c r="AM25" s="3543"/>
      <c r="AN25" s="3231"/>
    </row>
    <row r="26" spans="1:40" ht="74.25" customHeight="1" x14ac:dyDescent="0.25">
      <c r="A26" s="3574"/>
      <c r="B26" s="3574"/>
      <c r="C26" s="3577"/>
      <c r="D26" s="3578"/>
      <c r="E26" s="3551"/>
      <c r="F26" s="3552"/>
      <c r="G26" s="246">
        <v>15</v>
      </c>
      <c r="H26" s="219" t="s">
        <v>173</v>
      </c>
      <c r="I26" s="219" t="s">
        <v>174</v>
      </c>
      <c r="J26" s="269">
        <v>2</v>
      </c>
      <c r="K26" s="3250" t="s">
        <v>175</v>
      </c>
      <c r="L26" s="3250" t="s">
        <v>176</v>
      </c>
      <c r="M26" s="3272" t="s">
        <v>177</v>
      </c>
      <c r="N26" s="270">
        <f>S26/O26</f>
        <v>0.28450497361810312</v>
      </c>
      <c r="O26" s="3496">
        <f>SUM(S26:S30)</f>
        <v>63061235</v>
      </c>
      <c r="P26" s="3253" t="s">
        <v>178</v>
      </c>
      <c r="Q26" s="3253" t="s">
        <v>179</v>
      </c>
      <c r="R26" s="271" t="s">
        <v>180</v>
      </c>
      <c r="S26" s="272">
        <v>17941235</v>
      </c>
      <c r="T26" s="248">
        <v>20</v>
      </c>
      <c r="U26" s="218" t="s">
        <v>62</v>
      </c>
      <c r="V26" s="3482">
        <v>40906</v>
      </c>
      <c r="W26" s="3482">
        <v>37728</v>
      </c>
      <c r="X26" s="3482">
        <v>16790</v>
      </c>
      <c r="Y26" s="3482">
        <v>8871</v>
      </c>
      <c r="Z26" s="3482">
        <v>46240</v>
      </c>
      <c r="AA26" s="3482">
        <v>10814</v>
      </c>
      <c r="AB26" s="3482"/>
      <c r="AC26" s="3482"/>
      <c r="AD26" s="3482"/>
      <c r="AE26" s="3482"/>
      <c r="AF26" s="3482"/>
      <c r="AG26" s="3482"/>
      <c r="AH26" s="3482"/>
      <c r="AI26" s="3482"/>
      <c r="AJ26" s="3482"/>
      <c r="AK26" s="3482">
        <f>V26+W26</f>
        <v>78634</v>
      </c>
      <c r="AL26" s="3539">
        <v>43466</v>
      </c>
      <c r="AM26" s="3539">
        <v>43830</v>
      </c>
      <c r="AN26" s="3229" t="s">
        <v>132</v>
      </c>
    </row>
    <row r="27" spans="1:40" ht="74.25" customHeight="1" x14ac:dyDescent="0.25">
      <c r="A27" s="3574"/>
      <c r="B27" s="3574"/>
      <c r="C27" s="3577"/>
      <c r="D27" s="3578"/>
      <c r="E27" s="3551"/>
      <c r="F27" s="3552"/>
      <c r="G27" s="246">
        <v>16</v>
      </c>
      <c r="H27" s="219" t="s">
        <v>181</v>
      </c>
      <c r="I27" s="219" t="s">
        <v>182</v>
      </c>
      <c r="J27" s="273">
        <v>5</v>
      </c>
      <c r="K27" s="3251"/>
      <c r="L27" s="3251"/>
      <c r="M27" s="3499"/>
      <c r="N27" s="270">
        <f>S27/O26</f>
        <v>0.15064722408306783</v>
      </c>
      <c r="O27" s="3497"/>
      <c r="P27" s="3254"/>
      <c r="Q27" s="3254"/>
      <c r="R27" s="274" t="s">
        <v>183</v>
      </c>
      <c r="S27" s="272">
        <v>9500000</v>
      </c>
      <c r="T27" s="248">
        <v>20</v>
      </c>
      <c r="U27" s="218" t="s">
        <v>62</v>
      </c>
      <c r="V27" s="3483"/>
      <c r="W27" s="3483"/>
      <c r="X27" s="3483"/>
      <c r="Y27" s="3483"/>
      <c r="Z27" s="3483"/>
      <c r="AA27" s="3483"/>
      <c r="AB27" s="3483"/>
      <c r="AC27" s="3483"/>
      <c r="AD27" s="3483"/>
      <c r="AE27" s="3483"/>
      <c r="AF27" s="3483"/>
      <c r="AG27" s="3483"/>
      <c r="AH27" s="3483"/>
      <c r="AI27" s="3483"/>
      <c r="AJ27" s="3483"/>
      <c r="AK27" s="3483"/>
      <c r="AL27" s="3540"/>
      <c r="AM27" s="3540"/>
      <c r="AN27" s="3230"/>
    </row>
    <row r="28" spans="1:40" ht="74.25" customHeight="1" x14ac:dyDescent="0.25">
      <c r="A28" s="3574"/>
      <c r="B28" s="3574"/>
      <c r="C28" s="3577"/>
      <c r="D28" s="3578"/>
      <c r="E28" s="3551"/>
      <c r="F28" s="3552"/>
      <c r="G28" s="246">
        <v>18</v>
      </c>
      <c r="H28" s="219" t="s">
        <v>184</v>
      </c>
      <c r="I28" s="219" t="s">
        <v>185</v>
      </c>
      <c r="J28" s="273">
        <v>10</v>
      </c>
      <c r="K28" s="3251"/>
      <c r="L28" s="3251"/>
      <c r="M28" s="3499"/>
      <c r="N28" s="270">
        <f>S28/O26</f>
        <v>0.21598054652751408</v>
      </c>
      <c r="O28" s="3497"/>
      <c r="P28" s="3254"/>
      <c r="Q28" s="3254"/>
      <c r="R28" s="274" t="s">
        <v>186</v>
      </c>
      <c r="S28" s="272">
        <v>13620000</v>
      </c>
      <c r="T28" s="248">
        <v>20</v>
      </c>
      <c r="U28" s="218" t="s">
        <v>62</v>
      </c>
      <c r="V28" s="3483"/>
      <c r="W28" s="3483"/>
      <c r="X28" s="3483"/>
      <c r="Y28" s="3483"/>
      <c r="Z28" s="3483"/>
      <c r="AA28" s="3483"/>
      <c r="AB28" s="3483"/>
      <c r="AC28" s="3483"/>
      <c r="AD28" s="3483"/>
      <c r="AE28" s="3483"/>
      <c r="AF28" s="3483"/>
      <c r="AG28" s="3483"/>
      <c r="AH28" s="3483"/>
      <c r="AI28" s="3483"/>
      <c r="AJ28" s="3483"/>
      <c r="AK28" s="3483"/>
      <c r="AL28" s="3540"/>
      <c r="AM28" s="3540"/>
      <c r="AN28" s="3230"/>
    </row>
    <row r="29" spans="1:40" ht="74.25" customHeight="1" x14ac:dyDescent="0.25">
      <c r="A29" s="3574"/>
      <c r="B29" s="3574"/>
      <c r="C29" s="3577"/>
      <c r="D29" s="3578"/>
      <c r="E29" s="3551"/>
      <c r="F29" s="3552"/>
      <c r="G29" s="246">
        <v>19</v>
      </c>
      <c r="H29" s="219" t="s">
        <v>187</v>
      </c>
      <c r="I29" s="219" t="s">
        <v>188</v>
      </c>
      <c r="J29" s="273">
        <v>8</v>
      </c>
      <c r="K29" s="3251"/>
      <c r="L29" s="3251"/>
      <c r="M29" s="3499"/>
      <c r="N29" s="270">
        <f>S29/O26</f>
        <v>0.1744336278856575</v>
      </c>
      <c r="O29" s="3497"/>
      <c r="P29" s="3254"/>
      <c r="Q29" s="3254"/>
      <c r="R29" s="275" t="s">
        <v>189</v>
      </c>
      <c r="S29" s="272">
        <v>11000000</v>
      </c>
      <c r="T29" s="248">
        <v>20</v>
      </c>
      <c r="U29" s="218" t="s">
        <v>62</v>
      </c>
      <c r="V29" s="3483"/>
      <c r="W29" s="3483"/>
      <c r="X29" s="3483"/>
      <c r="Y29" s="3483"/>
      <c r="Z29" s="3483"/>
      <c r="AA29" s="3483"/>
      <c r="AB29" s="3483"/>
      <c r="AC29" s="3483"/>
      <c r="AD29" s="3483"/>
      <c r="AE29" s="3483"/>
      <c r="AF29" s="3483"/>
      <c r="AG29" s="3483"/>
      <c r="AH29" s="3483"/>
      <c r="AI29" s="3483"/>
      <c r="AJ29" s="3483"/>
      <c r="AK29" s="3483"/>
      <c r="AL29" s="3540"/>
      <c r="AM29" s="3540"/>
      <c r="AN29" s="3230"/>
    </row>
    <row r="30" spans="1:40" ht="74.25" customHeight="1" x14ac:dyDescent="0.25">
      <c r="A30" s="3574"/>
      <c r="B30" s="3574"/>
      <c r="C30" s="3577"/>
      <c r="D30" s="3578"/>
      <c r="E30" s="3551"/>
      <c r="F30" s="3552"/>
      <c r="G30" s="276">
        <v>20</v>
      </c>
      <c r="H30" s="277" t="s">
        <v>190</v>
      </c>
      <c r="I30" s="224" t="s">
        <v>191</v>
      </c>
      <c r="J30" s="273">
        <v>60</v>
      </c>
      <c r="K30" s="3251"/>
      <c r="L30" s="3251"/>
      <c r="M30" s="3273"/>
      <c r="N30" s="278">
        <f>S30/O26</f>
        <v>0.1744336278856575</v>
      </c>
      <c r="O30" s="3497"/>
      <c r="P30" s="3254"/>
      <c r="Q30" s="3254"/>
      <c r="R30" s="224" t="s">
        <v>192</v>
      </c>
      <c r="S30" s="279">
        <v>11000000</v>
      </c>
      <c r="T30" s="280">
        <v>20</v>
      </c>
      <c r="U30" s="218" t="s">
        <v>62</v>
      </c>
      <c r="V30" s="3483"/>
      <c r="W30" s="3483"/>
      <c r="X30" s="3483"/>
      <c r="Y30" s="3483"/>
      <c r="Z30" s="3483"/>
      <c r="AA30" s="3483"/>
      <c r="AB30" s="3483"/>
      <c r="AC30" s="3483"/>
      <c r="AD30" s="3483"/>
      <c r="AE30" s="3483"/>
      <c r="AF30" s="3483"/>
      <c r="AG30" s="3483"/>
      <c r="AH30" s="3483"/>
      <c r="AI30" s="3483"/>
      <c r="AJ30" s="3483"/>
      <c r="AK30" s="3483"/>
      <c r="AL30" s="3540"/>
      <c r="AM30" s="3540"/>
      <c r="AN30" s="3230"/>
    </row>
    <row r="31" spans="1:40" ht="15" x14ac:dyDescent="0.25">
      <c r="A31" s="281">
        <v>2</v>
      </c>
      <c r="B31" s="282" t="s">
        <v>193</v>
      </c>
      <c r="C31" s="283"/>
      <c r="D31" s="283"/>
      <c r="E31" s="283"/>
      <c r="F31" s="283"/>
      <c r="G31" s="284"/>
      <c r="H31" s="285"/>
      <c r="I31" s="286"/>
      <c r="J31" s="286"/>
      <c r="K31" s="286"/>
      <c r="L31" s="287"/>
      <c r="M31" s="285"/>
      <c r="N31" s="288"/>
      <c r="O31" s="289"/>
      <c r="P31" s="285"/>
      <c r="Q31" s="285"/>
      <c r="R31" s="285"/>
      <c r="S31" s="290"/>
      <c r="T31" s="291"/>
      <c r="U31" s="287"/>
      <c r="V31" s="286"/>
      <c r="W31" s="286"/>
      <c r="X31" s="286"/>
      <c r="Y31" s="286"/>
      <c r="Z31" s="286"/>
      <c r="AA31" s="286"/>
      <c r="AB31" s="286"/>
      <c r="AC31" s="286"/>
      <c r="AD31" s="286"/>
      <c r="AE31" s="286"/>
      <c r="AF31" s="286"/>
      <c r="AG31" s="286"/>
      <c r="AH31" s="286"/>
      <c r="AI31" s="286"/>
      <c r="AJ31" s="286"/>
      <c r="AK31" s="286"/>
      <c r="AL31" s="292"/>
      <c r="AM31" s="293"/>
      <c r="AN31" s="294"/>
    </row>
    <row r="32" spans="1:40" ht="15" x14ac:dyDescent="0.25">
      <c r="A32" s="3533"/>
      <c r="B32" s="3534"/>
      <c r="C32" s="295">
        <v>2</v>
      </c>
      <c r="D32" s="192" t="s">
        <v>194</v>
      </c>
      <c r="E32" s="192"/>
      <c r="F32" s="192"/>
      <c r="G32" s="296"/>
      <c r="H32" s="297"/>
      <c r="I32" s="298"/>
      <c r="J32" s="298"/>
      <c r="K32" s="298"/>
      <c r="L32" s="299"/>
      <c r="M32" s="297"/>
      <c r="N32" s="300"/>
      <c r="O32" s="301"/>
      <c r="P32" s="297"/>
      <c r="Q32" s="297"/>
      <c r="R32" s="297"/>
      <c r="S32" s="302"/>
      <c r="T32" s="303"/>
      <c r="U32" s="299"/>
      <c r="V32" s="298"/>
      <c r="W32" s="298"/>
      <c r="X32" s="298"/>
      <c r="Y32" s="298"/>
      <c r="Z32" s="298"/>
      <c r="AA32" s="298"/>
      <c r="AB32" s="298"/>
      <c r="AC32" s="298"/>
      <c r="AD32" s="298"/>
      <c r="AE32" s="298"/>
      <c r="AF32" s="298"/>
      <c r="AG32" s="298"/>
      <c r="AH32" s="298"/>
      <c r="AI32" s="298"/>
      <c r="AJ32" s="298"/>
      <c r="AK32" s="298"/>
      <c r="AL32" s="304"/>
      <c r="AM32" s="305"/>
      <c r="AN32" s="306"/>
    </row>
    <row r="33" spans="1:40" ht="15" x14ac:dyDescent="0.25">
      <c r="A33" s="3535"/>
      <c r="B33" s="3536"/>
      <c r="C33" s="3491"/>
      <c r="D33" s="3491"/>
      <c r="E33" s="249">
        <v>4</v>
      </c>
      <c r="F33" s="250" t="s">
        <v>195</v>
      </c>
      <c r="G33" s="250"/>
      <c r="H33" s="307"/>
      <c r="I33" s="202"/>
      <c r="J33" s="202"/>
      <c r="K33" s="202"/>
      <c r="L33" s="202"/>
      <c r="M33" s="308"/>
      <c r="N33" s="309"/>
      <c r="O33" s="310"/>
      <c r="P33" s="308"/>
      <c r="Q33" s="308"/>
      <c r="R33" s="308"/>
      <c r="S33" s="311"/>
      <c r="T33" s="312"/>
      <c r="U33" s="313"/>
      <c r="V33" s="314"/>
      <c r="W33" s="314"/>
      <c r="X33" s="314"/>
      <c r="Y33" s="314"/>
      <c r="Z33" s="314"/>
      <c r="AA33" s="314"/>
      <c r="AB33" s="314"/>
      <c r="AC33" s="314"/>
      <c r="AD33" s="314"/>
      <c r="AE33" s="314"/>
      <c r="AF33" s="314"/>
      <c r="AG33" s="314"/>
      <c r="AH33" s="314"/>
      <c r="AI33" s="314"/>
      <c r="AJ33" s="314"/>
      <c r="AK33" s="314"/>
      <c r="AL33" s="315"/>
      <c r="AM33" s="316"/>
      <c r="AN33" s="317"/>
    </row>
    <row r="34" spans="1:40" ht="28.5" x14ac:dyDescent="0.25">
      <c r="A34" s="3535"/>
      <c r="B34" s="3536"/>
      <c r="C34" s="3491"/>
      <c r="D34" s="3491"/>
      <c r="E34" s="3492"/>
      <c r="F34" s="3492"/>
      <c r="G34" s="3484">
        <v>21</v>
      </c>
      <c r="H34" s="3274" t="s">
        <v>196</v>
      </c>
      <c r="I34" s="3259" t="s">
        <v>197</v>
      </c>
      <c r="J34" s="2946">
        <v>100</v>
      </c>
      <c r="K34" s="3492" t="s">
        <v>198</v>
      </c>
      <c r="L34" s="3492" t="s">
        <v>199</v>
      </c>
      <c r="M34" s="3525" t="s">
        <v>200</v>
      </c>
      <c r="N34" s="3528">
        <f>+(S34+S35)/O34</f>
        <v>0.19129239751796687</v>
      </c>
      <c r="O34" s="3529">
        <v>364259118</v>
      </c>
      <c r="P34" s="2586" t="s">
        <v>201</v>
      </c>
      <c r="Q34" s="2586" t="s">
        <v>202</v>
      </c>
      <c r="R34" s="318" t="s">
        <v>203</v>
      </c>
      <c r="S34" s="262">
        <v>54000000</v>
      </c>
      <c r="T34" s="263">
        <v>20</v>
      </c>
      <c r="U34" s="218" t="s">
        <v>62</v>
      </c>
      <c r="V34" s="3492">
        <v>40</v>
      </c>
      <c r="W34" s="3492">
        <v>60</v>
      </c>
      <c r="X34" s="3492">
        <v>10</v>
      </c>
      <c r="Y34" s="3492">
        <v>20</v>
      </c>
      <c r="Z34" s="3492">
        <v>30</v>
      </c>
      <c r="AA34" s="3482">
        <v>40</v>
      </c>
      <c r="AB34" s="3482">
        <v>5</v>
      </c>
      <c r="AC34" s="3482"/>
      <c r="AD34" s="3482"/>
      <c r="AE34" s="3482"/>
      <c r="AF34" s="3482"/>
      <c r="AG34" s="3482"/>
      <c r="AH34" s="3482">
        <v>5</v>
      </c>
      <c r="AI34" s="3482"/>
      <c r="AJ34" s="3482"/>
      <c r="AK34" s="3482">
        <f>V34+W34</f>
        <v>100</v>
      </c>
      <c r="AL34" s="3485">
        <v>43466</v>
      </c>
      <c r="AM34" s="3485">
        <v>43465</v>
      </c>
      <c r="AN34" s="3488" t="s">
        <v>204</v>
      </c>
    </row>
    <row r="35" spans="1:40" ht="41.25" customHeight="1" x14ac:dyDescent="0.25">
      <c r="A35" s="3535"/>
      <c r="B35" s="3536"/>
      <c r="C35" s="3491"/>
      <c r="D35" s="3491"/>
      <c r="E35" s="3492"/>
      <c r="F35" s="3492"/>
      <c r="G35" s="3492"/>
      <c r="H35" s="3274"/>
      <c r="I35" s="3259"/>
      <c r="J35" s="2958"/>
      <c r="K35" s="3492"/>
      <c r="L35" s="3492"/>
      <c r="M35" s="3526"/>
      <c r="N35" s="3528"/>
      <c r="O35" s="3529"/>
      <c r="P35" s="2566"/>
      <c r="Q35" s="2566"/>
      <c r="R35" s="319" t="s">
        <v>205</v>
      </c>
      <c r="S35" s="247">
        <v>15680000</v>
      </c>
      <c r="T35" s="248">
        <v>20</v>
      </c>
      <c r="U35" s="218" t="s">
        <v>62</v>
      </c>
      <c r="V35" s="3492"/>
      <c r="W35" s="3492"/>
      <c r="X35" s="3492"/>
      <c r="Y35" s="3492"/>
      <c r="Z35" s="3492"/>
      <c r="AA35" s="3483"/>
      <c r="AB35" s="3483"/>
      <c r="AC35" s="3483"/>
      <c r="AD35" s="3483"/>
      <c r="AE35" s="3483"/>
      <c r="AF35" s="3483"/>
      <c r="AG35" s="3483"/>
      <c r="AH35" s="3483"/>
      <c r="AI35" s="3483"/>
      <c r="AJ35" s="3483"/>
      <c r="AK35" s="3483"/>
      <c r="AL35" s="3486"/>
      <c r="AM35" s="3486"/>
      <c r="AN35" s="3489"/>
    </row>
    <row r="36" spans="1:40" ht="99" customHeight="1" x14ac:dyDescent="0.25">
      <c r="A36" s="3535"/>
      <c r="B36" s="3536"/>
      <c r="C36" s="3491"/>
      <c r="D36" s="3491"/>
      <c r="E36" s="3492"/>
      <c r="F36" s="3492"/>
      <c r="G36" s="3492">
        <v>22</v>
      </c>
      <c r="H36" s="3274" t="s">
        <v>206</v>
      </c>
      <c r="I36" s="3259" t="s">
        <v>207</v>
      </c>
      <c r="J36" s="2946">
        <v>3</v>
      </c>
      <c r="K36" s="3492"/>
      <c r="L36" s="3492"/>
      <c r="M36" s="3526"/>
      <c r="N36" s="3524">
        <f>+(S36+S37)/O34</f>
        <v>0.12161672230261096</v>
      </c>
      <c r="O36" s="3529"/>
      <c r="P36" s="2566"/>
      <c r="Q36" s="2566"/>
      <c r="R36" s="319" t="s">
        <v>208</v>
      </c>
      <c r="S36" s="247">
        <v>30000000</v>
      </c>
      <c r="T36" s="248">
        <v>20</v>
      </c>
      <c r="U36" s="218" t="s">
        <v>62</v>
      </c>
      <c r="V36" s="3492"/>
      <c r="W36" s="3492"/>
      <c r="X36" s="3492"/>
      <c r="Y36" s="3492"/>
      <c r="Z36" s="3492"/>
      <c r="AA36" s="3483"/>
      <c r="AB36" s="3483"/>
      <c r="AC36" s="3483"/>
      <c r="AD36" s="3483"/>
      <c r="AE36" s="3483"/>
      <c r="AF36" s="3483"/>
      <c r="AG36" s="3483"/>
      <c r="AH36" s="3483"/>
      <c r="AI36" s="3483"/>
      <c r="AJ36" s="3483"/>
      <c r="AK36" s="3483"/>
      <c r="AL36" s="3486"/>
      <c r="AM36" s="3486"/>
      <c r="AN36" s="3489"/>
    </row>
    <row r="37" spans="1:40" ht="84" customHeight="1" x14ac:dyDescent="0.25">
      <c r="A37" s="3535"/>
      <c r="B37" s="3536"/>
      <c r="C37" s="3491"/>
      <c r="D37" s="3491"/>
      <c r="E37" s="3492"/>
      <c r="F37" s="3492"/>
      <c r="G37" s="3492"/>
      <c r="H37" s="3274"/>
      <c r="I37" s="3259"/>
      <c r="J37" s="2958"/>
      <c r="K37" s="3492"/>
      <c r="L37" s="3492"/>
      <c r="M37" s="3526"/>
      <c r="N37" s="3524"/>
      <c r="O37" s="3529"/>
      <c r="P37" s="2566"/>
      <c r="Q37" s="2590"/>
      <c r="R37" s="319" t="s">
        <v>209</v>
      </c>
      <c r="S37" s="247">
        <v>14300000</v>
      </c>
      <c r="T37" s="248">
        <v>20</v>
      </c>
      <c r="U37" s="218" t="s">
        <v>62</v>
      </c>
      <c r="V37" s="3492"/>
      <c r="W37" s="3492"/>
      <c r="X37" s="3492"/>
      <c r="Y37" s="3492"/>
      <c r="Z37" s="3492"/>
      <c r="AA37" s="3483"/>
      <c r="AB37" s="3483"/>
      <c r="AC37" s="3483"/>
      <c r="AD37" s="3483"/>
      <c r="AE37" s="3483"/>
      <c r="AF37" s="3483"/>
      <c r="AG37" s="3483"/>
      <c r="AH37" s="3483"/>
      <c r="AI37" s="3483"/>
      <c r="AJ37" s="3483"/>
      <c r="AK37" s="3483"/>
      <c r="AL37" s="3486"/>
      <c r="AM37" s="3486"/>
      <c r="AN37" s="3489"/>
    </row>
    <row r="38" spans="1:40" ht="42.75" x14ac:dyDescent="0.25">
      <c r="A38" s="3535"/>
      <c r="B38" s="3536"/>
      <c r="C38" s="3491"/>
      <c r="D38" s="3491"/>
      <c r="E38" s="3492"/>
      <c r="F38" s="3492"/>
      <c r="G38" s="3492">
        <v>23</v>
      </c>
      <c r="H38" s="3274" t="s">
        <v>210</v>
      </c>
      <c r="I38" s="3259" t="s">
        <v>211</v>
      </c>
      <c r="J38" s="2946">
        <v>1</v>
      </c>
      <c r="K38" s="3492"/>
      <c r="L38" s="3492"/>
      <c r="M38" s="3526"/>
      <c r="N38" s="3524">
        <f>+(S38+S39+S40)/O34</f>
        <v>0.19129239751796687</v>
      </c>
      <c r="O38" s="3529"/>
      <c r="P38" s="2566"/>
      <c r="Q38" s="3530" t="s">
        <v>212</v>
      </c>
      <c r="R38" s="319" t="s">
        <v>213</v>
      </c>
      <c r="S38" s="247">
        <v>18000000</v>
      </c>
      <c r="T38" s="248">
        <v>20</v>
      </c>
      <c r="U38" s="218" t="s">
        <v>62</v>
      </c>
      <c r="V38" s="3492"/>
      <c r="W38" s="3492"/>
      <c r="X38" s="3492"/>
      <c r="Y38" s="3492"/>
      <c r="Z38" s="3492"/>
      <c r="AA38" s="3483"/>
      <c r="AB38" s="3483"/>
      <c r="AC38" s="3483"/>
      <c r="AD38" s="3483"/>
      <c r="AE38" s="3483"/>
      <c r="AF38" s="3483"/>
      <c r="AG38" s="3483"/>
      <c r="AH38" s="3483"/>
      <c r="AI38" s="3483"/>
      <c r="AJ38" s="3483"/>
      <c r="AK38" s="3483"/>
      <c r="AL38" s="3486"/>
      <c r="AM38" s="3486"/>
      <c r="AN38" s="3489"/>
    </row>
    <row r="39" spans="1:40" ht="42.75" x14ac:dyDescent="0.25">
      <c r="A39" s="3535"/>
      <c r="B39" s="3536"/>
      <c r="C39" s="3491"/>
      <c r="D39" s="3491"/>
      <c r="E39" s="3492"/>
      <c r="F39" s="3492"/>
      <c r="G39" s="3492"/>
      <c r="H39" s="3274"/>
      <c r="I39" s="3259"/>
      <c r="J39" s="2963"/>
      <c r="K39" s="3492"/>
      <c r="L39" s="3492"/>
      <c r="M39" s="3526"/>
      <c r="N39" s="3524"/>
      <c r="O39" s="3529"/>
      <c r="P39" s="2566"/>
      <c r="Q39" s="3531"/>
      <c r="R39" s="319" t="s">
        <v>214</v>
      </c>
      <c r="S39" s="247">
        <v>5000000</v>
      </c>
      <c r="T39" s="248">
        <v>20</v>
      </c>
      <c r="U39" s="218" t="s">
        <v>62</v>
      </c>
      <c r="V39" s="3492"/>
      <c r="W39" s="3492"/>
      <c r="X39" s="3492"/>
      <c r="Y39" s="3492"/>
      <c r="Z39" s="3492"/>
      <c r="AA39" s="3483"/>
      <c r="AB39" s="3483"/>
      <c r="AC39" s="3483"/>
      <c r="AD39" s="3483"/>
      <c r="AE39" s="3483"/>
      <c r="AF39" s="3483"/>
      <c r="AG39" s="3483"/>
      <c r="AH39" s="3483"/>
      <c r="AI39" s="3483"/>
      <c r="AJ39" s="3483"/>
      <c r="AK39" s="3483"/>
      <c r="AL39" s="3486"/>
      <c r="AM39" s="3486"/>
      <c r="AN39" s="3489"/>
    </row>
    <row r="40" spans="1:40" ht="48.75" customHeight="1" x14ac:dyDescent="0.25">
      <c r="A40" s="3535"/>
      <c r="B40" s="3536"/>
      <c r="C40" s="3491"/>
      <c r="D40" s="3491"/>
      <c r="E40" s="3492"/>
      <c r="F40" s="3492"/>
      <c r="G40" s="3492"/>
      <c r="H40" s="3274"/>
      <c r="I40" s="3259"/>
      <c r="J40" s="2958"/>
      <c r="K40" s="3492"/>
      <c r="L40" s="3492"/>
      <c r="M40" s="3526"/>
      <c r="N40" s="3524"/>
      <c r="O40" s="3529"/>
      <c r="P40" s="2566"/>
      <c r="Q40" s="3531"/>
      <c r="R40" s="319" t="s">
        <v>215</v>
      </c>
      <c r="S40" s="247">
        <v>46680000</v>
      </c>
      <c r="T40" s="248">
        <v>20</v>
      </c>
      <c r="U40" s="218" t="s">
        <v>62</v>
      </c>
      <c r="V40" s="3492"/>
      <c r="W40" s="3492"/>
      <c r="X40" s="3492"/>
      <c r="Y40" s="3492"/>
      <c r="Z40" s="3492"/>
      <c r="AA40" s="3483"/>
      <c r="AB40" s="3483"/>
      <c r="AC40" s="3483"/>
      <c r="AD40" s="3483"/>
      <c r="AE40" s="3483"/>
      <c r="AF40" s="3483"/>
      <c r="AG40" s="3483"/>
      <c r="AH40" s="3483"/>
      <c r="AI40" s="3483"/>
      <c r="AJ40" s="3483"/>
      <c r="AK40" s="3483"/>
      <c r="AL40" s="3486"/>
      <c r="AM40" s="3486"/>
      <c r="AN40" s="3489"/>
    </row>
    <row r="41" spans="1:40" ht="84.75" customHeight="1" x14ac:dyDescent="0.25">
      <c r="A41" s="3535"/>
      <c r="B41" s="3536"/>
      <c r="C41" s="3491"/>
      <c r="D41" s="3491"/>
      <c r="E41" s="3492"/>
      <c r="F41" s="3492"/>
      <c r="G41" s="276">
        <v>24</v>
      </c>
      <c r="H41" s="219" t="s">
        <v>216</v>
      </c>
      <c r="I41" s="219" t="s">
        <v>217</v>
      </c>
      <c r="J41" s="273">
        <v>1</v>
      </c>
      <c r="K41" s="3492"/>
      <c r="L41" s="3492"/>
      <c r="M41" s="3527"/>
      <c r="N41" s="270">
        <f>S41/O34</f>
        <v>0.49579848266145532</v>
      </c>
      <c r="O41" s="3529"/>
      <c r="P41" s="2590"/>
      <c r="Q41" s="3532"/>
      <c r="R41" s="319" t="s">
        <v>218</v>
      </c>
      <c r="S41" s="247">
        <v>180599118</v>
      </c>
      <c r="T41" s="248">
        <v>20</v>
      </c>
      <c r="U41" s="218" t="s">
        <v>62</v>
      </c>
      <c r="V41" s="3492"/>
      <c r="W41" s="3492"/>
      <c r="X41" s="3492"/>
      <c r="Y41" s="3492"/>
      <c r="Z41" s="3492"/>
      <c r="AA41" s="3484"/>
      <c r="AB41" s="3484"/>
      <c r="AC41" s="3484"/>
      <c r="AD41" s="3484"/>
      <c r="AE41" s="3484"/>
      <c r="AF41" s="3484"/>
      <c r="AG41" s="3484"/>
      <c r="AH41" s="3484"/>
      <c r="AI41" s="3484"/>
      <c r="AJ41" s="3484"/>
      <c r="AK41" s="3484"/>
      <c r="AL41" s="3487"/>
      <c r="AM41" s="3487"/>
      <c r="AN41" s="3490"/>
    </row>
    <row r="42" spans="1:40" ht="15" x14ac:dyDescent="0.25">
      <c r="A42" s="3535"/>
      <c r="B42" s="3536"/>
      <c r="C42" s="3491"/>
      <c r="D42" s="3491"/>
      <c r="E42" s="249">
        <v>5</v>
      </c>
      <c r="F42" s="250" t="s">
        <v>219</v>
      </c>
      <c r="G42" s="250"/>
      <c r="H42" s="320"/>
      <c r="I42" s="321"/>
      <c r="J42" s="321"/>
      <c r="K42" s="321"/>
      <c r="L42" s="321"/>
      <c r="M42" s="308"/>
      <c r="N42" s="309"/>
      <c r="O42" s="310"/>
      <c r="P42" s="308"/>
      <c r="Q42" s="308"/>
      <c r="R42" s="308"/>
      <c r="S42" s="311"/>
      <c r="T42" s="312"/>
      <c r="U42" s="313"/>
      <c r="V42" s="314"/>
      <c r="W42" s="314"/>
      <c r="X42" s="314"/>
      <c r="Y42" s="314"/>
      <c r="Z42" s="314"/>
      <c r="AA42" s="314"/>
      <c r="AB42" s="314"/>
      <c r="AC42" s="314"/>
      <c r="AD42" s="314"/>
      <c r="AE42" s="314"/>
      <c r="AF42" s="314"/>
      <c r="AG42" s="314"/>
      <c r="AH42" s="314"/>
      <c r="AI42" s="314"/>
      <c r="AJ42" s="314"/>
      <c r="AK42" s="314"/>
      <c r="AL42" s="315"/>
      <c r="AM42" s="316"/>
      <c r="AN42" s="317"/>
    </row>
    <row r="43" spans="1:40" ht="28.5" customHeight="1" x14ac:dyDescent="0.25">
      <c r="A43" s="3535"/>
      <c r="B43" s="3536"/>
      <c r="C43" s="3491"/>
      <c r="D43" s="3491"/>
      <c r="E43" s="3492"/>
      <c r="F43" s="3492"/>
      <c r="G43" s="3482">
        <v>25</v>
      </c>
      <c r="H43" s="3253" t="s">
        <v>220</v>
      </c>
      <c r="I43" s="3250" t="s">
        <v>221</v>
      </c>
      <c r="J43" s="3493">
        <v>2</v>
      </c>
      <c r="K43" s="3250" t="s">
        <v>222</v>
      </c>
      <c r="L43" s="3493" t="s">
        <v>223</v>
      </c>
      <c r="M43" s="3253" t="s">
        <v>224</v>
      </c>
      <c r="N43" s="3511">
        <f>SUM(S43:S45)/O43</f>
        <v>0.21064074165230945</v>
      </c>
      <c r="O43" s="3496">
        <f>SUM(S43:S48)</f>
        <v>1365168000</v>
      </c>
      <c r="P43" s="3253" t="s">
        <v>225</v>
      </c>
      <c r="Q43" s="3253" t="s">
        <v>226</v>
      </c>
      <c r="R43" s="219" t="s">
        <v>227</v>
      </c>
      <c r="S43" s="247">
        <v>118780000</v>
      </c>
      <c r="T43" s="248">
        <v>20</v>
      </c>
      <c r="U43" s="218" t="s">
        <v>62</v>
      </c>
      <c r="V43" s="3482">
        <v>600</v>
      </c>
      <c r="W43" s="3482">
        <v>600</v>
      </c>
      <c r="X43" s="3482">
        <v>125</v>
      </c>
      <c r="Y43" s="3482">
        <v>75</v>
      </c>
      <c r="Z43" s="3482">
        <v>300</v>
      </c>
      <c r="AA43" s="3482">
        <v>700</v>
      </c>
      <c r="AB43" s="3482">
        <v>50</v>
      </c>
      <c r="AC43" s="3482">
        <v>30</v>
      </c>
      <c r="AD43" s="3482"/>
      <c r="AE43" s="3482"/>
      <c r="AF43" s="3482"/>
      <c r="AG43" s="3482"/>
      <c r="AH43" s="3482"/>
      <c r="AI43" s="3482">
        <v>10</v>
      </c>
      <c r="AJ43" s="3482">
        <v>10</v>
      </c>
      <c r="AK43" s="3482">
        <f>V43+W43</f>
        <v>1200</v>
      </c>
      <c r="AL43" s="3485">
        <v>43466</v>
      </c>
      <c r="AM43" s="3485">
        <v>43830</v>
      </c>
      <c r="AN43" s="3488" t="s">
        <v>204</v>
      </c>
    </row>
    <row r="44" spans="1:40" ht="28.5" customHeight="1" x14ac:dyDescent="0.25">
      <c r="A44" s="3535"/>
      <c r="B44" s="3536"/>
      <c r="C44" s="3491"/>
      <c r="D44" s="3491"/>
      <c r="E44" s="3492"/>
      <c r="F44" s="3492"/>
      <c r="G44" s="3483"/>
      <c r="H44" s="3254"/>
      <c r="I44" s="3251"/>
      <c r="J44" s="3494"/>
      <c r="K44" s="3494"/>
      <c r="L44" s="3494"/>
      <c r="M44" s="3254"/>
      <c r="N44" s="3512"/>
      <c r="O44" s="3497"/>
      <c r="P44" s="3254"/>
      <c r="Q44" s="3254"/>
      <c r="R44" s="3250" t="s">
        <v>228</v>
      </c>
      <c r="S44" s="247">
        <v>118780000</v>
      </c>
      <c r="T44" s="248">
        <v>20</v>
      </c>
      <c r="U44" s="218" t="s">
        <v>62</v>
      </c>
      <c r="V44" s="3483"/>
      <c r="W44" s="3483"/>
      <c r="X44" s="3483"/>
      <c r="Y44" s="3483"/>
      <c r="Z44" s="3483"/>
      <c r="AA44" s="3483"/>
      <c r="AB44" s="3483"/>
      <c r="AC44" s="3483"/>
      <c r="AD44" s="3483"/>
      <c r="AE44" s="3483"/>
      <c r="AF44" s="3483"/>
      <c r="AG44" s="3483"/>
      <c r="AH44" s="3483"/>
      <c r="AI44" s="3483"/>
      <c r="AJ44" s="3483"/>
      <c r="AK44" s="3483"/>
      <c r="AL44" s="3486"/>
      <c r="AM44" s="3486"/>
      <c r="AN44" s="3489"/>
    </row>
    <row r="45" spans="1:40" ht="34.5" customHeight="1" x14ac:dyDescent="0.25">
      <c r="A45" s="3535"/>
      <c r="B45" s="3536"/>
      <c r="C45" s="3491"/>
      <c r="D45" s="3491"/>
      <c r="E45" s="3492"/>
      <c r="F45" s="3492"/>
      <c r="G45" s="3484"/>
      <c r="H45" s="3255"/>
      <c r="I45" s="3252"/>
      <c r="J45" s="3495"/>
      <c r="K45" s="3494"/>
      <c r="L45" s="3494"/>
      <c r="M45" s="3254"/>
      <c r="N45" s="3523"/>
      <c r="O45" s="3497"/>
      <c r="P45" s="3254"/>
      <c r="Q45" s="3254"/>
      <c r="R45" s="3252"/>
      <c r="S45" s="266">
        <v>50000000</v>
      </c>
      <c r="T45" s="267">
        <v>88</v>
      </c>
      <c r="U45" s="268" t="s">
        <v>172</v>
      </c>
      <c r="V45" s="3483"/>
      <c r="W45" s="3483"/>
      <c r="X45" s="3483"/>
      <c r="Y45" s="3483"/>
      <c r="Z45" s="3483"/>
      <c r="AA45" s="3483"/>
      <c r="AB45" s="3483"/>
      <c r="AC45" s="3483"/>
      <c r="AD45" s="3483"/>
      <c r="AE45" s="3483"/>
      <c r="AF45" s="3483"/>
      <c r="AG45" s="3483"/>
      <c r="AH45" s="3483"/>
      <c r="AI45" s="3483"/>
      <c r="AJ45" s="3483"/>
      <c r="AK45" s="3483"/>
      <c r="AL45" s="3486"/>
      <c r="AM45" s="3486"/>
      <c r="AN45" s="3489"/>
    </row>
    <row r="46" spans="1:40" ht="103.5" customHeight="1" x14ac:dyDescent="0.25">
      <c r="A46" s="3535"/>
      <c r="B46" s="3536"/>
      <c r="C46" s="3491"/>
      <c r="D46" s="3491"/>
      <c r="E46" s="3492"/>
      <c r="F46" s="3492"/>
      <c r="G46" s="246">
        <v>26</v>
      </c>
      <c r="H46" s="219" t="s">
        <v>229</v>
      </c>
      <c r="I46" s="219" t="s">
        <v>230</v>
      </c>
      <c r="J46" s="220">
        <v>2</v>
      </c>
      <c r="K46" s="3494"/>
      <c r="L46" s="3494"/>
      <c r="M46" s="3254"/>
      <c r="N46" s="270">
        <f>S46/O43</f>
        <v>3.2486844110028952E-2</v>
      </c>
      <c r="O46" s="3497"/>
      <c r="P46" s="3254"/>
      <c r="Q46" s="3255"/>
      <c r="R46" s="219" t="s">
        <v>231</v>
      </c>
      <c r="S46" s="247">
        <v>44350000</v>
      </c>
      <c r="T46" s="248">
        <v>20</v>
      </c>
      <c r="U46" s="218" t="s">
        <v>62</v>
      </c>
      <c r="V46" s="3483"/>
      <c r="W46" s="3483"/>
      <c r="X46" s="3483"/>
      <c r="Y46" s="3483"/>
      <c r="Z46" s="3483"/>
      <c r="AA46" s="3483"/>
      <c r="AB46" s="3483"/>
      <c r="AC46" s="3483"/>
      <c r="AD46" s="3483"/>
      <c r="AE46" s="3483"/>
      <c r="AF46" s="3483"/>
      <c r="AG46" s="3483"/>
      <c r="AH46" s="3483"/>
      <c r="AI46" s="3483"/>
      <c r="AJ46" s="3483"/>
      <c r="AK46" s="3483"/>
      <c r="AL46" s="3486"/>
      <c r="AM46" s="3486"/>
      <c r="AN46" s="3489"/>
    </row>
    <row r="47" spans="1:40" ht="60" customHeight="1" x14ac:dyDescent="0.25">
      <c r="A47" s="3535"/>
      <c r="B47" s="3536"/>
      <c r="C47" s="3491"/>
      <c r="D47" s="3491"/>
      <c r="E47" s="3492"/>
      <c r="F47" s="3492"/>
      <c r="G47" s="246">
        <v>27</v>
      </c>
      <c r="H47" s="219" t="s">
        <v>232</v>
      </c>
      <c r="I47" s="219" t="s">
        <v>233</v>
      </c>
      <c r="J47" s="273">
        <v>3</v>
      </c>
      <c r="K47" s="3494"/>
      <c r="L47" s="3494"/>
      <c r="M47" s="3254"/>
      <c r="N47" s="270">
        <f>S47/O43</f>
        <v>0.7325105774527384</v>
      </c>
      <c r="O47" s="3497"/>
      <c r="P47" s="3254"/>
      <c r="Q47" s="219" t="s">
        <v>234</v>
      </c>
      <c r="R47" s="219" t="s">
        <v>235</v>
      </c>
      <c r="S47" s="247">
        <v>1000000000</v>
      </c>
      <c r="T47" s="248">
        <v>46</v>
      </c>
      <c r="U47" s="219" t="s">
        <v>236</v>
      </c>
      <c r="V47" s="3483"/>
      <c r="W47" s="3483"/>
      <c r="X47" s="3483"/>
      <c r="Y47" s="3483"/>
      <c r="Z47" s="3483"/>
      <c r="AA47" s="3483"/>
      <c r="AB47" s="3483"/>
      <c r="AC47" s="3483"/>
      <c r="AD47" s="3483"/>
      <c r="AE47" s="3483"/>
      <c r="AF47" s="3483"/>
      <c r="AG47" s="3483"/>
      <c r="AH47" s="3483"/>
      <c r="AI47" s="3483"/>
      <c r="AJ47" s="3483"/>
      <c r="AK47" s="3483"/>
      <c r="AL47" s="3486"/>
      <c r="AM47" s="3486"/>
      <c r="AN47" s="3489"/>
    </row>
    <row r="48" spans="1:40" ht="42.75" x14ac:dyDescent="0.25">
      <c r="A48" s="3535"/>
      <c r="B48" s="3536"/>
      <c r="C48" s="3491"/>
      <c r="D48" s="3491"/>
      <c r="E48" s="3492"/>
      <c r="F48" s="3492"/>
      <c r="G48" s="246">
        <v>28</v>
      </c>
      <c r="H48" s="219" t="s">
        <v>237</v>
      </c>
      <c r="I48" s="219" t="s">
        <v>238</v>
      </c>
      <c r="J48" s="220">
        <v>2</v>
      </c>
      <c r="K48" s="3495"/>
      <c r="L48" s="3495"/>
      <c r="M48" s="3255"/>
      <c r="N48" s="270">
        <f>S48/O43</f>
        <v>2.4361836784923173E-2</v>
      </c>
      <c r="O48" s="3498"/>
      <c r="P48" s="3255"/>
      <c r="Q48" s="219" t="s">
        <v>239</v>
      </c>
      <c r="R48" s="219" t="s">
        <v>240</v>
      </c>
      <c r="S48" s="247">
        <v>33258000</v>
      </c>
      <c r="T48" s="248">
        <v>20</v>
      </c>
      <c r="U48" s="218" t="s">
        <v>62</v>
      </c>
      <c r="V48" s="3484"/>
      <c r="W48" s="3484"/>
      <c r="X48" s="3484"/>
      <c r="Y48" s="3484"/>
      <c r="Z48" s="3484"/>
      <c r="AA48" s="3484"/>
      <c r="AB48" s="3484"/>
      <c r="AC48" s="3484"/>
      <c r="AD48" s="3484"/>
      <c r="AE48" s="3484"/>
      <c r="AF48" s="3484"/>
      <c r="AG48" s="3484"/>
      <c r="AH48" s="3484"/>
      <c r="AI48" s="3484"/>
      <c r="AJ48" s="3484"/>
      <c r="AK48" s="3484"/>
      <c r="AL48" s="3487"/>
      <c r="AM48" s="3487"/>
      <c r="AN48" s="3490"/>
    </row>
    <row r="49" spans="1:40" ht="70.5" customHeight="1" x14ac:dyDescent="0.25">
      <c r="A49" s="3535"/>
      <c r="B49" s="3536"/>
      <c r="C49" s="3491"/>
      <c r="D49" s="3491"/>
      <c r="E49" s="3492"/>
      <c r="F49" s="3492"/>
      <c r="G49" s="3482">
        <v>29</v>
      </c>
      <c r="H49" s="3253" t="s">
        <v>241</v>
      </c>
      <c r="I49" s="3250" t="s">
        <v>242</v>
      </c>
      <c r="J49" s="3493">
        <v>1</v>
      </c>
      <c r="K49" s="322" t="s">
        <v>243</v>
      </c>
      <c r="L49" s="3493" t="s">
        <v>244</v>
      </c>
      <c r="M49" s="3253" t="s">
        <v>245</v>
      </c>
      <c r="N49" s="3511">
        <f>SUM(S49:S51)/O49</f>
        <v>1</v>
      </c>
      <c r="O49" s="3496">
        <f>SUM(S49:S51)</f>
        <v>122170000</v>
      </c>
      <c r="P49" s="3250" t="s">
        <v>246</v>
      </c>
      <c r="Q49" s="3520" t="s">
        <v>247</v>
      </c>
      <c r="R49" s="219" t="s">
        <v>248</v>
      </c>
      <c r="S49" s="247">
        <v>15000000</v>
      </c>
      <c r="T49" s="248">
        <v>20</v>
      </c>
      <c r="U49" s="218" t="s">
        <v>62</v>
      </c>
      <c r="V49" s="3517">
        <v>210</v>
      </c>
      <c r="W49" s="3517">
        <v>140</v>
      </c>
      <c r="X49" s="3517"/>
      <c r="Y49" s="3517"/>
      <c r="Z49" s="3517"/>
      <c r="AA49" s="3517"/>
      <c r="AB49" s="3517"/>
      <c r="AC49" s="3517"/>
      <c r="AD49" s="3517"/>
      <c r="AE49" s="3517"/>
      <c r="AF49" s="3517"/>
      <c r="AG49" s="3517"/>
      <c r="AH49" s="3517"/>
      <c r="AI49" s="3517"/>
      <c r="AJ49" s="3517"/>
      <c r="AK49" s="3517">
        <f>V49+W49</f>
        <v>350</v>
      </c>
      <c r="AL49" s="3485">
        <v>43466</v>
      </c>
      <c r="AM49" s="3485">
        <v>43830</v>
      </c>
      <c r="AN49" s="3488" t="s">
        <v>249</v>
      </c>
    </row>
    <row r="50" spans="1:40" ht="45.75" customHeight="1" x14ac:dyDescent="0.25">
      <c r="A50" s="3535"/>
      <c r="B50" s="3536"/>
      <c r="C50" s="3491"/>
      <c r="D50" s="3491"/>
      <c r="E50" s="3492"/>
      <c r="F50" s="3492"/>
      <c r="G50" s="3483"/>
      <c r="H50" s="3254"/>
      <c r="I50" s="3251"/>
      <c r="J50" s="3494"/>
      <c r="K50" s="323" t="s">
        <v>250</v>
      </c>
      <c r="L50" s="3494"/>
      <c r="M50" s="3254"/>
      <c r="N50" s="3512"/>
      <c r="O50" s="3497"/>
      <c r="P50" s="3251"/>
      <c r="Q50" s="3521"/>
      <c r="R50" s="3250" t="s">
        <v>251</v>
      </c>
      <c r="S50" s="247">
        <v>7170000</v>
      </c>
      <c r="T50" s="248">
        <v>20</v>
      </c>
      <c r="U50" s="218" t="s">
        <v>62</v>
      </c>
      <c r="V50" s="3518"/>
      <c r="W50" s="3518"/>
      <c r="X50" s="3518"/>
      <c r="Y50" s="3518"/>
      <c r="Z50" s="3518"/>
      <c r="AA50" s="3518"/>
      <c r="AB50" s="3518"/>
      <c r="AC50" s="3518"/>
      <c r="AD50" s="3518"/>
      <c r="AE50" s="3518"/>
      <c r="AF50" s="3518"/>
      <c r="AG50" s="3518"/>
      <c r="AH50" s="3518"/>
      <c r="AI50" s="3518"/>
      <c r="AJ50" s="3518"/>
      <c r="AK50" s="3518"/>
      <c r="AL50" s="3486"/>
      <c r="AM50" s="3486"/>
      <c r="AN50" s="3489"/>
    </row>
    <row r="51" spans="1:40" ht="45.75" customHeight="1" x14ac:dyDescent="0.25">
      <c r="A51" s="3535"/>
      <c r="B51" s="3536"/>
      <c r="C51" s="3491"/>
      <c r="D51" s="3491"/>
      <c r="E51" s="3492"/>
      <c r="F51" s="3492"/>
      <c r="G51" s="3484"/>
      <c r="H51" s="3255"/>
      <c r="I51" s="3252"/>
      <c r="J51" s="3495"/>
      <c r="K51" s="324"/>
      <c r="L51" s="3495"/>
      <c r="M51" s="3255"/>
      <c r="N51" s="3523"/>
      <c r="O51" s="3498"/>
      <c r="P51" s="3252"/>
      <c r="Q51" s="3522"/>
      <c r="R51" s="3252"/>
      <c r="S51" s="325">
        <v>100000000</v>
      </c>
      <c r="T51" s="326">
        <v>88</v>
      </c>
      <c r="U51" s="327" t="s">
        <v>172</v>
      </c>
      <c r="V51" s="3519"/>
      <c r="W51" s="3519"/>
      <c r="X51" s="3519"/>
      <c r="Y51" s="3519"/>
      <c r="Z51" s="3519"/>
      <c r="AA51" s="3519"/>
      <c r="AB51" s="3519"/>
      <c r="AC51" s="3519"/>
      <c r="AD51" s="3519"/>
      <c r="AE51" s="3519"/>
      <c r="AF51" s="328"/>
      <c r="AG51" s="328"/>
      <c r="AH51" s="328"/>
      <c r="AI51" s="328"/>
      <c r="AJ51" s="328"/>
      <c r="AK51" s="3519"/>
      <c r="AL51" s="3487"/>
      <c r="AM51" s="3487"/>
      <c r="AN51" s="3490"/>
    </row>
    <row r="52" spans="1:40" ht="96.75" customHeight="1" x14ac:dyDescent="0.25">
      <c r="A52" s="3535"/>
      <c r="B52" s="3536"/>
      <c r="C52" s="3491"/>
      <c r="D52" s="3491"/>
      <c r="E52" s="3492"/>
      <c r="F52" s="3492"/>
      <c r="G52" s="3492">
        <v>30</v>
      </c>
      <c r="H52" s="3253" t="s">
        <v>252</v>
      </c>
      <c r="I52" s="3253" t="s">
        <v>253</v>
      </c>
      <c r="J52" s="3493">
        <v>1</v>
      </c>
      <c r="K52" s="3493" t="s">
        <v>254</v>
      </c>
      <c r="L52" s="3493" t="s">
        <v>255</v>
      </c>
      <c r="M52" s="3253" t="s">
        <v>256</v>
      </c>
      <c r="N52" s="3511">
        <f>S52/O52</f>
        <v>1.1276544026131271E-6</v>
      </c>
      <c r="O52" s="279">
        <v>22169913</v>
      </c>
      <c r="P52" s="3253" t="s">
        <v>257</v>
      </c>
      <c r="Q52" s="224" t="s">
        <v>258</v>
      </c>
      <c r="R52" s="3352" t="s">
        <v>259</v>
      </c>
      <c r="S52" s="3513">
        <v>25</v>
      </c>
      <c r="T52" s="3515">
        <v>20</v>
      </c>
      <c r="U52" s="3250" t="s">
        <v>62</v>
      </c>
      <c r="V52" s="3509">
        <v>8</v>
      </c>
      <c r="W52" s="3509">
        <v>12</v>
      </c>
      <c r="X52" s="3509"/>
      <c r="Y52" s="3509"/>
      <c r="Z52" s="3509"/>
      <c r="AA52" s="3509"/>
      <c r="AB52" s="3509"/>
      <c r="AC52" s="3509"/>
      <c r="AD52" s="3509"/>
      <c r="AE52" s="3509"/>
      <c r="AF52" s="3509"/>
      <c r="AG52" s="3509"/>
      <c r="AH52" s="3509"/>
      <c r="AI52" s="3509"/>
      <c r="AJ52" s="3509"/>
      <c r="AK52" s="3509">
        <f>+V52+W52</f>
        <v>20</v>
      </c>
      <c r="AL52" s="3485">
        <v>43101</v>
      </c>
      <c r="AM52" s="3485">
        <v>43465</v>
      </c>
      <c r="AN52" s="3488" t="s">
        <v>204</v>
      </c>
    </row>
    <row r="53" spans="1:40" ht="80.25" customHeight="1" x14ac:dyDescent="0.25">
      <c r="A53" s="3535"/>
      <c r="B53" s="3536"/>
      <c r="C53" s="3491"/>
      <c r="D53" s="3491"/>
      <c r="E53" s="3492"/>
      <c r="F53" s="3492"/>
      <c r="G53" s="3482"/>
      <c r="H53" s="3254"/>
      <c r="I53" s="3254"/>
      <c r="J53" s="3494"/>
      <c r="K53" s="3494"/>
      <c r="L53" s="3494"/>
      <c r="M53" s="3254"/>
      <c r="N53" s="3512"/>
      <c r="O53" s="329"/>
      <c r="P53" s="3254"/>
      <c r="Q53" s="224" t="s">
        <v>260</v>
      </c>
      <c r="R53" s="3353"/>
      <c r="S53" s="3514"/>
      <c r="T53" s="3516"/>
      <c r="U53" s="3252"/>
      <c r="V53" s="3510"/>
      <c r="W53" s="3510"/>
      <c r="X53" s="3510"/>
      <c r="Y53" s="3510"/>
      <c r="Z53" s="3510"/>
      <c r="AA53" s="3510"/>
      <c r="AB53" s="3510"/>
      <c r="AC53" s="3510"/>
      <c r="AD53" s="3510"/>
      <c r="AE53" s="3510"/>
      <c r="AF53" s="3510"/>
      <c r="AG53" s="3510"/>
      <c r="AH53" s="3510"/>
      <c r="AI53" s="3510"/>
      <c r="AJ53" s="3510"/>
      <c r="AK53" s="3510"/>
      <c r="AL53" s="3486"/>
      <c r="AM53" s="3486"/>
      <c r="AN53" s="3489"/>
    </row>
    <row r="54" spans="1:40" ht="15.75" thickBot="1" x14ac:dyDescent="0.3">
      <c r="A54" s="3535"/>
      <c r="B54" s="3536"/>
      <c r="C54" s="3491"/>
      <c r="D54" s="3491"/>
      <c r="E54" s="249">
        <v>6</v>
      </c>
      <c r="F54" s="3506" t="s">
        <v>261</v>
      </c>
      <c r="G54" s="3507"/>
      <c r="H54" s="3507"/>
      <c r="I54" s="3507"/>
      <c r="J54" s="3507"/>
      <c r="K54" s="3507"/>
      <c r="L54" s="3507"/>
      <c r="M54" s="3507"/>
      <c r="N54" s="3507"/>
      <c r="O54" s="3507"/>
      <c r="P54" s="3507"/>
      <c r="Q54" s="3507"/>
      <c r="R54" s="3507"/>
      <c r="S54" s="3507"/>
      <c r="T54" s="3507"/>
      <c r="U54" s="3507"/>
      <c r="V54" s="3507"/>
      <c r="W54" s="3507"/>
      <c r="X54" s="3507"/>
      <c r="Y54" s="3507"/>
      <c r="Z54" s="3507"/>
      <c r="AA54" s="3507"/>
      <c r="AB54" s="3507"/>
      <c r="AC54" s="3507"/>
      <c r="AD54" s="3507"/>
      <c r="AE54" s="3507"/>
      <c r="AF54" s="3507"/>
      <c r="AG54" s="3507"/>
      <c r="AH54" s="3507"/>
      <c r="AI54" s="3507"/>
      <c r="AJ54" s="3507"/>
      <c r="AK54" s="3507"/>
      <c r="AL54" s="3507"/>
      <c r="AM54" s="3507"/>
      <c r="AN54" s="3508"/>
    </row>
    <row r="55" spans="1:40" ht="128.25" x14ac:dyDescent="0.25">
      <c r="A55" s="3535"/>
      <c r="B55" s="3536"/>
      <c r="C55" s="3491"/>
      <c r="D55" s="3491"/>
      <c r="E55" s="3492"/>
      <c r="F55" s="3492"/>
      <c r="G55" s="246">
        <v>31</v>
      </c>
      <c r="H55" s="219" t="s">
        <v>262</v>
      </c>
      <c r="I55" s="330" t="s">
        <v>263</v>
      </c>
      <c r="J55" s="331">
        <v>4</v>
      </c>
      <c r="K55" s="3493" t="s">
        <v>264</v>
      </c>
      <c r="L55" s="3493" t="s">
        <v>265</v>
      </c>
      <c r="M55" s="3253" t="s">
        <v>266</v>
      </c>
      <c r="N55" s="270">
        <f>S55/O55</f>
        <v>0.34666567637771994</v>
      </c>
      <c r="O55" s="3496">
        <v>475120588</v>
      </c>
      <c r="P55" s="3272" t="s">
        <v>267</v>
      </c>
      <c r="Q55" s="219" t="s">
        <v>268</v>
      </c>
      <c r="R55" s="219" t="s">
        <v>269</v>
      </c>
      <c r="S55" s="247">
        <v>164708000</v>
      </c>
      <c r="T55" s="248">
        <v>20</v>
      </c>
      <c r="U55" s="218" t="s">
        <v>62</v>
      </c>
      <c r="V55" s="3482">
        <v>170</v>
      </c>
      <c r="W55" s="3482">
        <v>200</v>
      </c>
      <c r="X55" s="3482"/>
      <c r="Y55" s="3482"/>
      <c r="Z55" s="3482">
        <v>300</v>
      </c>
      <c r="AA55" s="3482">
        <v>10</v>
      </c>
      <c r="AB55" s="3482"/>
      <c r="AC55" s="3482"/>
      <c r="AD55" s="3482"/>
      <c r="AE55" s="3482"/>
      <c r="AF55" s="3482"/>
      <c r="AG55" s="3482"/>
      <c r="AH55" s="3482"/>
      <c r="AI55" s="3482"/>
      <c r="AJ55" s="3482"/>
      <c r="AK55" s="3482">
        <f>V55+W55</f>
        <v>370</v>
      </c>
      <c r="AL55" s="3485">
        <v>43466</v>
      </c>
      <c r="AM55" s="3485">
        <v>43830</v>
      </c>
      <c r="AN55" s="3488" t="s">
        <v>249</v>
      </c>
    </row>
    <row r="56" spans="1:40" ht="171" x14ac:dyDescent="0.25">
      <c r="A56" s="3535"/>
      <c r="B56" s="3536"/>
      <c r="C56" s="3491"/>
      <c r="D56" s="3491"/>
      <c r="E56" s="3492"/>
      <c r="F56" s="3492"/>
      <c r="G56" s="246">
        <v>32</v>
      </c>
      <c r="H56" s="219" t="s">
        <v>270</v>
      </c>
      <c r="I56" s="330" t="s">
        <v>271</v>
      </c>
      <c r="J56" s="273">
        <v>25</v>
      </c>
      <c r="K56" s="3494"/>
      <c r="L56" s="3494"/>
      <c r="M56" s="3254"/>
      <c r="N56" s="270">
        <f>S56/O55</f>
        <v>0.52705059373263785</v>
      </c>
      <c r="O56" s="3497"/>
      <c r="P56" s="3499"/>
      <c r="Q56" s="219" t="s">
        <v>272</v>
      </c>
      <c r="R56" s="219" t="s">
        <v>273</v>
      </c>
      <c r="S56" s="247">
        <v>250412588</v>
      </c>
      <c r="T56" s="248">
        <v>20</v>
      </c>
      <c r="U56" s="218" t="s">
        <v>62</v>
      </c>
      <c r="V56" s="3483"/>
      <c r="W56" s="3483"/>
      <c r="X56" s="3483"/>
      <c r="Y56" s="3483"/>
      <c r="Z56" s="3483"/>
      <c r="AA56" s="3483"/>
      <c r="AB56" s="3483"/>
      <c r="AC56" s="3483"/>
      <c r="AD56" s="3483"/>
      <c r="AE56" s="3483"/>
      <c r="AF56" s="3483"/>
      <c r="AG56" s="3483"/>
      <c r="AH56" s="3483"/>
      <c r="AI56" s="3483"/>
      <c r="AJ56" s="3483"/>
      <c r="AK56" s="3483"/>
      <c r="AL56" s="3486"/>
      <c r="AM56" s="3486"/>
      <c r="AN56" s="3489"/>
    </row>
    <row r="57" spans="1:40" ht="52.5" customHeight="1" x14ac:dyDescent="0.25">
      <c r="A57" s="3535"/>
      <c r="B57" s="3536"/>
      <c r="C57" s="3491"/>
      <c r="D57" s="3491"/>
      <c r="E57" s="3492"/>
      <c r="F57" s="3492"/>
      <c r="G57" s="246">
        <v>33</v>
      </c>
      <c r="H57" s="219" t="s">
        <v>274</v>
      </c>
      <c r="I57" s="330" t="s">
        <v>275</v>
      </c>
      <c r="J57" s="273">
        <v>200</v>
      </c>
      <c r="K57" s="3494"/>
      <c r="L57" s="3494"/>
      <c r="M57" s="3254"/>
      <c r="N57" s="270">
        <f>S57/O55</f>
        <v>6.314186494482113E-2</v>
      </c>
      <c r="O57" s="3497"/>
      <c r="P57" s="3499"/>
      <c r="Q57" s="3253" t="s">
        <v>276</v>
      </c>
      <c r="R57" s="219" t="s">
        <v>277</v>
      </c>
      <c r="S57" s="247">
        <v>30000000</v>
      </c>
      <c r="T57" s="248">
        <v>20</v>
      </c>
      <c r="U57" s="218" t="s">
        <v>62</v>
      </c>
      <c r="V57" s="3483"/>
      <c r="W57" s="3483"/>
      <c r="X57" s="3483"/>
      <c r="Y57" s="3483"/>
      <c r="Z57" s="3483"/>
      <c r="AA57" s="3483"/>
      <c r="AB57" s="3483"/>
      <c r="AC57" s="3483"/>
      <c r="AD57" s="3483"/>
      <c r="AE57" s="3483"/>
      <c r="AF57" s="3483"/>
      <c r="AG57" s="3483"/>
      <c r="AH57" s="3483"/>
      <c r="AI57" s="3483"/>
      <c r="AJ57" s="3483"/>
      <c r="AK57" s="3483"/>
      <c r="AL57" s="3486"/>
      <c r="AM57" s="3486"/>
      <c r="AN57" s="3489"/>
    </row>
    <row r="58" spans="1:40" ht="113.25" customHeight="1" thickBot="1" x14ac:dyDescent="0.3">
      <c r="A58" s="3535"/>
      <c r="B58" s="3536"/>
      <c r="C58" s="3491"/>
      <c r="D58" s="3491"/>
      <c r="E58" s="3492"/>
      <c r="F58" s="3492"/>
      <c r="G58" s="276">
        <v>34</v>
      </c>
      <c r="H58" s="224" t="s">
        <v>278</v>
      </c>
      <c r="I58" s="332" t="s">
        <v>279</v>
      </c>
      <c r="J58" s="333">
        <v>600</v>
      </c>
      <c r="K58" s="3494"/>
      <c r="L58" s="3494"/>
      <c r="M58" s="3255"/>
      <c r="N58" s="278">
        <f>S58/O55</f>
        <v>6.314186494482113E-2</v>
      </c>
      <c r="O58" s="3497"/>
      <c r="P58" s="3273"/>
      <c r="Q58" s="3255"/>
      <c r="R58" s="224" t="s">
        <v>280</v>
      </c>
      <c r="S58" s="334">
        <v>30000000</v>
      </c>
      <c r="T58" s="280">
        <v>20</v>
      </c>
      <c r="U58" s="218" t="s">
        <v>62</v>
      </c>
      <c r="V58" s="3483"/>
      <c r="W58" s="3483"/>
      <c r="X58" s="3483"/>
      <c r="Y58" s="3483"/>
      <c r="Z58" s="3483"/>
      <c r="AA58" s="3483"/>
      <c r="AB58" s="3483"/>
      <c r="AC58" s="3483"/>
      <c r="AD58" s="3483"/>
      <c r="AE58" s="3483"/>
      <c r="AF58" s="3483"/>
      <c r="AG58" s="3483"/>
      <c r="AH58" s="3483"/>
      <c r="AI58" s="3483"/>
      <c r="AJ58" s="3483"/>
      <c r="AK58" s="3483"/>
      <c r="AL58" s="3486"/>
      <c r="AM58" s="3486"/>
      <c r="AN58" s="3490"/>
    </row>
    <row r="59" spans="1:40" ht="15" x14ac:dyDescent="0.25">
      <c r="A59" s="3535"/>
      <c r="B59" s="3536"/>
      <c r="C59" s="3491"/>
      <c r="D59" s="3491"/>
      <c r="E59" s="249">
        <v>7</v>
      </c>
      <c r="F59" s="250" t="s">
        <v>281</v>
      </c>
      <c r="G59" s="249"/>
      <c r="H59" s="335"/>
      <c r="I59" s="202"/>
      <c r="J59" s="314"/>
      <c r="K59" s="314"/>
      <c r="L59" s="313"/>
      <c r="M59" s="336"/>
      <c r="N59" s="309"/>
      <c r="O59" s="310"/>
      <c r="P59" s="308"/>
      <c r="Q59" s="308"/>
      <c r="R59" s="308"/>
      <c r="S59" s="311"/>
      <c r="T59" s="312"/>
      <c r="U59" s="313"/>
      <c r="V59" s="314"/>
      <c r="W59" s="314"/>
      <c r="X59" s="314"/>
      <c r="Y59" s="314"/>
      <c r="Z59" s="314"/>
      <c r="AA59" s="314"/>
      <c r="AB59" s="314"/>
      <c r="AC59" s="314"/>
      <c r="AD59" s="314"/>
      <c r="AE59" s="314"/>
      <c r="AF59" s="314"/>
      <c r="AG59" s="314"/>
      <c r="AH59" s="314"/>
      <c r="AI59" s="314"/>
      <c r="AJ59" s="314"/>
      <c r="AK59" s="314"/>
      <c r="AL59" s="315"/>
      <c r="AM59" s="316"/>
      <c r="AN59" s="317"/>
    </row>
    <row r="60" spans="1:40" ht="56.25" customHeight="1" x14ac:dyDescent="0.25">
      <c r="A60" s="3535"/>
      <c r="B60" s="3536"/>
      <c r="C60" s="3491"/>
      <c r="D60" s="3491"/>
      <c r="E60" s="3502"/>
      <c r="F60" s="3503"/>
      <c r="G60" s="246">
        <v>35</v>
      </c>
      <c r="H60" s="219" t="s">
        <v>282</v>
      </c>
      <c r="I60" s="219" t="s">
        <v>230</v>
      </c>
      <c r="J60" s="337">
        <v>5</v>
      </c>
      <c r="K60" s="3493" t="s">
        <v>283</v>
      </c>
      <c r="L60" s="3493" t="s">
        <v>284</v>
      </c>
      <c r="M60" s="3253" t="s">
        <v>285</v>
      </c>
      <c r="N60" s="270">
        <f>S60/O60</f>
        <v>0.35199821675250459</v>
      </c>
      <c r="O60" s="3496">
        <v>197966912</v>
      </c>
      <c r="P60" s="3272" t="s">
        <v>286</v>
      </c>
      <c r="Q60" s="338" t="s">
        <v>287</v>
      </c>
      <c r="R60" s="338" t="s">
        <v>288</v>
      </c>
      <c r="S60" s="272">
        <v>69684000</v>
      </c>
      <c r="T60" s="248">
        <v>20</v>
      </c>
      <c r="U60" s="218" t="s">
        <v>62</v>
      </c>
      <c r="V60" s="3500">
        <v>100</v>
      </c>
      <c r="W60" s="3500">
        <v>60</v>
      </c>
      <c r="X60" s="3500"/>
      <c r="Y60" s="3500"/>
      <c r="Z60" s="3500">
        <v>110</v>
      </c>
      <c r="AA60" s="3500">
        <v>50</v>
      </c>
      <c r="AB60" s="3500"/>
      <c r="AC60" s="3500"/>
      <c r="AD60" s="3500"/>
      <c r="AE60" s="3500"/>
      <c r="AF60" s="3500"/>
      <c r="AG60" s="3500"/>
      <c r="AH60" s="3500"/>
      <c r="AI60" s="3500"/>
      <c r="AJ60" s="3500"/>
      <c r="AK60" s="3500">
        <f>V60+W60</f>
        <v>160</v>
      </c>
      <c r="AL60" s="3485">
        <v>43466</v>
      </c>
      <c r="AM60" s="3485">
        <v>43830</v>
      </c>
      <c r="AN60" s="3488" t="s">
        <v>249</v>
      </c>
    </row>
    <row r="61" spans="1:40" ht="57" x14ac:dyDescent="0.25">
      <c r="A61" s="3537"/>
      <c r="B61" s="3538"/>
      <c r="C61" s="3491"/>
      <c r="D61" s="3491"/>
      <c r="E61" s="3504"/>
      <c r="F61" s="3505"/>
      <c r="G61" s="246">
        <v>37</v>
      </c>
      <c r="H61" s="219" t="s">
        <v>289</v>
      </c>
      <c r="I61" s="219" t="s">
        <v>290</v>
      </c>
      <c r="J61" s="339">
        <v>1</v>
      </c>
      <c r="K61" s="3495"/>
      <c r="L61" s="3495"/>
      <c r="M61" s="3255"/>
      <c r="N61" s="270">
        <f>S61/O60</f>
        <v>0.64800178324749547</v>
      </c>
      <c r="O61" s="3498"/>
      <c r="P61" s="3273"/>
      <c r="Q61" s="219" t="s">
        <v>291</v>
      </c>
      <c r="R61" s="338" t="s">
        <v>292</v>
      </c>
      <c r="S61" s="272">
        <v>128282912</v>
      </c>
      <c r="T61" s="248">
        <v>20</v>
      </c>
      <c r="U61" s="218" t="s">
        <v>62</v>
      </c>
      <c r="V61" s="3501"/>
      <c r="W61" s="3501"/>
      <c r="X61" s="3501"/>
      <c r="Y61" s="3501"/>
      <c r="Z61" s="3501"/>
      <c r="AA61" s="3501"/>
      <c r="AB61" s="3501"/>
      <c r="AC61" s="3501"/>
      <c r="AD61" s="3501"/>
      <c r="AE61" s="3501"/>
      <c r="AF61" s="3501"/>
      <c r="AG61" s="3501"/>
      <c r="AH61" s="3501"/>
      <c r="AI61" s="3501"/>
      <c r="AJ61" s="3501"/>
      <c r="AK61" s="3501"/>
      <c r="AL61" s="3487"/>
      <c r="AM61" s="3487"/>
      <c r="AN61" s="3490"/>
    </row>
    <row r="62" spans="1:40" ht="15" x14ac:dyDescent="0.25">
      <c r="A62" s="340">
        <v>3</v>
      </c>
      <c r="B62" s="282" t="s">
        <v>293</v>
      </c>
      <c r="C62" s="341"/>
      <c r="D62" s="341"/>
      <c r="E62" s="342"/>
      <c r="F62" s="343"/>
      <c r="G62" s="344"/>
      <c r="H62" s="345"/>
      <c r="I62" s="343"/>
      <c r="J62" s="343"/>
      <c r="K62" s="343"/>
      <c r="L62" s="344"/>
      <c r="M62" s="345"/>
      <c r="N62" s="346"/>
      <c r="O62" s="347"/>
      <c r="P62" s="345"/>
      <c r="Q62" s="345"/>
      <c r="R62" s="345"/>
      <c r="S62" s="348"/>
      <c r="T62" s="349"/>
      <c r="U62" s="344"/>
      <c r="V62" s="343"/>
      <c r="W62" s="343"/>
      <c r="X62" s="343"/>
      <c r="Y62" s="343"/>
      <c r="Z62" s="343"/>
      <c r="AA62" s="343"/>
      <c r="AB62" s="343"/>
      <c r="AC62" s="343"/>
      <c r="AD62" s="343"/>
      <c r="AE62" s="343"/>
      <c r="AF62" s="343"/>
      <c r="AG62" s="343"/>
      <c r="AH62" s="343"/>
      <c r="AI62" s="343"/>
      <c r="AJ62" s="343"/>
      <c r="AK62" s="343"/>
      <c r="AL62" s="350"/>
      <c r="AM62" s="351"/>
      <c r="AN62" s="352"/>
    </row>
    <row r="63" spans="1:40" ht="21" customHeight="1" x14ac:dyDescent="0.25">
      <c r="A63" s="3491"/>
      <c r="B63" s="3491"/>
      <c r="C63" s="353">
        <v>11</v>
      </c>
      <c r="D63" s="354" t="s">
        <v>294</v>
      </c>
      <c r="E63" s="355"/>
      <c r="F63" s="354"/>
      <c r="G63" s="356"/>
      <c r="H63" s="357"/>
      <c r="I63" s="358"/>
      <c r="J63" s="358"/>
      <c r="K63" s="358"/>
      <c r="L63" s="356"/>
      <c r="M63" s="357"/>
      <c r="N63" s="359"/>
      <c r="O63" s="360"/>
      <c r="P63" s="357"/>
      <c r="Q63" s="357"/>
      <c r="R63" s="357"/>
      <c r="S63" s="361"/>
      <c r="T63" s="362"/>
      <c r="U63" s="356"/>
      <c r="V63" s="358"/>
      <c r="W63" s="358"/>
      <c r="X63" s="358"/>
      <c r="Y63" s="358"/>
      <c r="Z63" s="358"/>
      <c r="AA63" s="358"/>
      <c r="AB63" s="358"/>
      <c r="AC63" s="358"/>
      <c r="AD63" s="358"/>
      <c r="AE63" s="358"/>
      <c r="AF63" s="358"/>
      <c r="AG63" s="358"/>
      <c r="AH63" s="358"/>
      <c r="AI63" s="358"/>
      <c r="AJ63" s="358"/>
      <c r="AK63" s="358"/>
      <c r="AL63" s="363"/>
      <c r="AM63" s="364"/>
      <c r="AN63" s="365"/>
    </row>
    <row r="64" spans="1:40" ht="22.5" customHeight="1" x14ac:dyDescent="0.25">
      <c r="A64" s="3491"/>
      <c r="B64" s="3491"/>
      <c r="C64" s="3492"/>
      <c r="D64" s="3492"/>
      <c r="E64" s="366">
        <v>34</v>
      </c>
      <c r="F64" s="202" t="s">
        <v>295</v>
      </c>
      <c r="G64" s="313"/>
      <c r="H64" s="308"/>
      <c r="I64" s="314"/>
      <c r="J64" s="314"/>
      <c r="K64" s="314"/>
      <c r="L64" s="313"/>
      <c r="M64" s="308"/>
      <c r="N64" s="309"/>
      <c r="O64" s="310"/>
      <c r="P64" s="308"/>
      <c r="Q64" s="308"/>
      <c r="R64" s="308"/>
      <c r="S64" s="311"/>
      <c r="T64" s="312"/>
      <c r="U64" s="313"/>
      <c r="V64" s="314"/>
      <c r="W64" s="314"/>
      <c r="X64" s="314"/>
      <c r="Y64" s="314"/>
      <c r="Z64" s="314"/>
      <c r="AA64" s="314"/>
      <c r="AB64" s="314"/>
      <c r="AC64" s="314"/>
      <c r="AD64" s="314"/>
      <c r="AE64" s="314"/>
      <c r="AF64" s="314"/>
      <c r="AG64" s="314"/>
      <c r="AH64" s="314"/>
      <c r="AI64" s="314"/>
      <c r="AJ64" s="314"/>
      <c r="AK64" s="314"/>
      <c r="AL64" s="315"/>
      <c r="AM64" s="316"/>
      <c r="AN64" s="317"/>
    </row>
    <row r="65" spans="1:40" ht="67.5" customHeight="1" x14ac:dyDescent="0.25">
      <c r="A65" s="3491"/>
      <c r="B65" s="3491"/>
      <c r="C65" s="3492"/>
      <c r="D65" s="3492"/>
      <c r="E65" s="3492"/>
      <c r="F65" s="3492"/>
      <c r="G65" s="246">
        <v>122</v>
      </c>
      <c r="H65" s="219" t="s">
        <v>296</v>
      </c>
      <c r="I65" s="332" t="s">
        <v>297</v>
      </c>
      <c r="J65" s="339">
        <v>1</v>
      </c>
      <c r="K65" s="3493" t="s">
        <v>298</v>
      </c>
      <c r="L65" s="3493" t="s">
        <v>299</v>
      </c>
      <c r="M65" s="3253" t="s">
        <v>300</v>
      </c>
      <c r="N65" s="270">
        <f>S65/O65</f>
        <v>0.24602162822149062</v>
      </c>
      <c r="O65" s="3496">
        <v>168373530</v>
      </c>
      <c r="P65" s="3272" t="s">
        <v>301</v>
      </c>
      <c r="Q65" s="367" t="s">
        <v>302</v>
      </c>
      <c r="R65" s="219" t="s">
        <v>303</v>
      </c>
      <c r="S65" s="247">
        <v>41423530</v>
      </c>
      <c r="T65" s="248">
        <v>20</v>
      </c>
      <c r="U65" s="218" t="s">
        <v>62</v>
      </c>
      <c r="V65" s="3482">
        <v>4608</v>
      </c>
      <c r="W65" s="3482">
        <v>4992</v>
      </c>
      <c r="X65" s="3482">
        <v>2714</v>
      </c>
      <c r="Y65" s="3482">
        <v>765</v>
      </c>
      <c r="Z65" s="3482">
        <v>5500</v>
      </c>
      <c r="AA65" s="3482">
        <v>594</v>
      </c>
      <c r="AB65" s="3482">
        <v>40</v>
      </c>
      <c r="AC65" s="3482">
        <v>50</v>
      </c>
      <c r="AD65" s="3482"/>
      <c r="AE65" s="3482"/>
      <c r="AF65" s="3482"/>
      <c r="AG65" s="3482"/>
      <c r="AH65" s="3482">
        <v>100</v>
      </c>
      <c r="AI65" s="3482">
        <v>10</v>
      </c>
      <c r="AJ65" s="3482"/>
      <c r="AK65" s="3482">
        <f>V65+W65</f>
        <v>9600</v>
      </c>
      <c r="AL65" s="3485">
        <v>43466</v>
      </c>
      <c r="AM65" s="3485">
        <v>43830</v>
      </c>
      <c r="AN65" s="3488" t="s">
        <v>204</v>
      </c>
    </row>
    <row r="66" spans="1:40" ht="75" x14ac:dyDescent="0.25">
      <c r="A66" s="3491"/>
      <c r="B66" s="3491"/>
      <c r="C66" s="3492"/>
      <c r="D66" s="3492"/>
      <c r="E66" s="3492"/>
      <c r="F66" s="3492"/>
      <c r="G66" s="246">
        <v>123</v>
      </c>
      <c r="H66" s="219" t="s">
        <v>304</v>
      </c>
      <c r="I66" s="330" t="s">
        <v>305</v>
      </c>
      <c r="J66" s="368">
        <v>4</v>
      </c>
      <c r="K66" s="3494"/>
      <c r="L66" s="3494"/>
      <c r="M66" s="3254"/>
      <c r="N66" s="270">
        <f>S66/O65</f>
        <v>0.11284434079394784</v>
      </c>
      <c r="O66" s="3497"/>
      <c r="P66" s="3499"/>
      <c r="Q66" s="369" t="s">
        <v>306</v>
      </c>
      <c r="R66" s="219" t="s">
        <v>307</v>
      </c>
      <c r="S66" s="247">
        <v>19000000</v>
      </c>
      <c r="T66" s="248">
        <v>20</v>
      </c>
      <c r="U66" s="218" t="s">
        <v>62</v>
      </c>
      <c r="V66" s="3483"/>
      <c r="W66" s="3483"/>
      <c r="X66" s="3483"/>
      <c r="Y66" s="3483"/>
      <c r="Z66" s="3483"/>
      <c r="AA66" s="3483"/>
      <c r="AB66" s="3483"/>
      <c r="AC66" s="3483"/>
      <c r="AD66" s="3483"/>
      <c r="AE66" s="3483"/>
      <c r="AF66" s="3483"/>
      <c r="AG66" s="3483"/>
      <c r="AH66" s="3483"/>
      <c r="AI66" s="3483"/>
      <c r="AJ66" s="3483"/>
      <c r="AK66" s="3483"/>
      <c r="AL66" s="3486"/>
      <c r="AM66" s="3486"/>
      <c r="AN66" s="3489"/>
    </row>
    <row r="67" spans="1:40" ht="75" x14ac:dyDescent="0.25">
      <c r="A67" s="3491"/>
      <c r="B67" s="3491"/>
      <c r="C67" s="3492"/>
      <c r="D67" s="3492"/>
      <c r="E67" s="3492"/>
      <c r="F67" s="3492"/>
      <c r="G67" s="246">
        <v>124</v>
      </c>
      <c r="H67" s="219" t="s">
        <v>308</v>
      </c>
      <c r="I67" s="332" t="s">
        <v>309</v>
      </c>
      <c r="J67" s="368">
        <v>150</v>
      </c>
      <c r="K67" s="3494"/>
      <c r="L67" s="3494"/>
      <c r="M67" s="3254"/>
      <c r="N67" s="270">
        <f>S67/O65</f>
        <v>0.26340244811639929</v>
      </c>
      <c r="O67" s="3497"/>
      <c r="P67" s="3499"/>
      <c r="Q67" s="332" t="s">
        <v>306</v>
      </c>
      <c r="R67" s="219" t="s">
        <v>310</v>
      </c>
      <c r="S67" s="247">
        <v>44350000</v>
      </c>
      <c r="T67" s="248">
        <v>20</v>
      </c>
      <c r="U67" s="218" t="s">
        <v>62</v>
      </c>
      <c r="V67" s="3483"/>
      <c r="W67" s="3483"/>
      <c r="X67" s="3483"/>
      <c r="Y67" s="3483"/>
      <c r="Z67" s="3483"/>
      <c r="AA67" s="3483"/>
      <c r="AB67" s="3483"/>
      <c r="AC67" s="3483"/>
      <c r="AD67" s="3483"/>
      <c r="AE67" s="3483"/>
      <c r="AF67" s="3483"/>
      <c r="AG67" s="3483"/>
      <c r="AH67" s="3483"/>
      <c r="AI67" s="3483"/>
      <c r="AJ67" s="3483"/>
      <c r="AK67" s="3483"/>
      <c r="AL67" s="3486"/>
      <c r="AM67" s="3486"/>
      <c r="AN67" s="3489"/>
    </row>
    <row r="68" spans="1:40" ht="60" x14ac:dyDescent="0.25">
      <c r="A68" s="3491"/>
      <c r="B68" s="3491"/>
      <c r="C68" s="3492"/>
      <c r="D68" s="3492"/>
      <c r="E68" s="3492"/>
      <c r="F68" s="3492"/>
      <c r="G68" s="246">
        <v>125</v>
      </c>
      <c r="H68" s="219" t="s">
        <v>311</v>
      </c>
      <c r="I68" s="330" t="s">
        <v>312</v>
      </c>
      <c r="J68" s="370">
        <v>760</v>
      </c>
      <c r="K68" s="3494"/>
      <c r="L68" s="3494"/>
      <c r="M68" s="3254"/>
      <c r="N68" s="270">
        <f>S68/O65</f>
        <v>0.2619176541585842</v>
      </c>
      <c r="O68" s="3497"/>
      <c r="P68" s="3499"/>
      <c r="Q68" s="330" t="s">
        <v>313</v>
      </c>
      <c r="R68" s="219" t="s">
        <v>314</v>
      </c>
      <c r="S68" s="247">
        <v>44100000</v>
      </c>
      <c r="T68" s="248">
        <v>20</v>
      </c>
      <c r="U68" s="218" t="s">
        <v>62</v>
      </c>
      <c r="V68" s="3483"/>
      <c r="W68" s="3483"/>
      <c r="X68" s="3483"/>
      <c r="Y68" s="3483"/>
      <c r="Z68" s="3483"/>
      <c r="AA68" s="3483"/>
      <c r="AB68" s="3483"/>
      <c r="AC68" s="3483"/>
      <c r="AD68" s="3483"/>
      <c r="AE68" s="3483"/>
      <c r="AF68" s="3483"/>
      <c r="AG68" s="3483"/>
      <c r="AH68" s="3483"/>
      <c r="AI68" s="3483"/>
      <c r="AJ68" s="3483"/>
      <c r="AK68" s="3483"/>
      <c r="AL68" s="3486"/>
      <c r="AM68" s="3486"/>
      <c r="AN68" s="3489"/>
    </row>
    <row r="69" spans="1:40" ht="60" x14ac:dyDescent="0.25">
      <c r="A69" s="3491"/>
      <c r="B69" s="3491"/>
      <c r="C69" s="3492"/>
      <c r="D69" s="3492"/>
      <c r="E69" s="3492"/>
      <c r="F69" s="3492"/>
      <c r="G69" s="246">
        <v>126</v>
      </c>
      <c r="H69" s="219" t="s">
        <v>315</v>
      </c>
      <c r="I69" s="330" t="s">
        <v>316</v>
      </c>
      <c r="J69" s="368">
        <v>3326</v>
      </c>
      <c r="K69" s="3495"/>
      <c r="L69" s="3495"/>
      <c r="M69" s="3255"/>
      <c r="N69" s="270">
        <f>S69/O65</f>
        <v>0.11581392870957805</v>
      </c>
      <c r="O69" s="3498"/>
      <c r="P69" s="3273"/>
      <c r="Q69" s="330" t="s">
        <v>317</v>
      </c>
      <c r="R69" s="219" t="s">
        <v>318</v>
      </c>
      <c r="S69" s="247">
        <v>19500000</v>
      </c>
      <c r="T69" s="248">
        <v>20</v>
      </c>
      <c r="U69" s="218" t="s">
        <v>62</v>
      </c>
      <c r="V69" s="3484"/>
      <c r="W69" s="3484"/>
      <c r="X69" s="3484"/>
      <c r="Y69" s="3484"/>
      <c r="Z69" s="3484"/>
      <c r="AA69" s="3484"/>
      <c r="AB69" s="3484"/>
      <c r="AC69" s="3484"/>
      <c r="AD69" s="3484"/>
      <c r="AE69" s="3484"/>
      <c r="AF69" s="3484"/>
      <c r="AG69" s="3484"/>
      <c r="AH69" s="3484"/>
      <c r="AI69" s="3484"/>
      <c r="AJ69" s="3484"/>
      <c r="AK69" s="3484"/>
      <c r="AL69" s="3487"/>
      <c r="AM69" s="3487"/>
      <c r="AN69" s="3490"/>
    </row>
    <row r="70" spans="1:40" ht="32.25" customHeight="1" x14ac:dyDescent="0.25">
      <c r="A70" s="371" t="s">
        <v>319</v>
      </c>
      <c r="B70" s="167"/>
      <c r="C70" s="167"/>
      <c r="D70" s="167"/>
      <c r="E70" s="167"/>
      <c r="F70" s="167"/>
      <c r="G70" s="372"/>
      <c r="H70" s="373"/>
      <c r="I70" s="374"/>
      <c r="J70" s="375"/>
      <c r="K70" s="375"/>
      <c r="L70" s="376"/>
      <c r="M70" s="373"/>
      <c r="N70" s="377"/>
      <c r="O70" s="378">
        <f>SUM(O8:O69)</f>
        <v>4714794686</v>
      </c>
      <c r="P70" s="373"/>
      <c r="Q70" s="379"/>
      <c r="R70" s="373"/>
      <c r="S70" s="378">
        <f>SUM(S8:S69)</f>
        <v>4692624798</v>
      </c>
      <c r="T70" s="380"/>
      <c r="U70" s="376"/>
      <c r="V70" s="167"/>
      <c r="W70" s="167"/>
      <c r="X70" s="167"/>
      <c r="Y70" s="167"/>
      <c r="Z70" s="167"/>
      <c r="AA70" s="167"/>
      <c r="AB70" s="167"/>
      <c r="AC70" s="167"/>
      <c r="AD70" s="167"/>
      <c r="AE70" s="167"/>
      <c r="AF70" s="167"/>
      <c r="AG70" s="167"/>
      <c r="AH70" s="167"/>
      <c r="AI70" s="167"/>
      <c r="AJ70" s="167"/>
      <c r="AK70" s="167"/>
      <c r="AL70" s="381"/>
      <c r="AM70" s="382"/>
      <c r="AN70" s="383"/>
    </row>
    <row r="71" spans="1:40" ht="15" x14ac:dyDescent="0.25">
      <c r="I71" s="386"/>
      <c r="J71" s="169"/>
      <c r="S71" s="169"/>
    </row>
    <row r="72" spans="1:40" ht="15" x14ac:dyDescent="0.25">
      <c r="I72" s="386"/>
    </row>
    <row r="73" spans="1:40" ht="15" x14ac:dyDescent="0.25">
      <c r="I73" s="394"/>
      <c r="W73" s="395"/>
      <c r="X73" s="395"/>
      <c r="Y73" s="396"/>
      <c r="Z73" s="397"/>
      <c r="AA73" s="397"/>
      <c r="AB73" s="397"/>
      <c r="AC73" s="397"/>
      <c r="AD73" s="397"/>
    </row>
    <row r="74" spans="1:40" ht="15" x14ac:dyDescent="0.25">
      <c r="I74" s="394"/>
    </row>
    <row r="79" spans="1:40" ht="15" x14ac:dyDescent="0.25">
      <c r="H79" s="3481" t="s">
        <v>320</v>
      </c>
      <c r="I79" s="3481"/>
      <c r="J79" s="3481"/>
    </row>
    <row r="80" spans="1:40" x14ac:dyDescent="0.25">
      <c r="H80" s="168" t="s">
        <v>321</v>
      </c>
    </row>
  </sheetData>
  <sheetProtection password="A60F" sheet="1" objects="1" scenarios="1"/>
  <mergeCells count="373">
    <mergeCell ref="I7:I8"/>
    <mergeCell ref="J7:J8"/>
    <mergeCell ref="K7:K8"/>
    <mergeCell ref="L7:L8"/>
    <mergeCell ref="A1:AL4"/>
    <mergeCell ref="A5:J6"/>
    <mergeCell ref="K5:AN5"/>
    <mergeCell ref="V6:AJ6"/>
    <mergeCell ref="A7:A8"/>
    <mergeCell ref="B7:B8"/>
    <mergeCell ref="C7:C8"/>
    <mergeCell ref="D7:D8"/>
    <mergeCell ref="E7:E8"/>
    <mergeCell ref="F7:F8"/>
    <mergeCell ref="AL7:AL8"/>
    <mergeCell ref="AM7:AM8"/>
    <mergeCell ref="AN7:AN8"/>
    <mergeCell ref="B9:D9"/>
    <mergeCell ref="A10:B30"/>
    <mergeCell ref="C11:D30"/>
    <mergeCell ref="E12:F17"/>
    <mergeCell ref="G12:G13"/>
    <mergeCell ref="H12:H13"/>
    <mergeCell ref="I12:I13"/>
    <mergeCell ref="S7:S8"/>
    <mergeCell ref="U7:U8"/>
    <mergeCell ref="V7:W7"/>
    <mergeCell ref="X7:AA7"/>
    <mergeCell ref="AB7:AG7"/>
    <mergeCell ref="AH7:AJ7"/>
    <mergeCell ref="M7:M8"/>
    <mergeCell ref="N7:N8"/>
    <mergeCell ref="O7:O8"/>
    <mergeCell ref="P7:P8"/>
    <mergeCell ref="Q7:Q8"/>
    <mergeCell ref="R7:R8"/>
    <mergeCell ref="G7:G8"/>
    <mergeCell ref="H7:H8"/>
    <mergeCell ref="AD12:AD17"/>
    <mergeCell ref="AE12:AE17"/>
    <mergeCell ref="P12:P17"/>
    <mergeCell ref="Q12:Q14"/>
    <mergeCell ref="V12:V17"/>
    <mergeCell ref="W12:W17"/>
    <mergeCell ref="X12:X17"/>
    <mergeCell ref="Y12:Y17"/>
    <mergeCell ref="J12:J13"/>
    <mergeCell ref="K12:K17"/>
    <mergeCell ref="L12:L17"/>
    <mergeCell ref="M12:M17"/>
    <mergeCell ref="N12:N13"/>
    <mergeCell ref="O12:O17"/>
    <mergeCell ref="V19:V20"/>
    <mergeCell ref="W19:W20"/>
    <mergeCell ref="X19:X20"/>
    <mergeCell ref="Y19:Y20"/>
    <mergeCell ref="AL12:AL17"/>
    <mergeCell ref="AM12:AM17"/>
    <mergeCell ref="AN12:AN17"/>
    <mergeCell ref="Q15:Q17"/>
    <mergeCell ref="F18:I18"/>
    <mergeCell ref="E19:F20"/>
    <mergeCell ref="K19:K20"/>
    <mergeCell ref="L19:L20"/>
    <mergeCell ref="M19:M20"/>
    <mergeCell ref="O19:O20"/>
    <mergeCell ref="AF12:AF17"/>
    <mergeCell ref="AG12:AG17"/>
    <mergeCell ref="AH12:AH17"/>
    <mergeCell ref="AI12:AI17"/>
    <mergeCell ref="AJ12:AJ17"/>
    <mergeCell ref="AK12:AK17"/>
    <mergeCell ref="Z12:Z17"/>
    <mergeCell ref="AA12:AA17"/>
    <mergeCell ref="AB12:AB17"/>
    <mergeCell ref="AC12:AC17"/>
    <mergeCell ref="AL19:AL20"/>
    <mergeCell ref="AM19:AM20"/>
    <mergeCell ref="AN19:AN20"/>
    <mergeCell ref="E22:F30"/>
    <mergeCell ref="G22:G23"/>
    <mergeCell ref="H22:H23"/>
    <mergeCell ref="I22:I23"/>
    <mergeCell ref="J22:J23"/>
    <mergeCell ref="K22:K23"/>
    <mergeCell ref="L22:L25"/>
    <mergeCell ref="AF19:AF20"/>
    <mergeCell ref="AG19:AG20"/>
    <mergeCell ref="AH19:AH20"/>
    <mergeCell ref="AI19:AI20"/>
    <mergeCell ref="AJ19:AJ20"/>
    <mergeCell ref="AK19:AK20"/>
    <mergeCell ref="Z19:Z20"/>
    <mergeCell ref="AA19:AA20"/>
    <mergeCell ref="AB19:AB20"/>
    <mergeCell ref="AC19:AC20"/>
    <mergeCell ref="AD19:AD20"/>
    <mergeCell ref="AE19:AE20"/>
    <mergeCell ref="P19:P20"/>
    <mergeCell ref="Q19:Q20"/>
    <mergeCell ref="AL22:AL25"/>
    <mergeCell ref="AM22:AM25"/>
    <mergeCell ref="AN22:AN25"/>
    <mergeCell ref="AC22:AC25"/>
    <mergeCell ref="AD22:AD25"/>
    <mergeCell ref="AE22:AE25"/>
    <mergeCell ref="AF22:AF25"/>
    <mergeCell ref="AG22:AG25"/>
    <mergeCell ref="AH22:AH25"/>
    <mergeCell ref="G24:G25"/>
    <mergeCell ref="H24:H25"/>
    <mergeCell ref="I24:I25"/>
    <mergeCell ref="J24:J25"/>
    <mergeCell ref="N24:N25"/>
    <mergeCell ref="R24:R25"/>
    <mergeCell ref="AI22:AI25"/>
    <mergeCell ref="AJ22:AJ25"/>
    <mergeCell ref="AK22:AK25"/>
    <mergeCell ref="W22:W25"/>
    <mergeCell ref="X22:X25"/>
    <mergeCell ref="Y22:Y25"/>
    <mergeCell ref="Z22:Z25"/>
    <mergeCell ref="AA22:AA25"/>
    <mergeCell ref="AB22:AB25"/>
    <mergeCell ref="M22:M25"/>
    <mergeCell ref="N22:N23"/>
    <mergeCell ref="O22:O25"/>
    <mergeCell ref="P22:P25"/>
    <mergeCell ref="Q22:Q25"/>
    <mergeCell ref="V22:V25"/>
    <mergeCell ref="X26:X30"/>
    <mergeCell ref="Y26:Y30"/>
    <mergeCell ref="Z26:Z30"/>
    <mergeCell ref="AA26:AA30"/>
    <mergeCell ref="K26:K30"/>
    <mergeCell ref="L26:L30"/>
    <mergeCell ref="M26:M30"/>
    <mergeCell ref="O26:O30"/>
    <mergeCell ref="P26:P30"/>
    <mergeCell ref="Q26:Q30"/>
    <mergeCell ref="AN26:AN30"/>
    <mergeCell ref="A32:B61"/>
    <mergeCell ref="C33:D61"/>
    <mergeCell ref="E34:F41"/>
    <mergeCell ref="G34:G35"/>
    <mergeCell ref="H34:H35"/>
    <mergeCell ref="I34:I35"/>
    <mergeCell ref="J34:J35"/>
    <mergeCell ref="K34:K41"/>
    <mergeCell ref="L34:L41"/>
    <mergeCell ref="AH26:AH30"/>
    <mergeCell ref="AI26:AI30"/>
    <mergeCell ref="AJ26:AJ30"/>
    <mergeCell ref="AK26:AK30"/>
    <mergeCell ref="AL26:AL30"/>
    <mergeCell ref="AM26:AM30"/>
    <mergeCell ref="AB26:AB30"/>
    <mergeCell ref="AC26:AC30"/>
    <mergeCell ref="AD26:AD30"/>
    <mergeCell ref="AE26:AE30"/>
    <mergeCell ref="AF26:AF30"/>
    <mergeCell ref="AG26:AG30"/>
    <mergeCell ref="V26:V30"/>
    <mergeCell ref="W26:W30"/>
    <mergeCell ref="AL34:AL41"/>
    <mergeCell ref="AM34:AM41"/>
    <mergeCell ref="AN34:AN41"/>
    <mergeCell ref="AC34:AC41"/>
    <mergeCell ref="AD34:AD41"/>
    <mergeCell ref="AE34:AE41"/>
    <mergeCell ref="AF34:AF41"/>
    <mergeCell ref="AG34:AG41"/>
    <mergeCell ref="AH34:AH41"/>
    <mergeCell ref="N36:N37"/>
    <mergeCell ref="G38:G40"/>
    <mergeCell ref="H38:H40"/>
    <mergeCell ref="I38:I40"/>
    <mergeCell ref="J38:J40"/>
    <mergeCell ref="N38:N40"/>
    <mergeCell ref="AI34:AI41"/>
    <mergeCell ref="AJ34:AJ41"/>
    <mergeCell ref="AK34:AK41"/>
    <mergeCell ref="W34:W41"/>
    <mergeCell ref="X34:X41"/>
    <mergeCell ref="Y34:Y41"/>
    <mergeCell ref="Z34:Z41"/>
    <mergeCell ref="AA34:AA41"/>
    <mergeCell ref="AB34:AB41"/>
    <mergeCell ref="M34:M41"/>
    <mergeCell ref="N34:N35"/>
    <mergeCell ref="O34:O41"/>
    <mergeCell ref="P34:P41"/>
    <mergeCell ref="Q34:Q37"/>
    <mergeCell ref="V34:V41"/>
    <mergeCell ref="Q38:Q41"/>
    <mergeCell ref="E43:F53"/>
    <mergeCell ref="G43:G45"/>
    <mergeCell ref="H43:H45"/>
    <mergeCell ref="I43:I45"/>
    <mergeCell ref="J43:J45"/>
    <mergeCell ref="K43:K48"/>
    <mergeCell ref="G36:G37"/>
    <mergeCell ref="H36:H37"/>
    <mergeCell ref="I36:I37"/>
    <mergeCell ref="J36:J37"/>
    <mergeCell ref="AF43:AF48"/>
    <mergeCell ref="AG43:AG48"/>
    <mergeCell ref="V43:V48"/>
    <mergeCell ref="W43:W48"/>
    <mergeCell ref="X43:X48"/>
    <mergeCell ref="Y43:Y48"/>
    <mergeCell ref="Z43:Z48"/>
    <mergeCell ref="AA43:AA48"/>
    <mergeCell ref="L43:L48"/>
    <mergeCell ref="M43:M48"/>
    <mergeCell ref="N43:N45"/>
    <mergeCell ref="O43:O48"/>
    <mergeCell ref="P43:P48"/>
    <mergeCell ref="Q43:Q46"/>
    <mergeCell ref="V49:V51"/>
    <mergeCell ref="W49:W51"/>
    <mergeCell ref="X49:X51"/>
    <mergeCell ref="Y49:Y51"/>
    <mergeCell ref="AN43:AN48"/>
    <mergeCell ref="R44:R45"/>
    <mergeCell ref="G49:G51"/>
    <mergeCell ref="H49:H51"/>
    <mergeCell ref="I49:I51"/>
    <mergeCell ref="J49:J51"/>
    <mergeCell ref="L49:L51"/>
    <mergeCell ref="M49:M51"/>
    <mergeCell ref="N49:N51"/>
    <mergeCell ref="O49:O51"/>
    <mergeCell ref="AH43:AH48"/>
    <mergeCell ref="AI43:AI48"/>
    <mergeCell ref="AJ43:AJ48"/>
    <mergeCell ref="AK43:AK48"/>
    <mergeCell ref="AL43:AL48"/>
    <mergeCell ref="AM43:AM48"/>
    <mergeCell ref="AB43:AB48"/>
    <mergeCell ref="AC43:AC48"/>
    <mergeCell ref="AD43:AD48"/>
    <mergeCell ref="AE43:AE48"/>
    <mergeCell ref="AL49:AL51"/>
    <mergeCell ref="AM49:AM51"/>
    <mergeCell ref="AN49:AN51"/>
    <mergeCell ref="R50:R51"/>
    <mergeCell ref="G52:G53"/>
    <mergeCell ref="H52:H53"/>
    <mergeCell ref="I52:I53"/>
    <mergeCell ref="J52:J53"/>
    <mergeCell ref="K52:K53"/>
    <mergeCell ref="L52:L53"/>
    <mergeCell ref="AF49:AF50"/>
    <mergeCell ref="AG49:AG50"/>
    <mergeCell ref="AH49:AH50"/>
    <mergeCell ref="AI49:AI50"/>
    <mergeCell ref="AJ49:AJ50"/>
    <mergeCell ref="AK49:AK51"/>
    <mergeCell ref="Z49:Z51"/>
    <mergeCell ref="AA49:AA51"/>
    <mergeCell ref="AB49:AB51"/>
    <mergeCell ref="AC49:AC51"/>
    <mergeCell ref="AD49:AD51"/>
    <mergeCell ref="AE49:AE51"/>
    <mergeCell ref="P49:P51"/>
    <mergeCell ref="Q49:Q51"/>
    <mergeCell ref="V52:V53"/>
    <mergeCell ref="W52:W53"/>
    <mergeCell ref="X52:X53"/>
    <mergeCell ref="Y52:Y53"/>
    <mergeCell ref="Z52:Z53"/>
    <mergeCell ref="M52:M53"/>
    <mergeCell ref="N52:N53"/>
    <mergeCell ref="P52:P53"/>
    <mergeCell ref="R52:R53"/>
    <mergeCell ref="S52:S53"/>
    <mergeCell ref="T52:T53"/>
    <mergeCell ref="AB55:AB58"/>
    <mergeCell ref="AM52:AM53"/>
    <mergeCell ref="AN52:AN53"/>
    <mergeCell ref="F54:AN54"/>
    <mergeCell ref="E55:F58"/>
    <mergeCell ref="K55:K58"/>
    <mergeCell ref="L55:L58"/>
    <mergeCell ref="M55:M58"/>
    <mergeCell ref="O55:O58"/>
    <mergeCell ref="P55:P58"/>
    <mergeCell ref="V55:V58"/>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AI55:AI58"/>
    <mergeCell ref="AJ55:AJ58"/>
    <mergeCell ref="AK55:AK58"/>
    <mergeCell ref="AL55:AL58"/>
    <mergeCell ref="AM55:AM58"/>
    <mergeCell ref="AN55:AN58"/>
    <mergeCell ref="AC55:AC58"/>
    <mergeCell ref="AD55:AD58"/>
    <mergeCell ref="AE55:AE58"/>
    <mergeCell ref="AF55:AF58"/>
    <mergeCell ref="AG55:AG58"/>
    <mergeCell ref="AH55:AH58"/>
    <mergeCell ref="X60:X61"/>
    <mergeCell ref="Y60:Y61"/>
    <mergeCell ref="Z60:Z61"/>
    <mergeCell ref="AA60:AA61"/>
    <mergeCell ref="Q57:Q58"/>
    <mergeCell ref="E60:F61"/>
    <mergeCell ref="K60:K61"/>
    <mergeCell ref="L60:L61"/>
    <mergeCell ref="M60:M61"/>
    <mergeCell ref="O60:O61"/>
    <mergeCell ref="P60:P61"/>
    <mergeCell ref="W55:W58"/>
    <mergeCell ref="X55:X58"/>
    <mergeCell ref="Y55:Y58"/>
    <mergeCell ref="Z55:Z58"/>
    <mergeCell ref="AA55:AA58"/>
    <mergeCell ref="AN60:AN61"/>
    <mergeCell ref="A63:B69"/>
    <mergeCell ref="C64:D69"/>
    <mergeCell ref="E65:F69"/>
    <mergeCell ref="K65:K69"/>
    <mergeCell ref="L65:L69"/>
    <mergeCell ref="M65:M69"/>
    <mergeCell ref="O65:O69"/>
    <mergeCell ref="P65:P69"/>
    <mergeCell ref="V65:V69"/>
    <mergeCell ref="AH60:AH61"/>
    <mergeCell ref="AI60:AI61"/>
    <mergeCell ref="AJ60:AJ61"/>
    <mergeCell ref="AK60:AK61"/>
    <mergeCell ref="AL60:AL61"/>
    <mergeCell ref="AM60:AM61"/>
    <mergeCell ref="AB60:AB61"/>
    <mergeCell ref="AC60:AC61"/>
    <mergeCell ref="AD60:AD61"/>
    <mergeCell ref="AE60:AE61"/>
    <mergeCell ref="AF60:AF61"/>
    <mergeCell ref="AG60:AG61"/>
    <mergeCell ref="V60:V61"/>
    <mergeCell ref="W60:W61"/>
    <mergeCell ref="H79:J79"/>
    <mergeCell ref="AI65:AI69"/>
    <mergeCell ref="AJ65:AJ69"/>
    <mergeCell ref="AK65:AK69"/>
    <mergeCell ref="AL65:AL69"/>
    <mergeCell ref="AM65:AM69"/>
    <mergeCell ref="AN65:AN69"/>
    <mergeCell ref="AC65:AC69"/>
    <mergeCell ref="AD65:AD69"/>
    <mergeCell ref="AE65:AE69"/>
    <mergeCell ref="AF65:AF69"/>
    <mergeCell ref="AG65:AG69"/>
    <mergeCell ref="AH65:AH69"/>
    <mergeCell ref="W65:W69"/>
    <mergeCell ref="X65:X69"/>
    <mergeCell ref="Y65:Y69"/>
    <mergeCell ref="Z65:Z69"/>
    <mergeCell ref="AA65:AA69"/>
    <mergeCell ref="AB65:AB6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
  <sheetViews>
    <sheetView showGridLines="0" topLeftCell="A9" zoomScale="60" zoomScaleNormal="60" workbookViewId="0">
      <selection activeCell="A12" sqref="A12"/>
    </sheetView>
  </sheetViews>
  <sheetFormatPr baseColWidth="10" defaultColWidth="11.42578125" defaultRowHeight="15" x14ac:dyDescent="0.2"/>
  <cols>
    <col min="1" max="1" width="14.5703125" style="597" customWidth="1"/>
    <col min="2" max="2" width="24.42578125" style="597" customWidth="1"/>
    <col min="3" max="3" width="13.5703125" style="597" customWidth="1"/>
    <col min="4" max="4" width="13" style="597" bestFit="1" customWidth="1"/>
    <col min="5" max="5" width="41.85546875" style="597" bestFit="1" customWidth="1"/>
    <col min="6" max="6" width="13" style="597" bestFit="1" customWidth="1"/>
    <col min="7" max="7" width="41.85546875" style="597" bestFit="1" customWidth="1"/>
    <col min="8" max="8" width="18.85546875" style="597" customWidth="1"/>
    <col min="9" max="9" width="32.42578125" style="597" customWidth="1"/>
    <col min="10" max="10" width="26.7109375" style="597" customWidth="1"/>
    <col min="11" max="11" width="26.5703125" style="597" customWidth="1"/>
    <col min="12" max="12" width="40.5703125" style="597" customWidth="1"/>
    <col min="13" max="13" width="23.42578125" style="597" customWidth="1"/>
    <col min="14" max="14" width="33.140625" style="597" customWidth="1"/>
    <col min="15" max="15" width="16.85546875" style="597" customWidth="1"/>
    <col min="16" max="16" width="27.140625" style="597" customWidth="1"/>
    <col min="17" max="17" width="34.42578125" style="597" customWidth="1"/>
    <col min="18" max="18" width="42.140625" style="597" customWidth="1"/>
    <col min="19" max="19" width="34.7109375" style="597" customWidth="1"/>
    <col min="20" max="20" width="27.85546875" style="2023" customWidth="1"/>
    <col min="21" max="21" width="18.28515625" style="597" customWidth="1"/>
    <col min="22" max="22" width="28.140625" style="597" customWidth="1"/>
    <col min="23" max="38" width="15.7109375" style="597" customWidth="1"/>
    <col min="39" max="39" width="20.140625" style="597" customWidth="1"/>
    <col min="40" max="40" width="26.28515625" style="597" customWidth="1"/>
    <col min="41" max="41" width="22.140625" style="597" customWidth="1"/>
    <col min="42" max="54" width="14.85546875" style="597" customWidth="1"/>
    <col min="55" max="16384" width="11.42578125" style="597"/>
  </cols>
  <sheetData>
    <row r="1" spans="1:42" x14ac:dyDescent="0.2">
      <c r="A1" s="2855" t="s">
        <v>1814</v>
      </c>
      <c r="B1" s="2855"/>
      <c r="C1" s="2855"/>
      <c r="D1" s="2855"/>
      <c r="E1" s="2855"/>
      <c r="F1" s="2855"/>
      <c r="G1" s="2855"/>
      <c r="H1" s="2855"/>
      <c r="I1" s="2855"/>
      <c r="J1" s="2855"/>
      <c r="K1" s="2855"/>
      <c r="L1" s="2855"/>
      <c r="M1" s="2855"/>
      <c r="N1" s="2855"/>
      <c r="O1" s="2855"/>
      <c r="P1" s="2855"/>
      <c r="Q1" s="2855"/>
      <c r="R1" s="2855"/>
      <c r="S1" s="2855"/>
      <c r="T1" s="2855"/>
      <c r="U1" s="2855"/>
      <c r="V1" s="2855"/>
      <c r="W1" s="2855"/>
      <c r="X1" s="2855"/>
      <c r="Y1" s="2855"/>
      <c r="Z1" s="2855"/>
      <c r="AA1" s="2855"/>
      <c r="AB1" s="2855"/>
      <c r="AC1" s="2855"/>
      <c r="AD1" s="2855"/>
      <c r="AE1" s="2855"/>
      <c r="AF1" s="2855"/>
      <c r="AG1" s="2855"/>
      <c r="AH1" s="2855"/>
      <c r="AI1" s="2855"/>
      <c r="AJ1" s="2855"/>
      <c r="AK1" s="2855"/>
      <c r="AL1" s="2855"/>
      <c r="AM1" s="2855"/>
      <c r="AN1" s="600" t="s">
        <v>1</v>
      </c>
      <c r="AO1" s="600" t="s">
        <v>2</v>
      </c>
    </row>
    <row r="2" spans="1:42" x14ac:dyDescent="0.2">
      <c r="A2" s="2855"/>
      <c r="B2" s="2855"/>
      <c r="C2" s="2855"/>
      <c r="D2" s="2855"/>
      <c r="E2" s="2855"/>
      <c r="F2" s="2855"/>
      <c r="G2" s="2855"/>
      <c r="H2" s="2855"/>
      <c r="I2" s="2855"/>
      <c r="J2" s="2855"/>
      <c r="K2" s="2855"/>
      <c r="L2" s="2855"/>
      <c r="M2" s="2855"/>
      <c r="N2" s="2855"/>
      <c r="O2" s="2855"/>
      <c r="P2" s="2855"/>
      <c r="Q2" s="2855"/>
      <c r="R2" s="2855"/>
      <c r="S2" s="2855"/>
      <c r="T2" s="2855"/>
      <c r="U2" s="2855"/>
      <c r="V2" s="2855"/>
      <c r="W2" s="2855"/>
      <c r="X2" s="2855"/>
      <c r="Y2" s="2855"/>
      <c r="Z2" s="2855"/>
      <c r="AA2" s="2855"/>
      <c r="AB2" s="2855"/>
      <c r="AC2" s="2855"/>
      <c r="AD2" s="2855"/>
      <c r="AE2" s="2855"/>
      <c r="AF2" s="2855"/>
      <c r="AG2" s="2855"/>
      <c r="AH2" s="2855"/>
      <c r="AI2" s="2855"/>
      <c r="AJ2" s="2855"/>
      <c r="AK2" s="2855"/>
      <c r="AL2" s="2855"/>
      <c r="AM2" s="2855"/>
      <c r="AN2" s="598" t="s">
        <v>3</v>
      </c>
      <c r="AO2" s="1930">
        <v>6</v>
      </c>
    </row>
    <row r="3" spans="1:42" x14ac:dyDescent="0.2">
      <c r="A3" s="2855"/>
      <c r="B3" s="2855"/>
      <c r="C3" s="2855"/>
      <c r="D3" s="2855"/>
      <c r="E3" s="2855"/>
      <c r="F3" s="2855"/>
      <c r="G3" s="2855"/>
      <c r="H3" s="2855"/>
      <c r="I3" s="2855"/>
      <c r="J3" s="2855"/>
      <c r="K3" s="2855"/>
      <c r="L3" s="2855"/>
      <c r="M3" s="2855"/>
      <c r="N3" s="2855"/>
      <c r="O3" s="2855"/>
      <c r="P3" s="2855"/>
      <c r="Q3" s="2855"/>
      <c r="R3" s="2855"/>
      <c r="S3" s="2855"/>
      <c r="T3" s="2855"/>
      <c r="U3" s="2855"/>
      <c r="V3" s="2855"/>
      <c r="W3" s="2855"/>
      <c r="X3" s="2855"/>
      <c r="Y3" s="2855"/>
      <c r="Z3" s="2855"/>
      <c r="AA3" s="2855"/>
      <c r="AB3" s="2855"/>
      <c r="AC3" s="2855"/>
      <c r="AD3" s="2855"/>
      <c r="AE3" s="2855"/>
      <c r="AF3" s="2855"/>
      <c r="AG3" s="2855"/>
      <c r="AH3" s="2855"/>
      <c r="AI3" s="2855"/>
      <c r="AJ3" s="2855"/>
      <c r="AK3" s="2855"/>
      <c r="AL3" s="2855"/>
      <c r="AM3" s="2855"/>
      <c r="AN3" s="600" t="s">
        <v>5</v>
      </c>
      <c r="AO3" s="1931" t="s">
        <v>6</v>
      </c>
    </row>
    <row r="4" spans="1:42" s="604" customFormat="1" x14ac:dyDescent="0.2">
      <c r="A4" s="2857"/>
      <c r="B4" s="2857"/>
      <c r="C4" s="2857"/>
      <c r="D4" s="2857"/>
      <c r="E4" s="2857"/>
      <c r="F4" s="2857"/>
      <c r="G4" s="2857"/>
      <c r="H4" s="2857"/>
      <c r="I4" s="2857"/>
      <c r="J4" s="2857"/>
      <c r="K4" s="2857"/>
      <c r="L4" s="2857"/>
      <c r="M4" s="2857"/>
      <c r="N4" s="2857"/>
      <c r="O4" s="2857"/>
      <c r="P4" s="2857"/>
      <c r="Q4" s="2857"/>
      <c r="R4" s="2857"/>
      <c r="S4" s="2857"/>
      <c r="T4" s="2857"/>
      <c r="U4" s="2857"/>
      <c r="V4" s="2857"/>
      <c r="W4" s="2857"/>
      <c r="X4" s="2857"/>
      <c r="Y4" s="2857"/>
      <c r="Z4" s="2857"/>
      <c r="AA4" s="2857"/>
      <c r="AB4" s="2857"/>
      <c r="AC4" s="2857"/>
      <c r="AD4" s="2857"/>
      <c r="AE4" s="2857"/>
      <c r="AF4" s="2857"/>
      <c r="AG4" s="2857"/>
      <c r="AH4" s="2857"/>
      <c r="AI4" s="2857"/>
      <c r="AJ4" s="2857"/>
      <c r="AK4" s="2857"/>
      <c r="AL4" s="2857"/>
      <c r="AM4" s="2857"/>
      <c r="AN4" s="602" t="s">
        <v>7</v>
      </c>
      <c r="AO4" s="1932" t="s">
        <v>323</v>
      </c>
    </row>
    <row r="5" spans="1:42" ht="15.75" x14ac:dyDescent="0.2">
      <c r="A5" s="3670" t="s">
        <v>9</v>
      </c>
      <c r="B5" s="2859"/>
      <c r="C5" s="2859"/>
      <c r="D5" s="2859"/>
      <c r="E5" s="2859"/>
      <c r="F5" s="2859"/>
      <c r="G5" s="2859"/>
      <c r="H5" s="2859"/>
      <c r="I5" s="2859"/>
      <c r="J5" s="2859"/>
      <c r="K5" s="2859"/>
      <c r="L5" s="605"/>
      <c r="M5" s="605"/>
      <c r="N5" s="2862" t="s">
        <v>10</v>
      </c>
      <c r="O5" s="2862"/>
      <c r="P5" s="2862"/>
      <c r="Q5" s="2862"/>
      <c r="R5" s="2862"/>
      <c r="S5" s="2862"/>
      <c r="T5" s="2862"/>
      <c r="U5" s="2862"/>
      <c r="V5" s="2862"/>
      <c r="W5" s="2862"/>
      <c r="X5" s="2862"/>
      <c r="Y5" s="2862"/>
      <c r="Z5" s="2862"/>
      <c r="AA5" s="2862"/>
      <c r="AB5" s="2862"/>
      <c r="AC5" s="2862"/>
      <c r="AD5" s="2862"/>
      <c r="AE5" s="2862"/>
      <c r="AF5" s="2862"/>
      <c r="AG5" s="2862"/>
      <c r="AH5" s="2862"/>
      <c r="AI5" s="2862"/>
      <c r="AJ5" s="2862"/>
      <c r="AK5" s="2862"/>
      <c r="AL5" s="2862"/>
      <c r="AM5" s="2862"/>
      <c r="AN5" s="2862"/>
      <c r="AO5" s="2862"/>
    </row>
    <row r="6" spans="1:42" ht="15.75" x14ac:dyDescent="0.2">
      <c r="A6" s="2864"/>
      <c r="B6" s="2861"/>
      <c r="C6" s="2861"/>
      <c r="D6" s="2861"/>
      <c r="E6" s="2861"/>
      <c r="F6" s="2861"/>
      <c r="G6" s="2861"/>
      <c r="H6" s="2861"/>
      <c r="I6" s="2861"/>
      <c r="J6" s="2861"/>
      <c r="K6" s="2861"/>
      <c r="L6" s="605"/>
      <c r="M6" s="606"/>
      <c r="N6" s="3320"/>
      <c r="O6" s="3321"/>
      <c r="P6" s="3321"/>
      <c r="Q6" s="3321"/>
      <c r="R6" s="3321"/>
      <c r="S6" s="3321"/>
      <c r="T6" s="3321"/>
      <c r="U6" s="3321"/>
      <c r="V6" s="3322"/>
      <c r="W6" s="607"/>
      <c r="X6" s="607"/>
      <c r="Y6" s="607"/>
      <c r="Z6" s="607"/>
      <c r="AA6" s="607"/>
      <c r="AB6" s="607"/>
      <c r="AC6" s="607"/>
      <c r="AD6" s="607"/>
      <c r="AE6" s="607"/>
      <c r="AF6" s="607"/>
      <c r="AG6" s="607"/>
      <c r="AH6" s="607"/>
      <c r="AI6" s="607"/>
      <c r="AJ6" s="607"/>
      <c r="AK6" s="607"/>
      <c r="AL6" s="607"/>
      <c r="AM6" s="3320"/>
      <c r="AN6" s="3321"/>
      <c r="AO6" s="3322"/>
    </row>
    <row r="7" spans="1:42" ht="15.75" x14ac:dyDescent="0.2">
      <c r="A7" s="3668" t="s">
        <v>12</v>
      </c>
      <c r="B7" s="3668" t="s">
        <v>13</v>
      </c>
      <c r="C7" s="3668"/>
      <c r="D7" s="3668" t="s">
        <v>12</v>
      </c>
      <c r="E7" s="3668" t="s">
        <v>14</v>
      </c>
      <c r="F7" s="3668" t="s">
        <v>12</v>
      </c>
      <c r="G7" s="3668" t="s">
        <v>15</v>
      </c>
      <c r="H7" s="3668" t="s">
        <v>12</v>
      </c>
      <c r="I7" s="3668" t="s">
        <v>16</v>
      </c>
      <c r="J7" s="3668" t="s">
        <v>17</v>
      </c>
      <c r="K7" s="2849" t="s">
        <v>18</v>
      </c>
      <c r="L7" s="3668" t="s">
        <v>19</v>
      </c>
      <c r="M7" s="2843" t="s">
        <v>324</v>
      </c>
      <c r="N7" s="3668" t="s">
        <v>10</v>
      </c>
      <c r="O7" s="3668" t="s">
        <v>21</v>
      </c>
      <c r="P7" s="3668" t="s">
        <v>22</v>
      </c>
      <c r="Q7" s="3668" t="s">
        <v>23</v>
      </c>
      <c r="R7" s="3668" t="s">
        <v>24</v>
      </c>
      <c r="S7" s="3668" t="s">
        <v>25</v>
      </c>
      <c r="T7" s="2849" t="s">
        <v>22</v>
      </c>
      <c r="U7" s="2843" t="s">
        <v>12</v>
      </c>
      <c r="V7" s="3668" t="s">
        <v>26</v>
      </c>
      <c r="W7" s="2837" t="s">
        <v>27</v>
      </c>
      <c r="X7" s="2838"/>
      <c r="Y7" s="2839" t="s">
        <v>28</v>
      </c>
      <c r="Z7" s="2840"/>
      <c r="AA7" s="2840"/>
      <c r="AB7" s="2840"/>
      <c r="AC7" s="2841" t="s">
        <v>29</v>
      </c>
      <c r="AD7" s="2842"/>
      <c r="AE7" s="2842"/>
      <c r="AF7" s="2842"/>
      <c r="AG7" s="2842"/>
      <c r="AH7" s="2842"/>
      <c r="AI7" s="2839" t="s">
        <v>30</v>
      </c>
      <c r="AJ7" s="2840"/>
      <c r="AK7" s="2840"/>
      <c r="AL7" s="2827" t="s">
        <v>31</v>
      </c>
      <c r="AM7" s="3665" t="s">
        <v>32</v>
      </c>
      <c r="AN7" s="3665" t="s">
        <v>33</v>
      </c>
      <c r="AO7" s="3667" t="s">
        <v>34</v>
      </c>
    </row>
    <row r="8" spans="1:42" ht="145.5" customHeight="1" x14ac:dyDescent="0.2">
      <c r="A8" s="3668"/>
      <c r="B8" s="3668"/>
      <c r="C8" s="3668"/>
      <c r="D8" s="3668"/>
      <c r="E8" s="3668"/>
      <c r="F8" s="3668"/>
      <c r="G8" s="3668"/>
      <c r="H8" s="3668"/>
      <c r="I8" s="3668"/>
      <c r="J8" s="3668"/>
      <c r="K8" s="3669"/>
      <c r="L8" s="3668"/>
      <c r="M8" s="2844"/>
      <c r="N8" s="3668"/>
      <c r="O8" s="3668"/>
      <c r="P8" s="3668"/>
      <c r="Q8" s="3668"/>
      <c r="R8" s="3668"/>
      <c r="S8" s="3668"/>
      <c r="T8" s="2850"/>
      <c r="U8" s="2844"/>
      <c r="V8" s="3668"/>
      <c r="W8" s="1933" t="s">
        <v>35</v>
      </c>
      <c r="X8" s="1934" t="s">
        <v>36</v>
      </c>
      <c r="Y8" s="1933" t="s">
        <v>37</v>
      </c>
      <c r="Z8" s="1933" t="s">
        <v>118</v>
      </c>
      <c r="AA8" s="1933" t="s">
        <v>1815</v>
      </c>
      <c r="AB8" s="1933" t="s">
        <v>120</v>
      </c>
      <c r="AC8" s="1933" t="s">
        <v>41</v>
      </c>
      <c r="AD8" s="1933" t="s">
        <v>42</v>
      </c>
      <c r="AE8" s="1933" t="s">
        <v>43</v>
      </c>
      <c r="AF8" s="1933" t="s">
        <v>44</v>
      </c>
      <c r="AG8" s="1933" t="s">
        <v>45</v>
      </c>
      <c r="AH8" s="1933" t="s">
        <v>46</v>
      </c>
      <c r="AI8" s="1933" t="s">
        <v>47</v>
      </c>
      <c r="AJ8" s="1933" t="s">
        <v>48</v>
      </c>
      <c r="AK8" s="1933" t="s">
        <v>49</v>
      </c>
      <c r="AL8" s="2828"/>
      <c r="AM8" s="3666"/>
      <c r="AN8" s="3666"/>
      <c r="AO8" s="3667"/>
    </row>
    <row r="9" spans="1:42" ht="15.75" customHeight="1" x14ac:dyDescent="0.2">
      <c r="A9" s="1935">
        <v>5</v>
      </c>
      <c r="B9" s="1936" t="s">
        <v>50</v>
      </c>
      <c r="C9" s="1936"/>
      <c r="D9" s="1936"/>
      <c r="E9" s="1936"/>
      <c r="F9" s="1936"/>
      <c r="G9" s="1936"/>
      <c r="H9" s="1936"/>
      <c r="I9" s="1937"/>
      <c r="J9" s="1937"/>
      <c r="K9" s="1936"/>
      <c r="L9" s="1938"/>
      <c r="M9" s="1937"/>
      <c r="N9" s="1939"/>
      <c r="O9" s="1940"/>
      <c r="P9" s="1937"/>
      <c r="Q9" s="1937"/>
      <c r="R9" s="1937"/>
      <c r="S9" s="1941"/>
      <c r="T9" s="1942"/>
      <c r="U9" s="1936"/>
      <c r="V9" s="1936"/>
      <c r="W9" s="1936"/>
      <c r="X9" s="1943"/>
      <c r="Y9" s="1943"/>
      <c r="Z9" s="1943"/>
      <c r="AA9" s="1943"/>
      <c r="AB9" s="1943"/>
      <c r="AC9" s="1943"/>
      <c r="AD9" s="1943"/>
      <c r="AE9" s="1943"/>
      <c r="AF9" s="1943"/>
      <c r="AG9" s="1943"/>
      <c r="AH9" s="1943"/>
      <c r="AI9" s="1943"/>
      <c r="AJ9" s="1943"/>
      <c r="AK9" s="1943"/>
      <c r="AL9" s="1943"/>
      <c r="AM9" s="1943"/>
      <c r="AN9" s="1943"/>
      <c r="AO9" s="1944"/>
    </row>
    <row r="10" spans="1:42" s="1213" customFormat="1" ht="15.75" customHeight="1" x14ac:dyDescent="0.2">
      <c r="A10" s="1945"/>
      <c r="B10" s="3656"/>
      <c r="C10" s="3657"/>
      <c r="D10" s="1946">
        <v>26</v>
      </c>
      <c r="E10" s="1947" t="s">
        <v>1596</v>
      </c>
      <c r="F10" s="1948"/>
      <c r="G10" s="1948"/>
      <c r="H10" s="1948"/>
      <c r="I10" s="1949"/>
      <c r="J10" s="1949"/>
      <c r="K10" s="1948"/>
      <c r="L10" s="1950"/>
      <c r="M10" s="1949"/>
      <c r="N10" s="1951"/>
      <c r="O10" s="1952"/>
      <c r="P10" s="1949"/>
      <c r="Q10" s="1949"/>
      <c r="R10" s="1949"/>
      <c r="S10" s="1953"/>
      <c r="T10" s="1954"/>
      <c r="U10" s="1948"/>
      <c r="V10" s="1948"/>
      <c r="W10" s="1948"/>
      <c r="X10" s="1955"/>
      <c r="Y10" s="1955"/>
      <c r="Z10" s="1955"/>
      <c r="AA10" s="1955"/>
      <c r="AB10" s="1955"/>
      <c r="AC10" s="1956"/>
      <c r="AD10" s="1957"/>
      <c r="AE10" s="1956"/>
      <c r="AF10" s="1956"/>
      <c r="AG10" s="1957"/>
      <c r="AH10" s="1958"/>
      <c r="AI10" s="1956"/>
      <c r="AJ10" s="1956"/>
      <c r="AK10" s="1957"/>
      <c r="AL10" s="1956"/>
      <c r="AM10" s="1957"/>
      <c r="AN10" s="1957"/>
      <c r="AO10" s="1957"/>
    </row>
    <row r="11" spans="1:42" s="1213" customFormat="1" ht="15.75" customHeight="1" x14ac:dyDescent="0.2">
      <c r="A11" s="1959"/>
      <c r="B11" s="3656"/>
      <c r="C11" s="3657"/>
      <c r="D11" s="3660"/>
      <c r="E11" s="3384"/>
      <c r="F11" s="1960">
        <v>83</v>
      </c>
      <c r="G11" s="1961" t="s">
        <v>1816</v>
      </c>
      <c r="H11" s="1962"/>
      <c r="I11" s="1963"/>
      <c r="J11" s="1963"/>
      <c r="K11" s="1964"/>
      <c r="L11" s="1965"/>
      <c r="M11" s="1963"/>
      <c r="N11" s="1966"/>
      <c r="O11" s="1967"/>
      <c r="P11" s="1963"/>
      <c r="Q11" s="1963"/>
      <c r="R11" s="1963"/>
      <c r="S11" s="1968"/>
      <c r="T11" s="1969"/>
      <c r="U11" s="1970"/>
      <c r="V11" s="1970"/>
      <c r="W11" s="1964"/>
      <c r="X11" s="1964"/>
      <c r="Y11" s="1964"/>
      <c r="Z11" s="1964"/>
      <c r="AA11" s="1964"/>
      <c r="AB11" s="1964"/>
      <c r="AC11" s="1964"/>
      <c r="AD11" s="1971"/>
      <c r="AE11" s="1964"/>
      <c r="AF11" s="1971"/>
      <c r="AG11" s="1963"/>
      <c r="AH11" s="1964"/>
      <c r="AI11" s="1971"/>
      <c r="AJ11" s="1964"/>
      <c r="AK11" s="1971"/>
      <c r="AL11" s="1963"/>
      <c r="AM11" s="1971"/>
      <c r="AN11" s="1963"/>
      <c r="AO11" s="1963"/>
    </row>
    <row r="12" spans="1:42" s="1213" customFormat="1" ht="48" customHeight="1" x14ac:dyDescent="0.2">
      <c r="A12" s="1959"/>
      <c r="B12" s="3656"/>
      <c r="C12" s="3657"/>
      <c r="D12" s="3661"/>
      <c r="E12" s="3385"/>
      <c r="F12" s="3663"/>
      <c r="G12" s="3664"/>
      <c r="H12" s="3396">
        <v>244</v>
      </c>
      <c r="I12" s="3421" t="s">
        <v>1817</v>
      </c>
      <c r="J12" s="3421" t="s">
        <v>1818</v>
      </c>
      <c r="K12" s="3396">
        <v>12</v>
      </c>
      <c r="L12" s="3421" t="s">
        <v>1819</v>
      </c>
      <c r="M12" s="3396" t="s">
        <v>1820</v>
      </c>
      <c r="N12" s="3421" t="s">
        <v>1821</v>
      </c>
      <c r="O12" s="3654">
        <f>SUM(T12:T15)/P12</f>
        <v>1</v>
      </c>
      <c r="P12" s="3635">
        <f>SUM(T12:T15)</f>
        <v>450000000</v>
      </c>
      <c r="Q12" s="3421" t="s">
        <v>1822</v>
      </c>
      <c r="R12" s="3423" t="s">
        <v>1823</v>
      </c>
      <c r="S12" s="3367" t="s">
        <v>1824</v>
      </c>
      <c r="T12" s="1972">
        <v>328040000</v>
      </c>
      <c r="U12" s="1973">
        <v>20</v>
      </c>
      <c r="V12" s="1974" t="s">
        <v>499</v>
      </c>
      <c r="W12" s="3655">
        <v>294321</v>
      </c>
      <c r="X12" s="3650">
        <v>283947</v>
      </c>
      <c r="Y12" s="3650">
        <v>135754</v>
      </c>
      <c r="Z12" s="3650">
        <v>44640</v>
      </c>
      <c r="AA12" s="3650">
        <v>308178</v>
      </c>
      <c r="AB12" s="3650">
        <v>89696</v>
      </c>
      <c r="AC12" s="3650">
        <v>2145</v>
      </c>
      <c r="AD12" s="3650">
        <v>12718</v>
      </c>
      <c r="AE12" s="3652">
        <v>26</v>
      </c>
      <c r="AF12" s="3652">
        <v>37</v>
      </c>
      <c r="AG12" s="3653">
        <v>0</v>
      </c>
      <c r="AH12" s="3653">
        <v>0</v>
      </c>
      <c r="AI12" s="3650">
        <v>52505</v>
      </c>
      <c r="AJ12" s="3650">
        <v>16897</v>
      </c>
      <c r="AK12" s="3650">
        <v>61646</v>
      </c>
      <c r="AL12" s="2812">
        <f>+Y12+Z12+AA12+AB12</f>
        <v>578268</v>
      </c>
      <c r="AM12" s="3651">
        <v>43101</v>
      </c>
      <c r="AN12" s="3651">
        <v>43465</v>
      </c>
      <c r="AO12" s="3423" t="s">
        <v>1825</v>
      </c>
      <c r="AP12" s="3641"/>
    </row>
    <row r="13" spans="1:42" s="1213" customFormat="1" ht="48" customHeight="1" x14ac:dyDescent="0.2">
      <c r="A13" s="1959"/>
      <c r="B13" s="3656"/>
      <c r="C13" s="3657"/>
      <c r="D13" s="3661"/>
      <c r="E13" s="3385"/>
      <c r="F13" s="3663"/>
      <c r="G13" s="3664"/>
      <c r="H13" s="3396"/>
      <c r="I13" s="3421"/>
      <c r="J13" s="3421"/>
      <c r="K13" s="3396"/>
      <c r="L13" s="3421"/>
      <c r="M13" s="3396"/>
      <c r="N13" s="3421"/>
      <c r="O13" s="3654"/>
      <c r="P13" s="3635"/>
      <c r="Q13" s="3421"/>
      <c r="R13" s="3423"/>
      <c r="S13" s="3368"/>
      <c r="T13" s="1975">
        <f>0+7645567</f>
        <v>7645567</v>
      </c>
      <c r="U13" s="1976">
        <v>88</v>
      </c>
      <c r="V13" s="1974" t="s">
        <v>500</v>
      </c>
      <c r="W13" s="3655"/>
      <c r="X13" s="3650"/>
      <c r="Y13" s="3650">
        <v>135912</v>
      </c>
      <c r="Z13" s="3650">
        <v>45122</v>
      </c>
      <c r="AA13" s="3650">
        <v>307101</v>
      </c>
      <c r="AB13" s="3650">
        <v>86875</v>
      </c>
      <c r="AC13" s="3650">
        <v>2145</v>
      </c>
      <c r="AD13" s="3650">
        <v>12718</v>
      </c>
      <c r="AE13" s="3652">
        <v>26</v>
      </c>
      <c r="AF13" s="3652">
        <v>37</v>
      </c>
      <c r="AG13" s="3653"/>
      <c r="AH13" s="3653"/>
      <c r="AI13" s="3650">
        <v>53164</v>
      </c>
      <c r="AJ13" s="3650">
        <v>16982</v>
      </c>
      <c r="AK13" s="3650">
        <v>6013</v>
      </c>
      <c r="AL13" s="2812"/>
      <c r="AM13" s="3651"/>
      <c r="AN13" s="3651"/>
      <c r="AO13" s="3423"/>
      <c r="AP13" s="3641"/>
    </row>
    <row r="14" spans="1:42" s="1213" customFormat="1" ht="48" customHeight="1" x14ac:dyDescent="0.2">
      <c r="A14" s="1959"/>
      <c r="B14" s="3656"/>
      <c r="C14" s="3657"/>
      <c r="D14" s="3661"/>
      <c r="E14" s="3385"/>
      <c r="F14" s="3663"/>
      <c r="G14" s="3664"/>
      <c r="H14" s="3396"/>
      <c r="I14" s="3421"/>
      <c r="J14" s="3421"/>
      <c r="K14" s="3396"/>
      <c r="L14" s="3421"/>
      <c r="M14" s="3396"/>
      <c r="N14" s="3421"/>
      <c r="O14" s="3654"/>
      <c r="P14" s="3635"/>
      <c r="Q14" s="3421"/>
      <c r="R14" s="3421" t="s">
        <v>1826</v>
      </c>
      <c r="S14" s="3367" t="s">
        <v>1827</v>
      </c>
      <c r="T14" s="1977">
        <v>71960000</v>
      </c>
      <c r="U14" s="1978">
        <v>20</v>
      </c>
      <c r="V14" s="1979" t="s">
        <v>499</v>
      </c>
      <c r="W14" s="3655"/>
      <c r="X14" s="3650"/>
      <c r="Y14" s="3650">
        <v>135912</v>
      </c>
      <c r="Z14" s="3650">
        <v>45122</v>
      </c>
      <c r="AA14" s="3650">
        <v>307101</v>
      </c>
      <c r="AB14" s="3650">
        <v>86875</v>
      </c>
      <c r="AC14" s="3650">
        <v>2145</v>
      </c>
      <c r="AD14" s="3650">
        <v>12718</v>
      </c>
      <c r="AE14" s="3652">
        <v>26</v>
      </c>
      <c r="AF14" s="3652">
        <v>37</v>
      </c>
      <c r="AG14" s="3653"/>
      <c r="AH14" s="3653"/>
      <c r="AI14" s="3650">
        <v>53164</v>
      </c>
      <c r="AJ14" s="3650">
        <v>16982</v>
      </c>
      <c r="AK14" s="3650">
        <v>6013</v>
      </c>
      <c r="AL14" s="2812"/>
      <c r="AM14" s="3651"/>
      <c r="AN14" s="3651"/>
      <c r="AO14" s="3423"/>
      <c r="AP14" s="1980"/>
    </row>
    <row r="15" spans="1:42" s="1213" customFormat="1" ht="48" customHeight="1" x14ac:dyDescent="0.2">
      <c r="A15" s="1959"/>
      <c r="B15" s="3656"/>
      <c r="C15" s="3657"/>
      <c r="D15" s="3661"/>
      <c r="E15" s="3385"/>
      <c r="F15" s="3663"/>
      <c r="G15" s="3664"/>
      <c r="H15" s="3396"/>
      <c r="I15" s="3421"/>
      <c r="J15" s="3421"/>
      <c r="K15" s="3396"/>
      <c r="L15" s="3421"/>
      <c r="M15" s="3396"/>
      <c r="N15" s="3421"/>
      <c r="O15" s="3654"/>
      <c r="P15" s="3635"/>
      <c r="Q15" s="3421"/>
      <c r="R15" s="3421"/>
      <c r="S15" s="3368"/>
      <c r="T15" s="1977">
        <f>0+42354433</f>
        <v>42354433</v>
      </c>
      <c r="U15" s="1978">
        <v>88</v>
      </c>
      <c r="V15" s="1979" t="s">
        <v>500</v>
      </c>
      <c r="W15" s="3655"/>
      <c r="X15" s="3650"/>
      <c r="Y15" s="3650">
        <v>135912</v>
      </c>
      <c r="Z15" s="3650">
        <v>45122</v>
      </c>
      <c r="AA15" s="3650">
        <v>307101</v>
      </c>
      <c r="AB15" s="3650">
        <v>86875</v>
      </c>
      <c r="AC15" s="3650">
        <v>2145</v>
      </c>
      <c r="AD15" s="3650">
        <v>12718</v>
      </c>
      <c r="AE15" s="3652">
        <v>26</v>
      </c>
      <c r="AF15" s="3652">
        <v>37</v>
      </c>
      <c r="AG15" s="3653"/>
      <c r="AH15" s="3653"/>
      <c r="AI15" s="3650">
        <v>53164</v>
      </c>
      <c r="AJ15" s="3650">
        <v>16982</v>
      </c>
      <c r="AK15" s="3650">
        <v>6013</v>
      </c>
      <c r="AL15" s="2813"/>
      <c r="AM15" s="3651"/>
      <c r="AN15" s="3651"/>
      <c r="AO15" s="3423"/>
    </row>
    <row r="16" spans="1:42" s="1213" customFormat="1" ht="150" x14ac:dyDescent="0.2">
      <c r="A16" s="1959"/>
      <c r="B16" s="3656"/>
      <c r="C16" s="3657"/>
      <c r="D16" s="3662"/>
      <c r="E16" s="3386"/>
      <c r="F16" s="3663"/>
      <c r="G16" s="3664"/>
      <c r="H16" s="1981">
        <v>245</v>
      </c>
      <c r="I16" s="369" t="s">
        <v>1828</v>
      </c>
      <c r="J16" s="369" t="s">
        <v>1829</v>
      </c>
      <c r="K16" s="1981">
        <v>1</v>
      </c>
      <c r="L16" s="1982" t="s">
        <v>1830</v>
      </c>
      <c r="M16" s="1981" t="s">
        <v>1831</v>
      </c>
      <c r="N16" s="369" t="s">
        <v>1832</v>
      </c>
      <c r="O16" s="1983">
        <f>SUM(T16)/P16</f>
        <v>1</v>
      </c>
      <c r="P16" s="1984">
        <f>T16</f>
        <v>40000000</v>
      </c>
      <c r="Q16" s="369" t="s">
        <v>1833</v>
      </c>
      <c r="R16" s="369" t="s">
        <v>1834</v>
      </c>
      <c r="S16" s="369" t="s">
        <v>1835</v>
      </c>
      <c r="T16" s="1985">
        <v>40000000</v>
      </c>
      <c r="U16" s="1986">
        <v>20</v>
      </c>
      <c r="V16" s="1987" t="s">
        <v>62</v>
      </c>
      <c r="W16" s="1988">
        <v>294321</v>
      </c>
      <c r="X16" s="1988">
        <v>283947</v>
      </c>
      <c r="Y16" s="1989">
        <v>13754</v>
      </c>
      <c r="Z16" s="1989">
        <v>44640</v>
      </c>
      <c r="AA16" s="1989">
        <v>308178</v>
      </c>
      <c r="AB16" s="1989">
        <v>89696</v>
      </c>
      <c r="AC16" s="1989">
        <v>2145</v>
      </c>
      <c r="AD16" s="1989">
        <v>12718</v>
      </c>
      <c r="AE16" s="1989">
        <v>26</v>
      </c>
      <c r="AF16" s="1989">
        <v>37</v>
      </c>
      <c r="AG16" s="1989">
        <v>0</v>
      </c>
      <c r="AH16" s="1989">
        <v>0</v>
      </c>
      <c r="AI16" s="1989">
        <v>52505</v>
      </c>
      <c r="AJ16" s="1989">
        <v>16897</v>
      </c>
      <c r="AK16" s="1989">
        <v>61646</v>
      </c>
      <c r="AL16" s="1989">
        <f>+W16+X16</f>
        <v>578268</v>
      </c>
      <c r="AM16" s="1990">
        <v>43101</v>
      </c>
      <c r="AN16" s="1990">
        <v>43465</v>
      </c>
      <c r="AO16" s="369" t="s">
        <v>1825</v>
      </c>
      <c r="AP16" s="633"/>
    </row>
    <row r="17" spans="1:49" ht="15.75" x14ac:dyDescent="0.2">
      <c r="A17" s="1959"/>
      <c r="B17" s="3656"/>
      <c r="C17" s="3657"/>
      <c r="D17" s="1991">
        <v>28</v>
      </c>
      <c r="E17" s="1947" t="s">
        <v>1678</v>
      </c>
      <c r="F17" s="1992"/>
      <c r="G17" s="1992"/>
      <c r="H17" s="1993"/>
      <c r="I17" s="1958"/>
      <c r="J17" s="1958"/>
      <c r="K17" s="1956"/>
      <c r="L17" s="1994"/>
      <c r="M17" s="1958"/>
      <c r="N17" s="1995"/>
      <c r="O17" s="1996"/>
      <c r="P17" s="1958"/>
      <c r="Q17" s="1958"/>
      <c r="R17" s="1958"/>
      <c r="S17" s="1997"/>
      <c r="T17" s="1998"/>
      <c r="U17" s="1994"/>
      <c r="V17" s="1994"/>
      <c r="W17" s="1994"/>
      <c r="X17" s="1994"/>
      <c r="Y17" s="1994"/>
      <c r="Z17" s="1994"/>
      <c r="AA17" s="1994"/>
      <c r="AB17" s="1994"/>
      <c r="AC17" s="1994"/>
      <c r="AD17" s="1994"/>
      <c r="AE17" s="1994"/>
      <c r="AF17" s="1994"/>
      <c r="AG17" s="1994"/>
      <c r="AH17" s="1994"/>
      <c r="AI17" s="1994"/>
      <c r="AJ17" s="1994"/>
      <c r="AK17" s="1994"/>
      <c r="AL17" s="1994"/>
      <c r="AM17" s="1994"/>
      <c r="AN17" s="1994"/>
      <c r="AO17" s="1958"/>
    </row>
    <row r="18" spans="1:49" ht="15.75" x14ac:dyDescent="0.2">
      <c r="A18" s="1959"/>
      <c r="B18" s="3656"/>
      <c r="C18" s="3657"/>
      <c r="D18" s="3642"/>
      <c r="E18" s="3645"/>
      <c r="F18" s="1999">
        <v>89</v>
      </c>
      <c r="G18" s="3648" t="s">
        <v>1836</v>
      </c>
      <c r="H18" s="3648"/>
      <c r="I18" s="3648"/>
      <c r="J18" s="3648"/>
      <c r="K18" s="3648"/>
      <c r="L18" s="2000"/>
      <c r="M18" s="3638"/>
      <c r="N18" s="3638"/>
      <c r="O18" s="3638"/>
      <c r="P18" s="3638"/>
      <c r="Q18" s="3638"/>
      <c r="R18" s="3638"/>
      <c r="S18" s="3638"/>
      <c r="T18" s="2001"/>
      <c r="U18" s="3649"/>
      <c r="V18" s="3638"/>
      <c r="W18" s="3638"/>
      <c r="X18" s="3638"/>
      <c r="Y18" s="3638"/>
      <c r="Z18" s="3638"/>
      <c r="AA18" s="3638"/>
      <c r="AB18" s="3638"/>
      <c r="AC18" s="3638"/>
      <c r="AD18" s="3638"/>
      <c r="AE18" s="3638"/>
      <c r="AF18" s="3638"/>
      <c r="AG18" s="3638"/>
      <c r="AH18" s="3638"/>
      <c r="AI18" s="3638"/>
      <c r="AJ18" s="3638"/>
      <c r="AK18" s="3638"/>
      <c r="AL18" s="3638"/>
      <c r="AM18" s="3638"/>
      <c r="AN18" s="3638"/>
      <c r="AO18" s="3638"/>
    </row>
    <row r="19" spans="1:49" ht="39" customHeight="1" x14ac:dyDescent="0.2">
      <c r="A19" s="1959"/>
      <c r="B19" s="3656"/>
      <c r="C19" s="3657"/>
      <c r="D19" s="3643"/>
      <c r="E19" s="3646"/>
      <c r="F19" s="3639"/>
      <c r="G19" s="3639"/>
      <c r="H19" s="3396">
        <v>288</v>
      </c>
      <c r="I19" s="3421" t="s">
        <v>1837</v>
      </c>
      <c r="J19" s="3421" t="s">
        <v>1838</v>
      </c>
      <c r="K19" s="3396">
        <v>1</v>
      </c>
      <c r="L19" s="3396" t="s">
        <v>1839</v>
      </c>
      <c r="M19" s="3396" t="s">
        <v>1840</v>
      </c>
      <c r="N19" s="3421" t="s">
        <v>1841</v>
      </c>
      <c r="O19" s="3633">
        <f>SUM(T19:T23)/P19</f>
        <v>1</v>
      </c>
      <c r="P19" s="3460">
        <f>SUM(T19:T23)</f>
        <v>1463092662</v>
      </c>
      <c r="Q19" s="3377" t="s">
        <v>1842</v>
      </c>
      <c r="R19" s="3636" t="s">
        <v>1843</v>
      </c>
      <c r="S19" s="3614" t="s">
        <v>1844</v>
      </c>
      <c r="T19" s="2002">
        <v>262242662</v>
      </c>
      <c r="U19" s="1978" t="s">
        <v>1845</v>
      </c>
      <c r="V19" s="2003" t="s">
        <v>99</v>
      </c>
      <c r="W19" s="3621">
        <v>294321</v>
      </c>
      <c r="X19" s="3621">
        <v>283947</v>
      </c>
      <c r="Y19" s="3621">
        <v>13754</v>
      </c>
      <c r="Z19" s="3621">
        <v>44640</v>
      </c>
      <c r="AA19" s="3621">
        <v>308178</v>
      </c>
      <c r="AB19" s="3621">
        <v>89696</v>
      </c>
      <c r="AC19" s="3621">
        <v>2145</v>
      </c>
      <c r="AD19" s="3621">
        <v>12718</v>
      </c>
      <c r="AE19" s="3628">
        <v>26</v>
      </c>
      <c r="AF19" s="3628">
        <v>37</v>
      </c>
      <c r="AG19" s="3630">
        <v>0</v>
      </c>
      <c r="AH19" s="3630">
        <v>0</v>
      </c>
      <c r="AI19" s="3621">
        <v>52505</v>
      </c>
      <c r="AJ19" s="3621">
        <v>16897</v>
      </c>
      <c r="AK19" s="3621">
        <v>61646</v>
      </c>
      <c r="AL19" s="3621">
        <f>+W19+X19</f>
        <v>578268</v>
      </c>
      <c r="AM19" s="3623">
        <v>43101</v>
      </c>
      <c r="AN19" s="3626">
        <v>43465</v>
      </c>
      <c r="AO19" s="3379" t="s">
        <v>1825</v>
      </c>
      <c r="AP19" s="1213"/>
      <c r="AQ19" s="1213"/>
      <c r="AR19" s="1213"/>
      <c r="AS19" s="1213"/>
      <c r="AT19" s="1213"/>
      <c r="AU19" s="1213"/>
      <c r="AV19" s="1213"/>
      <c r="AW19" s="1213"/>
    </row>
    <row r="20" spans="1:49" ht="51" customHeight="1" x14ac:dyDescent="0.2">
      <c r="A20" s="1959"/>
      <c r="B20" s="3656"/>
      <c r="C20" s="3657"/>
      <c r="D20" s="3643"/>
      <c r="E20" s="3646"/>
      <c r="F20" s="3639"/>
      <c r="G20" s="3639"/>
      <c r="H20" s="3396"/>
      <c r="I20" s="3421"/>
      <c r="J20" s="3421"/>
      <c r="K20" s="3396"/>
      <c r="L20" s="3396"/>
      <c r="M20" s="3396"/>
      <c r="N20" s="3421"/>
      <c r="O20" s="3634"/>
      <c r="P20" s="3460"/>
      <c r="Q20" s="3377"/>
      <c r="R20" s="3636"/>
      <c r="S20" s="3637"/>
      <c r="T20" s="2002">
        <f>0+694757338</f>
        <v>694757338</v>
      </c>
      <c r="U20" s="1978">
        <v>88</v>
      </c>
      <c r="V20" s="2003" t="s">
        <v>500</v>
      </c>
      <c r="W20" s="3621"/>
      <c r="X20" s="3621"/>
      <c r="Y20" s="3621"/>
      <c r="Z20" s="3621"/>
      <c r="AA20" s="3621"/>
      <c r="AB20" s="3621"/>
      <c r="AC20" s="3621"/>
      <c r="AD20" s="3621"/>
      <c r="AE20" s="3628"/>
      <c r="AF20" s="3628"/>
      <c r="AG20" s="3631"/>
      <c r="AH20" s="3631"/>
      <c r="AI20" s="3621"/>
      <c r="AJ20" s="3621"/>
      <c r="AK20" s="3621"/>
      <c r="AL20" s="3621"/>
      <c r="AM20" s="3623"/>
      <c r="AN20" s="3627"/>
      <c r="AO20" s="3379"/>
      <c r="AP20" s="1213"/>
      <c r="AQ20" s="1213"/>
      <c r="AR20" s="1213"/>
      <c r="AS20" s="1213"/>
      <c r="AT20" s="1213"/>
      <c r="AU20" s="1213"/>
      <c r="AV20" s="1213"/>
      <c r="AW20" s="1213"/>
    </row>
    <row r="21" spans="1:49" ht="72.75" customHeight="1" x14ac:dyDescent="0.2">
      <c r="A21" s="1959"/>
      <c r="B21" s="3656"/>
      <c r="C21" s="3657"/>
      <c r="D21" s="3643"/>
      <c r="E21" s="3646"/>
      <c r="F21" s="3639"/>
      <c r="G21" s="3639"/>
      <c r="H21" s="3396"/>
      <c r="I21" s="3421"/>
      <c r="J21" s="3421"/>
      <c r="K21" s="3396"/>
      <c r="L21" s="3396"/>
      <c r="M21" s="3396"/>
      <c r="N21" s="3421"/>
      <c r="O21" s="3634"/>
      <c r="P21" s="3635"/>
      <c r="Q21" s="3421"/>
      <c r="R21" s="3636"/>
      <c r="S21" s="2004" t="s">
        <v>1846</v>
      </c>
      <c r="T21" s="2005">
        <v>30000000</v>
      </c>
      <c r="U21" s="2006" t="s">
        <v>1845</v>
      </c>
      <c r="V21" s="2003" t="s">
        <v>99</v>
      </c>
      <c r="W21" s="3621"/>
      <c r="X21" s="3621"/>
      <c r="Y21" s="3621"/>
      <c r="Z21" s="3621"/>
      <c r="AA21" s="3621"/>
      <c r="AB21" s="3621"/>
      <c r="AC21" s="3621"/>
      <c r="AD21" s="3621"/>
      <c r="AE21" s="3628"/>
      <c r="AF21" s="3628"/>
      <c r="AG21" s="3631"/>
      <c r="AH21" s="3631"/>
      <c r="AI21" s="3621"/>
      <c r="AJ21" s="3621"/>
      <c r="AK21" s="3621"/>
      <c r="AL21" s="3621"/>
      <c r="AM21" s="3624"/>
      <c r="AN21" s="3627"/>
      <c r="AO21" s="3423"/>
      <c r="AP21" s="1213"/>
      <c r="AQ21" s="1213"/>
      <c r="AR21" s="1213"/>
      <c r="AS21" s="1213"/>
      <c r="AT21" s="1213"/>
      <c r="AU21" s="1213"/>
      <c r="AV21" s="1213"/>
      <c r="AW21" s="1213"/>
    </row>
    <row r="22" spans="1:49" ht="45" x14ac:dyDescent="0.2">
      <c r="A22" s="1959"/>
      <c r="B22" s="3470"/>
      <c r="C22" s="3384"/>
      <c r="D22" s="3643"/>
      <c r="E22" s="3646"/>
      <c r="F22" s="3640"/>
      <c r="G22" s="3640"/>
      <c r="H22" s="3350"/>
      <c r="I22" s="3352"/>
      <c r="J22" s="3352"/>
      <c r="K22" s="3350"/>
      <c r="L22" s="3350"/>
      <c r="M22" s="3350"/>
      <c r="N22" s="3352"/>
      <c r="O22" s="3634"/>
      <c r="P22" s="3458"/>
      <c r="Q22" s="3352"/>
      <c r="R22" s="3614" t="s">
        <v>1847</v>
      </c>
      <c r="S22" s="3616" t="s">
        <v>1848</v>
      </c>
      <c r="T22" s="2007">
        <v>320850000</v>
      </c>
      <c r="U22" s="2006" t="s">
        <v>1845</v>
      </c>
      <c r="V22" s="2008" t="s">
        <v>1849</v>
      </c>
      <c r="W22" s="3632"/>
      <c r="X22" s="3622"/>
      <c r="Y22" s="3622"/>
      <c r="Z22" s="3622"/>
      <c r="AA22" s="3622"/>
      <c r="AB22" s="3622"/>
      <c r="AC22" s="3622"/>
      <c r="AD22" s="3622"/>
      <c r="AE22" s="3629"/>
      <c r="AF22" s="3629"/>
      <c r="AG22" s="3631"/>
      <c r="AH22" s="3631"/>
      <c r="AI22" s="3622"/>
      <c r="AJ22" s="3622"/>
      <c r="AK22" s="3622"/>
      <c r="AL22" s="3622"/>
      <c r="AM22" s="3625"/>
      <c r="AN22" s="3627"/>
      <c r="AO22" s="3378"/>
      <c r="AP22" s="1213"/>
      <c r="AQ22" s="1213"/>
      <c r="AR22" s="1213"/>
      <c r="AS22" s="1213"/>
      <c r="AT22" s="1213"/>
      <c r="AU22" s="1213"/>
      <c r="AV22" s="1213"/>
      <c r="AW22" s="1213"/>
    </row>
    <row r="23" spans="1:49" ht="48" customHeight="1" thickBot="1" x14ac:dyDescent="0.25">
      <c r="A23" s="2009"/>
      <c r="B23" s="3658"/>
      <c r="C23" s="3659"/>
      <c r="D23" s="3644"/>
      <c r="E23" s="3647"/>
      <c r="F23" s="3640"/>
      <c r="G23" s="3640"/>
      <c r="H23" s="3350"/>
      <c r="I23" s="3352"/>
      <c r="J23" s="3352"/>
      <c r="K23" s="3350"/>
      <c r="L23" s="3350"/>
      <c r="M23" s="3350"/>
      <c r="N23" s="3352"/>
      <c r="O23" s="3634"/>
      <c r="P23" s="3458"/>
      <c r="Q23" s="3352"/>
      <c r="R23" s="3615"/>
      <c r="S23" s="3617"/>
      <c r="T23" s="2010">
        <f>0+155242662</f>
        <v>155242662</v>
      </c>
      <c r="U23" s="2006">
        <v>88</v>
      </c>
      <c r="V23" s="2008" t="s">
        <v>500</v>
      </c>
      <c r="W23" s="3632"/>
      <c r="X23" s="3622"/>
      <c r="Y23" s="3622"/>
      <c r="Z23" s="3622"/>
      <c r="AA23" s="3622"/>
      <c r="AB23" s="3622"/>
      <c r="AC23" s="3622"/>
      <c r="AD23" s="3622"/>
      <c r="AE23" s="3629"/>
      <c r="AF23" s="3629"/>
      <c r="AG23" s="3631"/>
      <c r="AH23" s="3631"/>
      <c r="AI23" s="3622"/>
      <c r="AJ23" s="3622"/>
      <c r="AK23" s="3622"/>
      <c r="AL23" s="3622"/>
      <c r="AM23" s="3625"/>
      <c r="AN23" s="3627"/>
      <c r="AO23" s="3378"/>
      <c r="AP23" s="1213"/>
      <c r="AQ23" s="1213"/>
      <c r="AR23" s="1213"/>
      <c r="AS23" s="1213"/>
      <c r="AT23" s="1213"/>
      <c r="AU23" s="1213"/>
      <c r="AV23" s="1213"/>
      <c r="AW23" s="1213"/>
    </row>
    <row r="24" spans="1:49" s="1223" customFormat="1" ht="16.5" thickBot="1" x14ac:dyDescent="0.3">
      <c r="A24" s="2011"/>
      <c r="B24" s="2012"/>
      <c r="C24" s="2012"/>
      <c r="D24" s="2012"/>
      <c r="E24" s="2013"/>
      <c r="F24" s="3618" t="s">
        <v>319</v>
      </c>
      <c r="G24" s="3619"/>
      <c r="H24" s="3619"/>
      <c r="I24" s="3619"/>
      <c r="J24" s="3619"/>
      <c r="K24" s="3619"/>
      <c r="L24" s="3619"/>
      <c r="M24" s="3619"/>
      <c r="N24" s="3619"/>
      <c r="O24" s="3620"/>
      <c r="P24" s="2014">
        <f>+P12+P16+P19</f>
        <v>1953092662</v>
      </c>
      <c r="Q24" s="2011"/>
      <c r="R24" s="2012"/>
      <c r="S24" s="2015"/>
      <c r="T24" s="2016">
        <f>SUM(T12:T23)</f>
        <v>1953092662</v>
      </c>
      <c r="U24" s="2017"/>
      <c r="V24" s="2018"/>
      <c r="W24" s="2018"/>
      <c r="X24" s="2018"/>
      <c r="Y24" s="2018"/>
      <c r="Z24" s="2018"/>
      <c r="AA24" s="2018"/>
      <c r="AB24" s="2018"/>
      <c r="AC24" s="2018"/>
      <c r="AD24" s="2018"/>
      <c r="AE24" s="2018"/>
      <c r="AF24" s="2018"/>
      <c r="AG24" s="2018"/>
      <c r="AH24" s="2018"/>
      <c r="AI24" s="2018"/>
      <c r="AJ24" s="2018"/>
      <c r="AK24" s="2018"/>
      <c r="AL24" s="2018"/>
      <c r="AM24" s="2019"/>
      <c r="AN24" s="2020"/>
      <c r="AO24" s="2021"/>
    </row>
    <row r="25" spans="1:49" x14ac:dyDescent="0.2">
      <c r="P25" s="2022"/>
    </row>
    <row r="26" spans="1:49" x14ac:dyDescent="0.2">
      <c r="P26" s="2024"/>
    </row>
    <row r="30" spans="1:49" ht="15.75" x14ac:dyDescent="0.25">
      <c r="K30" s="2025" t="s">
        <v>1850</v>
      </c>
      <c r="L30" s="2026"/>
      <c r="M30" s="2026"/>
    </row>
    <row r="31" spans="1:49" ht="15.75" x14ac:dyDescent="0.25">
      <c r="K31" s="621" t="s">
        <v>1851</v>
      </c>
      <c r="L31" s="621"/>
    </row>
  </sheetData>
  <sheetProtection password="A60F" sheet="1" objects="1" scenarios="1"/>
  <mergeCells count="118">
    <mergeCell ref="A1:AM4"/>
    <mergeCell ref="A5:K6"/>
    <mergeCell ref="N5:AO5"/>
    <mergeCell ref="N6:V6"/>
    <mergeCell ref="AM6:AO6"/>
    <mergeCell ref="A7:A8"/>
    <mergeCell ref="B7:C8"/>
    <mergeCell ref="D7:D8"/>
    <mergeCell ref="E7:E8"/>
    <mergeCell ref="F7:F8"/>
    <mergeCell ref="M7:M8"/>
    <mergeCell ref="N7:N8"/>
    <mergeCell ref="O7:O8"/>
    <mergeCell ref="P7:P8"/>
    <mergeCell ref="Q7:Q8"/>
    <mergeCell ref="R7:R8"/>
    <mergeCell ref="G7:G8"/>
    <mergeCell ref="H7:H8"/>
    <mergeCell ref="I7:I8"/>
    <mergeCell ref="J7:J8"/>
    <mergeCell ref="K7:K8"/>
    <mergeCell ref="L7:L8"/>
    <mergeCell ref="AC7:AH7"/>
    <mergeCell ref="AI7:AK7"/>
    <mergeCell ref="AL7:AL8"/>
    <mergeCell ref="AM7:AM8"/>
    <mergeCell ref="AN7:AN8"/>
    <mergeCell ref="AO7:AO8"/>
    <mergeCell ref="S7:S8"/>
    <mergeCell ref="T7:T8"/>
    <mergeCell ref="U7:U8"/>
    <mergeCell ref="V7:V8"/>
    <mergeCell ref="W7:X7"/>
    <mergeCell ref="Y7:AB7"/>
    <mergeCell ref="I12:I15"/>
    <mergeCell ref="J12:J15"/>
    <mergeCell ref="K12:K15"/>
    <mergeCell ref="L12:L15"/>
    <mergeCell ref="M12:M15"/>
    <mergeCell ref="N12:N15"/>
    <mergeCell ref="B10:C23"/>
    <mergeCell ref="D11:D16"/>
    <mergeCell ref="E11:E16"/>
    <mergeCell ref="F12:F16"/>
    <mergeCell ref="G12:G16"/>
    <mergeCell ref="H12:H15"/>
    <mergeCell ref="Z12:Z15"/>
    <mergeCell ref="AA12:AA15"/>
    <mergeCell ref="AB12:AB15"/>
    <mergeCell ref="AC12:AC15"/>
    <mergeCell ref="O12:O15"/>
    <mergeCell ref="P12:P15"/>
    <mergeCell ref="Q12:Q15"/>
    <mergeCell ref="R12:R13"/>
    <mergeCell ref="S12:S13"/>
    <mergeCell ref="W12:W15"/>
    <mergeCell ref="AP12:AP13"/>
    <mergeCell ref="R14:R15"/>
    <mergeCell ref="S14:S15"/>
    <mergeCell ref="D18:D23"/>
    <mergeCell ref="E18:E23"/>
    <mergeCell ref="G18:K18"/>
    <mergeCell ref="M18:S18"/>
    <mergeCell ref="U18:X18"/>
    <mergeCell ref="Y18:AB18"/>
    <mergeCell ref="AC18:AF18"/>
    <mergeCell ref="AJ12:AJ15"/>
    <mergeCell ref="AK12:AK15"/>
    <mergeCell ref="AL12:AL15"/>
    <mergeCell ref="AM12:AM15"/>
    <mergeCell ref="AN12:AN15"/>
    <mergeCell ref="AO12:AO15"/>
    <mergeCell ref="AD12:AD15"/>
    <mergeCell ref="AE12:AE15"/>
    <mergeCell ref="AF12:AF15"/>
    <mergeCell ref="AG12:AG15"/>
    <mergeCell ref="AH12:AH15"/>
    <mergeCell ref="AI12:AI15"/>
    <mergeCell ref="X12:X15"/>
    <mergeCell ref="Y12:Y15"/>
    <mergeCell ref="P19:P23"/>
    <mergeCell ref="Q19:Q23"/>
    <mergeCell ref="R19:R21"/>
    <mergeCell ref="S19:S20"/>
    <mergeCell ref="AG18:AJ18"/>
    <mergeCell ref="AK18:AL18"/>
    <mergeCell ref="AM18:AO18"/>
    <mergeCell ref="F19:G23"/>
    <mergeCell ref="H19:H23"/>
    <mergeCell ref="I19:I23"/>
    <mergeCell ref="J19:J23"/>
    <mergeCell ref="K19:K23"/>
    <mergeCell ref="L19:L23"/>
    <mergeCell ref="M19:M23"/>
    <mergeCell ref="AO19:AO23"/>
    <mergeCell ref="R22:R23"/>
    <mergeCell ref="S22:S23"/>
    <mergeCell ref="F24:O24"/>
    <mergeCell ref="AI19:AI23"/>
    <mergeCell ref="AJ19:AJ23"/>
    <mergeCell ref="AK19:AK23"/>
    <mergeCell ref="AL19:AL23"/>
    <mergeCell ref="AM19:AM23"/>
    <mergeCell ref="AN19:AN23"/>
    <mergeCell ref="AC19:AC23"/>
    <mergeCell ref="AD19:AD23"/>
    <mergeCell ref="AE19:AE23"/>
    <mergeCell ref="AF19:AF23"/>
    <mergeCell ref="AG19:AG23"/>
    <mergeCell ref="AH19:AH23"/>
    <mergeCell ref="W19:W23"/>
    <mergeCell ref="X19:X23"/>
    <mergeCell ref="Y19:Y23"/>
    <mergeCell ref="Z19:Z23"/>
    <mergeCell ref="AA19:AA23"/>
    <mergeCell ref="AB19:AB23"/>
    <mergeCell ref="N19:N23"/>
    <mergeCell ref="O19:O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PA ADMINISTRATIVA</vt:lpstr>
      <vt:lpstr>PA PLANEACION</vt:lpstr>
      <vt:lpstr>PA HACIENDA</vt:lpstr>
      <vt:lpstr>PA AGUAS INFRAESTRUCTURA</vt:lpstr>
      <vt:lpstr>PA INTERIOR</vt:lpstr>
      <vt:lpstr>PA CULTURA</vt:lpstr>
      <vt:lpstr>PA TURISMO</vt:lpstr>
      <vt:lpstr>PA AGRICULTURA</vt:lpstr>
      <vt:lpstr>PA PRIVADA</vt:lpstr>
      <vt:lpstr>PA EDUCACION</vt:lpstr>
      <vt:lpstr>PA FAMILIA</vt:lpstr>
      <vt:lpstr>PA REP JUDICIAL</vt:lpstr>
      <vt:lpstr>PA SALUD</vt:lpstr>
      <vt:lpstr>PA TIC</vt:lpstr>
      <vt:lpstr>PA INDEPORTES</vt:lpstr>
      <vt:lpstr>PA PROMOTORA</vt:lpstr>
      <vt:lpstr>PA IDTQ</vt:lpstr>
      <vt:lpstr>'PA PROMOTORA'!Área_de_impresión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2019-08-02T22:22:54Z</dcterms:created>
  <dcterms:modified xsi:type="dcterms:W3CDTF">2019-08-02T22:44:27Z</dcterms:modified>
</cp:coreProperties>
</file>