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7\SEGUIMIENTO PLAN DE DESARROLLO\SGTO PDD II TRIMESTRE DE 2017\PROGRAMACION INSTRUMENTOS II TRIMESTRE 2017\"/>
    </mc:Choice>
  </mc:AlternateContent>
  <bookViews>
    <workbookView xWindow="0" yWindow="0" windowWidth="24000" windowHeight="9135"/>
  </bookViews>
  <sheets>
    <sheet name="ADMINISTRATIVA" sheetId="1" r:id="rId1"/>
    <sheet name="PLANEACION" sheetId="2" r:id="rId2"/>
    <sheet name="HACIENDA" sheetId="3" r:id="rId3"/>
    <sheet name="AGUAS E INFRAESTRUTURA" sheetId="4" r:id="rId4"/>
    <sheet name="INTERIOR" sheetId="5" r:id="rId5"/>
    <sheet name="CULTURA" sheetId="6" r:id="rId6"/>
    <sheet name="TURISMO" sheetId="7" r:id="rId7"/>
    <sheet name="AGRICULTURA" sheetId="8" r:id="rId8"/>
    <sheet name="OFICINA PRIVADA" sheetId="9" r:id="rId9"/>
    <sheet name="EDUCACION" sheetId="18" r:id="rId10"/>
    <sheet name="FAMILIA" sheetId="10" r:id="rId11"/>
    <sheet name="REP JUDICIAL" sheetId="11" r:id="rId12"/>
    <sheet name="SALUD" sheetId="12" r:id="rId13"/>
    <sheet name="INDEPORTES" sheetId="13" r:id="rId14"/>
    <sheet name="PROMOTORA" sheetId="17" r:id="rId15"/>
    <sheet name="IDTQ" sheetId="15" r:id="rId16"/>
  </sheets>
  <externalReferences>
    <externalReference r:id="rId17"/>
    <externalReference r:id="rId18"/>
    <externalReference r:id="rId19"/>
    <externalReference r:id="rId20"/>
    <externalReference r:id="rId21"/>
    <externalReference r:id="rId22"/>
    <externalReference r:id="rId23"/>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8">#REF!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CODIGO_DIVIPOLA" localSheetId="7">#REF!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#REF!</definedName>
    <definedName name="CODIGO_DIVIPOLA">#REF!</definedName>
    <definedName name="DboREGISTRO_LEY_617" localSheetId="7">#REF!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#REF!</definedName>
    <definedName name="DboREGISTRO_LEY_617">#REF!</definedName>
    <definedName name="_xlnm.Print_Titles" localSheetId="7">AGRICULTURA!$1:$8</definedName>
    <definedName name="_xlnm.Print_Titles" localSheetId="3">'AGUAS E INFRAESTRUTURA'!$1:$8</definedName>
    <definedName name="_xlnm.Print_Titles" localSheetId="8">'OFICINA PRIVADA'!$1:$8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1" l="1"/>
  <c r="S16" i="11"/>
  <c r="V13" i="15" l="1"/>
  <c r="V12" i="15"/>
  <c r="Q14" i="15" s="1"/>
  <c r="R12" i="15"/>
  <c r="S22" i="17"/>
  <c r="O20" i="17"/>
  <c r="N20" i="17" s="1"/>
  <c r="O18" i="17"/>
  <c r="N18" i="17" s="1"/>
  <c r="O16" i="17"/>
  <c r="N16" i="17" s="1"/>
  <c r="O14" i="17"/>
  <c r="N14" i="17" s="1"/>
  <c r="O12" i="17"/>
  <c r="N12" i="17" s="1"/>
  <c r="Q55" i="13"/>
  <c r="R50" i="13"/>
  <c r="Q50" i="13" s="1"/>
  <c r="R40" i="13"/>
  <c r="Q47" i="13" s="1"/>
  <c r="R32" i="13"/>
  <c r="Q32" i="13" s="1"/>
  <c r="R28" i="13"/>
  <c r="Q28" i="13" s="1"/>
  <c r="R24" i="13"/>
  <c r="Q24" i="13" s="1"/>
  <c r="V21" i="13"/>
  <c r="V20" i="13"/>
  <c r="V19" i="13"/>
  <c r="AD172" i="12"/>
  <c r="AD178" i="12" s="1"/>
  <c r="AC172" i="12"/>
  <c r="AC178" i="12" s="1"/>
  <c r="AB172" i="12"/>
  <c r="AB178" i="12" s="1"/>
  <c r="AA172" i="12"/>
  <c r="AA178" i="12" s="1"/>
  <c r="Z172" i="12"/>
  <c r="Z178" i="12" s="1"/>
  <c r="Y172" i="12"/>
  <c r="Y178" i="12" s="1"/>
  <c r="Q163" i="12"/>
  <c r="Q161" i="12"/>
  <c r="V153" i="12"/>
  <c r="Q148" i="12"/>
  <c r="Q145" i="12"/>
  <c r="Q143" i="12"/>
  <c r="V136" i="12"/>
  <c r="V134" i="12"/>
  <c r="AJ133" i="12"/>
  <c r="AH133" i="12"/>
  <c r="AG133" i="12"/>
  <c r="AF133" i="12"/>
  <c r="AD133" i="12"/>
  <c r="AC133" i="12"/>
  <c r="AB133" i="12"/>
  <c r="AA133" i="12"/>
  <c r="Z133" i="12"/>
  <c r="Y133" i="12"/>
  <c r="V129" i="12"/>
  <c r="V128" i="12"/>
  <c r="V125" i="12"/>
  <c r="V124" i="12"/>
  <c r="V122" i="12"/>
  <c r="V120" i="12"/>
  <c r="V119" i="12"/>
  <c r="V113" i="12"/>
  <c r="V112" i="12"/>
  <c r="Q109" i="12"/>
  <c r="V108" i="12"/>
  <c r="V107" i="12"/>
  <c r="V106" i="12"/>
  <c r="V104" i="12"/>
  <c r="V103" i="12"/>
  <c r="V101" i="12"/>
  <c r="V98" i="12"/>
  <c r="Q93" i="12"/>
  <c r="AR90" i="12"/>
  <c r="Q90" i="12"/>
  <c r="Q85" i="12"/>
  <c r="AJ82" i="12"/>
  <c r="AJ90" i="12" s="1"/>
  <c r="AI82" i="12"/>
  <c r="AI90" i="12" s="1"/>
  <c r="AH82" i="12"/>
  <c r="AH90" i="12" s="1"/>
  <c r="AG82" i="12"/>
  <c r="AG90" i="12" s="1"/>
  <c r="AF82" i="12"/>
  <c r="AF90" i="12" s="1"/>
  <c r="AE82" i="12"/>
  <c r="AE90" i="12" s="1"/>
  <c r="AD82" i="12"/>
  <c r="AD90" i="12" s="1"/>
  <c r="AC82" i="12"/>
  <c r="AC90" i="12" s="1"/>
  <c r="AB82" i="12"/>
  <c r="AB90" i="12" s="1"/>
  <c r="AA82" i="12"/>
  <c r="AA90" i="12" s="1"/>
  <c r="Z82" i="12"/>
  <c r="Z90" i="12" s="1"/>
  <c r="Y82" i="12"/>
  <c r="Y90" i="12" s="1"/>
  <c r="Q82" i="12"/>
  <c r="V72" i="12"/>
  <c r="V71" i="12"/>
  <c r="V66" i="12"/>
  <c r="R66" i="12"/>
  <c r="V63" i="12"/>
  <c r="R63" i="12" s="1"/>
  <c r="Q60" i="12"/>
  <c r="Q57" i="12"/>
  <c r="Q54" i="12"/>
  <c r="AJ48" i="12"/>
  <c r="AI48" i="12"/>
  <c r="AH48" i="12"/>
  <c r="AG48" i="12"/>
  <c r="AF48" i="12"/>
  <c r="AE48" i="12"/>
  <c r="AD48" i="12"/>
  <c r="AC48" i="12"/>
  <c r="AB48" i="12"/>
  <c r="AA48" i="12"/>
  <c r="Z48" i="12"/>
  <c r="Y48" i="12"/>
  <c r="V48" i="12"/>
  <c r="R48" i="12" s="1"/>
  <c r="Q51" i="12" s="1"/>
  <c r="Q44" i="12"/>
  <c r="V42" i="12"/>
  <c r="Q41" i="12" s="1"/>
  <c r="V40" i="12"/>
  <c r="V38" i="12"/>
  <c r="V37" i="12"/>
  <c r="V36" i="12"/>
  <c r="V35" i="12"/>
  <c r="V33" i="12"/>
  <c r="Q30" i="12"/>
  <c r="Q28" i="12"/>
  <c r="V18" i="12"/>
  <c r="R18" i="12"/>
  <c r="Q19" i="12" s="1"/>
  <c r="S72" i="10"/>
  <c r="S71" i="10"/>
  <c r="S68" i="10"/>
  <c r="S63" i="10"/>
  <c r="O61" i="10" s="1"/>
  <c r="N61" i="10" s="1"/>
  <c r="S58" i="10"/>
  <c r="O58" i="10"/>
  <c r="N58" i="10" s="1"/>
  <c r="S55" i="10"/>
  <c r="S54" i="10"/>
  <c r="O54" i="10" s="1"/>
  <c r="N54" i="10" s="1"/>
  <c r="S51" i="10"/>
  <c r="O50" i="10" s="1"/>
  <c r="N50" i="10" s="1"/>
  <c r="S50" i="10"/>
  <c r="O48" i="10"/>
  <c r="N48" i="10" s="1"/>
  <c r="S46" i="10"/>
  <c r="S45" i="10"/>
  <c r="S43" i="10"/>
  <c r="S40" i="10"/>
  <c r="O32" i="10"/>
  <c r="N32" i="10" s="1"/>
  <c r="S30" i="10"/>
  <c r="S29" i="10"/>
  <c r="S23" i="10"/>
  <c r="O21" i="10" s="1"/>
  <c r="O18" i="10"/>
  <c r="N18" i="10" s="1"/>
  <c r="S12" i="10"/>
  <c r="O12" i="10" s="1"/>
  <c r="N12" i="10" s="1"/>
  <c r="V114" i="18"/>
  <c r="R114" i="18"/>
  <c r="R113" i="18"/>
  <c r="Q110" i="18"/>
  <c r="R108" i="18"/>
  <c r="Q108" i="18"/>
  <c r="V106" i="18"/>
  <c r="R106" i="18"/>
  <c r="R104" i="18"/>
  <c r="Q102" i="18"/>
  <c r="R101" i="18"/>
  <c r="Q101" i="18"/>
  <c r="R97" i="18"/>
  <c r="Q96" i="18"/>
  <c r="Q94" i="18"/>
  <c r="Q93" i="18"/>
  <c r="R92" i="18"/>
  <c r="Q92" i="18"/>
  <c r="Q88" i="18"/>
  <c r="Q87" i="18"/>
  <c r="Q86" i="18"/>
  <c r="Q85" i="18"/>
  <c r="R84" i="18"/>
  <c r="Q84" i="18"/>
  <c r="V78" i="18"/>
  <c r="V77" i="18"/>
  <c r="R77" i="18"/>
  <c r="Q75" i="18"/>
  <c r="Q73" i="18"/>
  <c r="Q72" i="18"/>
  <c r="R71" i="18"/>
  <c r="Q71" i="18"/>
  <c r="Q69" i="18"/>
  <c r="V68" i="18"/>
  <c r="Q68" i="18"/>
  <c r="V66" i="18"/>
  <c r="Q66" i="18"/>
  <c r="Q65" i="18"/>
  <c r="V60" i="18"/>
  <c r="Q60" i="18"/>
  <c r="V58" i="18"/>
  <c r="Q58" i="18"/>
  <c r="V57" i="18"/>
  <c r="Q57" i="18"/>
  <c r="Q56" i="18"/>
  <c r="Q55" i="18"/>
  <c r="R48" i="18"/>
  <c r="Q48" i="18"/>
  <c r="V39" i="18"/>
  <c r="R38" i="18"/>
  <c r="Q38" i="18"/>
  <c r="V35" i="18"/>
  <c r="R35" i="18"/>
  <c r="Q30" i="18"/>
  <c r="Q29" i="18"/>
  <c r="Q28" i="18"/>
  <c r="Q25" i="18"/>
  <c r="Q24" i="18"/>
  <c r="R23" i="18"/>
  <c r="Q23" i="18"/>
  <c r="Q21" i="18"/>
  <c r="V17" i="18"/>
  <c r="V16" i="18"/>
  <c r="Q16" i="18"/>
  <c r="V14" i="18"/>
  <c r="V13" i="18"/>
  <c r="V12" i="18"/>
  <c r="R12" i="18"/>
  <c r="Q12" i="18"/>
  <c r="T38" i="9"/>
  <c r="P38" i="9"/>
  <c r="T33" i="9"/>
  <c r="T32" i="9"/>
  <c r="T31" i="9"/>
  <c r="T30" i="9"/>
  <c r="P30" i="9"/>
  <c r="O30" i="9"/>
  <c r="P20" i="9"/>
  <c r="O20" i="9"/>
  <c r="T18" i="9"/>
  <c r="T17" i="9"/>
  <c r="T15" i="9"/>
  <c r="T14" i="9"/>
  <c r="T13" i="9"/>
  <c r="T12" i="9"/>
  <c r="P12" i="9"/>
  <c r="O12" i="9"/>
  <c r="T83" i="8"/>
  <c r="P83" i="8"/>
  <c r="T82" i="8"/>
  <c r="T81" i="8"/>
  <c r="O81" i="8"/>
  <c r="T79" i="8"/>
  <c r="O79" i="8"/>
  <c r="K79" i="8"/>
  <c r="T78" i="8"/>
  <c r="T77" i="8"/>
  <c r="O77" i="8"/>
  <c r="T75" i="8"/>
  <c r="T74" i="8"/>
  <c r="O74" i="8"/>
  <c r="T72" i="8"/>
  <c r="P72" i="8"/>
  <c r="O72" i="8"/>
  <c r="T68" i="8"/>
  <c r="O68" i="8"/>
  <c r="AM67" i="8"/>
  <c r="T67" i="8"/>
  <c r="O67" i="8"/>
  <c r="T66" i="8"/>
  <c r="P66" i="8"/>
  <c r="O66" i="8"/>
  <c r="T64" i="8"/>
  <c r="O64" i="8"/>
  <c r="T63" i="8"/>
  <c r="O63" i="8"/>
  <c r="T62" i="8"/>
  <c r="O62" i="8"/>
  <c r="T61" i="8"/>
  <c r="O61" i="8"/>
  <c r="T59" i="8"/>
  <c r="P59" i="8"/>
  <c r="O59" i="8"/>
  <c r="O58" i="8"/>
  <c r="O55" i="8"/>
  <c r="T52" i="8"/>
  <c r="T51" i="8"/>
  <c r="T50" i="8"/>
  <c r="P50" i="8"/>
  <c r="O50" i="8"/>
  <c r="O48" i="8"/>
  <c r="O45" i="8"/>
  <c r="O43" i="8"/>
  <c r="O42" i="8"/>
  <c r="O38" i="8"/>
  <c r="O37" i="8"/>
  <c r="T36" i="8"/>
  <c r="O36" i="8"/>
  <c r="O35" i="8"/>
  <c r="T34" i="8"/>
  <c r="T33" i="8"/>
  <c r="T32" i="8"/>
  <c r="T31" i="8"/>
  <c r="P31" i="8"/>
  <c r="O31" i="8"/>
  <c r="T29" i="8"/>
  <c r="P28" i="8"/>
  <c r="O28" i="8"/>
  <c r="T26" i="8"/>
  <c r="O26" i="8"/>
  <c r="T25" i="8"/>
  <c r="O25" i="8"/>
  <c r="O23" i="8"/>
  <c r="I23" i="8"/>
  <c r="T22" i="8"/>
  <c r="O22" i="8"/>
  <c r="I22" i="8"/>
  <c r="O21" i="8"/>
  <c r="I21" i="8"/>
  <c r="T20" i="8"/>
  <c r="O20" i="8"/>
  <c r="I20" i="8"/>
  <c r="T19" i="8"/>
  <c r="O19" i="8"/>
  <c r="I19" i="8"/>
  <c r="P17" i="8"/>
  <c r="O17" i="8"/>
  <c r="I17" i="8"/>
  <c r="V126" i="7"/>
  <c r="R126" i="7"/>
  <c r="V118" i="7"/>
  <c r="R118" i="7"/>
  <c r="Q118" i="7"/>
  <c r="V113" i="7"/>
  <c r="V110" i="7"/>
  <c r="V108" i="7"/>
  <c r="V106" i="7"/>
  <c r="V103" i="7"/>
  <c r="R103" i="7"/>
  <c r="Q103" i="7"/>
  <c r="V99" i="7"/>
  <c r="Q99" i="7"/>
  <c r="V93" i="7"/>
  <c r="R93" i="7"/>
  <c r="Q93" i="7"/>
  <c r="V85" i="7"/>
  <c r="Q85" i="7"/>
  <c r="V81" i="7"/>
  <c r="Q81" i="7"/>
  <c r="V75" i="7"/>
  <c r="R75" i="7"/>
  <c r="Q75" i="7"/>
  <c r="V67" i="7"/>
  <c r="Q67" i="7"/>
  <c r="V61" i="7"/>
  <c r="Q61" i="7"/>
  <c r="V54" i="7"/>
  <c r="Q54" i="7"/>
  <c r="V48" i="7"/>
  <c r="R48" i="7"/>
  <c r="Q48" i="7"/>
  <c r="Q41" i="7"/>
  <c r="V40" i="7"/>
  <c r="V32" i="7"/>
  <c r="Q32" i="7"/>
  <c r="V28" i="7"/>
  <c r="V24" i="7"/>
  <c r="R24" i="7"/>
  <c r="Q24" i="7"/>
  <c r="V19" i="7"/>
  <c r="R19" i="7"/>
  <c r="Q19" i="7"/>
  <c r="V14" i="7"/>
  <c r="R14" i="7"/>
  <c r="Q14" i="7"/>
  <c r="V33" i="6"/>
  <c r="R33" i="6"/>
  <c r="V32" i="6"/>
  <c r="Q32" i="6"/>
  <c r="V31" i="6"/>
  <c r="R31" i="6"/>
  <c r="Q31" i="6"/>
  <c r="V28" i="6"/>
  <c r="R28" i="6"/>
  <c r="Q28" i="6"/>
  <c r="V25" i="6"/>
  <c r="V24" i="6"/>
  <c r="V23" i="6"/>
  <c r="R23" i="6"/>
  <c r="Q23" i="6"/>
  <c r="V19" i="6"/>
  <c r="R19" i="6"/>
  <c r="Q19" i="6"/>
  <c r="V17" i="6"/>
  <c r="Q17" i="6"/>
  <c r="V16" i="6"/>
  <c r="Q16" i="6"/>
  <c r="V15" i="6"/>
  <c r="R15" i="6"/>
  <c r="Q15" i="6"/>
  <c r="V13" i="6"/>
  <c r="R13" i="6"/>
  <c r="Q13" i="6"/>
  <c r="V156" i="5"/>
  <c r="R156" i="5"/>
  <c r="R151" i="5"/>
  <c r="R143" i="5"/>
  <c r="Q139" i="5"/>
  <c r="Q132" i="5"/>
  <c r="R127" i="5"/>
  <c r="Q127" i="5"/>
  <c r="Q124" i="5"/>
  <c r="R121" i="5"/>
  <c r="Q121" i="5"/>
  <c r="Q113" i="5"/>
  <c r="Q111" i="5"/>
  <c r="Q105" i="5"/>
  <c r="Q102" i="5"/>
  <c r="R100" i="5"/>
  <c r="Q100" i="5"/>
  <c r="Q93" i="5"/>
  <c r="R91" i="5"/>
  <c r="Q91" i="5"/>
  <c r="Q84" i="5"/>
  <c r="Q80" i="5"/>
  <c r="R78" i="5"/>
  <c r="Q78" i="5"/>
  <c r="Q72" i="5"/>
  <c r="Q70" i="5"/>
  <c r="Q66" i="5"/>
  <c r="Q64" i="5"/>
  <c r="R57" i="5"/>
  <c r="Q57" i="5"/>
  <c r="Q54" i="5"/>
  <c r="Q50" i="5"/>
  <c r="Q44" i="5"/>
  <c r="R42" i="5"/>
  <c r="Q42" i="5"/>
  <c r="Q36" i="5"/>
  <c r="Q20" i="5"/>
  <c r="Q16" i="5"/>
  <c r="Q15" i="5"/>
  <c r="Q14" i="5"/>
  <c r="R13" i="5"/>
  <c r="Q13" i="5"/>
  <c r="V95" i="4"/>
  <c r="R95" i="4"/>
  <c r="Q93" i="4"/>
  <c r="Q92" i="4"/>
  <c r="V91" i="4"/>
  <c r="Q91" i="4"/>
  <c r="V90" i="4"/>
  <c r="Q90" i="4"/>
  <c r="Q89" i="4"/>
  <c r="V85" i="4"/>
  <c r="Q85" i="4"/>
  <c r="Q83" i="4"/>
  <c r="V78" i="4"/>
  <c r="R78" i="4"/>
  <c r="Q78" i="4"/>
  <c r="V76" i="4"/>
  <c r="V75" i="4"/>
  <c r="Q75" i="4"/>
  <c r="V73" i="4"/>
  <c r="V72" i="4"/>
  <c r="V71" i="4"/>
  <c r="V70" i="4"/>
  <c r="V69" i="4"/>
  <c r="Q69" i="4"/>
  <c r="V67" i="4"/>
  <c r="V66" i="4"/>
  <c r="V65" i="4"/>
  <c r="V64" i="4"/>
  <c r="V63" i="4"/>
  <c r="R63" i="4"/>
  <c r="Q63" i="4"/>
  <c r="AJ52" i="4"/>
  <c r="AE52" i="4"/>
  <c r="X52" i="4"/>
  <c r="AJ44" i="4"/>
  <c r="AI44" i="4"/>
  <c r="AG44" i="4"/>
  <c r="AF44" i="4"/>
  <c r="AE44" i="4"/>
  <c r="X44" i="4"/>
  <c r="R44" i="4"/>
  <c r="AJ36" i="4"/>
  <c r="AF36" i="4"/>
  <c r="AE36" i="4"/>
  <c r="X36" i="4"/>
  <c r="V36" i="4"/>
  <c r="AJ28" i="4"/>
  <c r="AF28" i="4"/>
  <c r="AE28" i="4"/>
  <c r="V28" i="4"/>
  <c r="V12" i="4"/>
  <c r="R12" i="4"/>
  <c r="V26" i="3"/>
  <c r="R26" i="3"/>
  <c r="V24" i="3"/>
  <c r="Q24" i="3"/>
  <c r="R23" i="3"/>
  <c r="Q23" i="3"/>
  <c r="V22" i="3"/>
  <c r="V21" i="3"/>
  <c r="V20" i="3"/>
  <c r="V19" i="3"/>
  <c r="V18" i="3"/>
  <c r="V17" i="3"/>
  <c r="Q17" i="3"/>
  <c r="V16" i="3"/>
  <c r="V15" i="3"/>
  <c r="V14" i="3"/>
  <c r="Q14" i="3"/>
  <c r="V13" i="3"/>
  <c r="V12" i="3"/>
  <c r="R12" i="3"/>
  <c r="Q12" i="3"/>
  <c r="V97" i="2"/>
  <c r="V96" i="2"/>
  <c r="V94" i="2"/>
  <c r="R94" i="2"/>
  <c r="Q93" i="2"/>
  <c r="Q92" i="2"/>
  <c r="Q91" i="2"/>
  <c r="Q90" i="2"/>
  <c r="R88" i="2"/>
  <c r="Q88" i="2"/>
  <c r="Q87" i="2"/>
  <c r="Q86" i="2"/>
  <c r="Q85" i="2"/>
  <c r="Q84" i="2"/>
  <c r="V82" i="2"/>
  <c r="V81" i="2"/>
  <c r="V80" i="2"/>
  <c r="R78" i="2"/>
  <c r="V74" i="2"/>
  <c r="V73" i="2"/>
  <c r="V72" i="2"/>
  <c r="V71" i="2"/>
  <c r="R64" i="2"/>
  <c r="V63" i="2"/>
  <c r="V62" i="2"/>
  <c r="R61" i="2"/>
  <c r="R52" i="2"/>
  <c r="Q52" i="2"/>
  <c r="V51" i="2"/>
  <c r="R51" i="2"/>
  <c r="Q51" i="2"/>
  <c r="R50" i="2"/>
  <c r="Q50" i="2"/>
  <c r="R49" i="2"/>
  <c r="Q49" i="2"/>
  <c r="R46" i="2"/>
  <c r="Q46" i="2"/>
  <c r="V43" i="2"/>
  <c r="V42" i="2"/>
  <c r="V41" i="2"/>
  <c r="V40" i="2"/>
  <c r="V39" i="2"/>
  <c r="V38" i="2"/>
  <c r="V37" i="2"/>
  <c r="V35" i="2"/>
  <c r="V33" i="2"/>
  <c r="R33" i="2"/>
  <c r="V27" i="1"/>
  <c r="R27" i="1"/>
  <c r="V26" i="1"/>
  <c r="Q26" i="1"/>
  <c r="V25" i="1"/>
  <c r="Q25" i="1"/>
  <c r="Q24" i="1"/>
  <c r="Q23" i="1"/>
  <c r="R22" i="1"/>
  <c r="Q22" i="1"/>
  <c r="Q21" i="1"/>
  <c r="Q19" i="1"/>
  <c r="V17" i="1"/>
  <c r="V15" i="1"/>
  <c r="V13" i="1"/>
  <c r="Q13" i="1"/>
  <c r="Q12" i="1"/>
  <c r="Q12" i="15" l="1"/>
  <c r="V16" i="15"/>
  <c r="Q15" i="15"/>
  <c r="R16" i="15"/>
  <c r="O22" i="17"/>
  <c r="R19" i="13"/>
  <c r="Q22" i="13" s="1"/>
  <c r="Q40" i="13"/>
  <c r="R57" i="13"/>
  <c r="V57" i="13"/>
  <c r="Q19" i="13"/>
  <c r="Q35" i="13"/>
  <c r="Q44" i="13"/>
  <c r="Q37" i="13"/>
  <c r="R133" i="12"/>
  <c r="Q66" i="12"/>
  <c r="R122" i="12"/>
  <c r="Q21" i="12"/>
  <c r="Q48" i="12"/>
  <c r="Q106" i="12"/>
  <c r="R128" i="12"/>
  <c r="R191" i="12" s="1"/>
  <c r="Q71" i="12"/>
  <c r="R97" i="12"/>
  <c r="Q97" i="12" s="1"/>
  <c r="Q18" i="12"/>
  <c r="Q112" i="12"/>
  <c r="AB97" i="12"/>
  <c r="Q33" i="12"/>
  <c r="AJ97" i="12"/>
  <c r="AJ106" i="12" s="1"/>
  <c r="V191" i="12"/>
  <c r="V195" i="12" s="1"/>
  <c r="Q36" i="12"/>
  <c r="AF97" i="12"/>
  <c r="AF106" i="12" s="1"/>
  <c r="Q119" i="12"/>
  <c r="AC97" i="12"/>
  <c r="Z97" i="12"/>
  <c r="AD97" i="12"/>
  <c r="AH97" i="12"/>
  <c r="Y97" i="12"/>
  <c r="AG97" i="12"/>
  <c r="AA97" i="12"/>
  <c r="AE97" i="12"/>
  <c r="AI97" i="12"/>
  <c r="Q99" i="12"/>
  <c r="Q136" i="12"/>
  <c r="Q133" i="12"/>
  <c r="Q49" i="12"/>
  <c r="O45" i="10"/>
  <c r="O27" i="10"/>
  <c r="N28" i="10" s="1"/>
  <c r="S73" i="10"/>
  <c r="O40" i="10"/>
  <c r="N24" i="10"/>
  <c r="N25" i="10"/>
  <c r="N21" i="10"/>
  <c r="N45" i="10"/>
  <c r="N29" i="10"/>
  <c r="N15" i="10"/>
  <c r="O67" i="10"/>
  <c r="Q101" i="12" l="1"/>
  <c r="AE106" i="12"/>
  <c r="AG106" i="12"/>
  <c r="AH106" i="12"/>
  <c r="AI106" i="12"/>
  <c r="N27" i="10"/>
  <c r="O73" i="10"/>
  <c r="N70" i="10"/>
  <c r="N67" i="10"/>
  <c r="N72" i="10"/>
  <c r="N71" i="10"/>
</calcChain>
</file>

<file path=xl/sharedStrings.xml><?xml version="1.0" encoding="utf-8"?>
<sst xmlns="http://schemas.openxmlformats.org/spreadsheetml/2006/main" count="3513" uniqueCount="2001">
  <si>
    <t xml:space="preserve">CODIGO:  </t>
  </si>
  <si>
    <t xml:space="preserve">VERSIÓN: </t>
  </si>
  <si>
    <t>SECRETARIA ADMINISTRATIVA</t>
  </si>
  <si>
    <t xml:space="preserve">FECHA: </t>
  </si>
  <si>
    <t>PÁGINA:</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</si>
  <si>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</si>
  <si>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</si>
  <si>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</si>
  <si>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</si>
  <si>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</si>
  <si>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</si>
  <si>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</si>
  <si>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</si>
  <si>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</si>
  <si>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</si>
  <si>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</si>
  <si>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</si>
  <si>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</si>
  <si>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</si>
  <si>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</si>
  <si>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</si>
  <si>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</si>
  <si>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</si>
  <si>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</si>
  <si>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</si>
  <si>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</si>
  <si>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</si>
  <si>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</si>
  <si>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0-6</t>
  </si>
  <si>
    <t>7-14</t>
  </si>
  <si>
    <t>15-17</t>
  </si>
  <si>
    <t>18-26</t>
  </si>
  <si>
    <t>27-59</t>
  </si>
  <si>
    <t xml:space="preserve">60  Y MAS </t>
  </si>
  <si>
    <t>COMUNIDAD AFRO- Y LGBTI</t>
  </si>
  <si>
    <t xml:space="preserve">COMUNIDAD INDIGENA </t>
  </si>
  <si>
    <t>REINSERCCION</t>
  </si>
  <si>
    <t>VICTIMA</t>
  </si>
  <si>
    <t>DISCAPACIDAD</t>
  </si>
  <si>
    <t>ADULTO MAYOR</t>
  </si>
  <si>
    <t>P</t>
  </si>
  <si>
    <t>PRESUPUESTADO</t>
  </si>
  <si>
    <t>BUEN GOBIERNO</t>
  </si>
  <si>
    <t>GESTIÓN TERRIITORIAL</t>
  </si>
  <si>
    <t>MODERNIZACIÓN TECNOLOGICA Y ADMINISTRATIVA</t>
  </si>
  <si>
    <t>Virtualizar ocho (8) trámites de la administración departamental a través de Gobierno en Línea</t>
  </si>
  <si>
    <t>0304 - 5 - 3 1 5 28 89 17 1 - 20</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</si>
  <si>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</si>
  <si>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</si>
  <si>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</si>
  <si>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</si>
  <si>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Recurso Ordinario</t>
  </si>
  <si>
    <t>Catalina Gomez Restrepo Secretaria Administrativa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</si>
  <si>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</si>
  <si>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</si>
  <si>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</si>
  <si>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 para la vigencia  2017 . 
</t>
  </si>
  <si>
    <t>Formular e implementar un programa de seguridad y salud en el trabajo</t>
  </si>
  <si>
    <t>Formulación y aprobación del plan anual de trabajo de seguridad de salud en el trabajo, por medio de acto administrativo</t>
  </si>
  <si>
    <t>Recurso Ordinarios</t>
  </si>
  <si>
    <t>Desarrollo y Ejecución de actividades de Seguridad y Salud en el Trabajo, de conformidad con el Plan anual de Trabajo de seguridad y salud en el trabajo aprobado</t>
  </si>
  <si>
    <t>Formular e implementar  un plan institucional de capacitación</t>
  </si>
  <si>
    <t>Formulación y aprobación del plan institucional de capacitación, por medio de acto administrativo</t>
  </si>
  <si>
    <t>Desarrollo y Ejecución de actividades de capacitaciones, de conformidad con el Plan institucional de capacitaciones</t>
  </si>
  <si>
    <t>Formular e implementar el plan de bienestar social</t>
  </si>
  <si>
    <t>Formulación y aprobación  del plan de bienestar social por medio de acto administrativo</t>
  </si>
  <si>
    <t>Desarrollo y Ejecución de actividades de Bienestar Social, de conformidad con el Plan de Bienestar social aprobado</t>
  </si>
  <si>
    <t>Fortalecer el programa de  infraestructura tecnológica de la  Administración Departamental (hadware, aplicativos, redes, y capacitación)</t>
  </si>
  <si>
    <t>0304 - 5 - 3 1 5 28 89 17 3 - 20</t>
  </si>
  <si>
    <t>Actualización de la infraestructura tecnológica de la Gobernación del Quindío</t>
  </si>
  <si>
    <t>Apoyar el programa de  infraestructura tecnológica de la  Administración Departamental ( hadware, aplicativos, redes, y capacitación</t>
  </si>
  <si>
    <t>Compra o adquisicion de hardware</t>
  </si>
  <si>
    <t xml:space="preserve"> </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</si>
  <si>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</si>
  <si>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</si>
  <si>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0304 - 5 - 3 1 5 28 89 17 4 - 20</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</si>
  <si>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</si>
  <si>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</si>
  <si>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</si>
  <si>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</si>
  <si>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Adquirir e implementar un (1) software para la sistematización de las historias laborales del Fondo Territorial de Pensiones del departamento</t>
  </si>
  <si>
    <t>NO.</t>
  </si>
  <si>
    <t>0304 - 5 - 3 1 5 28 89 17 5 - 20</t>
  </si>
  <si>
    <t>Implementación de un programa  de  modernización de la gestión administrativa en el Departamento del Quindio</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</si>
  <si>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</si>
  <si>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</si>
  <si>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.Adquisición software para la sistematización de las historias laborales del fondo territorial de pensiones del departamento </t>
  </si>
  <si>
    <t>71953</t>
  </si>
  <si>
    <t>Implementar un programa de actualización y registro de los bienes de propiedad del departamento</t>
  </si>
  <si>
    <t xml:space="preserve">. Implementar un programa de actualización y registro de los bienes de propiedad del departamento   </t>
  </si>
  <si>
    <t xml:space="preserve">Realizar un (1) estudio de modernización administrativa en el departamento </t>
  </si>
  <si>
    <t>0304 - 5 - 3 1 5 28 89 17 5 - 88</t>
  </si>
  <si>
    <t xml:space="preserve">Realizar un (1) estudio de modernización administrativa en el departamento   </t>
  </si>
  <si>
    <t xml:space="preserve">
88</t>
  </si>
  <si>
    <t xml:space="preserve">
Supéravit Recurso Ordinario</t>
  </si>
  <si>
    <t>Implementar un (1) programa de modernización de la gestión documental en el departamento</t>
  </si>
  <si>
    <t xml:space="preserve"> Implementar un (1) programa de modernización de la gestión documental en el departamento  </t>
  </si>
  <si>
    <t>Adquirir  un (1) bien inmueble para adelantar acciones de cara al servicio de la comunidad</t>
  </si>
  <si>
    <t>TOTALES</t>
  </si>
  <si>
    <t>CATALINA GOMEZ RESTREPO</t>
  </si>
  <si>
    <t>Quindío Transparente y Legal</t>
  </si>
  <si>
    <t>Quindío Ejemplar y Legal</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</si>
  <si>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</si>
  <si>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</si>
  <si>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</si>
  <si>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</si>
  <si>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</si>
  <si>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</si>
  <si>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 xml:space="preserve"> 15/02/2017</t>
  </si>
  <si>
    <t>Alvaro Arias Young 
Secretario Planeación Departamental</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</si>
  <si>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</si>
  <si>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</si>
  <si>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</si>
  <si>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</si>
  <si>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</si>
  <si>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</si>
  <si>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</si>
  <si>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</si>
  <si>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</si>
  <si>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</si>
  <si>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</si>
  <si>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</si>
  <si>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</si>
  <si>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</si>
  <si>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</si>
  <si>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</si>
  <si>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</si>
  <si>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</si>
  <si>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</si>
  <si>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</si>
  <si>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</si>
  <si>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</si>
  <si>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</si>
  <si>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</si>
  <si>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Video ejecutorias  administración departamental vigencia 2016 (DESARROLLO SOSTENIBLE,PROSPERIDAD CON EQUIDAD,  INCLUSION SOCIAL,SEGURIDAD HUMANA Y BUEN GOBIERNO</t>
  </si>
  <si>
    <t xml:space="preserve">Diseño y edición periodico </t>
  </si>
  <si>
    <t xml:space="preserve">Sonido  Rendición de Cuentas </t>
  </si>
  <si>
    <t xml:space="preserve">2.400 refrigerios para el proceso de Rendición Pública de Cuentas </t>
  </si>
  <si>
    <t>Poder Ciudadano</t>
  </si>
  <si>
    <t>Quindío si a la participación</t>
  </si>
  <si>
    <t xml:space="preserve">Fortalecer  técnica y logísticamente al  Consejo Territorial de Planeación  Departamental  </t>
  </si>
  <si>
    <t>0305 - 5 - 3 1 5 27 85 16 7 - 20
0305 - 5 - 3 1 5 27 85 16 7 - 88</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</si>
  <si>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</si>
  <si>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</si>
  <si>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</si>
  <si>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</si>
  <si>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20
88</t>
  </si>
  <si>
    <t>Recurso Ordinario
Superavit Recurso Ordinario</t>
  </si>
  <si>
    <t xml:space="preserve"> XI Encuentro CTP, traslados de ida y vuelta desde su lugar de origen Plaza de Bolívar del Municipio de Armenia hasta el Municipio de Circasia, (Suministro de alimentación, alojamiento)</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</si>
  <si>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</si>
  <si>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</si>
  <si>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Traslados aéreos, terrestres e internos, alojamiento y alimentación para Consejeros del Sistema Nacional de Planeación en los días que sean acordados por el contratante.</t>
  </si>
  <si>
    <t xml:space="preserve">Fortalecer el Consejo Territorial de Planeación Departamental, a través   de la estrategia de comunicaciones </t>
  </si>
  <si>
    <t>Comunicación externa , radio de interés público y comunitaria</t>
  </si>
  <si>
    <t>Comunicación externa , prensa escrita</t>
  </si>
  <si>
    <t xml:space="preserve"> Comunicación externa televisión</t>
  </si>
  <si>
    <t>Comunicación y estrategias instiotucionales, compra equipo de computo y escaner</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</si>
  <si>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</si>
  <si>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</si>
  <si>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</si>
  <si>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Impresos</t>
  </si>
  <si>
    <t>Gestión Territorial</t>
  </si>
  <si>
    <t xml:space="preserve">Los instrumentos  de planificación como  ruta para el cumplimiento de la gestión pública  </t>
  </si>
  <si>
    <t>Diseñar e implementar el Plan de Ordenamiento del Departamento del Quindio.</t>
  </si>
  <si>
    <t>0305 - 5 - 3 1 5 28 87 17 9 - 20
0305 - 5 - 3 1 5 28 87 17 9 - 88</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</si>
  <si>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</si>
  <si>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</si>
  <si>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</si>
  <si>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Fortalecimiento de las Directrices MOD</t>
  </si>
  <si>
    <t>31/06/2017</t>
  </si>
  <si>
    <t>Compilacion, Alimentacion y analisis permanente del MOD, producidos Vs MOD</t>
  </si>
  <si>
    <t>Analisis de Informacion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</si>
  <si>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</si>
  <si>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</si>
  <si>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</si>
  <si>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(1) Sistema de Información geo referenciado para el ordenamiento social  y económico del territorio rural</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</si>
  <si>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</si>
  <si>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</si>
  <si>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</si>
  <si>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</si>
  <si>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</si>
  <si>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</si>
  <si>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</si>
  <si>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</si>
  <si>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</si>
  <si>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</si>
  <si>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</si>
  <si>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</si>
  <si>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</si>
  <si>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Instrumento para el seguimiento de los 173 problemas identificados para el departamento en relación a los ODS. (Incluye la revisión y depuración de los indicadores y de las fuentes de información; así como su actualización por desagregación geográfica y vital)</t>
  </si>
  <si>
    <t>Instrumento para el seguimiento de las metas de resultado del Plan de Desarrollo en relación a los ODS. (Incluye la revisión y depuración de los indicadores y de las fuentes de información; así como su actualización por desagregación geográfica y vital)</t>
  </si>
  <si>
    <t>Análisis de la información recolectada para la actualización de las metas de resultados, los problemas del departamento y los ODS que complementan el Observatorio de Desarrollo Humano. (1 informe semestral y 1 informe Anual)</t>
  </si>
  <si>
    <t>Dar a conocer de forma dinámica los avances del departamento en materia de Desarrollo Humano para contribuir en el conocimiento de las dinámicas sociales, económicas y humanas presentes.</t>
  </si>
  <si>
    <t>Estructuración y cargue de los datos y reportes que se incluirán en el sistema de información de acuerdo con los formatos definidos  y de los sistemas de georeferenciación</t>
  </si>
  <si>
    <t>Gobierno en Línea</t>
  </si>
  <si>
    <t xml:space="preserve">Asistencia técnica a los 12 municipios del departamento </t>
  </si>
  <si>
    <t>Asistencia en el mejoramiento de la capacidad técnica en materia de datos a los funcionarios del CAD</t>
  </si>
  <si>
    <t>Diseñar e implementar el tablero de control  para el seguimiento y evaluación del Plan de Desarrollo  y   políticas públicas  Departamentales</t>
  </si>
  <si>
    <t>0305 - 5 - 3 1 5 28 87 17 11 - 20
0305 - 5 - 3 1 5 28 87 17 11 - 88</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</si>
  <si>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</si>
  <si>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</si>
  <si>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</si>
  <si>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Definición de metas estratégicas por  el gobierno departamental a diciembre 2017</t>
  </si>
  <si>
    <t>Recurso Ordinario 
Superavit Recurso Ordinario</t>
  </si>
  <si>
    <t>Seguimiento, control  y evaluación de metas estratégicas periódo administrativo 2017</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</si>
  <si>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</si>
  <si>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Implementación  del tablero de  control con metodología y tecnología</t>
  </si>
  <si>
    <t xml:space="preserve">Diseñar e implementar la  Fábrica de Proyectos de Inversión en el Departamento del Quindío </t>
  </si>
  <si>
    <t>0305 - 5 - 3 1 5 28 87 17 12 - 20
0305 - 5 - 3 1 5 28 87 17 12 - 88</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</si>
  <si>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</si>
  <si>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</si>
  <si>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Brindar capacitación y asistencia técnica proyectos Sistema General de Regalias  </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</si>
  <si>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</si>
  <si>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</si>
  <si>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</si>
  <si>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 social </t>
  </si>
  <si>
    <t xml:space="preserve">Asistencia Técnica  formulación Metodología General Ajustada MGA, gestión de insumos para el cumplimiento de requisitos mínimos,  revisión  de proyectos componente Ambiental </t>
  </si>
  <si>
    <t>Seguimiento y evaluación ejecución  proyectos de inversión Sistema General de Regalias (mensuales)</t>
  </si>
  <si>
    <t xml:space="preserve">Socialización de Informes Consejo de Gobierno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</si>
  <si>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</si>
  <si>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</si>
  <si>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</si>
  <si>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</si>
  <si>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</si>
  <si>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Asistencia técnica en la formulación, ajuste, seguimiento y  evaluación de proyectos del presupuesto general del departamento </t>
  </si>
  <si>
    <t xml:space="preserve">a) Formulación, ajustes, seguimiento y   evaluación    proyectos de Inversión vigencia   2017 y 2018  . b) Trámites de ejecución y rendición de informes </t>
  </si>
  <si>
    <t xml:space="preserve">Realizacion de estduios de prefactibilidad para lagestión  de recursos de cofinanciación </t>
  </si>
  <si>
    <t xml:space="preserve">Estudios de preinversión  Departamento del Quindio </t>
  </si>
  <si>
    <t xml:space="preserve">Asistencia técnica   proyectos de cooperación a través de la Casa Delegada </t>
  </si>
  <si>
    <t>Asistencia -Casa Delegada</t>
  </si>
  <si>
    <t xml:space="preserve">Actualizar el Sistema Integrado de Gestión Administrativa SIGA del departamento del Quindío </t>
  </si>
  <si>
    <t>0305 - 5 - 3 1 5 28 87 17 13 - 20
0305 - 5 - 3 1 5 28 87 17 13 - 88</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</si>
  <si>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</si>
  <si>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2017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</si>
  <si>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</si>
  <si>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</si>
  <si>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Brindar asistencia técnica en los procesos de    ajuste y actualización procedimientos    Sistema Integrado de Gestión Administrativa</t>
  </si>
  <si>
    <t xml:space="preserve"> 46  Asistencia Procesos Estratégicos  (Gestión Gerencial y Planificación)</t>
  </si>
  <si>
    <t xml:space="preserve">139 Asistencia Técnica Procesos Misionales (Salud  y Educación) </t>
  </si>
  <si>
    <t xml:space="preserve">Rrevisión, consolidación y ajustes  de 323  procesos </t>
  </si>
  <si>
    <t xml:space="preserve">3.350 Fotocopias </t>
  </si>
  <si>
    <t>138 Procesos de apoyo a Hcienda üblica Gestión Administrativa, Representación Jurídica y Defensa Judicial</t>
  </si>
  <si>
    <t xml:space="preserve">Implementar el Comité  de Planificación  Departamental   </t>
  </si>
  <si>
    <t>0305 - 5 - 3 1 5 28 87 17 14 - 20
0305 - 5 - 3 1 5 28 87 17 14 - 88</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</si>
  <si>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</si>
  <si>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2017 .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</si>
  <si>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</si>
  <si>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</si>
  <si>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</si>
  <si>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</si>
  <si>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</si>
  <si>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</si>
  <si>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</si>
  <si>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</si>
  <si>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</si>
  <si>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</si>
  <si>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</si>
  <si>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</si>
  <si>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</si>
  <si>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</si>
  <si>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</si>
  <si>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Transporte</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</si>
  <si>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</si>
  <si>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</si>
  <si>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</si>
  <si>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</si>
  <si>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inversuin</t>
  </si>
  <si>
    <t xml:space="preserve">ALVARO ARIAS YOUNG </t>
  </si>
  <si>
    <t xml:space="preserve">SECRETARIO DE PLANEACION DEPARTAMENTAL </t>
  </si>
  <si>
    <t>0-5</t>
  </si>
  <si>
    <t>Implementar 4 procesos de fiscalización de las Rentas Departamentales</t>
  </si>
  <si>
    <t>Nro.</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</si>
  <si>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</si>
  <si>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vigencia 2017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</si>
  <si>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  
</t>
  </si>
  <si>
    <r>
      <t xml:space="preserve">Realizar  4 procesos de fiscalizaciòn  en los impuestos de </t>
    </r>
    <r>
      <rPr>
        <sz val="10"/>
        <color theme="1"/>
        <rFont val="Arial"/>
        <family val="2"/>
      </rPr>
      <t xml:space="preserve">vehículos automotores,I.S.V.A, registro, emtampilla y  al consumo y el monopolio de licores destilados y alcoholes potables en el Deprtamento del Quindio  </t>
    </r>
  </si>
  <si>
    <t>132
15
20
56
87
88</t>
  </si>
  <si>
    <t>Superavit Convenio  019 de 2013
Fondo Rentas
Recurso Ordinario
Cofinanciación Convenios Interadministrativos
Superavit Fondo Restas
Superavit Recurso Ordinario</t>
  </si>
  <si>
    <t xml:space="preserve">LUZ ELENA MEJIA CARDONA   SECRETARIA DE HACIENDA </t>
  </si>
  <si>
    <t>0307 - 5 - 3 1 5 28 88 17 16 - 132</t>
  </si>
  <si>
    <t xml:space="preserve">Proceso de fiscalización  (liquidación, Control y Cobranza) de las Tentas Departamentales </t>
  </si>
  <si>
    <t>Implementar una estrategia de cobro coactivo sobre la cartera morosa de las Rentas Departamentales.</t>
  </si>
  <si>
    <t>0307 - 5 - 3 1 5 28 88 17 16 - 15</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</si>
  <si>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</si>
  <si>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</si>
  <si>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0307 - 5 - 3 1 5 28 88 17 16 - 20</t>
  </si>
  <si>
    <t>0307 - 5 - 3 1 5 28 88 17 16 - 56</t>
  </si>
  <si>
    <t>Procedimiento Administrativo coactivo sobre la cartera morosa de las Rentas Departamentales</t>
  </si>
  <si>
    <t xml:space="preserve">Ejecutar el programa anti contrabando suscrito con la Federación Nacional de Departamentos.                               </t>
  </si>
  <si>
    <t>0307 - 5 - 3 1 5 28 88 17 16 - 87</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</si>
  <si>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</si>
  <si>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</si>
  <si>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0307 - 5 - 3 1 5 28 88 17 16 - 88</t>
  </si>
  <si>
    <t>Programa Anticontrabando</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</si>
  <si>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</si>
  <si>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</si>
  <si>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</si>
  <si>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</si>
  <si>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a fin de garantizar la confiabilidad y oportunidad de la información financiera.</t>
  </si>
  <si>
    <t>Elaborar el Diagnostico del Sistema de Informacion Tributario y Financiero</t>
  </si>
  <si>
    <t xml:space="preserve">Implementar un programa para el cumplimiento de las políticas y prácticas contables para la administración departamental         </t>
  </si>
  <si>
    <t>0307 - 5 - 3 1 5 28 88 17 17 - 88</t>
  </si>
  <si>
    <t xml:space="preserve">Adoptar el nuevo modelo de informaciòn Financiera determinado por las Normas Internacionales de Contabilidad de información financiera NIIF, a fin de garantizar la confiabilidad de la información financiera.
</t>
  </si>
  <si>
    <t>Implementar un Programa para el Cumplimiento de las politicas y practicas contables para la Administracion Departamental</t>
  </si>
  <si>
    <t xml:space="preserve">LUZ HELENA MEJIA  CARDONA </t>
  </si>
  <si>
    <t xml:space="preserve">Secretaria de Hacienda </t>
  </si>
  <si>
    <t>DESARROLLO SOSTENIBLE</t>
  </si>
  <si>
    <t>Territorio Vital</t>
  </si>
  <si>
    <t>Manejo Integral del Agua y Saneamiento Basico</t>
  </si>
  <si>
    <t>Formular y ejecutar veinte (20) proyectos de infraestructura de agua potable y saneamiento básico</t>
  </si>
  <si>
    <t xml:space="preserve">N° de proyectos formulados y/o ejecutados </t>
  </si>
  <si>
    <t>Apoyo en atenciones prioritarias en Agua Potable y/o Saneamiento Básico en el Departamento del Quindío</t>
  </si>
  <si>
    <t xml:space="preserve">Generar proyectos para atender la poblacion vulnerable en sus necesidades basicas de 
agua potable y saneamiento. </t>
  </si>
  <si>
    <t xml:space="preserve">Atender a poblacion vulnerable con servicios de Agua Potable y Saneamiento Básico.
 Realizar obras de mantenimiento y adecuacion de los sistemas de agua potable y saneamiento básico
</t>
  </si>
  <si>
    <t>Proyectos AAA Ejecutados</t>
  </si>
  <si>
    <t>ESTAMPILLA PRODESARROLLO -SUPERAVIT ESTAMPILLA PRO-DESARROLLO - SUPERAVIT SGP AGUA POTABLE</t>
  </si>
  <si>
    <t>JUAN ANTONIO OSORIO 
SECRETARIO DE AGUAS E INFRAESTRUCTURA</t>
  </si>
  <si>
    <t>0308 - 5 - 3 1 1 1 2 3 22 - 04</t>
  </si>
  <si>
    <t>Mejoramiento y Optimización puesta en marcha planta de tratamiento de agua potable acueducto Barragan La Coca</t>
  </si>
  <si>
    <t>0308 - 5 - 3 1 1 1 2 3 22 - 82</t>
  </si>
  <si>
    <t>0308 - 5 - 3 1 1 1 2 3 22 - 90</t>
  </si>
  <si>
    <t>Reposición y Optimización de Acueducto y Alcalntarillado de la Calle 16 Carreras 6 y  8 Municipio de Quimbaya Quindio</t>
  </si>
  <si>
    <t>Apoyo en atencionesprioritarias en Saneamiento Básico en el Departaemtno del Quindío</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</si>
  <si>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</si>
  <si>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</si>
  <si>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</si>
  <si>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SGP AGUA POTABLE SSF 27</t>
  </si>
  <si>
    <t>ESTAMPILLA PRO - DESARROLLO</t>
  </si>
  <si>
    <t>0308 - 5 - 3 1 1 1 2 3 23 - 04</t>
  </si>
  <si>
    <t>0308 - 5 - 3 1 1 1 2 3 23 - 27</t>
  </si>
  <si>
    <t xml:space="preserve">Formular,priorizar, viabilizar y ejecutar proyectos de infraestructura de Agua Potable y Saneamiento Basico 
</t>
  </si>
  <si>
    <t>Apoyar  veinte (20) proyectos de agua potable y saneamiento básico de acuerdo al plan de acompañamiento social</t>
  </si>
  <si>
    <t xml:space="preserve">N° de proyectos apoyados </t>
  </si>
  <si>
    <t>0308 - 5 - 3 1 1 1 2 3 24 - 27</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</si>
  <si>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</si>
  <si>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</si>
  <si>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 xml:space="preserve">Ejecutar actividades y procesos que permitan realizar control, seguimiento y veeduría ciudadan a los proyectos de agua potable y saneamiento básico. 
</t>
  </si>
  <si>
    <t>Campañas de Socializacion</t>
  </si>
  <si>
    <t xml:space="preserve"> Disminuir impactos sociales de las obras de infraestructura de agua potable y saneamiento básico
</t>
  </si>
  <si>
    <t>Actualizar e implementar el plan ambiental para el sector de agua potable y saneamiento básico</t>
  </si>
  <si>
    <t xml:space="preserve">Un plan Ambiental Implementado y en Ejecución </t>
  </si>
  <si>
    <t>0308 - 5 - 3 1 1 1 2 3 25 - 27</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</si>
  <si>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</si>
  <si>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</si>
  <si>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 xml:space="preserve">Descripción actual de la oferta y la demanda de los recursos naturales asociados a la prestación de los servicios públicos de acueducto, alcantarillado y aseo
</t>
  </si>
  <si>
    <t xml:space="preserve">Actualización e implementacion del Plan Ambiental para el Sector de Agua Potable y Saneamiento Básico
</t>
  </si>
  <si>
    <t>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t>
  </si>
  <si>
    <t xml:space="preserve">Definir el cumplimiento de los mínimos ambientales para los proyectos de acueducto, alcantarillado y aseo en el Plan ambiental para el sector de agua potable y saneamiento básico 
</t>
  </si>
  <si>
    <t xml:space="preserve">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t>
  </si>
  <si>
    <t xml:space="preserve">Concertar obras e inversines entre el departamento, el gestor y la Corporación Autónoma Regional del Quindío on base en el diagnóstico del sector, la priorización de proyectos y las inversiones disponibles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</si>
  <si>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</si>
  <si>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</si>
  <si>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</si>
  <si>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</si>
  <si>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</si>
  <si>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</si>
  <si>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</si>
  <si>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</si>
  <si>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 xml:space="preserve">Contratar al grupo gestor del PAP-PDA Quindío (INVERSIÓN) </t>
  </si>
  <si>
    <t>Formular e implementar dos (2) proyectos para la gestión del riesgo del sector de agua potable y saneamiento básico. </t>
  </si>
  <si>
    <t xml:space="preserve">N° de proyectos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</si>
  <si>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</si>
  <si>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</si>
  <si>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</si>
  <si>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</si>
  <si>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Estudio de gestión del riesgo en el sector de agua potable y saneamiento básico</t>
  </si>
  <si>
    <t>Estructuración priorizada de inversión por fases para la gestión del riesgo en el sector de agua potable y saneamiento básico</t>
  </si>
  <si>
    <t xml:space="preserve">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
</t>
  </si>
  <si>
    <t>Elaboración de un mapa de zonificación de riesgo para el sector de agua potable y saneamiento básico</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</si>
  <si>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</si>
  <si>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</si>
  <si>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</si>
  <si>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</si>
  <si>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</si>
  <si>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</si>
  <si>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</si>
  <si>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</si>
  <si>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</si>
  <si>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</si>
  <si>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</si>
  <si>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</si>
  <si>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 xml:space="preserve">9. Transporte </t>
  </si>
  <si>
    <t>Sobretasa al ACPM - RECURSOS ORDINARIOS</t>
  </si>
  <si>
    <t xml:space="preserve"> Apoyo Institucional</t>
  </si>
  <si>
    <t>Componente ambiental</t>
  </si>
  <si>
    <t>Componente Técnico</t>
  </si>
  <si>
    <t>Obra Física</t>
  </si>
  <si>
    <t>0308 - 5 - 3 1 2 4 14 9 19 - 23</t>
  </si>
  <si>
    <t>Estudios</t>
  </si>
  <si>
    <t>Apoyar la atención de emergencias viales en los doce (12) Municipios del Departamento del Quindío.</t>
  </si>
  <si>
    <t>Numero de municipios con emergencias viales apoyados</t>
  </si>
  <si>
    <t>0308 - 5 - 3 1 2 4 14 9 19 - 88</t>
  </si>
  <si>
    <t>Atender oportuna y eficientemente las emergencias presentadas en el departamento del Quindìo</t>
  </si>
  <si>
    <t>0308 - 5 - 3 1 2 4 14 9 19 - 89</t>
  </si>
  <si>
    <t>Componente Ambiental</t>
  </si>
  <si>
    <t>Ingenieria y Administración</t>
  </si>
  <si>
    <t>Realizar ocho (8) estudios y/o diseños para el mantenimiento, mejoramiento y/o rehabilitación de la infraestructura vial del departamento para la implementación del Plan Vial departamental</t>
  </si>
  <si>
    <t>Gestionar recursos para la atención, mantenimiento y rehabilitación de la infraestructura víal y Actualizar e implementar el diagnóstico de la red vial</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</si>
  <si>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</si>
  <si>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</si>
  <si>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</si>
  <si>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</si>
  <si>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Numero de instituciones educativas mantenidas, mejoradas y/o rehabilitadas</t>
  </si>
  <si>
    <t>Construir, mantener, mejorar y/o rehabilitar la infraestructura social del departamento del quindio</t>
  </si>
  <si>
    <t>Realizar acciones encaminadas a mejorar la infraestructura social, que permita la prestación de servicios con calidad y oportunidad para afrontar la desaceleración económica y alcanzar el renacimiento económico del departamento del quindío.</t>
  </si>
  <si>
    <t>Mantener en buen estado la infraestructura y asequible la infraestructura social del departamento del Quindío</t>
  </si>
  <si>
    <t xml:space="preserve">15. Equipamiento </t>
  </si>
  <si>
    <t>Estampilla Prodesarrollo</t>
  </si>
  <si>
    <t xml:space="preserve">Estudios </t>
  </si>
  <si>
    <t>Apoyar la construcción, mejoramiento y/o rehabilitación de cuatro (4) obras de infraestructura de salud del departamento del Quindío</t>
  </si>
  <si>
    <t>Numero de instituciones de salud mejoradas y/o apoyadas</t>
  </si>
  <si>
    <t>Ingeniería y Administración</t>
  </si>
  <si>
    <t>Ordinario</t>
  </si>
  <si>
    <t>Apoyar la construcción, mejoramiento y/o  rehabilitación de la infraestructura de doce (12) escenarios deportivos y/o recreativos en el departamento del Quindío</t>
  </si>
  <si>
    <t>Número de escenarios deportivo o recreativo  apoyado</t>
  </si>
  <si>
    <t>0308 - 5 - 3 1 2 4 15 15 21 - 04</t>
  </si>
  <si>
    <t>0308 - 5 - 3 1 2 4 15 15 21 - 128</t>
  </si>
  <si>
    <t>0308 - 5 - 3 1 2 4 15 15 21 - 20</t>
  </si>
  <si>
    <t>0308 - 5 - 3 1 2 4 15 15 21 - 82</t>
  </si>
  <si>
    <t>Número de  equipamientos públcos  y colectivos rehabilitados</t>
  </si>
  <si>
    <t>0308 - 5 - 3 1 2 4 15 15 21 - 88</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</si>
  <si>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</si>
  <si>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</si>
  <si>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</si>
  <si>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</si>
  <si>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Apoyar la construcción y  el mejoramiento de mil (1000) viviendas urbana y rural priorizada en el departamento del Quindío.</t>
  </si>
  <si>
    <t>Número de viviendas apoyadas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</si>
  <si>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</si>
  <si>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</si>
  <si>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31/09/2017</t>
  </si>
  <si>
    <t>JUAN ANTONIO OSORIO</t>
  </si>
  <si>
    <t xml:space="preserve">Secretario de Despacho </t>
  </si>
  <si>
    <t>REINSERCION</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</si>
  <si>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</si>
  <si>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</si>
  <si>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</si>
  <si>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</si>
  <si>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</si>
  <si>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</si>
  <si>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</si>
  <si>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</si>
  <si>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</si>
  <si>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Juliana Hernandez Henao
Directora de Seguridad Y Convivencia</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</si>
  <si>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</si>
  <si>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</si>
  <si>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</si>
  <si>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</si>
  <si>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</si>
  <si>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</si>
  <si>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 xml:space="preserve">Adquisición de materiales de obra  para mantenimiento y/o reparación de infraestructura física para establecimientos penitenciaros y/o carcelarios </t>
  </si>
  <si>
    <t>Dotar cinco (5) organismos de seguridad de del departamento con elementos tecnológicos y logísticos que faciliten su operatividad y capacidad de respuesta</t>
  </si>
  <si>
    <t>Cofinanciación para proyectos de movilidad y/o tecnología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</si>
  <si>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</si>
  <si>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</si>
  <si>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</si>
  <si>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</si>
  <si>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</si>
  <si>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</si>
  <si>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Superavit Recurso Ordinario</t>
  </si>
  <si>
    <t>0309 - 5 - 3 1 4 23 75 18 28 - 20</t>
  </si>
  <si>
    <t>Adquisición de bienes muebles necesarios para el funcionamiento de la diferentes iniciativas o programas de los oraganismos de seguridad del departamento</t>
  </si>
  <si>
    <t>Fondo de Seguridad 5%</t>
  </si>
  <si>
    <t>0309 - 5 - 3 1 4 23 75 18 28 - 42</t>
  </si>
  <si>
    <t>Adquisición de bienes inmuebles necesarios para el funcionamiento de la diferentes iniciativas o programas de los oraganismos de seguridad del departamento</t>
  </si>
  <si>
    <t>Superavid Fondo de Seguridad</t>
  </si>
  <si>
    <t>0309 - 5 - 3 1 4 23 75 18 28 - 88</t>
  </si>
  <si>
    <t>Procesos de consultoria como requisito para adquisiciónes,interventorias, diagnósticos,diseños,estudios de factibilidad entre otros</t>
  </si>
  <si>
    <t>0309 - 5 - 3 1 4 23 75 18 28 - 92</t>
  </si>
  <si>
    <t>Programas de prevención del delito y fortalecimeinto institucional para los organismos de seguridad del departamento</t>
  </si>
  <si>
    <t>Suminsitro de dotaciones, bienes y/o elementos  necesarios para la adecuada operación de los diferentes frentes y/o programas que hacen parte de los organismos de seguridad del departamento</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</si>
  <si>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</si>
  <si>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</si>
  <si>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</si>
  <si>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</si>
  <si>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</si>
  <si>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</si>
  <si>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</si>
  <si>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</si>
  <si>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</si>
  <si>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</si>
  <si>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CONVIVENCIA, JUSTICIA Y CULTURA DE PAZ</t>
  </si>
  <si>
    <t>Apoyar la implementación de treinta y seis (36) programas de prevención del delito y mediación de conflictos en comunidades focalizadas del departamento</t>
  </si>
  <si>
    <t xml:space="preserve">No. </t>
  </si>
  <si>
    <t>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</si>
  <si>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</si>
  <si>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</si>
  <si>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</si>
  <si>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</si>
  <si>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Logística, refrigerios,transporte y/o combustible</t>
  </si>
  <si>
    <t>Atencion integral de Barrios con situacion critica de convivencia en los 12 Municipios  del Departamento</t>
  </si>
  <si>
    <t>0309 - 5 - 3 1 4 23 76 18 29 - 20
0309 - 5 - 3 1 4 23 76 18 29 - 42</t>
  </si>
  <si>
    <t xml:space="preserve">Intervenciones Psicosociales y/o de formación productiva integrales en los cinco municipios focalizados </t>
  </si>
  <si>
    <t xml:space="preserve">Obra y/o Materiales  para intervenciones en areas focalizadas </t>
  </si>
  <si>
    <t>Implementación de progrmas ludicos,culturales y/o deportivos  para población vulnerable en areas focalizadas</t>
  </si>
  <si>
    <t>Recurso ordinario</t>
  </si>
  <si>
    <t xml:space="preserve">Generación y/o apoyo a programas de intervención social o de seguridad </t>
  </si>
  <si>
    <t>Fondos de seguridad 5%</t>
  </si>
  <si>
    <t>Actualizar el código departamental de Policía</t>
  </si>
  <si>
    <t>Análisis, estructuración, actualización y socialización del nuevo código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</si>
  <si>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</si>
  <si>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</si>
  <si>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</si>
  <si>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</si>
  <si>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</si>
  <si>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
0309 - 5 - 3 1 4 24 78 14 30 - 88</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</si>
  <si>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</si>
  <si>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</si>
  <si>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</si>
  <si>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</si>
  <si>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</si>
  <si>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t>Diego Fernando Escandon y/o Maria Alejandra Berrio Jaramillo
Dirección de DDHH Y Atención a Víctimas</t>
  </si>
  <si>
    <r>
      <t xml:space="preserve">Apoyar las actividades de la mesa Departamental de Victimas con enfoque diferencial, y análisis de sus  propuestas </t>
    </r>
    <r>
      <rPr>
        <b/>
        <sz val="10"/>
        <color rgb="FF000000"/>
        <rFont val="Arial"/>
        <family val="2"/>
      </rPr>
      <t xml:space="preserve"> </t>
    </r>
  </si>
  <si>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</si>
  <si>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</si>
  <si>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</si>
  <si>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</si>
  <si>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</si>
  <si>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</si>
  <si>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</si>
  <si>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Apoyo en los procesos de concurrencia, complementariedad y subsidiaridad en las  ayudas  humanitarias inmediatas de acuerdo a lo consagrado en la ley 1448 de 2011 en los 12 municipios del departamento</t>
  </si>
  <si>
    <t xml:space="preserve">Fortalecer el Comité departamental de justicia transicional y la mesa de participación efectiva de las víctimas del conflicto </t>
  </si>
  <si>
    <t xml:space="preserve">Sesiones comité ejecutivo y ética mesa de victimas </t>
  </si>
  <si>
    <t>Superavit recurso ordinario</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</si>
  <si>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</si>
  <si>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</si>
  <si>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</si>
  <si>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(Capacitación)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</si>
  <si>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</si>
  <si>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</si>
  <si>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</si>
  <si>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</si>
  <si>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 xml:space="preserve">Desarrollo del software  del sistema de información para la prevención, atención, asistencia y reparación integral a las víctimas del conflicto armado interno </t>
  </si>
  <si>
    <t>07/20/2017</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</si>
  <si>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</si>
  <si>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</si>
  <si>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</si>
  <si>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</si>
  <si>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</si>
  <si>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</si>
  <si>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</si>
  <si>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</si>
  <si>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</si>
  <si>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</si>
  <si>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</si>
  <si>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</si>
  <si>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</si>
  <si>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</si>
  <si>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</si>
  <si>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</si>
  <si>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</si>
  <si>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</si>
  <si>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</si>
  <si>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</si>
  <si>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PREPARADOS PARA LA PAZ</t>
  </si>
  <si>
    <t>Implementar plan de acción de Derechos Humanos articulado interinstitucionalmente, de  protección de los Derechos Humanos DDHH y la Paz en los doce (12) municipios del departamento</t>
  </si>
  <si>
    <t>0309 - 5 - 3 1 4 24 80 14 34 - 20</t>
  </si>
  <si>
    <t>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</si>
  <si>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</si>
  <si>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</si>
  <si>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</si>
  <si>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</si>
  <si>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</si>
  <si>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</si>
  <si>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</si>
  <si>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</si>
  <si>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</si>
  <si>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</si>
  <si>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</si>
  <si>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</si>
  <si>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</si>
  <si>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</si>
  <si>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
0309 - 5 - 3 1 4 25 81 12 36 - 88</t>
  </si>
  <si>
    <t>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</si>
  <si>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</si>
  <si>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</si>
  <si>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</si>
  <si>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</si>
  <si>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
Superavit Recurso Ordinario</t>
  </si>
  <si>
    <t>Faber Mosquera Álvarez 
Director UDEGERD</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</si>
  <si>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</si>
  <si>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</si>
  <si>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</si>
  <si>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</si>
  <si>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</si>
  <si>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</si>
  <si>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</si>
  <si>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</si>
  <si>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</si>
  <si>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</si>
  <si>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</si>
  <si>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</si>
  <si>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</si>
  <si>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Leventamiento de informacion relacionada con la  geología en areas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</si>
  <si>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</si>
  <si>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</si>
  <si>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</si>
  <si>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</si>
  <si>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</si>
  <si>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</si>
  <si>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</si>
  <si>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</si>
  <si>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Fondo de Gestión del Riesgo</t>
  </si>
  <si>
    <t>FORTALECIMIENTO INSTITUCIONAL PARA LA GESTIÓN DEL RIESGO DE DESASTRES COMO UNA ESTRATEGIA DE DESARROLLO</t>
  </si>
  <si>
    <t>Poner en funcionamiento operativo la sala de crisis del Departamento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</si>
  <si>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</si>
  <si>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</si>
  <si>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</si>
  <si>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</si>
  <si>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 Adquisición de equipos de comunicaciones </t>
  </si>
  <si>
    <t>Mantenimiento equipos</t>
  </si>
  <si>
    <t>Articulación y coordinación para el manejo de desastres</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</si>
  <si>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</si>
  <si>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</si>
  <si>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</si>
  <si>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</si>
  <si>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</si>
  <si>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
0309 - 5 - 3 1 5 27 85 16 39 - 88</t>
  </si>
  <si>
    <t>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</si>
  <si>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</si>
  <si>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</si>
  <si>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</si>
  <si>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</si>
  <si>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Juliana Hérnandez Henao Dirección de  Seguridad y Convivencia </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</si>
  <si>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</si>
  <si>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</si>
  <si>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</si>
  <si>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</si>
  <si>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</si>
  <si>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Servicios de apoyo al funcionamiento y operatividad del consejo de participación ciudadana</t>
  </si>
  <si>
    <t>Servicios especializados en formulación de políticas públicas</t>
  </si>
  <si>
    <t>Servicios como apoyo a la participación</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</si>
  <si>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</si>
  <si>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</si>
  <si>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</si>
  <si>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</si>
  <si>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Servicios como apoyo a la implementación de politíca pública de libertad religiosa</t>
  </si>
  <si>
    <t xml:space="preserve">Materíal pedagógico y/o promocional </t>
  </si>
  <si>
    <t xml:space="preserve">Comunales comprometidos con el desarrollo </t>
  </si>
  <si>
    <t xml:space="preserve">Fortalecer  organismos comunales en los  12 municipios del departamento en el mejoramiento organizacional y participativo </t>
  </si>
  <si>
    <t>0309 - 5 - 3 1 5 27 86 16 40 - 20
0309 - 5 - 3 1 5 27 86 16 40 - 88</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</si>
  <si>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</si>
  <si>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</si>
  <si>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</si>
  <si>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</si>
  <si>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</si>
  <si>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Celebración dia comunal</t>
  </si>
  <si>
    <t>Coofinanciación para organización de los juegos comunales</t>
  </si>
  <si>
    <t>Apoyo a eventos de capacitación comunal</t>
  </si>
  <si>
    <t>Apoyo para fortalecimietno de programas intitucionales de los organismos comunales</t>
  </si>
  <si>
    <t>QUINDIO TRANSPARENTE Y LEGAL</t>
  </si>
  <si>
    <t>VEEDURIAS Y RENDICIÓN DE CUENTAS</t>
  </si>
  <si>
    <t>Implementar un (1) programa de fortalecimiento de las veedurías ciudadanas del departamento</t>
  </si>
  <si>
    <t>No,</t>
  </si>
  <si>
    <t>0309 - 5 - 3 1 5 26 84 16 42 - 20</t>
  </si>
  <si>
    <t>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</si>
  <si>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</si>
  <si>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</si>
  <si>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</si>
  <si>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</si>
  <si>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</si>
  <si>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</si>
  <si>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</si>
  <si>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</si>
  <si>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TOTAL</t>
  </si>
  <si>
    <t xml:space="preserve">No </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</si>
  <si>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</si>
  <si>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</si>
  <si>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</si>
  <si>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</si>
  <si>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</si>
  <si>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45 - 83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</si>
  <si>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</si>
  <si>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</si>
  <si>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</si>
  <si>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Garantizar seguridad social para los artistas</t>
  </si>
  <si>
    <t>45-83</t>
  </si>
  <si>
    <t>EPC,RO</t>
  </si>
  <si>
    <t>Secretaria de Cultura, James  Gonzalez Mata</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</si>
  <si>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</si>
  <si>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</si>
  <si>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</si>
  <si>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</si>
  <si>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</si>
  <si>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</si>
  <si>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</si>
  <si>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20-88</t>
  </si>
  <si>
    <t>RO</t>
  </si>
  <si>
    <t>Secretaria de Cultura, James Gonzalez Mata</t>
  </si>
  <si>
    <t>0310 - 5 - 3 1 3 9 29 5 46 - 39</t>
  </si>
  <si>
    <t>Alta concertación de proyectos con la institucionalidad cultural</t>
  </si>
  <si>
    <t xml:space="preserve">Ampliación del acceso a recursos para la financiación de proyectos culturales concertados </t>
  </si>
  <si>
    <t>0310 - 5 - 3 1 3 9 29 5 46 - 41
0310 - 5 - 3 1 3 9 29 5 46 - 83</t>
  </si>
  <si>
    <t>Mayor apoyo a la creación investigación y producción artistica</t>
  </si>
  <si>
    <t xml:space="preserve"> Oportuindades de acceso a estímulos del estado para  creadores independientes</t>
  </si>
  <si>
    <t>41-83</t>
  </si>
  <si>
    <t xml:space="preserve">Emprendimiento Cultural </t>
  </si>
  <si>
    <t xml:space="preserve">Fortalecimiento y promoción del  emprendimiento cultural y las industrias creativas en el Departamento </t>
  </si>
  <si>
    <t xml:space="preserve">Desarrollar empresas e industrias creativas en el Quindío 
</t>
  </si>
  <si>
    <t>Ampliación de la capacidad de organización del sector cultural</t>
  </si>
  <si>
    <t xml:space="preserve">Formalizacion del sector </t>
  </si>
  <si>
    <t>0310 - 5 - 3 1 3 9 30 5 47 - 20</t>
  </si>
  <si>
    <t>Mayor articulación entre artistas, gestores y estado para tomar decisiones favorables al emprendimiento</t>
  </si>
  <si>
    <t xml:space="preserve"> Capacitacion para el emprendimiento cultural </t>
  </si>
  <si>
    <t>0310 - 5 - 3 1 3 9 30 5 47 - 88</t>
  </si>
  <si>
    <t>Suficientes procesos de emprendimiento cultural y de desarrollo de industrias creativas en el departamento</t>
  </si>
  <si>
    <t xml:space="preserve"> Formulacion de la politica para el emprendimiento cultural </t>
  </si>
  <si>
    <t>Lectura, escritura y bibliotecas</t>
  </si>
  <si>
    <t>0310 - 5 - 3 1 3 9 31 5 48 - 34</t>
  </si>
  <si>
    <t xml:space="preserve"> Fortalecimiento al  Plan Departamental  de lectura, escritura y bibliotecas en el Departamento del Quindio .</t>
  </si>
  <si>
    <t>Incremento de las acciones de lectura, escritura creativa e investigación que permitan consolidar la Red Departamental de Bibliotecas Públicas del Quindío</t>
  </si>
  <si>
    <t>Ampliación de procesos de investigación para la recuperación del patrimonio bibliográfico y hábitos de lectura y escritura en el Departamento</t>
  </si>
  <si>
    <t xml:space="preserve">Valoracion de la investigacion relativa al campo literario </t>
  </si>
  <si>
    <t>EPC</t>
  </si>
  <si>
    <t>0310 - 5 - 3 1 3 9 31 5 48 - 83</t>
  </si>
  <si>
    <t>Aprovechamiento de la Red Departamental de Bibliotecas Públicas para la formación en lectura y escritura</t>
  </si>
  <si>
    <t xml:space="preserve"> Formacion y cualificacion de mediadores de lectura y escritura para el fortalecimiento de la red </t>
  </si>
  <si>
    <t xml:space="preserve">Ampliación de espacios y acciones para la difusión de la lectura y escritura </t>
  </si>
  <si>
    <t xml:space="preserve">Ampliacion de espacios y acciones para la difusion de la lectura y escritura </t>
  </si>
  <si>
    <t>Patrimonio, paisaje cultural cafetero, ciudadanía y diversidad cultural</t>
  </si>
  <si>
    <t>Viviendo el patrimonio y el Paisaje Cultural Cafetero</t>
  </si>
  <si>
    <t>0310 - 5 - 3 1 3 10 32 5 49 - 20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</si>
  <si>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</si>
  <si>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</si>
  <si>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</si>
  <si>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 xml:space="preserve">Programas Departamentales para conservacion, proteccion, salvaguardia y difusion del patrimonio </t>
  </si>
  <si>
    <t>20-47-93</t>
  </si>
  <si>
    <t>IVA , RO</t>
  </si>
  <si>
    <t>0310 - 5 - 3 1 3 10 32 5 49 - 47</t>
  </si>
  <si>
    <t>Mayor reconocimiento y valoración de la diversidad poblacional presente en el Quindío</t>
  </si>
  <si>
    <t xml:space="preserve">Reconocimiento y valoracion de la diversidad poblacional presente en el Quindío </t>
  </si>
  <si>
    <t>0310 - 5 - 3 1 3 10 33 5 50 - 20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</si>
  <si>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</si>
  <si>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</si>
  <si>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</si>
  <si>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</si>
  <si>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0310 - 5 - 3 1 3 10 33 5 50 - 88</t>
  </si>
  <si>
    <t>Participación y  apoyo por parte de la Gobernación del Quindío a medios ciudadanos, comunitarios y de interés público</t>
  </si>
  <si>
    <t xml:space="preserve">Fortalecimiento al sistema departamental de cultura </t>
  </si>
  <si>
    <t>JAMES GONZALEZ MATA</t>
  </si>
  <si>
    <t xml:space="preserve"> SECRETARIO DE CULTURA</t>
  </si>
  <si>
    <t>PROSPERIDAD CON EQUIDAD</t>
  </si>
  <si>
    <t>.</t>
  </si>
  <si>
    <t>Quindío rural, inteligente, competitivo y empresarial</t>
  </si>
  <si>
    <t>Quindío Prospero y productivo</t>
  </si>
  <si>
    <t xml:space="preserve">Crear (1) y fortalecer (3) rutas competitivas </t>
  </si>
  <si>
    <t>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</si>
  <si>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</si>
  <si>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</si>
  <si>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</si>
  <si>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 xml:space="preserve"> Jorge Humberto Guevara                                    Secretaria de Turismo, Industria y Comercio.
</t>
  </si>
  <si>
    <t>0311 - 5 - 3 1 2 2 8 13 51 - 20</t>
  </si>
  <si>
    <t>Conformar e implementar (3) tres clúster priorizados en el Plan de Competitividad</t>
  </si>
  <si>
    <t>0311 - 5 - 3 1 2 2 8 13 51 - 88</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</si>
  <si>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</si>
  <si>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</si>
  <si>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</si>
  <si>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</si>
  <si>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</si>
  <si>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</si>
  <si>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</si>
  <si>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72.224</t>
  </si>
  <si>
    <t>27.477</t>
  </si>
  <si>
    <t>86.843</t>
  </si>
  <si>
    <t>236.429</t>
  </si>
  <si>
    <t>81.384</t>
  </si>
  <si>
    <t xml:space="preserve">Jorge Humberto Guevara                                       Secretaria de Turismo, Industria y Comercio.
</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</si>
  <si>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</si>
  <si>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</si>
  <si>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0311 - 5 - 3 1 2 2 8 13 52 - 20</t>
  </si>
  <si>
    <t xml:space="preserve">Apoyo a la formulacion del proyecto: red de conocimiento de agronegocios del departamento y su fortalecimiento a traves de un proyecto de I+D+I
</t>
  </si>
  <si>
    <t>Apoyar las actividades requeridas para la formulación y ejecución del proyecto Red de Conocimeinto de Agronegocios.</t>
  </si>
  <si>
    <t>0311 - 5 - 3 1 2 2 8 13 52 - 88</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</si>
  <si>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</si>
  <si>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</si>
  <si>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</si>
  <si>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</si>
  <si>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053</t>
  </si>
  <si>
    <t>Apoyo al emprendimiento, empresarismo, asociatividad y generación de empleo en el departamento del Quindio</t>
  </si>
  <si>
    <t>Mejoramiento de los niveles de emprendimiento, emprenderismo y asociatividad en el departamento del Quindio</t>
  </si>
  <si>
    <t xml:space="preserve">Apoyar con recursos financieros  u otros el fortalecimiento del emprendimiento, empresarismo y asociatividad en el Departamento del Quindio
</t>
  </si>
  <si>
    <t>Apoyar cuatro unidades de emprendimiento de jovenes emprendedores mediante consolidacion de unidades de emprendimiento, capacitación y aporte de capital semilla.</t>
  </si>
  <si>
    <t>.
Jorge Humberto Guevara.                                     Secretaria de Turismo, Industria y Comercio</t>
  </si>
  <si>
    <t>Suminsitro de refrigerios y alimentación para apoyar las actividades y eventos realizados en los procesos de emprendimiento, con jovenes emprendedores y poblacion con enfoque diferencial</t>
  </si>
  <si>
    <t xml:space="preserve">Diseñar un ecosistema Regional de Emprendimiento y Asociatividad  </t>
  </si>
  <si>
    <t xml:space="preserve">Apoyar la existencia de un ecosistema  regional de emprendimiento en el Departamento del Quindio, a través de la elaboración de una propopuesta de alianzas estrátegicas  
</t>
  </si>
  <si>
    <t>Elaborar y coordinar la ejecucion  del plan de accion del ecosistema con los actores involucrados.</t>
  </si>
  <si>
    <t>0311 - 5 - 3 1 2 2 9 13 53 - 20</t>
  </si>
  <si>
    <t>Apoyar   doce (12) Unidades de emprendimiento de grupos poblacionales con enfoque diferencial.</t>
  </si>
  <si>
    <t>0311 - 5 - 3 1 2 2 9 13 53 - 88</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</si>
  <si>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</si>
  <si>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</si>
  <si>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</si>
  <si>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</si>
  <si>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</si>
  <si>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</si>
  <si>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</si>
  <si>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</si>
  <si>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</si>
  <si>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</si>
  <si>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Jorge Humberto Guevara.                                     Secretaria de Turismo, Industria y Comercio</t>
  </si>
  <si>
    <t>Constituir e implementar una agencia de inversión empresarial</t>
  </si>
  <si>
    <t>0311 - 5 - 3 1 2 2 10 13 56 - 20</t>
  </si>
  <si>
    <t>Fortalecimiento de mecanismos de inversion y de herramientas tecnologicas de servicios logisticos en el sector empresarial para su conexión a mercados globales</t>
  </si>
  <si>
    <t xml:space="preserve">Puesta en marcha y consolidación de la agencia de inversión empresarial  </t>
  </si>
  <si>
    <t>0311 - 5 - 3 1 2 2 10 13 56 - 88</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</si>
  <si>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</si>
  <si>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</si>
  <si>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</si>
  <si>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</si>
  <si>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</si>
  <si>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059</t>
  </si>
  <si>
    <t>Fortalecimiento de la oferta de prestadores de servicos, productos y atractivos turísticos en el Departamento del Quindío.</t>
  </si>
  <si>
    <t xml:space="preserve">Mejoramiento del posicionamiento del departamento del Quindío como destino turistico en Colombia. </t>
  </si>
  <si>
    <t xml:space="preserve">Mejorar  el nivel de fortalecimiento y diseño de  nuevos  productos turisticos de naturaleza  en el departamento del Quindio
</t>
  </si>
  <si>
    <t>Diseñar, crear y/o fortalecer 5 Productos turísticos para ser ofertados</t>
  </si>
  <si>
    <t xml:space="preserve">Ordinario </t>
  </si>
  <si>
    <t>0311 - 5 - 3 1 2 3 11 13 59 - 20</t>
  </si>
  <si>
    <t>Elaborar e implementar  un Plan de Calidad Turística del Destino</t>
  </si>
  <si>
    <t>0311 - 5 - 3 1 2 3 11 13 59 - 88</t>
  </si>
  <si>
    <t>Actualización y ejecución del Plan de Calidad Turistica</t>
  </si>
  <si>
    <t>Mejoramiento de la competitividad del Quindío como destino turístico</t>
  </si>
  <si>
    <t>Gestionar y ejecutar (3) proyectos para mejorar la competitividad del Quindío como destino turístico</t>
  </si>
  <si>
    <t>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</si>
  <si>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</si>
  <si>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</si>
  <si>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</si>
  <si>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</si>
  <si>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Jorge Humberto Guevara.                                           Secretaria de Turismo, Industria y Comercio</t>
  </si>
  <si>
    <t>Apoyo a la ejecución del Plan Decenal de Turismo</t>
  </si>
  <si>
    <t xml:space="preserve">Fortalecimiento del programa Club de Calidad  "Haciendas del Café" </t>
  </si>
  <si>
    <t>0311 - 5 - 3 1 2 3 12 13 60 - 88</t>
  </si>
  <si>
    <t>0311 - 5 - 3 1 2 3 12 13 60 - 20</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</si>
  <si>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</si>
  <si>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</si>
  <si>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</si>
  <si>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</si>
  <si>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062</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</si>
  <si>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</si>
  <si>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</si>
  <si>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</si>
  <si>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</si>
  <si>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0311 - 5 - 3 1 2 3 13 13 62 - 20</t>
  </si>
  <si>
    <t>0311 - 5 - 3 1 2 3 13 13 62 - 52</t>
  </si>
  <si>
    <t>0311 - 5 - 3 1 2 3 13 13 62 - 88</t>
  </si>
  <si>
    <t>SGP Agua Potable SSF</t>
  </si>
  <si>
    <t>0311 - 5 - 3 1 2 3 13 13 62 - 94</t>
  </si>
  <si>
    <t>JORGE HUMBERTO GUEVARA</t>
  </si>
  <si>
    <t>SECRETARIO DE TURISMO, INDUSTRIA Y COMERCIO</t>
  </si>
  <si>
    <t>O5</t>
  </si>
  <si>
    <t xml:space="preserve"> 1 de 1</t>
  </si>
  <si>
    <t>Quindío territorio vital</t>
  </si>
  <si>
    <t>Generación de entornos favorables y sostenibilidad ambiental</t>
  </si>
  <si>
    <t>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</si>
  <si>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</si>
  <si>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</si>
  <si>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</si>
  <si>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Carlos Alberto Soto Rave Secretario de Agricultura, Desarrollo Rural Y Medio Ambiente</t>
  </si>
  <si>
    <t xml:space="preserve">Analisis de la información ambiental de los doce municipios </t>
  </si>
  <si>
    <t>Actualización  planes de manejo de áreas protegidas del departamento</t>
  </si>
  <si>
    <t>0312 - 5 - 3 1 1 1 1 10 64 - 20</t>
  </si>
  <si>
    <t>Adecuadar planificación para la sostenibilidad de los recursos naturales</t>
  </si>
  <si>
    <t>Gestión de la biodiversidad y sus servicios ecosistemicos PDGIB</t>
  </si>
  <si>
    <t>0312 - 5 - 3 1 1 1 1 10 64 - 88</t>
  </si>
  <si>
    <t>Realizar actividades de educación ambiental</t>
  </si>
  <si>
    <t xml:space="preserve">Acciones  de producción más limpia y Buenas  Prácticas Ambientales (BPA) en los sectores productivos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</si>
  <si>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</si>
  <si>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</si>
  <si>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</si>
  <si>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0312 - 5 - 3 1 1 1 2 10 67 - 20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</si>
  <si>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</si>
  <si>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</si>
  <si>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</si>
  <si>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</si>
  <si>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</si>
  <si>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</si>
  <si>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</si>
  <si>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</si>
  <si>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</si>
  <si>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</si>
  <si>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</si>
  <si>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</si>
  <si>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0312 - 5 - 3 1 1 1 3 10 68 - 20</t>
  </si>
  <si>
    <t>Recuperación y mantenimiento de  las  zonas deterioradas en las áreas de protección.</t>
  </si>
  <si>
    <t>0312 - 5 - 3 1 1 1 3 10 68 - 88</t>
  </si>
  <si>
    <t>Adecuación, remodelación y construcción de las viviendas</t>
  </si>
  <si>
    <t>Conservar para la sostenibilidad ambiental dos (2) cuencas de los municipios con declaratoria de Paisaje Cultural Cafetero PCC</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</si>
  <si>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</si>
  <si>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</si>
  <si>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</si>
  <si>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Convenios PCC</t>
  </si>
  <si>
    <t>Intevenir en heramientas del PCC las cuencas de los municipios con declaratoria del paisaje cultural cafetero</t>
  </si>
  <si>
    <t>Intervenir Cuencas Hidrográficas</t>
  </si>
  <si>
    <t>0312 - 5 - 3 1 1 1 3 10 69 - 20</t>
  </si>
  <si>
    <t>Diagnosticar y diseñar los corredores de conservacion del PCC</t>
  </si>
  <si>
    <t xml:space="preserve">Promover la creación y adopción  en los doce (12) municipios del departamento, de herramientas para el estímulo de incentivos a la conservación </t>
  </si>
  <si>
    <t>0312 - 5 - 3 1 1 1 3 10 69 - 88</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</si>
  <si>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</si>
  <si>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</si>
  <si>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</si>
  <si>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</si>
  <si>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</si>
  <si>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</si>
  <si>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</si>
  <si>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</si>
  <si>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</si>
  <si>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</si>
  <si>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</si>
  <si>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</si>
  <si>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Fortalecimiento e innovación empresarial de la caficultura en el Departamento del Quindío</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</si>
  <si>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</si>
  <si>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</si>
  <si>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</si>
  <si>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Crear (6) seis grupos multiplicadores de conocimiento en emprendimiento y calidad del café  para jóvenes y mujeres rurales, campesinas y cafeteras</t>
  </si>
  <si>
    <t>Capacitación a productores en procesos que generen valor agregado al café, tostión, barismo y catación</t>
  </si>
  <si>
    <t xml:space="preserve">Capacitación a jóvenes y mujeres rurales en asociatividad, emprendimiento, en mejoramiento y aseguramiento de la calidad  </t>
  </si>
  <si>
    <t>Crear (1) portafolio de café origen Quindío a través de la valoración de 6000 predios</t>
  </si>
  <si>
    <t>Bajo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</si>
  <si>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</si>
  <si>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</si>
  <si>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</si>
  <si>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</si>
  <si>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</si>
  <si>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</si>
  <si>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</si>
  <si>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Creacion e implementacion de los centros agroindustriales para  la paz CAPAZ en el Deparamento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</si>
  <si>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</si>
  <si>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</si>
  <si>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</si>
  <si>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Crear un nucleo de asistencia tecnica agricola</t>
  </si>
  <si>
    <t>Crear un nucleo de asistencia tecnica pecuaria</t>
  </si>
  <si>
    <t>0312 - 5 - 3 1 2 2 5 8 176 - 20</t>
  </si>
  <si>
    <t>Realizar eventos de educomunicación (agricola y pecuaria)</t>
  </si>
  <si>
    <t>0312 - 5 - 3 1 2 2 5 8 176 - 88</t>
  </si>
  <si>
    <t>Apoyo logístico a los eventos</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</si>
  <si>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</si>
  <si>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</si>
  <si>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</si>
  <si>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</si>
  <si>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</si>
  <si>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</si>
  <si>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</si>
  <si>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</si>
  <si>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</si>
  <si>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0312 - 5 - 3 1 2 2 5 8 177 - 20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</si>
  <si>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</si>
  <si>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</si>
  <si>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</si>
  <si>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</si>
  <si>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</si>
  <si>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0312 - 5 - 3 1 2 2 5 8 175 - 20
0312 - 5 - 3 1 2 2 5 8 175 - 88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</si>
  <si>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</si>
  <si>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</si>
  <si>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</si>
  <si>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</si>
  <si>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</si>
  <si>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</si>
  <si>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0312 - 5 - 3 1 2 2 6 13 75 - 20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</si>
  <si>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</si>
  <si>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</si>
  <si>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</si>
  <si>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</si>
  <si>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</si>
  <si>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</si>
  <si>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</si>
  <si>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</si>
  <si>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</si>
  <si>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</si>
  <si>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</si>
  <si>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</si>
  <si>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</si>
  <si>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</si>
  <si>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</si>
  <si>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</si>
  <si>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</si>
  <si>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</si>
  <si>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</si>
  <si>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</si>
  <si>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0312 - 5 - 3 1 2 2 7 13 78 - 20</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</si>
  <si>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</si>
  <si>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</si>
  <si>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</si>
  <si>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0312 - 5 - 3 1 2 2 7 13 78 - 88</t>
  </si>
  <si>
    <t xml:space="preserve">ejecucion de instrumento de planificacion e informacion rural para la comercializacion de productos transables </t>
  </si>
  <si>
    <t xml:space="preserve"> INCLUSION SOCIAL</t>
  </si>
  <si>
    <t>Soberanía, seguridad alimentaria y nutricional</t>
  </si>
  <si>
    <t>Fomento a la Agricultura Familiar Campesina, agricultura urbana y mercados campesinos para la soberanía y  Seguridad alimentaria</t>
  </si>
  <si>
    <t>Diseñar e implementar un (1) programa de agricultura familiar campesina</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</si>
  <si>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</si>
  <si>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</si>
  <si>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</si>
  <si>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Asistencia Técnica benerficarios del programa soberania y seguridad alimentaria y nutricional</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</si>
  <si>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</si>
  <si>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</si>
  <si>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Acompañamiento y asistencia tecnica a productores agropecuarios  en la productividad primaria y alistamiento de la oferta, permitiendo asi el aseguramiento de la cadena agroalimentaria en la productividad primaria</t>
  </si>
  <si>
    <t>0312 - 5 - 3 1 3 11 34 8 79 - 20</t>
  </si>
  <si>
    <t>Eventos de socialización con diferentes aliados comerciales para la promoción de productos agropuecuarios y la articulación entre productores del Departamento del Quindio y comerciliazadores locales, regionales y nacionales</t>
  </si>
  <si>
    <t>Sembrar quinientas (500) Ha de productos de la canasta básica familiar para aumentar la disponibilidad de alimentos</t>
  </si>
  <si>
    <t>0312 - 5 - 3 1 3 11 34 8 79 - 88</t>
  </si>
  <si>
    <t xml:space="preserve">incrementar la disponibilidad de alimentos de la canasta familiar producidas en el Quindo a travez de la siembra de nuevas hectareas </t>
  </si>
  <si>
    <t>Sembrar 150 Há de productos de la canasta básica familiar</t>
  </si>
  <si>
    <t>Mejorar el estado nutricional de 1795 niños menor de 5 años y de 1531 niños de 6 a 18 años  en riesgo de desnutrición en el departamento</t>
  </si>
  <si>
    <t>mejorar el estado nutricional de niños menores de 5 años y de niños de 5 a 18 años en riesgo de desnutricion en  el departamento</t>
  </si>
  <si>
    <t xml:space="preserve">Acompañamiento a familias urbanas y periurbanas en el esteablecimiento de parcelas de agricultura familiar </t>
  </si>
  <si>
    <t>Beneficiar a 2400 familias urbanas y periurbanas con parcelas de agricultura familiar para autoconsumo y comercio de excedentes</t>
  </si>
  <si>
    <t xml:space="preserve">establecer parcelas de agricultura familiar urbanas y priurbanas </t>
  </si>
  <si>
    <t>Talleres de capacitacion en el mejoramiento de la dieta alimenticia, a partir de productos de la canasta básica familiar</t>
  </si>
  <si>
    <t>CARLOS ALBERTO SOS RAVE</t>
  </si>
  <si>
    <t>SECRETARIO</t>
  </si>
  <si>
    <t xml:space="preserve"> DIRECTORA OFICINA PRIVADA</t>
  </si>
  <si>
    <t>MAGDA INES MONTOYA NARANJO</t>
  </si>
  <si>
    <t xml:space="preserve">Campañas en medios de comunicación, programas y proyectos de la administración departamental </t>
  </si>
  <si>
    <t xml:space="preserve">Pre, pro, post producción del programa institucional  de televisión para  la divulgación de los programas y proyectos de la administración departamental </t>
  </si>
  <si>
    <t>Planificación   institucional en la divulgación  de los programas y proyectos</t>
  </si>
  <si>
    <t xml:space="preserve">Difusión    de los programas y proyectos de la  oferta institucional,  ejecutorias y evaluación del impacto social  </t>
  </si>
  <si>
    <t>conocer los programas y proyectos  de la gobernación</t>
  </si>
  <si>
    <t>Magda Inés Montoya- Secretaria Privada</t>
  </si>
  <si>
    <t xml:space="preserve"> Implementación  de la estrategia de comunicaciones de la administración departamental</t>
  </si>
  <si>
    <t xml:space="preserve">Realizar  campañas institucionales para dar a conocer los programas y proyectos  de la gobernación
</t>
  </si>
  <si>
    <t xml:space="preserve">Dar a conocer a la población  los programas y proyectos  institucionales de la gobernación
</t>
  </si>
  <si>
    <t>Implementación de  la estrategia de comunicaciones para  la divulgación de  los programas, proyectos,  actividades y servicios del Departamento del Quindío</t>
  </si>
  <si>
    <t>0313 - 5 - 3 1 5 28 89 17 81 - 20         0313 - 5 - 3 1 5 28 89 17 81 - 88</t>
  </si>
  <si>
    <t xml:space="preserve">Desarrollar e implementar una (1) estrategía de comunicaciones  </t>
  </si>
  <si>
    <t xml:space="preserve">MODERNIZACIÓN TECNOLOGICA Y ADMINISTRATIVA </t>
  </si>
  <si>
    <t>Realización de la supervisión al contrato de adecuación de la sala de transparencia</t>
  </si>
  <si>
    <t>Administracion profesional de la Oficina de Urna de Cristal</t>
  </si>
  <si>
    <t>Diseño y montaje del Micrositio</t>
  </si>
  <si>
    <t xml:space="preserve">Adaptacion de los canales de internet para el espacio de Urna </t>
  </si>
  <si>
    <t>Montaje tecnológico y administrativo para la implemetación de la estrategia Urna de Cristal</t>
  </si>
  <si>
    <t xml:space="preserve">Fortalecer participación de la ciudadanía en los procesos precontractuales
</t>
  </si>
  <si>
    <t>20- 88</t>
  </si>
  <si>
    <t xml:space="preserve">Apoyo Técnico, Logistico, profesional y especializado de un equipo interdisciplinario en la  implementación y ejecución del proyecto.
</t>
  </si>
  <si>
    <t xml:space="preserve">Aumentar el conocimiento de la ciudadanía de los procesos precontractuales de la administración departamental
</t>
  </si>
  <si>
    <t>Mejorar el nivel de credibilidad en la transparencia  de la contratación  pública en el Departamento.</t>
  </si>
  <si>
    <t>Implementacion de una (1) sala de transparencia "Urna de Cristal" en el Departamento del Quindio</t>
  </si>
  <si>
    <t>0313 - 5 - 3 1 5 26 83 17 83 - 20    /   0313 - 5 - 3 1 5 26 83 17 83 - 88</t>
  </si>
  <si>
    <t>Implementar una (1) sala de transparencia "Urna de Cristal" en el Departamento</t>
  </si>
  <si>
    <t>Proyección estratégica</t>
  </si>
  <si>
    <t>Adquisición de bienes y servicios</t>
  </si>
  <si>
    <t>Dialogos sociales en los diferentes sectores del Departamento</t>
  </si>
  <si>
    <t xml:space="preserve">Mejorar la motivación de los ciudadanos ante las buenas prácticas  de los funcionarios en las instituciones 
</t>
  </si>
  <si>
    <t>Formulación y seguimiento de los indicadores "buen gobierno"</t>
  </si>
  <si>
    <t>0313 - 5 - 3 1 5 26 83 17 82 - 88</t>
  </si>
  <si>
    <t xml:space="preserve">Promoción en la participación ciudadana </t>
  </si>
  <si>
    <t xml:space="preserve">Incremento de formadores éticos con vivencias y prácticas reconocidas a nivel de la sociedad y del departamento 
</t>
  </si>
  <si>
    <t>0313 - 5 - 3 1 5 26 83 17 82 - 20</t>
  </si>
  <si>
    <t>Fortalecimiento institucional por medio del buen gobierno</t>
  </si>
  <si>
    <t>Fortalecimiento de cultura de la transparencia, participación, buen gobierno y valores eticos y morales en el departamento del quindio</t>
  </si>
  <si>
    <t xml:space="preserve">Aumento de conocimiento en temas de transparencia, Etica y Buen Gobierno
</t>
  </si>
  <si>
    <t>Elevar el índice de transparencia en la administración departamental, mediante un proceso de formación incluyente  con énfasis en valores éticos , morales y ciudadanos , para aumentar la confianza en la administración gubernamental del Quindío</t>
  </si>
  <si>
    <t>Desarrollar y fortalecer la cultura de la transparencia, participación, buen gobierno  y valores éticos y morales en el Departamento del Quindio</t>
  </si>
  <si>
    <t xml:space="preserve">Realizar 40 eventos  de sensibilización en transparencia , participación, buen gobierno y valores éticos y morales  </t>
  </si>
  <si>
    <t>QUINDIO EJEMPLAR Y LEGAL</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</si>
  <si>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</si>
  <si>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</si>
  <si>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</si>
  <si>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</si>
  <si>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</si>
  <si>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Implementación de un modelo de atenciòn integral a niños y niñas en entornos protectores en el Departamento del Quindìo</t>
  </si>
  <si>
    <t>Promover la atención integral  de los niños, niñas, madres gestantes,  sus familias y cuidadores</t>
  </si>
  <si>
    <t xml:space="preserve">Incrementar los indices de apoyo y acompañamiento en el desarrollo infantil en  ambientes familiares y grupales,  alimentación adecuada y seguimiento al desarrollo.
</t>
  </si>
  <si>
    <t xml:space="preserve">Apoyar acciones que conlleven a garantizar la atención integral a la primera infancia, así como promover factores protectores  en las familias con niños y niñas en primera infancia </t>
  </si>
  <si>
    <t>Recurso Ordinario
Superavit Recursos Ordinarios</t>
  </si>
  <si>
    <t>LILIANA JARAMILLO CARDENAS
 SECRETARIA DE FAMILIA</t>
  </si>
  <si>
    <t>0316 - 5 - 3 1 3 16 56 14 102 - 20</t>
  </si>
  <si>
    <t>Realización de eventos y actividades con los NNA para el desarrollo del programa</t>
  </si>
  <si>
    <t>Apoyar la creación y/o implementación de Rutas integrales de Atención a la primera infancia.</t>
  </si>
  <si>
    <t>Numero de rutas integrales de atención  a al a primera infancia implementadas y/o creadas</t>
  </si>
  <si>
    <t>0316 - 5 - 3 1 3 16 56 14 102 - 88</t>
  </si>
  <si>
    <t>Mejorar el acompañamiento en el desarrollo gestacional y  complemento nutricional, pautas de crianza y desarrollo infantil</t>
  </si>
  <si>
    <t>Creación y puesta en marcha  de un programa de atención integral a la primera infancia que contenga las rutas integrales de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</si>
  <si>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</si>
  <si>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</si>
  <si>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</si>
  <si>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</si>
  <si>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</si>
  <si>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</si>
  <si>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</si>
  <si>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Aumentar espacios de atención, formación y reflexión, orientados al fortalecimiento de los entornos familiares, sociales y educativos.</t>
  </si>
  <si>
    <t>Cumplimiento de la fase preliminar de formulacion de la politica puiblica de  familia</t>
  </si>
  <si>
    <t xml:space="preserve">Alto grado de tolerancia ante la diversidad de pensamientos y comportamientos al interior de las familias </t>
  </si>
  <si>
    <t xml:space="preserve">Apoyo con la realización de los planes de acción y
Caracterización en pro de la construcción de la política
publica de familia
</t>
  </si>
  <si>
    <t xml:space="preserve">Quindío departamento de derechos  de niñas, niños y adolescentes </t>
  </si>
  <si>
    <t>Implementar la política pública de primera infancia, infancia y adolescencia</t>
  </si>
  <si>
    <t>Política publica de primera infancia, infancia y adolescencia implementada</t>
  </si>
  <si>
    <t>Implementación de la  política de primera infancia, infancia y adolescencia en el Departamento del Quindio</t>
  </si>
  <si>
    <t>Eficiencia en la articulacion Interinstitucional que garantice un seguimiento efectivo del cumplimiento dfel plan de accion de la politica publica de infancia y adolescencia</t>
  </si>
  <si>
    <t xml:space="preserve">Seguimiento, monitoreo y evaluación de la implementación   de la   política publica que garantice los derechos de los niños, niñas y adolescentes del depto. Del Quindío </t>
  </si>
  <si>
    <t>0316 - 5 - 3 1 3 17 59 14 109 - 20</t>
  </si>
  <si>
    <t>Apoyo logístico celebración y eventos relacionados con la niñez y la adolescencia del depto</t>
  </si>
  <si>
    <t>Implementar  una estrategia de prevención y atención de embarazos y segundos embarazos a temprana edad.</t>
  </si>
  <si>
    <t>Estrategia de prevención  y atención de embarazos a temprana edad implementada</t>
  </si>
  <si>
    <t>0316 - 5 - 3 1 3 17 59 14 109 - 88</t>
  </si>
  <si>
    <t xml:space="preserve">Disminuir los factores de vulneracion de los derechos de niños, niñas y adolescentes (maltrato, abuso,abandono, explotación sexual) </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</si>
  <si>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</si>
  <si>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</si>
  <si>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</si>
  <si>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Garantizar los derechos de los niños, niñas y adolescentes y el restablecimiento de ellos en el depto. Del Quindío</t>
  </si>
  <si>
    <t xml:space="preserve"> "Sí para ti" atención integral a adolescentes y jóvenes </t>
  </si>
  <si>
    <t>Revisar, ajustar e implementar la política pública de juventud del departamento</t>
  </si>
  <si>
    <t>Política pública de juventud revisada, ajustada e implementada</t>
  </si>
  <si>
    <t>Desarrollar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</si>
  <si>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</si>
  <si>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</si>
  <si>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</si>
  <si>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</si>
  <si>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0316 - 5 - 3 1 3 17 60 14 110 - 20</t>
  </si>
  <si>
    <t>Apoyo en la generación de estrategias de articulación y gestión para la atención integral de los jóvenes, incluyendo los sectores y actores</t>
  </si>
  <si>
    <t>Desarrollar e implementar una estrategia de prevención del consumo de sustancias psico activas  (SPA)  dirigida a adolescentes y jóvenes del departamento.</t>
  </si>
  <si>
    <t>Estrategia   de  prevención del consumo de sustancias psico activas  (SPA) , implementada.</t>
  </si>
  <si>
    <t>0316 - 5 - 3 1 3 17 60 14 110 - 88</t>
  </si>
  <si>
    <t>Desarrollar  e implementar  estrategias  de prevención  del consumo de sustancias psico activas  (SPA)  en  adolescentes y jóvenes del departamento, Con el fin de  sensibilizar  la población frente  a  los daños colaterales generados por  el consumo.</t>
  </si>
  <si>
    <t>Articulación  interinstitucional e intersectorial y  personal competente para generar procesos de intervención social, a los jóvenes del depto.</t>
  </si>
  <si>
    <t>Realización de activades y eventos que beneficien  a  los adolescentes  y  jóvenes</t>
  </si>
  <si>
    <t>"Capacidad sin limites"</t>
  </si>
  <si>
    <t>Revisar, ajustar  e implementar   la política pública departamental de discapacidad  "Capacidad sin limites",</t>
  </si>
  <si>
    <t>Política pública departamental de discapacidad  revisada, ajustada  e implementada.</t>
  </si>
  <si>
    <t>Actualización e implementación  de   la política pública departamental de discapacidad  "Capacidad sin limites" en el Quindio</t>
  </si>
  <si>
    <t xml:space="preserve">Realizar acciones para  el  seguimiento al Plan de Acción de los CMD – Ejes de la Política Publica
</t>
  </si>
  <si>
    <t>Adquisicion de bienes y servicios: Logistica Operativa</t>
  </si>
  <si>
    <t>Ajustes y actualización  a la Política Publica de Discapacidad</t>
  </si>
  <si>
    <t>0316 - 5 - 3 1 3 17 61 14 114 - 20</t>
  </si>
  <si>
    <t>Elaboración de material didactico para la divulgacion de la politica publica</t>
  </si>
  <si>
    <t>Procesos de  fortalecimiento en la cultura organizacional  del sector público y privado</t>
  </si>
  <si>
    <t>Inclusión social, laboral, educativa  y representatividad de las personas con discapacidad</t>
  </si>
  <si>
    <t>Garantia de Participación en la Vida Política y Pública.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</si>
  <si>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</si>
  <si>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</si>
  <si>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</si>
  <si>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</si>
  <si>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</si>
  <si>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</si>
  <si>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</si>
  <si>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Una estrategia integral  necesariamente  articulada en red que asegure contar con los recursos suficientes mediante una efectiva sinergia y coordinación entre instituciones públicas y privadas </t>
  </si>
  <si>
    <t>Diseño  de una estrategia  para la atención de la población en situación de vulnerabilidad extrema del departamento. (Habitantes de calle, trabajo sexual,  reincidencia delictiva, drogadicción, bandas delincuenciales, entre otras</t>
  </si>
  <si>
    <t>0316 - 5 - 3 1 3 18 62 14 117 - 20</t>
  </si>
  <si>
    <t>Realizar un acercamiento con las instituciones involucradas en la problemática de habitabilidad en la calle, como estrategia de sensibilización para la inclusión social</t>
  </si>
  <si>
    <t>Apoyar  con  programas específicos, dirigido  a grupos  que viven en entornos de alto riesgo: Extrema pobreza, desarraigo social,  drogadicción, delincuencia, prostitución, o pertenecen a familias    multiproblemáticas  y de alto riesgo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</si>
  <si>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</si>
  <si>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</si>
  <si>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</si>
  <si>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</si>
  <si>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</si>
  <si>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Existencia de planes de acompañamiento al ciudadano migrante del depto. del Quindío</t>
  </si>
  <si>
    <t>Realizar  procesos  de capacitación, asistencia técnica, seguimiento y evaluación en cuanto a la garantia de derechos de la población migrante del Departamento</t>
  </si>
  <si>
    <t>0316 - 5 - 3 1 3 18 62 14 118 - 88</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</si>
  <si>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</si>
  <si>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</si>
  <si>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</si>
  <si>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</si>
  <si>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</si>
  <si>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</si>
  <si>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con unidades productivas al plan de vida del Resguardo Indigena</t>
  </si>
  <si>
    <t>Asistencia Social: Procesos de apoyo, gestión, asesoria y acompañamiento al Resguardo Dachi Agore Drua del Departamento para garantizar los derechos fundamentales y Especiales.</t>
  </si>
  <si>
    <t>31/12/0217</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</si>
  <si>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</si>
  <si>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</si>
  <si>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</si>
  <si>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</si>
  <si>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</si>
  <si>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Elaborar un diagnóstico real de las condiciones de vida de las comunidades indígenas del depto</t>
  </si>
  <si>
    <t xml:space="preserve"> Apoyo, acompañamiento y fortalecimiento en cuanto procesos de seguridad alimentaria, saneamiento basico, educación, salud, justicia, gobernabilidad y territorio </t>
  </si>
  <si>
    <t>0316 - 5 - 3 1 3 18 63 14 122 - 88</t>
  </si>
  <si>
    <t>Apoyo del talento humano para garantizar la atención integral y con enfoque diferencial de las comunidades indigenas asentadas en el Departamento del Quindío</t>
  </si>
  <si>
    <t>Articulación institucional para la atención diferencial de los indígenas del depto</t>
  </si>
  <si>
    <t>Compra de herramientas, materiales, insumos, y Servicio de Transporte, etc. como apoyo para la  puesta en marcha de los planes de vida de los Cabildos Indigenas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</si>
  <si>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</si>
  <si>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</si>
  <si>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</si>
  <si>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 xml:space="preserve">Implementación de un  programa de atención integral a la población  afrodescendiente en el Departamento del Quindio </t>
  </si>
  <si>
    <t>Implementar un programa articulado interinstitucional para la atencion integral con enfoque disferencial a la poblaicon afro del departamento</t>
  </si>
  <si>
    <t>Capacitaciones dirigidas a comunidades Afros del Departamento</t>
  </si>
  <si>
    <t>0316 - 5 - 3 1 3 18 64 14 124 - 20</t>
  </si>
  <si>
    <t xml:space="preserve">Apoyo, acompañamiento y fortalecimiento en cuanto procesos de seguridad alimentaria, saneamiento basico, educación, salud y vivienda  </t>
  </si>
  <si>
    <t>0316 - 5 - 3 1 3 18 64 14 124 - 88</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</si>
  <si>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</si>
  <si>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</si>
  <si>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</si>
  <si>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</si>
  <si>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</si>
  <si>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</si>
  <si>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Establecer políticas claras para la inclusión social de la población LGTBI</t>
  </si>
  <si>
    <t>Cumplimiento de la fase preliminar de formulación de la política pública de  diversidad sexual</t>
  </si>
  <si>
    <t>0316 - 5 - 3 1 3 18 65 14 125 - 88</t>
  </si>
  <si>
    <t>Celebración de eventos relacionados con la población LGTBI</t>
  </si>
  <si>
    <t>Mujeres constructoras de Familia y de paz.</t>
  </si>
  <si>
    <t>Revisar, ajustar  e  implementar  la política publica de equidad de género para la  mujer del departamento</t>
  </si>
  <si>
    <t>Política pública  de equidad de genero revisada, ajustada e implementada.</t>
  </si>
  <si>
    <t>Implementaciòn de la polìtica pùblica de equidad de género para la mujer en el Departamento del Quindìo</t>
  </si>
  <si>
    <t>Cumplimiento de la normatividad jurídica nacional e internacional</t>
  </si>
  <si>
    <t>Campañas de socialización de las normas y las leyes que cobijan a la Mujer</t>
  </si>
  <si>
    <t>0316 - 5 - 3 1 3 18 66 14 128 - 20</t>
  </si>
  <si>
    <t>Conmemoración Día de la No violencia contra la Mujer</t>
  </si>
  <si>
    <t>0316 - 5 - 3 1 3 18 66 14 128 - 88</t>
  </si>
  <si>
    <t>seguimiento al Plan de Acción de la Política Publica de Equidad de Género para Mujer</t>
  </si>
  <si>
    <t>Fortalecer  la oferta Institucional para las micro, pequeñas y medianas empresas de y para mujeres.</t>
  </si>
  <si>
    <t xml:space="preserve">Implementacion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</si>
  <si>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</si>
  <si>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</si>
  <si>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</si>
  <si>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</si>
  <si>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</si>
  <si>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</si>
  <si>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la elaboración ,seguimiento y evaluacion de los planes de accion de los municipios y depto de la Politica Publica de envejecimiento y vejez
</t>
  </si>
  <si>
    <t>Ajustes y actualización  a la Política Publica de envejecimiento y vejez: UN QUINDIO PARA TODAS LAS EDADES</t>
  </si>
  <si>
    <t>Recurso Ordinario
Superavit Recursos Ordinarios
Estampilla Pro Adulto Mayor
Superavit Estampilla Pro Adulto Mayor</t>
  </si>
  <si>
    <t>Realizar procesos de motivación para incentivar el interés por la vida disminuyendo índices  de morbilidad del adulto mayor</t>
  </si>
  <si>
    <t>0316 - 5 - 3 1 3 19 67 14 129 - 06</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</si>
  <si>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</si>
  <si>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</si>
  <si>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</si>
  <si>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0316 - 5 - 3 1 3 19 67 14 129 - 20</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</si>
  <si>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</si>
  <si>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</si>
  <si>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</si>
  <si>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0316 - 5 - 3 1 3 19 67 14 129 - 84</t>
  </si>
  <si>
    <t>Apoyar la realización de la entrega del  producido de estampilla pro adulto mayor a los Centros Vida del 70%  y a los CBA    del 30%  correspondiente (Según la LEY 1276 de 2009)
Centros de bienestar del adulto mayor y centros vida (entrega de estampilla pro-adulto mayor)</t>
  </si>
  <si>
    <t xml:space="preserve">Apoyar 14 Centros Vida del Departamento </t>
  </si>
  <si>
    <t xml:space="preserve">Apoyar 14 centros vida del departamento </t>
  </si>
  <si>
    <t>0316 - 5 - 3 1 3 19 67 14 129 - 88</t>
  </si>
  <si>
    <t xml:space="preserve">TOTAL: </t>
  </si>
  <si>
    <t>LILIANA JARAMILLO CARDENAS</t>
  </si>
  <si>
    <t>SECRETARIA DE FAMILIA</t>
  </si>
  <si>
    <t>PROYECTO Y ELABORO: DORIS CASTAÑO AGUDELO</t>
  </si>
  <si>
    <t>Proyectó y elaboró: Doris Castaño Agudelo, contratista</t>
  </si>
  <si>
    <t>Establecer y socializar veinte (20)  políticas desde la cultura de la legalidad y  la prevención de daño antijurídico en  el Departamento.</t>
  </si>
  <si>
    <t>0317 - 5 - 3 1 5 26 83 17 131 - 20</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</si>
  <si>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</si>
  <si>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</si>
  <si>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</si>
  <si>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</si>
  <si>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</si>
  <si>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</si>
  <si>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</si>
  <si>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</si>
  <si>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</si>
  <si>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</si>
  <si>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Secretaría de Representación Judicial y Defensa</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</si>
  <si>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</si>
  <si>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</si>
  <si>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</si>
  <si>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</si>
  <si>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</si>
  <si>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</si>
  <si>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vigilancia sanitaria de alimentos y bebidas en establecimientos y productos en los municipios competencia del departamento del Quindio</t>
  </si>
  <si>
    <t>Fondo Local de Salud - SGP</t>
  </si>
  <si>
    <t>N/A</t>
  </si>
  <si>
    <t>CESAR AUGUSTO RINCON ZULUAGA  -   SECRETARIO DE SALUD DEPARTAMENTAL</t>
  </si>
  <si>
    <t xml:space="preserve">Ejecutar el plan decenal de lactancia materna </t>
  </si>
  <si>
    <t xml:space="preserve">Cumplir con  el tiempo de la practica de la lactancia Materna exclusiva
</t>
  </si>
  <si>
    <t>Realizar visitas de asistencia tecnica y seguimietno a la implementacion de  estrategia IAMI de  las IPS publicas del departamento.</t>
  </si>
  <si>
    <t>Realizar levantamiento del indicador la practica de lactancia materna total y exclusiva en los 11 municipios del departamento a traves de PIC.</t>
  </si>
  <si>
    <t>Fortalecer la atención integral  en seis (6) poblaciones vulnerables (etnias)  en menores de cinco años con casos de desnutrición</t>
  </si>
  <si>
    <t xml:space="preserve">Fortalecer la  atencion nutricional en poblaciones indigenas del departamento 
.
</t>
  </si>
  <si>
    <t>Reliazar seguimiento a casos de desnutricion en comunidades indigenas notificados por el SIVIGILA</t>
  </si>
  <si>
    <t>Realizar canalizacion y busqueda activa de casos de desnutricion en los 11 muncipios de competencia departamental.</t>
  </si>
  <si>
    <t xml:space="preserve">Realizar diagnóstico de la situacion nutricional a 6 comunidades indigenas del departamento </t>
  </si>
  <si>
    <t>implementar  ruta de atencion integral de la desnutrición en menores de 5 años en 6 municipios con población indigena.</t>
  </si>
  <si>
    <t>Realizar capacitacion a personal asistencia de las 11 IPS publica  en lineamientos vigentes de la atencion integrada de la desnutricion aguda moderada y severa en menores de 5 años  Resolución  5406/2016.</t>
  </si>
  <si>
    <t>Salud Pública para un Quindío saludable y posible</t>
  </si>
  <si>
    <t>Salud ambiental</t>
  </si>
  <si>
    <t>Formular, aprobar y divulgar  la Política Integral de Salud Ambiental (PISA)</t>
  </si>
  <si>
    <t>1803 - 5 - 3 1 3 12 36 2 133 - 61</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</si>
  <si>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</si>
  <si>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</si>
  <si>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</si>
  <si>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 xml:space="preserve">Generar espacios  interesctoriales  para  la  gestión integral de la salud ambiental a travez de las mesas tecnicas del COTSA </t>
  </si>
  <si>
    <t>CESAR AUGUSTO RINCON ZULUAGA - SECRETARIO DE SALUD DEPARTAMENTAL</t>
  </si>
  <si>
    <t xml:space="preserve">Realizar, asesorias y capacitaciones  sobre políticas, normas y procedimientos relacionados con la seguridad higiénico, sanitaria y ambiental en instituciones publicas y privadas en municipios de competencia departamental. </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</si>
  <si>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</si>
  <si>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</si>
  <si>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Realizar levantamiento de 11 mapas de riesgo en el departamento para la vigilancia de la calidad del agua para consumo humano.</t>
  </si>
  <si>
    <t>Realizar autorizaciones sanitarias y certificaciones sanitarias para municipios y prestadores de servicios de acueducto.</t>
  </si>
  <si>
    <t>Sexualidad, derechos sexuales y reproductivos</t>
  </si>
  <si>
    <t>Lograr que ocho (8) municipios del departamento operen el sistema de vigilancia en salud pública de la violencia intrafamiliar.</t>
  </si>
  <si>
    <t>1803 - 5 - 3 1 3 12 37 2 134 - 61</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</si>
  <si>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</si>
  <si>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</si>
  <si>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</si>
  <si>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Realizar seguimiento al evento de violencia sexual en poblacion vulnerable; reportados en las diferentes fuentes de información SISPRO a nivel de los 11 municipios</t>
  </si>
  <si>
    <t xml:space="preserve">Realizar asistencia técnica, seguimiento y monitoreo a la gestión del riesgo en salud de las EAPB y ESEs en el abordaje integral de las violencias de genero y violencias sexuales </t>
  </si>
  <si>
    <t xml:space="preserve">Capacitar al sector salud  en la estrategia de abordaje integral de las violencias de genero y violencias sexuales </t>
  </si>
  <si>
    <t>Desarrollar acciones articuladas intersectorialmente en los doce (12) municipios del departamento, con enfoque de derechos en colectivos LGTBI, jóvenes, mujeres gestantes adolescentes</t>
  </si>
  <si>
    <t>Realizar levantamiento del Indicador  de Planificacion Familiar de la  poblacion en edad Fertil  de sexo  Masculino y Femenino.</t>
  </si>
  <si>
    <t>Asistecia tecnica y Seguimiento a las direcciones locales de salud en el proceso de  capacitacion sobre Planificacion Familiar.</t>
  </si>
  <si>
    <t>Implementar una herramienta en coordinacion con las EAPB e IPS para el seguimiento en la adherencia a los programas de planificacion familiar.</t>
  </si>
  <si>
    <t xml:space="preserve">Asistencia tecnica y seguimiento a las direcciones locales de salud y EAPB en el procesos de capacitacion sobre planificacion familiar y adherencia al programa </t>
  </si>
  <si>
    <t>Brindar asistencia técnica, seguimiento y monitoreo a las ESE de primer nivel de atención en la Estrategia Nacional de Servicios de Salud Amigables para Adolescentes y Jóvenes</t>
  </si>
  <si>
    <t>Vincular cuatro mil ochocientos (4.800) mujeres gestantes al programa de control prenatal antes de la semana 12 de edad gestacional.</t>
  </si>
  <si>
    <t>Implementar programa del  control prenatal antes de la semana 12 de la edad gestacional</t>
  </si>
  <si>
    <t xml:space="preserve">Realizar  busqueda activa  y comunitaria  de Mujeres Embarazadas atraves de las I.P.S Lideres comunitarios y E.P.S </t>
  </si>
  <si>
    <t xml:space="preserve">Realizar captacion temprana atravez de la Promocion de la Salud, identificacion del riesgo a mujeres en estado de gestacion y seguimiento. </t>
  </si>
  <si>
    <t>Realizar Diagnostico de la Situacion de Embarazos en Adolescente en edades entre 10 - 19 años</t>
  </si>
  <si>
    <t>Canalizar acciones de promoción de la salud en el desarrollo de la política Nacional de sexualidad, derechos sexuales y reproductivos</t>
  </si>
  <si>
    <t>Realizar asistencia técnica, seguimiento y monitoreo a la gestión del riesgo en salud de los programas regulares, EAPB y ESEs en la  atención a personas que viven con VIH.</t>
  </si>
  <si>
    <t>Realizar seguimiento a los eventos de VIH/SIDA  y HEPATITIS reportados en las diferentes fuentes de información SISPRO a nivel de los 11 municipios.</t>
  </si>
  <si>
    <t>Desarrollar y realizar seguimiento al comité departamental de sexualidad, derechos sexuales y reproductivos (resolucion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</si>
  <si>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</si>
  <si>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</si>
  <si>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</si>
  <si>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</si>
  <si>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</si>
  <si>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</si>
  <si>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Desarrollar acciones  en caminadas a fortalecer las capacidades del talento humano y las entidades con compencia en convivencia social y salud mental desde Gestion integral de la salud publica  en Promoción de la Conviencia social y la Salud Mental</t>
  </si>
  <si>
    <t xml:space="preserve">CESAR AUGUSTO RINCON ZULUAGA - SECRETARIO DE SALUD DEPARTAMENTAL </t>
  </si>
  <si>
    <t>Adoptar e implementar el modelo de Atención primaria en Salud Mental (APS) en todos los municipios Quindiano</t>
  </si>
  <si>
    <t>Establecer lineamientos de planificación en la Atención primaria en Salud Mental (APS) en todos los municipios Quindiano</t>
  </si>
  <si>
    <t>Realizar monitoreo y seguimiento a los casos notificados en el SIVIGILA en los eventos de interes  en salud publica y de competencia directa de la Dimensión de convivencia social y salud mental, priorizando las poblaciones vulnerables de las Dimension tranversal gestion diferencial de poblaciones vulnerables</t>
  </si>
  <si>
    <t>Desarrollar acciones en caminadas a fortalecer las capacidades del talento humano y las entidades con compencia en convivencia social y salud mental de Gestion integral  en Promoción de la Conviencia social, la Salud Mental y Prevención y Atención integral a problemas y  transtornos mentales y a diferentes formas de violencia</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</si>
  <si>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</si>
  <si>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</si>
  <si>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Desarrollar acciones  de Gestion integral  en Promoción de la Conviencia social, la Salud Mental y Prevención y Atención integral a problemas y  transtornos mentales y a diferentes formas de violencia</t>
  </si>
  <si>
    <t>Asistencia técnica y  seguimiento a la notificación del sistema único de indicadores de centros de atención a la drogadicción (SUICAD).</t>
  </si>
  <si>
    <t>Estilos de vida saludable y condiciones no-transmisibles</t>
  </si>
  <si>
    <t>Implementar la estrategia  denominada "Cuatro por cuatro" para la promoción de la alimentación saludable</t>
  </si>
  <si>
    <t>1803 - 5 - 3 1 3 12 39 2 138 - 61</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</si>
  <si>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</si>
  <si>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</si>
  <si>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</si>
  <si>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Realizar asistencia a 20 instituciones educativas a la implementación de  la estrategia Tiendas Saludables</t>
  </si>
  <si>
    <t>Realizar visitas de asistencia tecnica y seguimiento a la implementacion de la estrategia 4x4</t>
  </si>
  <si>
    <t>Realizar al 100 % de las 11 instituciones educativas la evaluacion del cumplimiento de la estrategia Tienda Saludable</t>
  </si>
  <si>
    <t>Implementar una estrategia de ambientes libres de humo de tabaco en los  municipios.</t>
  </si>
  <si>
    <t>Articular estrategias interinstitucionales que garanticen la integralidad en la atención de los usuarios</t>
  </si>
  <si>
    <t xml:space="preserve">Realizar asistencia 11 instituciones educativas  a la implementacion de la estrategia 4x4 </t>
  </si>
  <si>
    <t>Realizar capacitacion en lineamientos técnicos para la promoción de modos, condiciones y estilos de vida saludable.</t>
  </si>
  <si>
    <t xml:space="preserve">Realizar al 100 % de las 11 instituciones educativas la evaluacion del cumplimiento de la estrategia 4x4 </t>
  </si>
  <si>
    <t>Implementar una estrategia para mantener la edad de inicio de consumo de tabaco en los adolescentes escolarizados.</t>
  </si>
  <si>
    <t>Adoptar guías y protocolos de atención de las enfermedades crónicas no transmisibles por parte de las EPS e IPS</t>
  </si>
  <si>
    <t>Realizar visitas de asistencia tecnica y seguimiento a la promoción, prevención y el control de las enfermedades no transmisibles, bajo la estrategia de APS</t>
  </si>
  <si>
    <t>Fortalecer el recurso humano del Ente Territoria para responder a la demanda de capacitar a los 20  prestadores de salud de primer nivel</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</si>
  <si>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</si>
  <si>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</si>
  <si>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</si>
  <si>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</si>
  <si>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</si>
  <si>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</si>
  <si>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promoción del uso de protocolos para enfermedades transmisibles</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</si>
  <si>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</si>
  <si>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</si>
  <si>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acompañamiento a los 12  Municipios  durante la jornadas Nacionales de vacunación.</t>
  </si>
  <si>
    <t>Realizar fortalecimientos de capacidades técnicas en 12 municipios para implementación del PAIWEB y el sistema de garantia de la calidad del plan ampliado de inmunizaciones en el departamento</t>
  </si>
  <si>
    <t>Implementar  la estrategia de gestión integral-enfermedades de transmisión vectorial (EGI ETV) en los 5 municipios hiperendémicos para enfermedades de transmisión vectorial</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</si>
  <si>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</si>
  <si>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</si>
  <si>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</si>
  <si>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 xml:space="preserve">Realizar  actividades de promoción y prevención implementadas para la comunidad y grupos focalizados en dengue, chikungunya y zika con criterios de riesgo epidemiológico. </t>
  </si>
  <si>
    <t xml:space="preserve">Generar informes de acuerdo a la notificación de casos de etv y zoonosis </t>
  </si>
  <si>
    <t>1803 - 5 - 3 1 3 12 40 2 141 - 111</t>
  </si>
  <si>
    <t>Atender en los11 municipioslos brotes y contingencias por etv y zoonosis</t>
  </si>
  <si>
    <t>Res. 781/15 Prev. y control enfermedades por Vect</t>
  </si>
  <si>
    <t>1803 - 5 - 3 1 3 12 40 2 141 - 118</t>
  </si>
  <si>
    <t>Brindar asistencia técnica frente al desarrollo de la EGI ETV  en municipios hipernedemicos: Calarca, La Tebaida, Quimbaya y Montenegro</t>
  </si>
  <si>
    <t>Res. 1288/2016 Promoción, prevención y control ETV</t>
  </si>
  <si>
    <t>1803 - 5 - 3 1 3 12 40 2 141 - 61</t>
  </si>
  <si>
    <t xml:space="preserve">Notificar a inspección vigilancia y control de prestación de servicios  hallazgos relacionados a la atención de pacientes de  acuerdo a los análisis  de los casos de ETV y zoonosis </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</si>
  <si>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</si>
  <si>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</si>
  <si>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Vigilar que se realice la vacunación canina antirrábica canina y felina en los 11  municipios de competencia departamental</t>
  </si>
  <si>
    <t>Implementar el plan estratégico hacia el fin de la tuberculosis</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</si>
  <si>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</si>
  <si>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</si>
  <si>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</si>
  <si>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a los 12 municipios en tuberculosis y lepra</t>
  </si>
  <si>
    <t>Capacitar en el programa de tuberculosis</t>
  </si>
  <si>
    <t>Realizar análisis de casos especiales y de farmacorresistencia del programa de TBC</t>
  </si>
  <si>
    <t>Acompañar la vigilancia de cumplimiento a guías y protocolos de vigilancia en tuberculosis y lepra</t>
  </si>
  <si>
    <t>1803 - 5 - 3 1 3 12 40 2 142 - 113</t>
  </si>
  <si>
    <t>Coordinar acciones para la gestión intersectorial</t>
  </si>
  <si>
    <t>Implementar los nuevos planes estratégicos de tuberculosis y lepra</t>
  </si>
  <si>
    <t>Res.1030/2016 Campaña control lepra QuindÍo</t>
  </si>
  <si>
    <t>1803 - 5 - 3 1 3 12 40 2 142 - 114</t>
  </si>
  <si>
    <t>Realizar actividades de promoción y prevención implementadas para la comunidad y grupos focalizados en tuberculosis y lepra en los 12 municipios del departamento</t>
  </si>
  <si>
    <t>Res.1030/2016 campaña control lepra Quindío</t>
  </si>
  <si>
    <t>1803 - 5 - 3 1 3 12 40 2 142 - 61</t>
  </si>
  <si>
    <t>Realizar mesas técnicas para el compromiso político, protección social y sistemas de apoyo</t>
  </si>
  <si>
    <t>Realizar campañas de prevención y atención integral en afectados por tuberculosis</t>
  </si>
  <si>
    <t>Compra de insumos para preparación de medios y colorantes</t>
  </si>
  <si>
    <t>Prevencion y atencion integral centrada en los afectados por tuberculosis</t>
  </si>
  <si>
    <t>Salud publica en emergencias y desastres</t>
  </si>
  <si>
    <t>Realizar catorce (14) simulacros de atención a emergencias en la Red Pública Hospitalaria</t>
  </si>
  <si>
    <t>1803 - 5 - 3 1 3 12 41 2 143 - 61</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</si>
  <si>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</si>
  <si>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</si>
  <si>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</si>
  <si>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14 simulcros de atencion a emergencias en la red hospitalaria.</t>
  </si>
  <si>
    <t xml:space="preserve">Realizar asistencia técnica en la construcción y ejecución del plan bienal de inversiones, a once (11) Empresas sociales del estado (ESE) del departamento. </t>
  </si>
  <si>
    <t>Realizar 11 visitsa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</si>
  <si>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</si>
  <si>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</si>
  <si>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</si>
  <si>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desalud depatamental. </t>
  </si>
  <si>
    <t>Capacitar a los hospitales para la integracion de los planes de emergencia hospitalaria con el plan de emergencia de  Secretaria de salud</t>
  </si>
  <si>
    <t>Fortalecer el CRUE Departamental, como autoridad sanitaria, en la regulacion de la referencia y contrarreferencia, implementando los lineamientos RIAS</t>
  </si>
  <si>
    <t>Salud en el entorno laboral</t>
  </si>
  <si>
    <t>Fomentar en 8 municipios un programa de cultura preventiva en el trabajo formal e informal y entornos laborales saludables.</t>
  </si>
  <si>
    <t>1803 - 5 - 3 1 3 12 42 2 145 - 61</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</si>
  <si>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</si>
  <si>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</si>
  <si>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</si>
  <si>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 xml:space="preserve">Visitas a los 12 Municipios  del departamento del Quindio para la identificacion de las Empresas </t>
  </si>
  <si>
    <t>Sensibilizar a los Empleadores para fomentar la afiliación al SGRL a sus empleados conforme a Ley 1562 del 2012 y Decreto 1443  del 2015</t>
  </si>
  <si>
    <t>Visitas  para la Identificacion de trabajdores  informales del sector turismo y artesanal, Comercio, Agricultura y Construccion por medio de informacion del plan local del y el  Comité de Seguridad y Salud en el Trabajo de los 12 municipios del Departamento del Quindio</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</si>
  <si>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</si>
  <si>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</si>
  <si>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 xml:space="preserve">Identificar por medio de visitas a las instancias Organizativas creadas en los 12 municipios del Departamento del Quindio    </t>
  </si>
  <si>
    <t>Verificar si los Grupos de trabajadores informales los 12 municipios del Departamento del Quindio esten activos</t>
  </si>
  <si>
    <t>Realizar el analisis de la caracterizacion de la poblacion informal abordada en los municipios de competencia Departamental de los sectores de Comercio, Construccion y Agricultura</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</si>
  <si>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</si>
  <si>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</si>
  <si>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</si>
  <si>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</si>
  <si>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</si>
  <si>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acciones de inspección, vigilancia y/o control  en  establecimientos de interes sanitario en el departamento del quindio</t>
  </si>
  <si>
    <t xml:space="preserve">Realizar  la toma de muestras en sangre en el marco del programa de Vigilancia epidemiologica de plaguicdas VEO. </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</si>
  <si>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</si>
  <si>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</si>
  <si>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</si>
  <si>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Garantizar la disponibilidad permanente de equipos, elemento e insumos requeridos para el fortalecimiento de la autoridad sanitaria.</t>
  </si>
  <si>
    <t>1803 - 5 - 3 1 3 12 43 2 146 - 63</t>
  </si>
  <si>
    <t xml:space="preserve">Establecer la articulacion de los subsistemas de infiormacíon del sistema de vigilancia en salud publica </t>
  </si>
  <si>
    <t>Fondo de Estupefacientes</t>
  </si>
  <si>
    <t xml:space="preserve">Consolidar y desarrollar  el sistema de inspección vigilancia y control (SIVC)  en 150 establecimientos farmacéuticos del departamento. </t>
  </si>
  <si>
    <t>0318 - 5 - 3 1 3 12 43 2 146 - 20</t>
  </si>
  <si>
    <t>Realizar suministro de medicamentos de control especial monopolio del estado</t>
  </si>
  <si>
    <t>Mejoramiento del sistema de información del fondo rotatorio de estupefacientes</t>
  </si>
  <si>
    <t>Analisis y seguimiento  al  comportamiento del evento de intoxicaciones por Farmaco</t>
  </si>
  <si>
    <t xml:space="preserve">Realizar visitas de inspeccion  Vigilancia y Control para constatar las Condiciones Técnicas, Higienico Sanitarias.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</si>
  <si>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</si>
  <si>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</si>
  <si>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</si>
  <si>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</si>
  <si>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</si>
  <si>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Seguimiento a la atencion en salud con enfoque diferencial a las 11 IPS publicas del departamento</t>
  </si>
  <si>
    <t>Articulacion de los sistemas referentes a visualizar las poblaciones para la afiliacion al S.G.S.S.S</t>
  </si>
  <si>
    <t>Participacion interinstitucional en la oferta de servicios en salud</t>
  </si>
  <si>
    <t>Implementar el  Programa de atención psicosocial y salud integral a víctimas del conflicto armado.</t>
  </si>
  <si>
    <t xml:space="preserve">Implementar programas de participación social que garanticen los derechos de los grupos vulnerables </t>
  </si>
  <si>
    <t>Realizar capacitaciones en deberes y derechos de las poblaciones vulnerables</t>
  </si>
  <si>
    <t>Realizar asistencia tecnica a las direcciones locales de salud en gestion integral a las poblaciones vulnerables</t>
  </si>
  <si>
    <t>1803 - 5 - 3 1 3 12 44 2 148 - 61</t>
  </si>
  <si>
    <t>Diagnostico de necesidades en salud de las poblaciones vulnerables</t>
  </si>
  <si>
    <t>Fortalecimiento de  la estrategia AIEPI en los 12 municipios del Departamento</t>
  </si>
  <si>
    <t>0318 - 5 - 3 1 3 12 44 2 148 - 20</t>
  </si>
  <si>
    <t>Consolidar los programas de atención a la primera infancia</t>
  </si>
  <si>
    <t>Realizar capacitaciones en deberes y derechos de la poblacion infantil</t>
  </si>
  <si>
    <t>Realizar asistencia tecnica a las direcciones locales de salud en gestion integral a las poblaciones de primera y segunda infancia</t>
  </si>
  <si>
    <t>Realizar la verificación del estado de la estrategia IAMI en los 12 municipios del departamento</t>
  </si>
  <si>
    <t>Realizar la verificación del estado de la estrategia AIEPI en los 12 municipios del departamento</t>
  </si>
  <si>
    <t>Realizar la verificación del estado de la estrategia PAI en los 12 municipios del departamento</t>
  </si>
  <si>
    <t>Realizar verificación de cumplimiento  de la Resolución 1070 de 2014</t>
  </si>
  <si>
    <t>Brindar asistencia tecnica a los 12 municipios en la elaboración del plan poara la articulación de las estrategias IAMI, AEPI, PAI</t>
  </si>
  <si>
    <t>Fortalecer en los doce (12) municipios del departamento los  comités municipales de discapacidad</t>
  </si>
  <si>
    <t>Fortalecer atención integral a poblaciones vulnerables</t>
  </si>
  <si>
    <t>Actualizacion del registro de discapacidad en el Departamento del Quindio</t>
  </si>
  <si>
    <t>Realizar mesas de trabajo intersectoriales encaminadas al fortalecimiento en la atencion integral a poblaciones vulnerables</t>
  </si>
  <si>
    <t>Plan de intervenciones colectivas en el modelo de APS</t>
  </si>
  <si>
    <t>Evaluar en  once (11)   empresas sociales del estado (ESE)  Municipales la implementación del Plan de intervenciones colectivas (PIC).</t>
  </si>
  <si>
    <t>1803 - 5 - 3 1 3 12 45 2 150 - 61</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</si>
  <si>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</si>
  <si>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</si>
  <si>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</si>
  <si>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</si>
  <si>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</si>
  <si>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 xml:space="preserve">Realizar acciones, intervenciones y procedimientos colectivos </t>
  </si>
  <si>
    <t xml:space="preserve">Adecuadas herramientas intersectoriales de educación comunitaria que fortalezcan los entornos saludables  </t>
  </si>
  <si>
    <t>Ejecutar las acciones de la estrategia COMBI en municipios hiperendémicos para enfermedades vectoriales</t>
  </si>
  <si>
    <t>Auditoria a 8  planes de mejoramiento instaurados con la red pública ejecutora del Plan de Intervenciones Colectivas.</t>
  </si>
  <si>
    <t>Planes de mejoramiento instaurados  de Intervenciones Colectivas.</t>
  </si>
  <si>
    <t>Realizar auditoria a 8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</si>
  <si>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</si>
  <si>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</si>
  <si>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</si>
  <si>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</si>
  <si>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</si>
  <si>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</si>
  <si>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</si>
  <si>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</si>
  <si>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 xml:space="preserve">Optimizar los procesos contractuales desde el LSP y  la DTS
</t>
  </si>
  <si>
    <t xml:space="preserve">Fortalecer el recurso humano de la unidad de vigilancia de interes en salud publica </t>
  </si>
  <si>
    <t>Fortalecer el recurso humano de la unidad de vigilancia del ambiente del consumo y factores de riesgo</t>
  </si>
  <si>
    <t>Adecuar infraestructura que de cumplimiento para el buen  funcionamiento del LSP</t>
  </si>
  <si>
    <t>Fortalecer la infrastructura para el desarrollo de las actividades de laboratorio</t>
  </si>
  <si>
    <t>crear diez (10) y fortalecer noventa (90) Comités de Vigilancia 
Epidemiológica  Comunitaria 
(COVECOM) municipales.</t>
  </si>
  <si>
    <t>1803 - 5 - 3 1 3 12 46 2 152 - 61</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</si>
  <si>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</si>
  <si>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</si>
  <si>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</si>
  <si>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Actualizacion de mapa social por cada uno de los COVECOM para la priorizacion de la gestion interinstitucional</t>
  </si>
  <si>
    <t>Activación y Mantenimiento de 100 COVECOM en 11  municipios del Departamento</t>
  </si>
  <si>
    <t>Consolidar y analisar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</si>
  <si>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</si>
  <si>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</si>
  <si>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Desarrollo del  plan de asesoria y asistencia técnica dirigido a municipios e institucionnes de la red notificadora departamental  para la adherencia a protocolos de vigilancia en salud pública de los eventos de interes.</t>
  </si>
  <si>
    <t>capacitacion al personal operario del SIVIGILA en los 12 municipios del departamento</t>
  </si>
  <si>
    <t>Apoyo en los procesos de ajuste y depuracion de la informacion de interes en salud publica en los 12 municipios del departamento.</t>
  </si>
  <si>
    <t>Desarrollo de la busqueda activa institucional en los 12 municipios del departamento.</t>
  </si>
  <si>
    <t>Realizar seguimiento al proceso de gestión del riesgo individual, frente a las acciones de protección específica y deteccion temprana desde el reporte del anexo tecnico de la resolucion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</si>
  <si>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</si>
  <si>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</si>
  <si>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</si>
  <si>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1801 - 5 - 3 1 3 13 47 2 153 - 72</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</si>
  <si>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</si>
  <si>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</si>
  <si>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</si>
  <si>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Mejorar los procesos de identificación de la población no sisbenizada y no afiliada.</t>
  </si>
  <si>
    <t>Rentas cedidas subcuenta otros gastos en salud</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</si>
  <si>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</si>
  <si>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</si>
  <si>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2 153 - 64</t>
  </si>
  <si>
    <t xml:space="preserve"> Gestionar  recursos para cofinanciación de la afialicon  mpo y lugares de afiliación
</t>
  </si>
  <si>
    <r>
      <t>Gestionar recursos para cofinanciación de la afialico</t>
    </r>
    <r>
      <rPr>
        <sz val="10"/>
        <rFont val="Arial"/>
        <family val="2"/>
      </rPr>
      <t>n  MPO</t>
    </r>
    <r>
      <rPr>
        <sz val="10"/>
        <color theme="1"/>
        <rFont val="Arial"/>
        <family val="2"/>
      </rPr>
      <t xml:space="preserve"> y lugares de afiliación
</t>
    </r>
  </si>
  <si>
    <t>Ley 1393</t>
  </si>
  <si>
    <t>1801 - 5 - 3 1 3 13 48 2 153 - 71</t>
  </si>
  <si>
    <t>Rentas cedidas subcuenta régimen subsidiado</t>
  </si>
  <si>
    <t>Asistencia técnica  a los actores del sistema en el proceso de aseguramiento de la población</t>
  </si>
  <si>
    <t>Brindar asistencia técnica a 12 Municipios del departamento,  en los procesos del régimen subsidiado</t>
  </si>
  <si>
    <t>1801 - 5 - 3 1 3 13 49 2 153 - 72</t>
  </si>
  <si>
    <t xml:space="preserve"> Aumentar la asistencia técnica a 12 Municipios del departamento,  en los procesos del régimen subsidiado</t>
  </si>
  <si>
    <t>Realizar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</si>
  <si>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</si>
  <si>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</si>
  <si>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</si>
  <si>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t>
  </si>
  <si>
    <t>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</si>
  <si>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</si>
  <si>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</si>
  <si>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vigilancia y control para el acceso de los afiliados a la red de servicios de salud</t>
  </si>
  <si>
    <t>Resolución 971/2016 programa inimputables</t>
  </si>
  <si>
    <t>1802 - 5 - 3 1 3 14 50 2 154 - 58</t>
  </si>
  <si>
    <t>Rentas cedidas secretaria .de salud</t>
  </si>
  <si>
    <t>Mantener la contratación con la red pública y privada (15)  para la atención de la población no afiliada.</t>
  </si>
  <si>
    <t>1802 - 5 - 3 1 3 14 50 2 154 - 59</t>
  </si>
  <si>
    <t xml:space="preserve">Fortalecer la contratación para la atención de la población no afiliada </t>
  </si>
  <si>
    <t xml:space="preserve">Fortalecer la tención de la población no afiliada </t>
  </si>
  <si>
    <t>SGP salud prestación servicios C.S.F</t>
  </si>
  <si>
    <t>Realizar asistencia técnica en la construcción y ejecución del plan bienal de inversiones, a catorce (14) Empresas sociales del estado (ESE) del departamento.</t>
  </si>
  <si>
    <t>1802 - 5 - 3 1 3 14 50 2 154 - 60</t>
  </si>
  <si>
    <t>Fortalecier la construcción del Plan Bienal en las 14 Empresas sociales del estado (ESE)del departamento.</t>
  </si>
  <si>
    <t>construcción del Plan Bienal en las 14 Empresas sociales del estado (ESE)del departamento.</t>
  </si>
  <si>
    <t>SGP salud aportes patronales S.S.F</t>
  </si>
  <si>
    <t>0318 - 5 - 3 1 3 14 50 2 154 - 35</t>
  </si>
  <si>
    <t>Recurso destinado del Monopolio</t>
  </si>
  <si>
    <t>Fortalecimiento de la  gestión de la entidad territorial municipal</t>
  </si>
  <si>
    <t>Realizar asistencia Técnica  en los 12 municipios, en la capacidad de gestión en salud</t>
  </si>
  <si>
    <t>1802 - 5 - 3 1 3 14 51 2 155 - 72</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</si>
  <si>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</si>
  <si>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</si>
  <si>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</si>
  <si>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Apoyo tecnico en los procesos de financiacion a los municpios para ejercer procesos de afiliacion y atencion al SGSS</t>
  </si>
  <si>
    <t>Capacitar en los procesos de gestion tecnica en salud.</t>
  </si>
  <si>
    <t>Realizar procesos de verificacion a los12 Municipios del Departamento en los reportes de gestion financiera.</t>
  </si>
  <si>
    <t>Brindar apoyo en la gestión administrativa y financiera a los municipios del departamento</t>
  </si>
  <si>
    <t>Garantizar red de servicios en eventos de emergencias</t>
  </si>
  <si>
    <t xml:space="preserve">Ajustar los 14 planes de emergencia de las instituciones prestadoras de salud de todo el Departamento.  </t>
  </si>
  <si>
    <t>1802 - 5 - 3 1 3 14 52 2 156 - 72</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</si>
  <si>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</si>
  <si>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</si>
  <si>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</si>
  <si>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implementacion del desarrollo en simulacros de atencion a emergencias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</si>
  <si>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</si>
  <si>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</si>
  <si>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</si>
  <si>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</si>
  <si>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</si>
  <si>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</si>
  <si>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</si>
  <si>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</si>
  <si>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seguimiento, evaluacion y gestion de los procesos tecnicos Y administrativos de funcionamiento del CRUE</t>
  </si>
  <si>
    <t>1802 - 5 - 3 1 3 14 52 2 157 - 72</t>
  </si>
  <si>
    <t>regular y coordinar la prestacion de servicios de urgencias y emergencias en salud en el departamento</t>
  </si>
  <si>
    <t xml:space="preserve">realizar asistencia tecnica a los prestadores de servicios de salud </t>
  </si>
  <si>
    <t>Realizar adecuaciones fisicas a las Instalaciones designadas para el funcionamiento del CRUE</t>
  </si>
  <si>
    <t>Adquicion de Equipos de Computo para funcionamiento operativo del CRUE</t>
  </si>
  <si>
    <t>0318 - 5 - 3 1 3 14 52 2 157 - 20</t>
  </si>
  <si>
    <t>Mejorar y dotar el CRUE para su correcto funcionamiento en el Departamento del Quindio.</t>
  </si>
  <si>
    <t>Estandarizar e implementar  los formatos de reporte entre los actores involucrados</t>
  </si>
  <si>
    <t xml:space="preserve">reporte de informacion en tiempo real sobre la capacidad de resolutiva del servicio en salud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</si>
  <si>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</si>
  <si>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</si>
  <si>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</si>
  <si>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</si>
  <si>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</si>
  <si>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</si>
  <si>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Reformular el PAMEC de la Direccion Territorial de acuerdo a lo establecido en la Resolución 3960 de 2008.</t>
  </si>
  <si>
    <t xml:space="preserve">Asegurar la totalidad de los estandares establecidos en el sistema de habilitacion 
</t>
  </si>
  <si>
    <t xml:space="preserve">Realizar asistencia técnica para levantar el diagnóstico del estado de avance del programa PAMEC en la IPS públicas del Departamento. </t>
  </si>
  <si>
    <t>Realizar capacitación del recurso humano de las IPS públicas en el establecimiento de planes de mejora.</t>
  </si>
  <si>
    <t xml:space="preserve">Garantizar eficiencia en el establecimiento de los indicadores de seguimiento a riesgo 
</t>
  </si>
  <si>
    <t>Seguimiento y evaluación al cumplimiento DE los planes de mejoramiento y estandarización de procesos  de habilitación de las EAPB.</t>
  </si>
  <si>
    <t>Realizar visitas de verificación de los requisitos de habilitación a 150 prestadores de servicios de salud.</t>
  </si>
  <si>
    <t xml:space="preserve">Realizar visitas de verificación de los requisitos de habilitación </t>
  </si>
  <si>
    <t>verificación  a 150 prestadores de servicios de salud.</t>
  </si>
  <si>
    <t>Fortalecimiento financiero de la red de servicios publica</t>
  </si>
  <si>
    <t>Evaluar semestralmente los indicadores de monitoreo del sistema de catorce (14) ESE´s del nivel I, II y III</t>
  </si>
  <si>
    <t>1802 - 5 - 3 1 3 14 54 2 159 - 72</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</si>
  <si>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</si>
  <si>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</si>
  <si>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</si>
  <si>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de ejecucion y saneamiento a los aportes patronales de las IPS publicas</t>
  </si>
  <si>
    <t>Seguimiento y apoyo al proceso financiero de las IPS publicas</t>
  </si>
  <si>
    <t>Apoyar 2 programas  de saneamiento fiscal y financiero a las IPS categorizadas en riesgo por el Ministerio de Salud</t>
  </si>
  <si>
    <t xml:space="preserve">Realizar los  procesos adecuados para la auditoria en el flujo de recursos de las IPS 
</t>
  </si>
  <si>
    <t>Seguimiento trimestral a los programas de saneamiento fiscal y financiero</t>
  </si>
  <si>
    <t>Gestión Posible</t>
  </si>
  <si>
    <t>Apoyo y Fortalecimiento Institucional</t>
  </si>
  <si>
    <t>Evaluar los municipios de Armenia y Calarcá que se encuentran  certificados en salud</t>
  </si>
  <si>
    <t>1804 - 5 - 3 1 3 15 55 2 160 - 72</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</si>
  <si>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</si>
  <si>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</si>
  <si>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</si>
  <si>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</si>
  <si>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Lograr que los procesos misionales y estratégicos de la Secretaría de Salud, que así lo requieran cuente con el apoyo y gestión de la Dirección Estratégica.</t>
  </si>
  <si>
    <t>Fortaleza en la planificacion, seguimiento y evaluacion de objetivos de S.D.S</t>
  </si>
  <si>
    <t>Realizar actividades de planeacion para la S.D.S aplicando los lineamientos normativos vigentes</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</si>
  <si>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</si>
  <si>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</si>
  <si>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</si>
  <si>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</si>
  <si>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</si>
  <si>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</si>
  <si>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</si>
  <si>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</si>
  <si>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DIFERENCIA</t>
  </si>
  <si>
    <t>Deporte Asociado</t>
  </si>
  <si>
    <t>Ligas deportivas del departamento del Quindío</t>
  </si>
  <si>
    <t xml:space="preserve">Apoyar  y fortalecer veintitrés (23) ligas deportivas   </t>
  </si>
  <si>
    <t>2234468202-4-2334468202-3</t>
  </si>
  <si>
    <t>Apoyo al deporte asociado en el Departamento del Quindio</t>
  </si>
  <si>
    <t xml:space="preserve">Incrementar los niveles de desarrollo en el deporte formativo y competitivo del departamento del quindio </t>
  </si>
  <si>
    <t>Fortalecer los procesos con deportistas de altos logros</t>
  </si>
  <si>
    <t xml:space="preserve">Realizar acompañamiento y asesorìa a las ligas y clubes del departamento </t>
  </si>
  <si>
    <t>Olga Lucia Fernandez Cardenas- Gerente</t>
  </si>
  <si>
    <t>Nuevo IVA de Licores Cedido 30% Deporte</t>
  </si>
  <si>
    <t>Apoyo a las ligas en los eventos deportivos de carácter federal</t>
  </si>
  <si>
    <t>Apoyar  a veinte  (20) deportistas en nivel de talento, de proyección y de altos logros con el programa de incentivos económicos a deportistas</t>
  </si>
  <si>
    <t>2234468203-3</t>
  </si>
  <si>
    <t>Apoyo a deportistas de alto logros y reserva deportiva</t>
  </si>
  <si>
    <t xml:space="preserve">Apoyo a eventos deportivos </t>
  </si>
  <si>
    <t>Apoyar 13 ligas de los eventos deportivos de carácter federado nacional y departamental</t>
  </si>
  <si>
    <t>2234469204-4-22334469204-6-2234469204-9</t>
  </si>
  <si>
    <t xml:space="preserve">Apoyo  logistico a las 13 ligas estrategicas </t>
  </si>
  <si>
    <t>9 (Rendimientos financieros)</t>
  </si>
  <si>
    <t>Iva Telefonia Movil</t>
  </si>
  <si>
    <t>Cigarrillos nacionales y extranjeros 70% (RB)</t>
  </si>
  <si>
    <t xml:space="preserve">Juegos intercolegiados </t>
  </si>
  <si>
    <t>Desarrollar cuatro (4) juegos Intercolegiados  en sus diferentes fases.</t>
  </si>
  <si>
    <t>2234470205-4-2334470205-11-2234470205-7</t>
  </si>
  <si>
    <t>Apoyo a los juegos intercolegiados en el Deparrtamento del Quindìo</t>
  </si>
  <si>
    <t>Generar espacios de  competencia para las instituciones educativas, aumentando así el porcentaje de utilización de escenarios deportivos y disminuyendo los índices de sedentarismo</t>
  </si>
  <si>
    <t>Fortalecer programas y actividades deportivas</t>
  </si>
  <si>
    <t xml:space="preserve">Acompañamiento a la fase departamental y nacional de los juegos intercolegiados </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</si>
  <si>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</si>
  <si>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</si>
  <si>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</si>
  <si>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2234471206-3-2234471206-7-2234471207-4-2334471207-4-2234471207-11-2234471208-4-2374471208-4</t>
  </si>
  <si>
    <t>Apoyo al Deporte formativo, deporte social comunitario y juegos  tradicionales en el Departamento del Quindío</t>
  </si>
  <si>
    <t>Generar espacios recreo-deportivos,  aumentando el porcentaje de utilización de escenarios deportivos y disminuyendo los índices de consumo de estupefaciente</t>
  </si>
  <si>
    <t>Fortalecer los espacios recreodeportivos</t>
  </si>
  <si>
    <t>Brindar asesoria a los doce municipios del departamente</t>
  </si>
  <si>
    <t>Nuevo iva de licores cedido 30% deporte</t>
  </si>
  <si>
    <t>Realizacion de eventos deportivos en el departamento</t>
  </si>
  <si>
    <t>Desarrollar  4 eventos de deporte social y comunitario.</t>
  </si>
  <si>
    <t>Apoyar  técnicamente un 1  evento de  Juegos Comunales en la fase Departamental</t>
  </si>
  <si>
    <t>Realizacion de los juegos comunales en el departamento</t>
  </si>
  <si>
    <t>Si Recreación y actividad física para ti</t>
  </si>
  <si>
    <t xml:space="preserve"> Recreación,  para el Bien Común</t>
  </si>
  <si>
    <t>Apoyar de forma articulada el desarrollo del programa (1) "Campamentos Juveniles"</t>
  </si>
  <si>
    <t>2234572209-4-2234572209-7-2334572209-11</t>
  </si>
  <si>
    <t xml:space="preserve"> Apoyo a la Recreación,  para el Bien Común en el Departamento del Quindío</t>
  </si>
  <si>
    <t>Disminuir los indices de consumo de estupefacientes en los municipios del departamento a través  del desarrollo de espacios recreodeportivos</t>
  </si>
  <si>
    <t>Fortalecer una cultura recreo-deportiva en la poblacion</t>
  </si>
  <si>
    <t>Brindar apoyo tecnico y logistico a campamentos juveniles</t>
  </si>
  <si>
    <t>Iva cedido Licores</t>
  </si>
  <si>
    <t>Apoyo logistico y tecnico al adulto mayor</t>
  </si>
  <si>
    <t>Apoyar de forma articulada el programa nuevo comienzo "Otro Motivo para Vivir" (1).</t>
  </si>
  <si>
    <t>2234572210-4-2234572210-7-2334572210-11</t>
  </si>
  <si>
    <t>Crear y desarrollar una estrategia para articular la actividad recreativa social comunitaria desde la primera infancia hasta las personas mayores.</t>
  </si>
  <si>
    <t>2234572211-7</t>
  </si>
  <si>
    <t>Apoyo logistico tecnico</t>
  </si>
  <si>
    <t>Actividad física, hábitos y estilos de vida saludables</t>
  </si>
  <si>
    <t xml:space="preserve">implementar un (1) programa que permita ejecutar proyectos  de actividad física para la promoción de hábitos y estilos de vida saludables </t>
  </si>
  <si>
    <t>2234573212-4-2234573212-7</t>
  </si>
  <si>
    <t>Apoyo a la actividad fisica, salud y productiva en el Departamento del Quindio.</t>
  </si>
  <si>
    <t>Disminuir los  índices en el consumo de estupefacientes  y sedentarismo en los municipios del departamento a traves de programa de actividad fisica y habitos saludables</t>
  </si>
  <si>
    <t>Fomentar estilos de vida saludable y actividad fisica</t>
  </si>
  <si>
    <t>Capacitaciones en actividad fisica</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</si>
  <si>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</si>
  <si>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</si>
  <si>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</si>
  <si>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</si>
  <si>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</si>
  <si>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Altos índices en el consumo de estupefacientes en los municipios del departamento, conllevando a otras problemáticas sociales</t>
  </si>
  <si>
    <t>Fortalecer la articulacion interinstitucional</t>
  </si>
  <si>
    <t>Brindar acompañamiento tecnico a los municipios</t>
  </si>
  <si>
    <t xml:space="preserve">OLGA LUCIA FERNANDEZ CARDENAS
Gerente General
</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</si>
  <si>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</si>
  <si>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</si>
  <si>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</si>
  <si>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</si>
  <si>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</si>
  <si>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</si>
  <si>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</si>
  <si>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 xml:space="preserve">Otros (iva telefonia móvil  - registro)  </t>
  </si>
  <si>
    <t>Fernado Baena Villareal- Director</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</si>
  <si>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</si>
  <si>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</si>
  <si>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</si>
  <si>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</si>
  <si>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Generear oportunidadesinstitucionales a través de procesos de gestion orientados a insentivar programas de movilidad sostenible en la jurisdiccion del I.D.T.Q</t>
  </si>
  <si>
    <t>Campañas de difusión y sensibilización a la población del Programa Nacional de ciclorutas</t>
  </si>
  <si>
    <t>FERNANDO BAENA VILLAREAL</t>
  </si>
  <si>
    <t>INSTITUTO DEPARTAMENTAL DE TRANSITO</t>
  </si>
  <si>
    <t>METAS</t>
  </si>
  <si>
    <t>CICLO VITAL</t>
  </si>
  <si>
    <t>ESTRATEGIA</t>
  </si>
  <si>
    <t>PROGRAMA</t>
  </si>
  <si>
    <t>SUBPROGRAMA</t>
  </si>
  <si>
    <t>META PRODUCTO PLAN DE DESARROLLO</t>
  </si>
  <si>
    <t>META FISICA 2017</t>
  </si>
  <si>
    <t xml:space="preserve">NOMBRE DEL PROYECTO </t>
  </si>
  <si>
    <t>VALOR PROYECTO</t>
  </si>
  <si>
    <t>Infraestructura Sostenible para la Paz</t>
  </si>
  <si>
    <t>Mejora de la Infraestructura Vial del Departamento del Quindío</t>
  </si>
  <si>
    <t>Nro</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</si>
  <si>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</si>
  <si>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</si>
  <si>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</si>
  <si>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</si>
  <si>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 xml:space="preserve">Fomentar la consolidación y/o ejecución de 12 proyectos u obras de desarrollo, infraestructura de redes y comunicaciones en el Departamento del Quindío </t>
  </si>
  <si>
    <t>Impuesto al Registro)</t>
  </si>
  <si>
    <t>HERNAN MAURICIO CAÑAS  GERENTE</t>
  </si>
  <si>
    <t xml:space="preserve">Desarrollo de Programas y Proyectos, en los componentes de vivienda, infraestructura, equipamiento colectivo y comunitario.
</t>
  </si>
  <si>
    <t>Escenarios Deportivos y Recreativos</t>
  </si>
  <si>
    <t>Estampilla Pro Desarrollo</t>
  </si>
  <si>
    <t>Instituciones Educativas</t>
  </si>
  <si>
    <t xml:space="preserve">Equipamientos </t>
  </si>
  <si>
    <t>construcción y/o mejoramiento de vivienda</t>
  </si>
  <si>
    <t>Cobertura Educativa</t>
  </si>
  <si>
    <t>Acceso y Pemanencia</t>
  </si>
  <si>
    <t>Implementar un (1) plan, programa y/o proyecto para el acceso de niños, niñas y jóvenes en las instituciones educativas</t>
  </si>
  <si>
    <t>Número</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</si>
  <si>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</si>
  <si>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</si>
  <si>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</si>
  <si>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</si>
  <si>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</si>
  <si>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</si>
  <si>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ALVARO ARIAS VELASQUEZ, 
Secretario de Educación</t>
  </si>
  <si>
    <t>0314 - 5 - 3 1 3 5 16 1 84 - 20</t>
  </si>
  <si>
    <t>20 -88</t>
  </si>
  <si>
    <t>0314 - 5 - 3 1 3 5 16 1 84 - 35</t>
  </si>
  <si>
    <t>Material de rio</t>
  </si>
  <si>
    <t>0314 - 5 - 3 1 3 5 16 1 84 - 88</t>
  </si>
  <si>
    <t>Matriculatón</t>
  </si>
  <si>
    <t>Implementar el Programa de Alimentación Escolar (PAE) en el departamento del Quindío</t>
  </si>
  <si>
    <t>0314 - 5 - 3 1 3 5 16 1 84 - 91</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</si>
  <si>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</si>
  <si>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</si>
  <si>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35-91</t>
  </si>
  <si>
    <t>1404 - 5 - 3 1 3 5 16 1 84 - 09</t>
  </si>
  <si>
    <t>80-81 -137</t>
  </si>
  <si>
    <t>Recurso Fondo de Educación PAE</t>
  </si>
  <si>
    <t>1404 - 5 - 3 1 3 5 16 1 84 - 137</t>
  </si>
  <si>
    <t>1404 - 5 - 3 1 3 5 16 1 84 - 25</t>
  </si>
  <si>
    <t>SGP EDUCACIÓN</t>
  </si>
  <si>
    <t>1404 - 5 - 3 1 3 5 16 1 84 - 80</t>
  </si>
  <si>
    <t>Contratación Equipo PAE</t>
  </si>
  <si>
    <t>Implementar el programa de transporte escolar en el departamento del Quindio</t>
  </si>
  <si>
    <t>1404 - 5 - 3 1 3 5 16 1 84 - 81</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</si>
  <si>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</si>
  <si>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</si>
  <si>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Educación inclusiva con acceso y permanencia para poblaciones vulnerables - diferenciales</t>
  </si>
  <si>
    <t>Atender cuatro mil quinientos (4.500)  personas de la población adulta del departamento (jóvenes y adultos, madres cabeza de hogar)</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</si>
  <si>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</si>
  <si>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</si>
  <si>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poblacion adulta en  el departamento del quindio.</t>
  </si>
  <si>
    <t xml:space="preserve">Matriculatón
</t>
  </si>
  <si>
    <t>ALVARO ARIAS VELASQUEZ
Secretario de Educación</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</si>
  <si>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</si>
  <si>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</si>
  <si>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</si>
  <si>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</si>
  <si>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</si>
  <si>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</si>
  <si>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0314 - 5 - 3 1 3 5 17 1 86 - 20</t>
  </si>
  <si>
    <t xml:space="preserve">Atender dos mil quinientos setenta estudiantes (2570) en condición de población  victima del conflicto, residentes en el departamento del Quindío </t>
  </si>
  <si>
    <t>1404 - 5 - 3 1 3 5 17 1 86 - 25</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</si>
  <si>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</si>
  <si>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</si>
  <si>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</si>
  <si>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</si>
  <si>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</si>
  <si>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Contratación Interpretes de Señas</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</si>
  <si>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</si>
  <si>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</si>
  <si>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</si>
  <si>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</si>
  <si>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1402 - 5 - 3 1 3 5 18 1  87 - 9
1402 - 5 - 3 1 3 5 18 1 87  - 25
1402 - 5 - 3 1 3 5 18 1  87 - 26
1403 - 5 - 3 1 3 5 18 1 87 - 9
1403 - 5 - 3 1 3 5 18 1 87- 25
1403 - 5 - 3 1 3 5 18 1 87 - 26</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</si>
  <si>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</si>
  <si>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</si>
  <si>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</si>
  <si>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</si>
  <si>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SGP</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</si>
  <si>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</si>
  <si>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</si>
  <si>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</si>
  <si>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</si>
  <si>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</si>
  <si>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</si>
  <si>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</si>
  <si>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</si>
  <si>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</si>
  <si>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</si>
  <si>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</si>
  <si>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0314 - 5 - 3 1 3 6 19 1 89 - 35</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</si>
  <si>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</si>
  <si>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</si>
  <si>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</si>
  <si>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0314 - 5 - 3 1 3 6 19 1 89 - 91</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</si>
  <si>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</si>
  <si>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</si>
  <si>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</si>
  <si>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</si>
  <si>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</si>
  <si>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</si>
  <si>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</si>
  <si>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</si>
  <si>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</si>
  <si>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</si>
  <si>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</si>
  <si>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</si>
  <si>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</si>
  <si>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</si>
  <si>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</si>
  <si>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</si>
  <si>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</si>
  <si>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</si>
  <si>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</si>
  <si>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</si>
  <si>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</si>
  <si>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</si>
  <si>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</si>
  <si>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</si>
  <si>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</si>
  <si>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</si>
  <si>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</si>
  <si>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Conformar y dotar grupos culturales artísticos en instituciones educativas</t>
  </si>
  <si>
    <t>Proceso Precontractual de Compra de Instrumentos Músicales para conformar Grupos Artísticos</t>
  </si>
  <si>
    <t>Implementar el proyecto PRAE en treinta y seis (36)  instituciones educativas del departamento</t>
  </si>
  <si>
    <t>0314 - 5 - 3 1 3 6 20 1 90 - 20</t>
  </si>
  <si>
    <t>Implementar el proyecto PRAE en instituciones educativas del departamento</t>
  </si>
  <si>
    <t>Contratación Profesional - PRAES</t>
  </si>
  <si>
    <t>0314 - 5 - 3 1 3 6 20 1 90 - 35</t>
  </si>
  <si>
    <t>Dotación de implementos de mitigación, prevencion y atención del riesgo para el fortalecimiento del Plan Escolar de Gestión del Riesgo (PEGER)</t>
  </si>
  <si>
    <t>Realizar eventos académicos, investigativos y culturales, liderados por la Secretaría de Educación Departamental para el fortalecimiento de la calidad educativa, la convivencia, la paz, la formación ciudadana y pensamiento ambiental</t>
  </si>
  <si>
    <t>0314 - 5 - 3 1 3 6 20 1 90 - 91</t>
  </si>
  <si>
    <t>Encuentro Cultural de Étnoeducación</t>
  </si>
  <si>
    <t>1404 - 5 - 3 1 3 6 20 1 90 - 80</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</si>
  <si>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</si>
  <si>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</si>
  <si>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</si>
  <si>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</si>
  <si>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</si>
  <si>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Implementar el programa de jornada única</t>
  </si>
  <si>
    <t>Inicio clases Jornada Unica  Reunión rectores Jornada Única</t>
  </si>
  <si>
    <t xml:space="preserve">Mantener, adecuar y/o construir la infraestructura ciento treinta (130) sedes de las instituciones educativas  </t>
  </si>
  <si>
    <t>Mejorar las condiciones de infraestructura y de elementos pedagógicos para la implementación de la jornada única y ambientes escolares para la Paz</t>
  </si>
  <si>
    <t>Inicio Procesos de Tranferencia de Recursos para Pequeñas Intervenciones</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</si>
  <si>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</si>
  <si>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</si>
  <si>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</si>
  <si>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Dotar instituciones educativas, de material didactico,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</si>
  <si>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</si>
  <si>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</si>
  <si>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</si>
  <si>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</si>
  <si>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</si>
  <si>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</si>
  <si>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</si>
  <si>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</si>
  <si>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</si>
  <si>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</si>
  <si>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 xml:space="preserve"> Dotar sedes educativas del Departamento del Quindío con la colección semilla</t>
  </si>
  <si>
    <t>Inicio Proceso de Compra Colección Semilla</t>
  </si>
  <si>
    <t>Apoyar los  procesos de capacitación  de quinientos (500) docentes del departamento</t>
  </si>
  <si>
    <t>0314 - 5 - 3 1 3 6 21 1 91 - 20</t>
  </si>
  <si>
    <t>Apoyar los  procesos de capacitación  de docentes de instituciones educativas del departamento del quindío en estrategias de lectura y escritur</t>
  </si>
  <si>
    <t>Contratacion Personal - Profesionales en:
-  Inglés
- Español y Literatura
- Convivencia Escolar 
- PRAES</t>
  </si>
  <si>
    <t>0314 - 5 - 3 1 3 6 21 1 91 - 35</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</si>
  <si>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</si>
  <si>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</si>
  <si>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</si>
  <si>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</si>
  <si>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</si>
  <si>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</si>
  <si>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</si>
  <si>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</si>
  <si>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Reunión comité Territorial de Formación Docente - Capacitación
Reunión lideres SIMAT</t>
  </si>
  <si>
    <t>Socialización de los componentes administrativos de la guia ministerial para el manejo de los recursos de los fondos educativos</t>
  </si>
  <si>
    <t>Capacitación de los procesos protocolizados en la guia ministerial</t>
  </si>
  <si>
    <t>0314 - 5 - 3 1 3 6 22 1 93 - 35</t>
  </si>
  <si>
    <t>Manual de procesos y procedimiento unificados por las Instituciones Educativas del Departamento del Quindío</t>
  </si>
  <si>
    <t>Diagnóstico y diseño de estrategias para el mejoramiento de la gestión academica y comunitaria en las instituciones educativas de Departamento</t>
  </si>
  <si>
    <t>Pertinencia e Innovación</t>
  </si>
  <si>
    <t>Quindío Bilingüe</t>
  </si>
  <si>
    <t>Apoyar cincuenta y cinco (55) docentes licenciados en lenguas modernas formados en ingles con  dominio B2</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</si>
  <si>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</si>
  <si>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</si>
  <si>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</si>
  <si>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</si>
  <si>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</si>
  <si>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</si>
  <si>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</si>
  <si>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</si>
  <si>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</si>
  <si>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0314 - 5 - 3 1 3 7 23 1 94 - 35</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</si>
  <si>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</si>
  <si>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</si>
  <si>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</si>
  <si>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</si>
  <si>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</si>
  <si>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</si>
  <si>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</si>
  <si>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</si>
  <si>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</si>
  <si>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</si>
  <si>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</si>
  <si>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</si>
  <si>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</si>
  <si>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Fortalecer cincuenta (50)   instituciones educativas en competencias básicas</t>
  </si>
  <si>
    <t>0314 - 5 - 3 1 3 7 24 1 95 - 20</t>
  </si>
  <si>
    <t>Contratación para Capacitación y Logistica de Talleres de Referentes, Planeación Curricular, Evaluación de los Aprendizajes</t>
  </si>
  <si>
    <t>Fortalecer cuarenta y siete (47) instituciones educativas con el programa de articulación con la educación superior y Educacion para el Trabajo y Desarrollo  Humano ETDH</t>
  </si>
  <si>
    <t>0314 - 5 - 3 1 3 7 24 1 95 - 35</t>
  </si>
  <si>
    <t>Reunión con Rectores de Universidades del Dpto del Quindío</t>
  </si>
  <si>
    <t>Implementar un Programa de Alimentación Escolar Universitario PAEU para estudiantes universitarios</t>
  </si>
  <si>
    <t>Iniaciar el Proceso - Convenio - Fundación Providencia</t>
  </si>
  <si>
    <t>Implementar el programa de acceso y permanencia de la educación técnica, tecnologica y superior en el departamento del Quindío</t>
  </si>
  <si>
    <t>0314 - 5 - 3 1 3 7 24 1 - 122-20</t>
  </si>
  <si>
    <t>Implementación de un Fondo de apoyo departamental para el acceso y la permanencia de la educación técnica, tecnológica y superior en el Departamneto del Quindío</t>
  </si>
  <si>
    <t>Iniciar con el Proceso Precontractual para Entrega de Becas a Estudianrtes Egresados de las I.E. Oficiales del Departamento</t>
  </si>
  <si>
    <t>0314 - 5 - 3 1 3 7 24 1 -122-35</t>
  </si>
  <si>
    <t>Recurso Ordinadio</t>
  </si>
  <si>
    <t>Eficiencia Educativa</t>
  </si>
  <si>
    <t>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</si>
  <si>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</si>
  <si>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</si>
  <si>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</si>
  <si>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</si>
  <si>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</si>
  <si>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</si>
  <si>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</si>
  <si>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</si>
  <si>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</si>
  <si>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</si>
  <si>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</si>
  <si>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</si>
  <si>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</si>
  <si>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</si>
  <si>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</si>
  <si>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</si>
  <si>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</si>
  <si>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Funcionamiento y prestación de servicios del sector educativo del nivel central</t>
  </si>
  <si>
    <t>Realizar el pago oportuno al 100% de los funcionarios de la planta de  administrativos, docentes y directivos docentes del sector central</t>
  </si>
  <si>
    <t>Porcentaje</t>
  </si>
  <si>
    <t>1400 - 5 - 3 1 3 5 18 1 98 - 09
1400  - 5 - 3 1 3 5 18 1 98 - 25
1401- 5 - 3 1 3 5 18 1 98 - 09
1401 - 5 - 3 1 3 5 18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</si>
  <si>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</si>
  <si>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</si>
  <si>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</si>
  <si>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</si>
  <si>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</si>
  <si>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</si>
  <si>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</si>
  <si>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</si>
  <si>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</si>
  <si>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</si>
  <si>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</si>
  <si>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0314 - 5 - 3 1 3 8 28 1 100 - 20</t>
  </si>
  <si>
    <t>Realizar (ocho) 8 eventos y actividades culturales y recreativas, desarrolladas para los funcionarios del servicio educativo del departamento del Quindío</t>
  </si>
  <si>
    <t>0314 - 5 - 3 1 3 8 28 1 100 - 35</t>
  </si>
  <si>
    <t>Celebración día del Administrativo.</t>
  </si>
  <si>
    <t xml:space="preserve">Educación Inicial Integral </t>
  </si>
  <si>
    <t>Implementar  un (1)  programa de educación integral  a la primera infancia</t>
  </si>
  <si>
    <t>0314 - 5 - 3 1 3 16 57 1 101 - 20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</si>
  <si>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</si>
  <si>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</si>
  <si>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</si>
  <si>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t>ALVARO ARIAS VELASQUEZ</t>
  </si>
  <si>
    <t>SECRETARIO DE EDUCACION DEPARTAMENTAL</t>
  </si>
  <si>
    <t>Apoyar la construcción, el mantenimiento, el mejoramiento y/o la rehabilitación de la infraestructura de doce (12) equipamientos públicos y colectivos del Departamento del Quindío.</t>
  </si>
  <si>
    <t>Apoyar  ciento veinte (120) proyectos del programa de concertación cultural del departamento</t>
  </si>
  <si>
    <t>Apoyar treinta y seis (36) proyectos mediante estímulos artísticos y culturales</t>
  </si>
  <si>
    <t>Fortalecer cinco (5) procesos de emprendimiento cultural y de desarrollo de industrias creativas</t>
  </si>
  <si>
    <t>Apoyar  veinte (20) proyectos y/o actividades en investigación, capacitación y difusión de la lectura y escritura para fortalecer la Red Departamental de Bibliotecas</t>
  </si>
  <si>
    <t xml:space="preserve">Apoyar treinta y dos (32) proyectos y/o actividades en gestión, investigación,  protección, divulgación y salvaguardia del patrimonio y diversidad cultural </t>
  </si>
  <si>
    <t xml:space="preserve">Apoyar diez (10) proyectos y/o actividades orientados a fortalecer la articulación comunicación y cultura </t>
  </si>
  <si>
    <t>Apoyar  dieciséis (16) actividades y/o proyectos  para el afianzamiento del Sistema Departamental de Cultura</t>
  </si>
  <si>
    <t>Adoptar dos (2) mecanismos de integracion regional  y  de asociatividad  entre los municipios.</t>
  </si>
  <si>
    <t xml:space="preserve">PROGRAMACIÓN PLAN DE ACCIÓN </t>
  </si>
  <si>
    <t xml:space="preserve">F-PLA-06   </t>
  </si>
  <si>
    <t>Agosto 1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</si>
</sst>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quot;$&quot;\ * #,##0_);_(&quot;$&quot;\ * \(#,##0\);_(&quot;$&quot;\ *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 [$€-2]\ * #,##0.00_ ;_ [$€-2]\ * \-#,##0.00_ ;_ [$€-2]\ * &quot;-&quot;??_ "/>
    <numFmt numFmtId="170" formatCode="dd/mm/yy;@"/>
    <numFmt numFmtId="171" formatCode="_(* #,##0_);_(* \(#,##0\);_(* &quot;-&quot;??_);_(@_)"/>
    <numFmt numFmtId="172" formatCode="#,##0_ ;\-#,##0\ "/>
    <numFmt numFmtId="173" formatCode="d/mm/yyyy;@"/>
    <numFmt numFmtId="174" formatCode="0.0"/>
    <numFmt numFmtId="175" formatCode="&quot;$&quot;\ #,##0"/>
    <numFmt numFmtId="176" formatCode="dd/mm/yyyy;@"/>
    <numFmt numFmtId="177" formatCode="_ &quot;$&quot;\ * #,##0.00_ ;_ &quot;$&quot;\ * \-#,##0.00_ ;_ &quot;$&quot;\ * &quot;-&quot;??_ ;_ @_ "/>
    <numFmt numFmtId="178" formatCode="_-* #,##0_-;\-* #,##0_-;_-* &quot;-&quot;??_-;_-@_-"/>
    <numFmt numFmtId="179" formatCode="&quot;$&quot;#,##0"/>
    <numFmt numFmtId="180" formatCode="#,##0.00_);\-#,##0.00"/>
    <numFmt numFmtId="181" formatCode="&quot;$&quot;#,##0.00"/>
    <numFmt numFmtId="182" formatCode="#,##0.000"/>
    <numFmt numFmtId="183" formatCode="_([$$-240A]\ * #,##0_);_([$$-240A]\ * \(#,##0\);_([$$-240A]\ * &quot;-&quot;_);_(@_)"/>
    <numFmt numFmtId="184" formatCode="&quot;$&quot;\ #,##0.00"/>
    <numFmt numFmtId="185" formatCode="[$€-2]\ #,##0.00"/>
    <numFmt numFmtId="186" formatCode="_ [$€-2]\ * #,##0_ ;_ [$€-2]\ * \-#,##0_ ;_ [$€-2]\ * &quot;-&quot;??_ "/>
    <numFmt numFmtId="187" formatCode="0_ ;\-0\ "/>
    <numFmt numFmtId="188" formatCode="_-* #,##0.00\ _€_-;\-* #,##0.00\ _€_-;_-* &quot;-&quot;??\ _€_-;_-@_-"/>
    <numFmt numFmtId="189" formatCode="#,##0.00_ ;\-#,##0.00\ "/>
    <numFmt numFmtId="190" formatCode="0.000"/>
    <numFmt numFmtId="191" formatCode="#,##0.00;[Red]#,##0.00"/>
    <numFmt numFmtId="192" formatCode="#,##0;[Red]#,##0"/>
    <numFmt numFmtId="193" formatCode="_-* #,##0.00\ &quot;€&quot;_-;\-* #,##0.00\ &quot;€&quot;_-;_-* &quot;-&quot;??\ &quot;€&quot;_-;_-@_-"/>
    <numFmt numFmtId="194" formatCode="0;[Red]0"/>
    <numFmt numFmtId="195" formatCode="0.0%"/>
    <numFmt numFmtId="196" formatCode="_(&quot;$&quot;\ * #,##0_);_(&quot;$&quot;\ * \(#,##0\);_(&quot;$&quot;\ * &quot;-&quot;??_);_(@_)"/>
    <numFmt numFmtId="197" formatCode="_(&quot;$&quot;\ * #,##0.000_);_(&quot;$&quot;\ * \(#,##0.000\);_(&quot;$&quot;\ * &quot;-&quot;???_);_(@_)"/>
    <numFmt numFmtId="198" formatCode="_-[$$-240A]* #,##0_-;\-[$$-240A]* #,##0_-;_-[$$-240A]* &quot;-&quot;_-;_-@_-"/>
    <numFmt numFmtId="199" formatCode="_-[$$-240A]* #,##0_-;\-[$$-240A]* #,##0_-;_-[$$-240A]* &quot;-&quot;??_-;_-@_-"/>
    <numFmt numFmtId="200" formatCode="_-[$$-240A]* #,##0.00_-;\-[$$-240A]* #,##0.00_-;_-[$$-240A]* &quot;-&quot;??_-;_-@_-"/>
  </numFmts>
  <fonts count="45"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rgb="FFFF0000"/>
      <name val="Arial"/>
      <family val="2"/>
    </font>
    <font>
      <b/>
      <sz val="10"/>
      <color theme="1"/>
      <name val="Arial"/>
      <family val="2"/>
    </font>
    <font>
      <sz val="10"/>
      <color theme="1"/>
      <name val="Arial"/>
      <family val="2"/>
    </font>
    <font>
      <sz val="11"/>
      <color indexed="8"/>
      <name val="Calibri"/>
      <family val="2"/>
    </font>
    <font>
      <sz val="11"/>
      <color theme="1"/>
      <name val="Arial"/>
      <family val="2"/>
    </font>
    <font>
      <sz val="12"/>
      <color theme="1"/>
      <name val="Arial"/>
      <family val="2"/>
    </font>
    <font>
      <sz val="11"/>
      <color rgb="FF000000"/>
      <name val="Arial"/>
      <family val="2"/>
    </font>
    <font>
      <sz val="11"/>
      <name val="Arial"/>
      <family val="2"/>
    </font>
    <font>
      <sz val="11"/>
      <name val="Calibri"/>
      <family val="2"/>
      <scheme val="minor"/>
    </font>
    <font>
      <b/>
      <sz val="12"/>
      <color theme="1"/>
      <name val="Arial"/>
      <family val="2"/>
    </font>
    <font>
      <sz val="11"/>
      <color rgb="FFFF0000"/>
      <name val="Arial"/>
      <family val="2"/>
    </font>
    <font>
      <b/>
      <sz val="11"/>
      <color theme="1"/>
      <name val="Arial"/>
      <family val="2"/>
    </font>
    <font>
      <sz val="11"/>
      <color rgb="FF000000"/>
      <name val="Calibri"/>
      <family val="2"/>
    </font>
    <font>
      <b/>
      <sz val="11"/>
      <name val="Arial"/>
      <family val="2"/>
    </font>
    <font>
      <sz val="10"/>
      <color rgb="FF000000"/>
      <name val="Arial"/>
      <family val="2"/>
    </font>
    <font>
      <sz val="11"/>
      <color indexed="8"/>
      <name val="Arial"/>
      <family val="2"/>
    </font>
    <font>
      <b/>
      <sz val="6"/>
      <color indexed="8"/>
      <name val="Times New Roman"/>
      <family val="1"/>
    </font>
    <font>
      <b/>
      <sz val="12"/>
      <name val="Arial"/>
      <family val="2"/>
    </font>
    <font>
      <sz val="12"/>
      <name val="Arial"/>
      <family val="2"/>
    </font>
    <font>
      <sz val="12"/>
      <name val="Calibri"/>
      <family val="2"/>
      <scheme val="minor"/>
    </font>
    <font>
      <sz val="12"/>
      <name val="Times New Roman"/>
      <family val="1"/>
    </font>
    <font>
      <b/>
      <sz val="11"/>
      <color indexed="8"/>
      <name val="Arial"/>
      <family val="2"/>
    </font>
    <font>
      <sz val="10"/>
      <color rgb="FFFF0000"/>
      <name val="Arial"/>
      <family val="2"/>
    </font>
    <font>
      <b/>
      <sz val="10"/>
      <color rgb="FF000000"/>
      <name val="Arial"/>
      <family val="2"/>
    </font>
    <font>
      <b/>
      <sz val="11"/>
      <color indexed="8"/>
      <name val="Times New Roman"/>
      <family val="1"/>
    </font>
    <font>
      <sz val="10"/>
      <name val="Arial Narrow"/>
      <family val="2"/>
    </font>
    <font>
      <b/>
      <sz val="10"/>
      <name val="Arial Narrow"/>
      <family val="2"/>
    </font>
    <font>
      <b/>
      <sz val="6"/>
      <name val="Times New Roman"/>
      <family val="1"/>
    </font>
    <font>
      <b/>
      <sz val="12"/>
      <name val="Times New Roman"/>
      <family val="1"/>
    </font>
    <font>
      <b/>
      <sz val="14"/>
      <color theme="1"/>
      <name val="Arial"/>
      <family val="2"/>
    </font>
    <font>
      <sz val="11"/>
      <color rgb="FF000000"/>
      <name val="Calibri"/>
      <family val="2"/>
      <scheme val="minor"/>
    </font>
    <font>
      <sz val="14"/>
      <color theme="1"/>
      <name val="Arial"/>
      <family val="2"/>
    </font>
    <font>
      <sz val="12"/>
      <color indexed="8"/>
      <name val="Times New Roman"/>
      <family val="1"/>
    </font>
    <font>
      <b/>
      <sz val="12"/>
      <color indexed="8"/>
      <name val="Times New Roman"/>
      <family val="1"/>
    </font>
    <font>
      <sz val="11"/>
      <name val="Arial Narrow"/>
      <family val="2"/>
    </font>
    <font>
      <b/>
      <sz val="11"/>
      <name val="Arial Narrow"/>
      <family val="2"/>
    </font>
    <font>
      <sz val="12"/>
      <color rgb="FFFF0000"/>
      <name val="Arial"/>
      <family val="2"/>
    </font>
    <font>
      <sz val="12"/>
      <color theme="1"/>
      <name val="Calibri"/>
      <family val="2"/>
      <scheme val="minor"/>
    </font>
    <font>
      <sz val="14"/>
      <name val="Arial"/>
      <family val="2"/>
    </font>
    <font>
      <sz val="10"/>
      <color theme="1"/>
      <name val="Calibri"/>
      <family val="2"/>
      <scheme val="minor"/>
    </font>
    <font>
      <sz val="8.8000000000000007"/>
      <color rgb="FF313131"/>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FFFF"/>
        <bgColor rgb="FF000000"/>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s>
  <borders count="52">
    <border>
      <left/>
      <right/>
      <top/>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24">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169" fontId="1" fillId="0" borderId="0"/>
    <xf numFmtId="43" fontId="7"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177" fontId="16" fillId="0" borderId="0"/>
    <xf numFmtId="188" fontId="1" fillId="0" borderId="0" applyFont="0" applyFill="0" applyBorder="0" applyAlignment="0" applyProtection="0"/>
    <xf numFmtId="167" fontId="1" fillId="0" borderId="0" applyFont="0" applyFill="0" applyBorder="0" applyAlignment="0" applyProtection="0"/>
    <xf numFmtId="169" fontId="1" fillId="0" borderId="0"/>
    <xf numFmtId="193" fontId="7" fillId="0" borderId="0" applyFont="0" applyFill="0" applyBorder="0" applyAlignment="0" applyProtection="0"/>
    <xf numFmtId="9" fontId="7" fillId="0" borderId="0" applyFont="0" applyFill="0" applyBorder="0" applyAlignment="0" applyProtection="0"/>
    <xf numFmtId="0" fontId="3" fillId="0" borderId="0"/>
    <xf numFmtId="0" fontId="1" fillId="0" borderId="0"/>
    <xf numFmtId="43" fontId="7" fillId="0" borderId="0" applyFont="0" applyFill="0" applyBorder="0" applyAlignment="0" applyProtection="0"/>
    <xf numFmtId="164" fontId="3" fillId="0" borderId="0" applyFont="0" applyFill="0" applyBorder="0" applyAlignment="0" applyProtection="0"/>
    <xf numFmtId="0" fontId="3" fillId="0" borderId="0"/>
    <xf numFmtId="164" fontId="1" fillId="0" borderId="0" applyFont="0" applyFill="0" applyBorder="0" applyAlignment="0" applyProtection="0"/>
    <xf numFmtId="42" fontId="1" fillId="0" borderId="0" applyFont="0" applyFill="0" applyBorder="0" applyAlignment="0" applyProtection="0"/>
  </cellStyleXfs>
  <cellXfs count="3489">
    <xf numFmtId="0" fontId="0" fillId="0" borderId="0" xfId="0"/>
    <xf numFmtId="0" fontId="3" fillId="0" borderId="0" xfId="0" applyFont="1"/>
    <xf numFmtId="1" fontId="5" fillId="6" borderId="12" xfId="0" applyNumberFormat="1" applyFont="1" applyFill="1" applyBorder="1" applyAlignment="1">
      <alignment horizontal="left" vertical="center" wrapText="1"/>
    </xf>
    <xf numFmtId="0" fontId="5" fillId="6" borderId="12" xfId="0" applyFont="1" applyFill="1" applyBorder="1" applyAlignment="1">
      <alignment vertical="center"/>
    </xf>
    <xf numFmtId="1" fontId="5" fillId="6" borderId="12" xfId="0" applyNumberFormat="1" applyFont="1" applyFill="1" applyBorder="1" applyAlignment="1">
      <alignment vertical="center"/>
    </xf>
    <xf numFmtId="0" fontId="5" fillId="6" borderId="12" xfId="0" applyFont="1" applyFill="1" applyBorder="1" applyAlignment="1">
      <alignment horizontal="justify" vertical="center"/>
    </xf>
    <xf numFmtId="9" fontId="6" fillId="6" borderId="12" xfId="3" applyFont="1" applyFill="1" applyBorder="1" applyAlignment="1">
      <alignment vertical="center"/>
    </xf>
    <xf numFmtId="3" fontId="5" fillId="6" borderId="12" xfId="0" applyNumberFormat="1" applyFont="1" applyFill="1" applyBorder="1" applyAlignment="1">
      <alignment horizontal="right" vertical="center"/>
    </xf>
    <xf numFmtId="3" fontId="5" fillId="6" borderId="12" xfId="0" applyNumberFormat="1" applyFont="1" applyFill="1" applyBorder="1" applyAlignment="1">
      <alignment vertical="center"/>
    </xf>
    <xf numFmtId="3" fontId="5" fillId="6" borderId="12" xfId="0" applyNumberFormat="1" applyFont="1" applyFill="1" applyBorder="1" applyAlignment="1">
      <alignment horizontal="left" vertical="center"/>
    </xf>
    <xf numFmtId="0" fontId="5" fillId="6" borderId="12" xfId="0" applyFont="1" applyFill="1" applyBorder="1" applyAlignment="1">
      <alignment horizontal="center" vertical="center"/>
    </xf>
    <xf numFmtId="1" fontId="5" fillId="6" borderId="12" xfId="0" applyNumberFormat="1" applyFont="1" applyFill="1" applyBorder="1" applyAlignment="1">
      <alignment horizontal="center" vertical="center"/>
    </xf>
    <xf numFmtId="171" fontId="6" fillId="0" borderId="0" xfId="5" applyNumberFormat="1" applyFont="1" applyFill="1" applyBorder="1" applyAlignment="1">
      <alignment horizontal="justify" vertical="center"/>
    </xf>
    <xf numFmtId="0" fontId="6" fillId="0" borderId="0" xfId="0" applyFont="1" applyBorder="1"/>
    <xf numFmtId="0" fontId="8" fillId="2" borderId="7" xfId="0" applyFont="1" applyFill="1" applyBorder="1" applyAlignment="1">
      <alignment vertical="center" wrapText="1"/>
    </xf>
    <xf numFmtId="0" fontId="8" fillId="7" borderId="3" xfId="0" applyFont="1" applyFill="1" applyBorder="1" applyAlignment="1">
      <alignment horizontal="center" vertical="center" wrapText="1"/>
    </xf>
    <xf numFmtId="0" fontId="9" fillId="2" borderId="0" xfId="0" applyFont="1" applyFill="1"/>
    <xf numFmtId="0" fontId="8" fillId="2" borderId="1" xfId="0" applyFont="1" applyFill="1" applyBorder="1" applyAlignment="1">
      <alignment vertical="center" wrapText="1"/>
    </xf>
    <xf numFmtId="0" fontId="8" fillId="8" borderId="3"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 xfId="0" applyFont="1" applyFill="1" applyBorder="1" applyAlignment="1">
      <alignment horizontal="center" vertical="center"/>
    </xf>
    <xf numFmtId="0" fontId="8" fillId="0" borderId="3" xfId="0" applyFont="1" applyFill="1" applyBorder="1" applyAlignment="1">
      <alignment vertical="center" wrapText="1"/>
    </xf>
    <xf numFmtId="9" fontId="8" fillId="0" borderId="3" xfId="3" applyFont="1" applyFill="1" applyBorder="1" applyAlignment="1">
      <alignment horizontal="center" vertical="center"/>
    </xf>
    <xf numFmtId="42" fontId="8" fillId="0" borderId="3" xfId="2" applyFont="1" applyFill="1" applyBorder="1" applyAlignment="1">
      <alignment vertical="center"/>
    </xf>
    <xf numFmtId="0" fontId="8" fillId="0" borderId="3" xfId="0" applyFont="1" applyFill="1" applyBorder="1" applyAlignment="1">
      <alignment horizontal="justify" vertical="center" wrapText="1" readingOrder="2"/>
    </xf>
    <xf numFmtId="3" fontId="8" fillId="0" borderId="3" xfId="1" applyNumberFormat="1" applyFont="1" applyFill="1" applyBorder="1" applyAlignment="1">
      <alignment horizontal="right" vertical="center"/>
    </xf>
    <xf numFmtId="3" fontId="8" fillId="0" borderId="3" xfId="1" applyNumberFormat="1" applyFont="1" applyFill="1" applyBorder="1" applyAlignment="1">
      <alignment horizontal="center" vertical="center"/>
    </xf>
    <xf numFmtId="165" fontId="8" fillId="2" borderId="3" xfId="6" applyFont="1" applyFill="1" applyBorder="1" applyAlignment="1">
      <alignment horizontal="center" vertical="center" wrapText="1"/>
    </xf>
    <xf numFmtId="9" fontId="8" fillId="2" borderId="3" xfId="3" applyFont="1" applyFill="1" applyBorder="1" applyAlignment="1">
      <alignment horizontal="center" vertical="center" wrapText="1"/>
    </xf>
    <xf numFmtId="170" fontId="8" fillId="2" borderId="3" xfId="0" applyNumberFormat="1" applyFont="1" applyFill="1" applyBorder="1" applyAlignment="1" applyProtection="1">
      <alignment horizontal="center" vertical="center" wrapText="1"/>
      <protection locked="0"/>
    </xf>
    <xf numFmtId="3" fontId="8" fillId="2" borderId="3" xfId="0" applyNumberFormat="1" applyFont="1" applyFill="1" applyBorder="1" applyAlignment="1">
      <alignment horizontal="left" vertical="center" wrapText="1"/>
    </xf>
    <xf numFmtId="0" fontId="9" fillId="0" borderId="0" xfId="0" applyFont="1" applyFill="1"/>
    <xf numFmtId="0" fontId="10" fillId="9" borderId="3" xfId="0" applyFont="1" applyFill="1" applyBorder="1" applyAlignment="1">
      <alignment horizontal="justify" vertical="center" wrapText="1"/>
    </xf>
    <xf numFmtId="3" fontId="8" fillId="0" borderId="3" xfId="1" applyNumberFormat="1" applyFont="1" applyFill="1" applyBorder="1" applyAlignment="1">
      <alignment horizontal="right" vertical="center" wrapText="1"/>
    </xf>
    <xf numFmtId="0" fontId="9" fillId="0" borderId="0" xfId="0" applyFont="1"/>
    <xf numFmtId="0" fontId="10" fillId="0" borderId="3" xfId="0" applyFont="1" applyFill="1" applyBorder="1" applyAlignment="1">
      <alignment horizontal="justify" vertical="center" wrapText="1"/>
    </xf>
    <xf numFmtId="0" fontId="0" fillId="0" borderId="3" xfId="0" applyFont="1" applyBorder="1" applyAlignment="1">
      <alignment horizontal="center" vertical="center" wrapText="1"/>
    </xf>
    <xf numFmtId="42" fontId="8" fillId="0" borderId="3" xfId="2" applyFont="1" applyFill="1" applyBorder="1" applyAlignment="1">
      <alignment horizontal="center" vertical="center"/>
    </xf>
    <xf numFmtId="0" fontId="8" fillId="0" borderId="3" xfId="0" applyFont="1" applyFill="1" applyBorder="1" applyAlignment="1">
      <alignment horizontal="justify" vertical="center"/>
    </xf>
    <xf numFmtId="172" fontId="8" fillId="2" borderId="3" xfId="0" applyNumberFormat="1" applyFont="1" applyFill="1" applyBorder="1" applyAlignment="1">
      <alignment horizontal="center" vertical="center" wrapText="1"/>
    </xf>
    <xf numFmtId="0" fontId="8" fillId="0" borderId="1" xfId="0" applyFont="1" applyBorder="1"/>
    <xf numFmtId="0" fontId="11" fillId="2" borderId="3" xfId="0"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0" fontId="8" fillId="0" borderId="1" xfId="0" applyFont="1" applyFill="1" applyBorder="1"/>
    <xf numFmtId="2" fontId="8" fillId="0" borderId="3" xfId="0" applyNumberFormat="1" applyFont="1" applyFill="1" applyBorder="1" applyAlignment="1">
      <alignment horizontal="center" vertical="center" wrapText="1"/>
    </xf>
    <xf numFmtId="9" fontId="8" fillId="0" borderId="3" xfId="3" applyFont="1" applyFill="1" applyBorder="1" applyAlignment="1">
      <alignment horizontal="center" vertical="center" wrapText="1"/>
    </xf>
    <xf numFmtId="3" fontId="11" fillId="0" borderId="3" xfId="7" applyNumberFormat="1" applyFont="1" applyFill="1" applyBorder="1" applyAlignment="1">
      <alignment horizontal="right" vertical="center" wrapText="1"/>
    </xf>
    <xf numFmtId="0" fontId="8" fillId="0" borderId="0" xfId="0" applyFont="1" applyFill="1" applyBorder="1"/>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2" fontId="8" fillId="0" borderId="10" xfId="0" applyNumberFormat="1" applyFont="1" applyFill="1" applyBorder="1" applyAlignment="1">
      <alignment horizontal="center" vertical="center" wrapText="1"/>
    </xf>
    <xf numFmtId="9" fontId="8" fillId="0" borderId="10" xfId="3" applyFont="1" applyFill="1" applyBorder="1" applyAlignment="1">
      <alignment horizontal="center" vertical="center" wrapText="1"/>
    </xf>
    <xf numFmtId="3" fontId="11" fillId="0" borderId="10" xfId="7" applyNumberFormat="1" applyFont="1" applyFill="1" applyBorder="1" applyAlignment="1">
      <alignment horizontal="right" vertical="center" wrapText="1"/>
    </xf>
    <xf numFmtId="0" fontId="13" fillId="0" borderId="19" xfId="0" applyFont="1" applyBorder="1"/>
    <xf numFmtId="0" fontId="13" fillId="0" borderId="20" xfId="0" applyFont="1" applyBorder="1"/>
    <xf numFmtId="0" fontId="13" fillId="2" borderId="20" xfId="0" applyFont="1" applyFill="1" applyBorder="1" applyAlignment="1">
      <alignment horizontal="justify"/>
    </xf>
    <xf numFmtId="0" fontId="13" fillId="2" borderId="20" xfId="0" applyFont="1" applyFill="1" applyBorder="1"/>
    <xf numFmtId="0" fontId="13" fillId="2" borderId="20" xfId="0" applyFont="1" applyFill="1" applyBorder="1" applyAlignment="1">
      <alignment vertical="center"/>
    </xf>
    <xf numFmtId="9" fontId="13" fillId="2" borderId="21" xfId="3" applyFont="1" applyFill="1" applyBorder="1" applyAlignment="1">
      <alignment horizontal="center" vertical="center"/>
    </xf>
    <xf numFmtId="42" fontId="13" fillId="2" borderId="22" xfId="2" applyFont="1" applyFill="1" applyBorder="1" applyAlignment="1">
      <alignment vertical="center"/>
    </xf>
    <xf numFmtId="0" fontId="13" fillId="2" borderId="19" xfId="0" applyFont="1" applyFill="1" applyBorder="1" applyAlignment="1">
      <alignment horizontal="justify"/>
    </xf>
    <xf numFmtId="0" fontId="13" fillId="2" borderId="20" xfId="0" applyFont="1" applyFill="1" applyBorder="1" applyAlignment="1">
      <alignment horizontal="justify" vertical="center"/>
    </xf>
    <xf numFmtId="0" fontId="13" fillId="2" borderId="21" xfId="0" applyFont="1" applyFill="1" applyBorder="1" applyAlignment="1">
      <alignment horizontal="justify" vertical="center"/>
    </xf>
    <xf numFmtId="3" fontId="13" fillId="2" borderId="19" xfId="1" applyNumberFormat="1" applyFont="1" applyFill="1" applyBorder="1" applyAlignment="1">
      <alignment horizontal="right" vertical="center"/>
    </xf>
    <xf numFmtId="3" fontId="13" fillId="2" borderId="19" xfId="1" applyNumberFormat="1" applyFont="1" applyFill="1" applyBorder="1" applyAlignment="1">
      <alignment horizontal="center" vertical="center"/>
    </xf>
    <xf numFmtId="0" fontId="13" fillId="2" borderId="20" xfId="0" applyFont="1" applyFill="1" applyBorder="1" applyAlignment="1">
      <alignment horizontal="center" vertical="center"/>
    </xf>
    <xf numFmtId="0" fontId="13" fillId="0" borderId="20" xfId="0" applyFont="1" applyFill="1" applyBorder="1" applyAlignment="1">
      <alignment horizontal="right" vertical="center"/>
    </xf>
    <xf numFmtId="170" fontId="13" fillId="0" borderId="20" xfId="0" applyNumberFormat="1" applyFont="1" applyBorder="1" applyAlignment="1">
      <alignment horizontal="center"/>
    </xf>
    <xf numFmtId="0" fontId="13" fillId="0" borderId="21" xfId="0" applyFont="1" applyBorder="1" applyAlignment="1">
      <alignment horizontal="left" vertical="center"/>
    </xf>
    <xf numFmtId="0" fontId="13" fillId="0" borderId="0" xfId="0" applyFont="1" applyFill="1"/>
    <xf numFmtId="0" fontId="13" fillId="0" borderId="0" xfId="0" applyFont="1"/>
    <xf numFmtId="0" fontId="9" fillId="2" borderId="0" xfId="0" applyFont="1" applyFill="1" applyAlignment="1">
      <alignment horizontal="justify"/>
    </xf>
    <xf numFmtId="9" fontId="9" fillId="2" borderId="0" xfId="3" applyFont="1" applyFill="1" applyAlignment="1">
      <alignment horizontal="center" vertical="center"/>
    </xf>
    <xf numFmtId="42" fontId="9" fillId="2" borderId="0" xfId="2" applyFont="1" applyFill="1"/>
    <xf numFmtId="0" fontId="9" fillId="2" borderId="0" xfId="0" applyFont="1" applyFill="1" applyAlignment="1">
      <alignment horizontal="justify" vertical="center"/>
    </xf>
    <xf numFmtId="3" fontId="9" fillId="2" borderId="0" xfId="1" applyNumberFormat="1" applyFont="1" applyFill="1" applyAlignment="1">
      <alignment horizontal="right" vertical="center"/>
    </xf>
    <xf numFmtId="3" fontId="9" fillId="2" borderId="0" xfId="1" applyNumberFormat="1" applyFont="1" applyFill="1" applyAlignment="1">
      <alignment horizontal="center" vertical="center"/>
    </xf>
    <xf numFmtId="0" fontId="9" fillId="2" borderId="0" xfId="0" applyFont="1" applyFill="1" applyAlignment="1">
      <alignment horizontal="center" vertical="center"/>
    </xf>
    <xf numFmtId="0" fontId="9" fillId="0" borderId="0" xfId="0" applyFont="1" applyFill="1" applyAlignment="1">
      <alignment horizontal="right" vertical="center"/>
    </xf>
    <xf numFmtId="170" fontId="9" fillId="0" borderId="0" xfId="0" applyNumberFormat="1" applyFont="1" applyAlignment="1">
      <alignment horizontal="center"/>
    </xf>
    <xf numFmtId="0" fontId="9" fillId="0" borderId="0" xfId="0" applyFont="1" applyAlignment="1">
      <alignment horizontal="left" vertical="center"/>
    </xf>
    <xf numFmtId="0" fontId="8" fillId="0" borderId="0" xfId="0" applyFont="1"/>
    <xf numFmtId="0" fontId="8" fillId="0" borderId="0" xfId="0" applyFont="1" applyAlignment="1">
      <alignment horizontal="justify"/>
    </xf>
    <xf numFmtId="0" fontId="14" fillId="0" borderId="0" xfId="0" applyFont="1"/>
    <xf numFmtId="9" fontId="8" fillId="0" borderId="0" xfId="3" applyFont="1"/>
    <xf numFmtId="3" fontId="8" fillId="0" borderId="0" xfId="0" applyNumberFormat="1" applyFont="1" applyAlignment="1">
      <alignment horizontal="right"/>
    </xf>
    <xf numFmtId="3" fontId="8" fillId="0" borderId="0" xfId="0" applyNumberFormat="1" applyFont="1"/>
    <xf numFmtId="0" fontId="8" fillId="0" borderId="0" xfId="0" applyFont="1" applyAlignment="1">
      <alignment horizontal="center"/>
    </xf>
    <xf numFmtId="0" fontId="14" fillId="0" borderId="0" xfId="0" applyFont="1" applyAlignment="1">
      <alignment horizontal="center"/>
    </xf>
    <xf numFmtId="0" fontId="14" fillId="0" borderId="0" xfId="0" applyFont="1" applyFill="1"/>
    <xf numFmtId="0" fontId="8" fillId="0" borderId="0" xfId="0" applyFont="1" applyAlignment="1">
      <alignment horizontal="center" vertical="center"/>
    </xf>
    <xf numFmtId="0" fontId="14" fillId="0" borderId="0" xfId="0" applyFont="1" applyAlignment="1">
      <alignment horizontal="center" vertical="center"/>
    </xf>
    <xf numFmtId="0" fontId="6" fillId="0" borderId="0" xfId="0" applyFont="1" applyFill="1" applyAlignment="1">
      <alignment horizontal="left"/>
    </xf>
    <xf numFmtId="0" fontId="6" fillId="0" borderId="0" xfId="0" applyFont="1" applyFill="1"/>
    <xf numFmtId="1" fontId="5" fillId="6" borderId="8" xfId="0" applyNumberFormat="1" applyFont="1" applyFill="1" applyBorder="1" applyAlignment="1">
      <alignment horizontal="left" vertical="center" wrapText="1"/>
    </xf>
    <xf numFmtId="0" fontId="5" fillId="6" borderId="8" xfId="0" applyFont="1" applyFill="1" applyBorder="1" applyAlignment="1">
      <alignment vertical="center"/>
    </xf>
    <xf numFmtId="174" fontId="5" fillId="6" borderId="12" xfId="0" applyNumberFormat="1" applyFont="1" applyFill="1" applyBorder="1" applyAlignment="1">
      <alignment horizontal="center" vertical="center"/>
    </xf>
    <xf numFmtId="175" fontId="5" fillId="6" borderId="12" xfId="0" applyNumberFormat="1" applyFont="1" applyFill="1" applyBorder="1" applyAlignment="1">
      <alignment vertical="center"/>
    </xf>
    <xf numFmtId="175" fontId="5" fillId="6" borderId="12" xfId="0" applyNumberFormat="1" applyFont="1" applyFill="1" applyBorder="1" applyAlignment="1">
      <alignment horizontal="center" vertical="center"/>
    </xf>
    <xf numFmtId="176" fontId="5" fillId="6" borderId="12" xfId="0" applyNumberFormat="1" applyFont="1" applyFill="1" applyBorder="1" applyAlignment="1">
      <alignment vertical="center"/>
    </xf>
    <xf numFmtId="0" fontId="5" fillId="6" borderId="13" xfId="0" applyFont="1" applyFill="1" applyBorder="1" applyAlignment="1">
      <alignment horizontal="justify" vertical="center"/>
    </xf>
    <xf numFmtId="1" fontId="5" fillId="2"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 fontId="5" fillId="10" borderId="0" xfId="0" applyNumberFormat="1" applyFont="1" applyFill="1" applyBorder="1" applyAlignment="1">
      <alignment horizontal="center" vertical="center"/>
    </xf>
    <xf numFmtId="0" fontId="5" fillId="10" borderId="0" xfId="0" applyFont="1" applyFill="1" applyBorder="1" applyAlignment="1">
      <alignment vertical="center"/>
    </xf>
    <xf numFmtId="0" fontId="5" fillId="10" borderId="5" xfId="0" applyFont="1" applyFill="1" applyBorder="1" applyAlignment="1">
      <alignment vertical="center"/>
    </xf>
    <xf numFmtId="0" fontId="5" fillId="10" borderId="5" xfId="0" applyFont="1" applyFill="1" applyBorder="1" applyAlignment="1">
      <alignment horizontal="justify" vertical="center"/>
    </xf>
    <xf numFmtId="0" fontId="5" fillId="10" borderId="5" xfId="0" applyFont="1" applyFill="1" applyBorder="1" applyAlignment="1">
      <alignment horizontal="center" vertical="center"/>
    </xf>
    <xf numFmtId="174" fontId="5" fillId="10" borderId="5" xfId="0" applyNumberFormat="1" applyFont="1" applyFill="1" applyBorder="1" applyAlignment="1">
      <alignment horizontal="center" vertical="center"/>
    </xf>
    <xf numFmtId="175" fontId="5" fillId="10" borderId="5" xfId="0" applyNumberFormat="1" applyFont="1" applyFill="1" applyBorder="1" applyAlignment="1">
      <alignment vertical="center"/>
    </xf>
    <xf numFmtId="175" fontId="5" fillId="10" borderId="5" xfId="0" applyNumberFormat="1" applyFont="1" applyFill="1" applyBorder="1" applyAlignment="1">
      <alignment horizontal="center" vertical="center"/>
    </xf>
    <xf numFmtId="1" fontId="5" fillId="10" borderId="5" xfId="0" applyNumberFormat="1" applyFont="1" applyFill="1" applyBorder="1" applyAlignment="1">
      <alignment horizontal="center" vertical="center"/>
    </xf>
    <xf numFmtId="176" fontId="5" fillId="10" borderId="5" xfId="0" applyNumberFormat="1" applyFont="1" applyFill="1" applyBorder="1" applyAlignment="1">
      <alignment vertical="center"/>
    </xf>
    <xf numFmtId="0" fontId="5" fillId="10" borderId="6" xfId="0" applyFont="1" applyFill="1" applyBorder="1" applyAlignment="1">
      <alignment horizontal="justify" vertical="center"/>
    </xf>
    <xf numFmtId="0" fontId="6" fillId="2" borderId="0" xfId="0" applyFont="1" applyFill="1"/>
    <xf numFmtId="1" fontId="5"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1" fontId="5" fillId="8" borderId="12" xfId="0" applyNumberFormat="1" applyFont="1" applyFill="1" applyBorder="1" applyAlignment="1">
      <alignment horizontal="left" vertical="center" wrapText="1" indent="1"/>
    </xf>
    <xf numFmtId="0" fontId="5" fillId="8" borderId="12" xfId="0" applyFont="1" applyFill="1" applyBorder="1" applyAlignment="1">
      <alignment vertical="center"/>
    </xf>
    <xf numFmtId="0" fontId="5" fillId="8" borderId="12" xfId="0" applyFont="1" applyFill="1" applyBorder="1" applyAlignment="1">
      <alignment horizontal="justify" vertical="center"/>
    </xf>
    <xf numFmtId="0" fontId="5" fillId="8" borderId="12" xfId="0" applyFont="1" applyFill="1" applyBorder="1" applyAlignment="1">
      <alignment horizontal="center" vertical="center"/>
    </xf>
    <xf numFmtId="174" fontId="5" fillId="8" borderId="12" xfId="0" applyNumberFormat="1" applyFont="1" applyFill="1" applyBorder="1" applyAlignment="1">
      <alignment horizontal="center" vertical="center"/>
    </xf>
    <xf numFmtId="175" fontId="5" fillId="8" borderId="12" xfId="0" applyNumberFormat="1" applyFont="1" applyFill="1" applyBorder="1" applyAlignment="1">
      <alignment vertical="center"/>
    </xf>
    <xf numFmtId="175" fontId="5" fillId="8" borderId="12"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176" fontId="5" fillId="8" borderId="12" xfId="0" applyNumberFormat="1" applyFont="1" applyFill="1" applyBorder="1" applyAlignment="1">
      <alignment vertical="center"/>
    </xf>
    <xf numFmtId="0" fontId="5" fillId="8" borderId="13" xfId="0" applyFont="1" applyFill="1" applyBorder="1" applyAlignment="1">
      <alignment horizontal="justify" vertical="center"/>
    </xf>
    <xf numFmtId="1"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justify" vertical="center" wrapText="1"/>
    </xf>
    <xf numFmtId="175" fontId="6" fillId="2" borderId="3" xfId="0" applyNumberFormat="1" applyFont="1" applyFill="1" applyBorder="1" applyAlignment="1">
      <alignment horizontal="center" vertical="center" wrapText="1"/>
    </xf>
    <xf numFmtId="0" fontId="6" fillId="2" borderId="10" xfId="0" applyFont="1" applyFill="1" applyBorder="1" applyAlignment="1">
      <alignment horizontal="justify" vertical="center" wrapText="1"/>
    </xf>
    <xf numFmtId="175" fontId="6" fillId="2" borderId="10" xfId="0" applyNumberFormat="1" applyFont="1" applyFill="1" applyBorder="1" applyAlignment="1">
      <alignment horizontal="center" vertical="center" wrapText="1"/>
    </xf>
    <xf numFmtId="1" fontId="6" fillId="2" borderId="1" xfId="0" applyNumberFormat="1" applyFont="1" applyFill="1" applyBorder="1"/>
    <xf numFmtId="0" fontId="6" fillId="2" borderId="0" xfId="0" applyFont="1" applyFill="1" applyBorder="1"/>
    <xf numFmtId="0" fontId="6" fillId="2" borderId="1" xfId="0" applyFont="1" applyFill="1" applyBorder="1"/>
    <xf numFmtId="1" fontId="5" fillId="8" borderId="11" xfId="0" applyNumberFormat="1" applyFont="1" applyFill="1" applyBorder="1" applyAlignment="1">
      <alignment horizontal="left" vertical="center" wrapText="1" indent="1"/>
    </xf>
    <xf numFmtId="0" fontId="5" fillId="8" borderId="12" xfId="0" applyFont="1" applyFill="1" applyBorder="1" applyAlignment="1" applyProtection="1">
      <alignment vertical="center"/>
      <protection locked="0"/>
    </xf>
    <xf numFmtId="0" fontId="5" fillId="8" borderId="12" xfId="0" applyFont="1" applyFill="1" applyBorder="1" applyAlignment="1">
      <alignment horizontal="justify" vertical="center" wrapText="1"/>
    </xf>
    <xf numFmtId="176" fontId="5" fillId="8" borderId="12" xfId="0" applyNumberFormat="1" applyFont="1" applyFill="1" applyBorder="1" applyAlignment="1" applyProtection="1">
      <alignment vertical="center"/>
      <protection locked="0"/>
    </xf>
    <xf numFmtId="0" fontId="6" fillId="0" borderId="0" xfId="0" applyFont="1"/>
    <xf numFmtId="0" fontId="6" fillId="2" borderId="2" xfId="0" applyFont="1" applyFill="1" applyBorder="1"/>
    <xf numFmtId="0" fontId="6" fillId="2" borderId="17" xfId="0" applyFont="1" applyFill="1" applyBorder="1" applyAlignment="1">
      <alignment horizontal="justify" vertical="center" wrapText="1"/>
    </xf>
    <xf numFmtId="175" fontId="6" fillId="2" borderId="17" xfId="0" applyNumberFormat="1" applyFont="1" applyFill="1" applyBorder="1" applyAlignment="1">
      <alignment horizontal="center" vertical="center"/>
    </xf>
    <xf numFmtId="175" fontId="6" fillId="2" borderId="3" xfId="0" applyNumberFormat="1" applyFont="1" applyFill="1" applyBorder="1" applyAlignment="1">
      <alignment horizontal="center" vertical="center"/>
    </xf>
    <xf numFmtId="0" fontId="6" fillId="0" borderId="3" xfId="0" applyFont="1" applyFill="1" applyBorder="1" applyAlignment="1">
      <alignment horizontal="justify" vertical="center" wrapText="1"/>
    </xf>
    <xf numFmtId="175" fontId="6" fillId="2" borderId="10" xfId="0" applyNumberFormat="1" applyFont="1" applyFill="1" applyBorder="1" applyAlignment="1">
      <alignment horizontal="center" vertical="center"/>
    </xf>
    <xf numFmtId="1" fontId="5" fillId="10" borderId="11" xfId="0" applyNumberFormat="1" applyFont="1" applyFill="1" applyBorder="1" applyAlignment="1">
      <alignment horizontal="center" vertical="center"/>
    </xf>
    <xf numFmtId="0" fontId="5" fillId="10" borderId="12" xfId="0" applyFont="1" applyFill="1" applyBorder="1" applyAlignment="1">
      <alignment vertical="center"/>
    </xf>
    <xf numFmtId="0" fontId="5" fillId="10" borderId="12" xfId="0" applyFont="1" applyFill="1" applyBorder="1" applyAlignment="1">
      <alignment horizontal="justify" vertical="center"/>
    </xf>
    <xf numFmtId="0" fontId="5" fillId="10" borderId="12" xfId="0" applyFont="1" applyFill="1" applyBorder="1" applyAlignment="1">
      <alignment horizontal="center" vertical="center"/>
    </xf>
    <xf numFmtId="174" fontId="5" fillId="10" borderId="12" xfId="0" applyNumberFormat="1" applyFont="1" applyFill="1" applyBorder="1" applyAlignment="1">
      <alignment horizontal="center" vertical="center"/>
    </xf>
    <xf numFmtId="175" fontId="5" fillId="10" borderId="12" xfId="0" applyNumberFormat="1" applyFont="1" applyFill="1" applyBorder="1" applyAlignment="1">
      <alignment vertical="center"/>
    </xf>
    <xf numFmtId="0" fontId="5" fillId="10" borderId="12" xfId="0" applyFont="1" applyFill="1" applyBorder="1" applyAlignment="1">
      <alignment horizontal="justify" vertical="center" wrapText="1"/>
    </xf>
    <xf numFmtId="1" fontId="5" fillId="10" borderId="12" xfId="0" applyNumberFormat="1" applyFont="1" applyFill="1" applyBorder="1" applyAlignment="1">
      <alignment vertical="center"/>
    </xf>
    <xf numFmtId="176" fontId="5" fillId="10" borderId="12" xfId="0" applyNumberFormat="1" applyFont="1" applyFill="1" applyBorder="1" applyAlignment="1">
      <alignment vertical="center"/>
    </xf>
    <xf numFmtId="0" fontId="5" fillId="10" borderId="13" xfId="0" applyFont="1" applyFill="1" applyBorder="1" applyAlignment="1">
      <alignment horizontal="justify" vertical="center"/>
    </xf>
    <xf numFmtId="1" fontId="5" fillId="8" borderId="4" xfId="0" applyNumberFormat="1" applyFont="1" applyFill="1" applyBorder="1" applyAlignment="1">
      <alignment horizontal="left" vertical="center" wrapText="1" indent="1"/>
    </xf>
    <xf numFmtId="0" fontId="5" fillId="8" borderId="5" xfId="0" applyFont="1" applyFill="1" applyBorder="1" applyAlignment="1">
      <alignment vertical="center"/>
    </xf>
    <xf numFmtId="0" fontId="5" fillId="8" borderId="5" xfId="0" applyFont="1" applyFill="1" applyBorder="1" applyAlignment="1">
      <alignment horizontal="justify" vertical="center"/>
    </xf>
    <xf numFmtId="0" fontId="5" fillId="8" borderId="5" xfId="0" applyFont="1" applyFill="1" applyBorder="1" applyAlignment="1">
      <alignment horizontal="center" vertical="center"/>
    </xf>
    <xf numFmtId="174" fontId="5" fillId="8" borderId="5" xfId="0" applyNumberFormat="1" applyFont="1" applyFill="1" applyBorder="1" applyAlignment="1">
      <alignment horizontal="center" vertical="center"/>
    </xf>
    <xf numFmtId="175" fontId="5" fillId="8" borderId="5" xfId="0" applyNumberFormat="1" applyFont="1" applyFill="1" applyBorder="1" applyAlignment="1">
      <alignment vertical="center"/>
    </xf>
    <xf numFmtId="0" fontId="5" fillId="8" borderId="5" xfId="0" applyFont="1" applyFill="1" applyBorder="1" applyAlignment="1">
      <alignment horizontal="justify" vertical="center" wrapText="1"/>
    </xf>
    <xf numFmtId="175" fontId="5" fillId="8" borderId="5" xfId="0" applyNumberFormat="1" applyFont="1" applyFill="1" applyBorder="1" applyAlignment="1">
      <alignment horizontal="center" vertical="center"/>
    </xf>
    <xf numFmtId="1" fontId="5" fillId="8" borderId="5" xfId="0" applyNumberFormat="1" applyFont="1" applyFill="1" applyBorder="1" applyAlignment="1">
      <alignment horizontal="center" vertical="center"/>
    </xf>
    <xf numFmtId="176" fontId="5" fillId="8" borderId="5" xfId="0" applyNumberFormat="1" applyFont="1" applyFill="1" applyBorder="1" applyAlignment="1">
      <alignment vertical="center"/>
    </xf>
    <xf numFmtId="0" fontId="5" fillId="8" borderId="6" xfId="0" applyFont="1" applyFill="1" applyBorder="1" applyAlignment="1">
      <alignment horizontal="justify" vertical="center"/>
    </xf>
    <xf numFmtId="1"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7" xfId="11" applyNumberFormat="1" applyFont="1" applyFill="1" applyBorder="1" applyAlignment="1">
      <alignment horizontal="justify" vertical="center" wrapText="1"/>
    </xf>
    <xf numFmtId="175" fontId="8" fillId="0" borderId="17" xfId="0" applyNumberFormat="1" applyFont="1" applyFill="1" applyBorder="1" applyAlignment="1">
      <alignment horizontal="center" vertical="center"/>
    </xf>
    <xf numFmtId="0" fontId="6" fillId="0" borderId="0" xfId="0" applyFont="1" applyFill="1" applyAlignment="1">
      <alignment horizontal="center" vertical="center"/>
    </xf>
    <xf numFmtId="49" fontId="6" fillId="0" borderId="3" xfId="11" applyNumberFormat="1" applyFont="1" applyFill="1" applyBorder="1" applyAlignment="1">
      <alignment horizontal="justify" vertical="center" wrapText="1"/>
    </xf>
    <xf numFmtId="175" fontId="8" fillId="0" borderId="3"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175" fontId="8" fillId="0" borderId="10" xfId="0" applyNumberFormat="1" applyFont="1" applyFill="1" applyBorder="1" applyAlignment="1">
      <alignment horizontal="center" vertical="center"/>
    </xf>
    <xf numFmtId="1" fontId="5" fillId="10" borderId="12" xfId="0" applyNumberFormat="1" applyFont="1" applyFill="1" applyBorder="1" applyAlignment="1">
      <alignment horizontal="center" vertical="center"/>
    </xf>
    <xf numFmtId="0" fontId="5" fillId="10" borderId="8" xfId="0" applyFont="1" applyFill="1" applyBorder="1" applyAlignment="1">
      <alignment vertical="center"/>
    </xf>
    <xf numFmtId="0" fontId="5" fillId="10" borderId="8" xfId="0" applyFont="1" applyFill="1" applyBorder="1" applyAlignment="1">
      <alignment horizontal="justify" vertical="center"/>
    </xf>
    <xf numFmtId="0" fontId="5" fillId="10" borderId="8" xfId="0" applyFont="1" applyFill="1" applyBorder="1" applyAlignment="1">
      <alignment horizontal="center" vertical="center"/>
    </xf>
    <xf numFmtId="174" fontId="5" fillId="10" borderId="8" xfId="0" applyNumberFormat="1" applyFont="1" applyFill="1" applyBorder="1" applyAlignment="1">
      <alignment horizontal="center" vertical="center"/>
    </xf>
    <xf numFmtId="175" fontId="5" fillId="10" borderId="8" xfId="0" applyNumberFormat="1" applyFont="1" applyFill="1" applyBorder="1" applyAlignment="1">
      <alignment vertical="center"/>
    </xf>
    <xf numFmtId="0" fontId="5" fillId="10" borderId="8" xfId="0" applyFont="1" applyFill="1" applyBorder="1" applyAlignment="1">
      <alignment horizontal="justify" vertical="center" wrapText="1"/>
    </xf>
    <xf numFmtId="1" fontId="5" fillId="10" borderId="8" xfId="0" applyNumberFormat="1" applyFont="1" applyFill="1" applyBorder="1" applyAlignment="1">
      <alignment vertical="center"/>
    </xf>
    <xf numFmtId="176" fontId="5" fillId="10" borderId="8" xfId="0" applyNumberFormat="1" applyFont="1" applyFill="1" applyBorder="1" applyAlignment="1">
      <alignment vertical="center"/>
    </xf>
    <xf numFmtId="0" fontId="5" fillId="10" borderId="9" xfId="0" applyFont="1" applyFill="1" applyBorder="1" applyAlignment="1">
      <alignment horizontal="justify" vertical="center"/>
    </xf>
    <xf numFmtId="1" fontId="5" fillId="8" borderId="11" xfId="0" applyNumberFormat="1" applyFont="1" applyFill="1" applyBorder="1" applyAlignment="1">
      <alignment horizontal="center" vertical="center" wrapText="1"/>
    </xf>
    <xf numFmtId="1" fontId="5" fillId="8" borderId="12" xfId="0" applyNumberFormat="1" applyFont="1" applyFill="1" applyBorder="1" applyAlignment="1">
      <alignment vertical="center"/>
    </xf>
    <xf numFmtId="1" fontId="6" fillId="0" borderId="1" xfId="0" applyNumberFormat="1" applyFont="1" applyFill="1" applyBorder="1"/>
    <xf numFmtId="0" fontId="6" fillId="0" borderId="0" xfId="0" applyFont="1" applyFill="1" applyBorder="1"/>
    <xf numFmtId="0" fontId="6" fillId="0" borderId="1" xfId="0" applyFont="1" applyFill="1" applyBorder="1"/>
    <xf numFmtId="0" fontId="6" fillId="0" borderId="17" xfId="0" applyFont="1" applyFill="1" applyBorder="1" applyAlignment="1">
      <alignment horizontal="justify" vertical="center"/>
    </xf>
    <xf numFmtId="171" fontId="6" fillId="0" borderId="17" xfId="0" applyNumberFormat="1" applyFont="1" applyFill="1" applyBorder="1" applyAlignment="1">
      <alignment horizontal="right" vertical="center"/>
    </xf>
    <xf numFmtId="0" fontId="6" fillId="0" borderId="3" xfId="0" applyFont="1" applyFill="1" applyBorder="1" applyAlignment="1">
      <alignment horizontal="justify" vertical="center"/>
    </xf>
    <xf numFmtId="171" fontId="6" fillId="0" borderId="3" xfId="0" applyNumberFormat="1" applyFont="1" applyFill="1" applyBorder="1" applyAlignment="1">
      <alignment horizontal="right" vertical="center"/>
    </xf>
    <xf numFmtId="0" fontId="6" fillId="0" borderId="0" xfId="0" applyFont="1" applyFill="1" applyBorder="1" applyAlignment="1">
      <alignment wrapText="1"/>
    </xf>
    <xf numFmtId="1"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1" fontId="6" fillId="0" borderId="3" xfId="0" applyNumberFormat="1" applyFont="1" applyFill="1" applyBorder="1" applyAlignment="1">
      <alignment horizontal="center" vertical="center"/>
    </xf>
    <xf numFmtId="9" fontId="6" fillId="0" borderId="3" xfId="3" applyFont="1" applyFill="1" applyBorder="1" applyAlignment="1">
      <alignment horizontal="center" vertical="center"/>
    </xf>
    <xf numFmtId="175" fontId="6" fillId="0" borderId="3" xfId="0" applyNumberFormat="1" applyFont="1" applyFill="1" applyBorder="1" applyAlignment="1">
      <alignment horizontal="center" vertical="center"/>
    </xf>
    <xf numFmtId="175" fontId="6" fillId="0" borderId="3" xfId="0" applyNumberFormat="1" applyFont="1" applyFill="1" applyBorder="1" applyAlignment="1">
      <alignment horizontal="right"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5" fontId="6" fillId="0" borderId="3" xfId="0" applyNumberFormat="1" applyFont="1" applyFill="1" applyBorder="1" applyAlignment="1">
      <alignment horizontal="center" vertical="center" wrapText="1"/>
    </xf>
    <xf numFmtId="175" fontId="6" fillId="0" borderId="0" xfId="0" applyNumberFormat="1" applyFont="1" applyFill="1" applyAlignment="1">
      <alignment horizontal="center" vertical="center"/>
    </xf>
    <xf numFmtId="0" fontId="6" fillId="0" borderId="0" xfId="0" applyFont="1" applyFill="1" applyBorder="1" applyAlignment="1">
      <alignment horizontal="center" vertical="center" wrapText="1"/>
    </xf>
    <xf numFmtId="3" fontId="6"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2" xfId="0" applyFont="1" applyFill="1" applyBorder="1"/>
    <xf numFmtId="175" fontId="6" fillId="0" borderId="3" xfId="0" applyNumberFormat="1" applyFont="1" applyFill="1" applyBorder="1" applyAlignment="1">
      <alignment vertical="center"/>
    </xf>
    <xf numFmtId="1"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1" fontId="6" fillId="2" borderId="3" xfId="0" applyNumberFormat="1" applyFont="1" applyFill="1" applyBorder="1" applyAlignment="1">
      <alignment horizontal="center" vertical="center"/>
    </xf>
    <xf numFmtId="9" fontId="6" fillId="2" borderId="3" xfId="3" applyFont="1" applyFill="1" applyBorder="1" applyAlignment="1">
      <alignment horizontal="center" vertical="center"/>
    </xf>
    <xf numFmtId="175" fontId="6" fillId="2" borderId="3" xfId="0" applyNumberFormat="1" applyFont="1" applyFill="1" applyBorder="1" applyAlignment="1">
      <alignment vertical="center"/>
    </xf>
    <xf numFmtId="1" fontId="6" fillId="2" borderId="4" xfId="0" applyNumberFormat="1" applyFont="1" applyFill="1" applyBorder="1"/>
    <xf numFmtId="0" fontId="6" fillId="2" borderId="5" xfId="0" applyFont="1" applyFill="1" applyBorder="1"/>
    <xf numFmtId="0" fontId="6" fillId="2" borderId="4" xfId="0" applyFont="1" applyFill="1" applyBorder="1"/>
    <xf numFmtId="1" fontId="6" fillId="2" borderId="10" xfId="0" applyNumberFormat="1" applyFont="1" applyFill="1" applyBorder="1" applyAlignment="1">
      <alignment horizontal="center" vertical="center" wrapText="1"/>
    </xf>
    <xf numFmtId="0" fontId="6" fillId="2" borderId="10" xfId="0" applyFont="1" applyFill="1" applyBorder="1" applyAlignment="1">
      <alignment horizontal="center" vertical="center"/>
    </xf>
    <xf numFmtId="1" fontId="6" fillId="2" borderId="10" xfId="0" applyNumberFormat="1" applyFont="1" applyFill="1" applyBorder="1" applyAlignment="1">
      <alignment horizontal="center" vertical="center"/>
    </xf>
    <xf numFmtId="9" fontId="6" fillId="2" borderId="10" xfId="3" applyFont="1" applyFill="1" applyBorder="1" applyAlignment="1">
      <alignment horizontal="center" vertical="center"/>
    </xf>
    <xf numFmtId="175" fontId="6" fillId="2" borderId="10" xfId="0" applyNumberFormat="1" applyFont="1" applyFill="1" applyBorder="1" applyAlignment="1">
      <alignment vertical="center"/>
    </xf>
    <xf numFmtId="175" fontId="6" fillId="0" borderId="10" xfId="0" applyNumberFormat="1" applyFont="1" applyFill="1" applyBorder="1" applyAlignment="1">
      <alignment horizontal="center" vertical="center"/>
    </xf>
    <xf numFmtId="1" fontId="5" fillId="0" borderId="0" xfId="0" applyNumberFormat="1" applyFont="1"/>
    <xf numFmtId="0" fontId="5" fillId="0" borderId="0" xfId="0" applyFont="1"/>
    <xf numFmtId="0" fontId="5" fillId="0" borderId="25" xfId="0" applyFont="1" applyBorder="1"/>
    <xf numFmtId="0" fontId="5" fillId="0" borderId="26" xfId="0" applyFont="1" applyBorder="1"/>
    <xf numFmtId="0" fontId="5" fillId="2" borderId="26" xfId="0" applyFont="1" applyFill="1" applyBorder="1" applyAlignment="1">
      <alignment horizontal="justify" vertical="center"/>
    </xf>
    <xf numFmtId="0" fontId="5" fillId="2" borderId="26" xfId="0" applyFont="1" applyFill="1" applyBorder="1"/>
    <xf numFmtId="0" fontId="5" fillId="2" borderId="26" xfId="0" applyFont="1" applyFill="1" applyBorder="1" applyAlignment="1">
      <alignment horizontal="center"/>
    </xf>
    <xf numFmtId="174" fontId="5" fillId="2" borderId="27" xfId="0" applyNumberFormat="1" applyFont="1" applyFill="1" applyBorder="1" applyAlignment="1">
      <alignment horizontal="center" vertical="center"/>
    </xf>
    <xf numFmtId="0" fontId="5" fillId="2" borderId="25" xfId="0" applyFont="1" applyFill="1" applyBorder="1" applyAlignment="1">
      <alignment horizontal="justify" vertical="center"/>
    </xf>
    <xf numFmtId="0" fontId="5" fillId="2" borderId="27" xfId="0" applyFont="1" applyFill="1" applyBorder="1" applyAlignment="1">
      <alignment horizontal="justify" vertical="center"/>
    </xf>
    <xf numFmtId="1" fontId="5" fillId="2" borderId="25" xfId="0" applyNumberFormat="1" applyFont="1" applyFill="1" applyBorder="1" applyAlignment="1">
      <alignment horizontal="center" vertical="center"/>
    </xf>
    <xf numFmtId="0" fontId="5" fillId="2" borderId="26" xfId="0" applyFont="1" applyFill="1" applyBorder="1" applyAlignment="1">
      <alignment horizontal="center" vertical="center"/>
    </xf>
    <xf numFmtId="176" fontId="5" fillId="0" borderId="26" xfId="0" applyNumberFormat="1" applyFont="1" applyFill="1" applyBorder="1" applyAlignment="1">
      <alignment horizontal="right" vertical="center"/>
    </xf>
    <xf numFmtId="176" fontId="5" fillId="0" borderId="26" xfId="0" applyNumberFormat="1" applyFont="1" applyBorder="1" applyAlignment="1">
      <alignment horizontal="center"/>
    </xf>
    <xf numFmtId="0" fontId="5" fillId="0" borderId="27" xfId="0" applyFont="1" applyBorder="1" applyAlignment="1">
      <alignment horizontal="justify" vertical="center"/>
    </xf>
    <xf numFmtId="0" fontId="5" fillId="0" borderId="29" xfId="0" applyFont="1" applyBorder="1"/>
    <xf numFmtId="0" fontId="5" fillId="0" borderId="30" xfId="0" applyFont="1" applyBorder="1"/>
    <xf numFmtId="0" fontId="5" fillId="2" borderId="30" xfId="0" applyFont="1" applyFill="1" applyBorder="1" applyAlignment="1">
      <alignment horizontal="justify" vertical="center"/>
    </xf>
    <xf numFmtId="0" fontId="5" fillId="2" borderId="30" xfId="0" applyFont="1" applyFill="1" applyBorder="1"/>
    <xf numFmtId="0" fontId="5" fillId="2" borderId="30" xfId="0" applyFont="1" applyFill="1" applyBorder="1" applyAlignment="1">
      <alignment horizontal="center"/>
    </xf>
    <xf numFmtId="174" fontId="5" fillId="2" borderId="31" xfId="0" applyNumberFormat="1" applyFont="1" applyFill="1" applyBorder="1" applyAlignment="1">
      <alignment horizontal="center" vertical="center"/>
    </xf>
    <xf numFmtId="0" fontId="5" fillId="2" borderId="29" xfId="0" applyFont="1" applyFill="1" applyBorder="1" applyAlignment="1">
      <alignment horizontal="justify" vertical="center"/>
    </xf>
    <xf numFmtId="0" fontId="5" fillId="2" borderId="31" xfId="0" applyFont="1" applyFill="1" applyBorder="1" applyAlignment="1">
      <alignment horizontal="justify" vertical="center"/>
    </xf>
    <xf numFmtId="1" fontId="5" fillId="2" borderId="29" xfId="0" applyNumberFormat="1" applyFont="1" applyFill="1" applyBorder="1" applyAlignment="1">
      <alignment horizontal="center" vertical="center"/>
    </xf>
    <xf numFmtId="0" fontId="5" fillId="2" borderId="30" xfId="0" applyFont="1" applyFill="1" applyBorder="1" applyAlignment="1">
      <alignment horizontal="center" vertical="center"/>
    </xf>
    <xf numFmtId="176" fontId="5" fillId="0" borderId="30" xfId="0" applyNumberFormat="1" applyFont="1" applyFill="1" applyBorder="1" applyAlignment="1">
      <alignment horizontal="right" vertical="center"/>
    </xf>
    <xf numFmtId="176" fontId="5" fillId="0" borderId="30" xfId="0" applyNumberFormat="1" applyFont="1" applyBorder="1" applyAlignment="1">
      <alignment horizontal="center"/>
    </xf>
    <xf numFmtId="0" fontId="5" fillId="0" borderId="31" xfId="0" applyFont="1" applyBorder="1" applyAlignment="1">
      <alignment horizontal="justify" vertical="center"/>
    </xf>
    <xf numFmtId="1" fontId="6" fillId="0" borderId="0" xfId="0" applyNumberFormat="1" applyFont="1"/>
    <xf numFmtId="0" fontId="6" fillId="2" borderId="0" xfId="0" applyFont="1" applyFill="1" applyAlignment="1">
      <alignment horizontal="justify" vertical="center"/>
    </xf>
    <xf numFmtId="0" fontId="6" fillId="2" borderId="0" xfId="0" applyFont="1" applyFill="1" applyAlignment="1">
      <alignment horizontal="center"/>
    </xf>
    <xf numFmtId="174" fontId="6" fillId="2" borderId="0" xfId="0" applyNumberFormat="1" applyFont="1" applyFill="1" applyAlignment="1">
      <alignment horizontal="center" vertical="center"/>
    </xf>
    <xf numFmtId="175" fontId="6" fillId="2" borderId="0" xfId="0" applyNumberFormat="1" applyFont="1" applyFill="1" applyAlignment="1">
      <alignment vertical="center"/>
    </xf>
    <xf numFmtId="171" fontId="6" fillId="2"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6" fillId="2" borderId="0" xfId="0" applyFont="1" applyFill="1" applyAlignment="1">
      <alignment horizontal="center" vertical="center"/>
    </xf>
    <xf numFmtId="176" fontId="6" fillId="0" borderId="0" xfId="0" applyNumberFormat="1" applyFont="1" applyFill="1" applyAlignment="1">
      <alignment horizontal="right" vertical="center"/>
    </xf>
    <xf numFmtId="176" fontId="6" fillId="0" borderId="0" xfId="0" applyNumberFormat="1" applyFont="1" applyAlignment="1">
      <alignment horizontal="center"/>
    </xf>
    <xf numFmtId="0" fontId="6" fillId="0" borderId="0" xfId="0" applyFont="1" applyAlignment="1">
      <alignment horizontal="justify" vertical="center"/>
    </xf>
    <xf numFmtId="175" fontId="6" fillId="2" borderId="0" xfId="0" applyNumberFormat="1" applyFont="1" applyFill="1" applyAlignment="1">
      <alignment horizontal="center" vertical="center"/>
    </xf>
    <xf numFmtId="1" fontId="8" fillId="0" borderId="0" xfId="0" applyNumberFormat="1" applyFont="1"/>
    <xf numFmtId="0" fontId="8" fillId="2" borderId="0" xfId="0" applyFont="1" applyFill="1" applyAlignment="1">
      <alignment horizontal="justify" vertical="center"/>
    </xf>
    <xf numFmtId="0" fontId="8" fillId="2" borderId="0" xfId="0" applyFont="1" applyFill="1"/>
    <xf numFmtId="0" fontId="8" fillId="2" borderId="0" xfId="0" applyFont="1" applyFill="1" applyAlignment="1">
      <alignment horizontal="center"/>
    </xf>
    <xf numFmtId="174" fontId="8" fillId="2" borderId="0" xfId="0" applyNumberFormat="1" applyFont="1" applyFill="1" applyAlignment="1">
      <alignment horizontal="center" vertical="center"/>
    </xf>
    <xf numFmtId="175" fontId="8" fillId="2" borderId="0" xfId="0" applyNumberFormat="1" applyFont="1" applyFill="1" applyAlignment="1">
      <alignment vertical="center"/>
    </xf>
    <xf numFmtId="175" fontId="8" fillId="2" borderId="0" xfId="0" applyNumberFormat="1" applyFont="1" applyFill="1" applyAlignment="1">
      <alignment horizontal="center" vertical="center"/>
    </xf>
    <xf numFmtId="1" fontId="8" fillId="2" borderId="0" xfId="0" applyNumberFormat="1" applyFont="1" applyFill="1" applyAlignment="1">
      <alignment horizontal="center" vertical="center"/>
    </xf>
    <xf numFmtId="0" fontId="8" fillId="2" borderId="0" xfId="0" applyFont="1" applyFill="1" applyAlignment="1">
      <alignment horizontal="center" vertical="center"/>
    </xf>
    <xf numFmtId="178" fontId="8" fillId="0" borderId="0" xfId="7" applyNumberFormat="1" applyFont="1"/>
    <xf numFmtId="176" fontId="8" fillId="0" borderId="0" xfId="0" applyNumberFormat="1" applyFont="1" applyFill="1" applyAlignment="1">
      <alignment horizontal="right" vertical="center"/>
    </xf>
    <xf numFmtId="176" fontId="8" fillId="0" borderId="0" xfId="0" applyNumberFormat="1" applyFont="1" applyAlignment="1">
      <alignment horizontal="center"/>
    </xf>
    <xf numFmtId="0" fontId="8" fillId="0" borderId="0" xfId="0" applyFont="1" applyAlignment="1">
      <alignment horizontal="justify" vertical="center"/>
    </xf>
    <xf numFmtId="170" fontId="6" fillId="0" borderId="0" xfId="0" applyNumberFormat="1" applyFont="1" applyFill="1" applyAlignment="1">
      <alignment horizontal="center"/>
    </xf>
    <xf numFmtId="0" fontId="6" fillId="6" borderId="12" xfId="0" applyFont="1" applyFill="1" applyBorder="1" applyAlignment="1">
      <alignment vertical="center"/>
    </xf>
    <xf numFmtId="0" fontId="6" fillId="0" borderId="10" xfId="0" applyFont="1" applyFill="1" applyBorder="1" applyAlignment="1">
      <alignment vertical="center" wrapText="1"/>
    </xf>
    <xf numFmtId="0" fontId="18" fillId="0" borderId="3" xfId="0" applyFont="1" applyFill="1" applyBorder="1" applyAlignment="1">
      <alignment horizontal="justify" vertical="center" wrapText="1" readingOrder="2"/>
    </xf>
    <xf numFmtId="179" fontId="6" fillId="0" borderId="3" xfId="0" applyNumberFormat="1" applyFont="1" applyFill="1" applyBorder="1" applyAlignment="1">
      <alignment horizontal="right" vertical="center" wrapText="1"/>
    </xf>
    <xf numFmtId="170" fontId="6"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18" fillId="0" borderId="10" xfId="0" applyFont="1" applyFill="1" applyBorder="1" applyAlignment="1">
      <alignment horizontal="justify" vertical="center" wrapText="1" readingOrder="2"/>
    </xf>
    <xf numFmtId="0" fontId="6" fillId="0" borderId="16" xfId="0" applyFont="1" applyFill="1" applyBorder="1" applyAlignment="1">
      <alignment horizontal="justify" vertical="center" wrapText="1"/>
    </xf>
    <xf numFmtId="170" fontId="6" fillId="0" borderId="10" xfId="0" applyNumberFormat="1" applyFont="1" applyFill="1" applyBorder="1" applyAlignment="1">
      <alignment horizontal="center" vertical="center" wrapText="1"/>
    </xf>
    <xf numFmtId="0" fontId="6" fillId="2" borderId="16" xfId="0" applyFont="1" applyFill="1" applyBorder="1" applyAlignment="1">
      <alignment horizontal="justify" vertical="center"/>
    </xf>
    <xf numFmtId="180" fontId="8" fillId="0" borderId="0" xfId="0" applyNumberFormat="1" applyFont="1" applyFill="1" applyBorder="1" applyAlignment="1">
      <alignment horizontal="center" vertical="center" wrapText="1"/>
    </xf>
    <xf numFmtId="0" fontId="6" fillId="0" borderId="17" xfId="0" applyFont="1" applyFill="1" applyBorder="1" applyAlignment="1">
      <alignment vertical="center" wrapText="1"/>
    </xf>
    <xf numFmtId="0" fontId="6" fillId="0" borderId="3" xfId="0" applyFont="1" applyFill="1" applyBorder="1" applyAlignment="1">
      <alignment horizontal="center" vertical="center" wrapText="1"/>
    </xf>
    <xf numFmtId="9" fontId="6" fillId="0" borderId="3" xfId="3" applyFont="1" applyFill="1" applyBorder="1" applyAlignment="1">
      <alignment horizontal="center" vertical="center" wrapText="1"/>
    </xf>
    <xf numFmtId="0" fontId="19" fillId="0" borderId="3" xfId="0" applyFont="1" applyFill="1" applyBorder="1" applyAlignment="1">
      <alignment horizontal="justify" vertical="center" wrapText="1"/>
    </xf>
    <xf numFmtId="178" fontId="6" fillId="0" borderId="3" xfId="1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6" fillId="2" borderId="17" xfId="0" applyFont="1" applyFill="1" applyBorder="1" applyAlignment="1">
      <alignment horizontal="justify" vertical="center"/>
    </xf>
    <xf numFmtId="0" fontId="19" fillId="0" borderId="3" xfId="0" applyFont="1" applyFill="1" applyBorder="1" applyAlignment="1">
      <alignment horizontal="justify" vertical="justify" wrapText="1"/>
    </xf>
    <xf numFmtId="0" fontId="6" fillId="2" borderId="0" xfId="0" applyFont="1" applyFill="1" applyAlignment="1"/>
    <xf numFmtId="3" fontId="6" fillId="2" borderId="0" xfId="0" applyNumberFormat="1" applyFont="1" applyFill="1" applyAlignment="1">
      <alignment horizontal="center" vertical="center"/>
    </xf>
    <xf numFmtId="175" fontId="5" fillId="2" borderId="0" xfId="0" applyNumberFormat="1" applyFont="1" applyFill="1"/>
    <xf numFmtId="179" fontId="6" fillId="2" borderId="0" xfId="0" applyNumberFormat="1" applyFont="1" applyFill="1" applyAlignment="1">
      <alignment horizontal="right" vertical="center"/>
    </xf>
    <xf numFmtId="181" fontId="6" fillId="2" borderId="0" xfId="0"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Alignment="1">
      <alignment horizontal="left"/>
    </xf>
    <xf numFmtId="175" fontId="5" fillId="2" borderId="22" xfId="0" applyNumberFormat="1" applyFont="1" applyFill="1" applyBorder="1" applyAlignment="1">
      <alignment vertical="center"/>
    </xf>
    <xf numFmtId="179" fontId="5" fillId="2" borderId="13" xfId="0" applyNumberFormat="1" applyFont="1" applyFill="1" applyBorder="1" applyAlignment="1">
      <alignment horizontal="right" vertical="center"/>
    </xf>
    <xf numFmtId="181" fontId="6" fillId="2" borderId="19" xfId="0" applyNumberFormat="1" applyFont="1" applyFill="1" applyBorder="1" applyAlignment="1">
      <alignment vertical="center"/>
    </xf>
    <xf numFmtId="181" fontId="6" fillId="2" borderId="20" xfId="0" applyNumberFormat="1" applyFont="1" applyFill="1" applyBorder="1" applyAlignment="1">
      <alignment vertical="center"/>
    </xf>
    <xf numFmtId="181" fontId="6" fillId="2" borderId="21" xfId="0" applyNumberFormat="1" applyFont="1" applyFill="1" applyBorder="1" applyAlignment="1">
      <alignment vertical="center"/>
    </xf>
    <xf numFmtId="181" fontId="6" fillId="2" borderId="0" xfId="0" applyNumberFormat="1" applyFont="1" applyFill="1" applyAlignment="1">
      <alignment horizontal="right" vertical="center"/>
    </xf>
    <xf numFmtId="180" fontId="20" fillId="0" borderId="0" xfId="0" applyNumberFormat="1" applyFont="1" applyAlignment="1">
      <alignment horizontal="right" vertical="center"/>
    </xf>
    <xf numFmtId="0" fontId="6" fillId="0" borderId="0" xfId="0" applyFont="1" applyFill="1" applyBorder="1" applyAlignment="1">
      <alignment horizontal="justify" vertical="center" wrapText="1"/>
    </xf>
    <xf numFmtId="175" fontId="6" fillId="2" borderId="0" xfId="0" applyNumberFormat="1" applyFont="1" applyFill="1"/>
    <xf numFmtId="3" fontId="3" fillId="0" borderId="0" xfId="0" applyNumberFormat="1" applyFont="1" applyFill="1" applyAlignment="1">
      <alignment horizontal="right" vertical="center"/>
    </xf>
    <xf numFmtId="171" fontId="6" fillId="0" borderId="0" xfId="3" applyNumberFormat="1" applyFont="1" applyFill="1"/>
    <xf numFmtId="0" fontId="6" fillId="0" borderId="0" xfId="0" quotePrefix="1" applyFont="1" applyBorder="1" applyAlignment="1">
      <alignment horizontal="justify" vertical="center" wrapText="1"/>
    </xf>
    <xf numFmtId="1" fontId="21" fillId="6" borderId="11" xfId="0" applyNumberFormat="1" applyFont="1" applyFill="1" applyBorder="1" applyAlignment="1">
      <alignment horizontal="center" vertical="center" wrapText="1"/>
    </xf>
    <xf numFmtId="0" fontId="21" fillId="6" borderId="12" xfId="0" applyFont="1" applyFill="1" applyBorder="1" applyAlignment="1">
      <alignment vertical="center"/>
    </xf>
    <xf numFmtId="0" fontId="21" fillId="6" borderId="12" xfId="0" applyFont="1" applyFill="1" applyBorder="1" applyAlignment="1">
      <alignment horizontal="justify" vertical="center"/>
    </xf>
    <xf numFmtId="174" fontId="21" fillId="6" borderId="12" xfId="0" applyNumberFormat="1" applyFont="1" applyFill="1" applyBorder="1" applyAlignment="1">
      <alignment horizontal="justify" vertical="center"/>
    </xf>
    <xf numFmtId="175" fontId="21" fillId="6" borderId="12" xfId="0" applyNumberFormat="1" applyFont="1" applyFill="1" applyBorder="1" applyAlignment="1">
      <alignment horizontal="justify" vertical="center"/>
    </xf>
    <xf numFmtId="175" fontId="21" fillId="6" borderId="12" xfId="0" applyNumberFormat="1" applyFont="1" applyFill="1" applyBorder="1" applyAlignment="1">
      <alignment horizontal="center" vertical="center"/>
    </xf>
    <xf numFmtId="1" fontId="21" fillId="6" borderId="12" xfId="0" applyNumberFormat="1" applyFont="1" applyFill="1" applyBorder="1" applyAlignment="1">
      <alignment horizontal="center" vertical="center"/>
    </xf>
    <xf numFmtId="0" fontId="21" fillId="6" borderId="12" xfId="0" applyFont="1" applyFill="1" applyBorder="1" applyAlignment="1">
      <alignment horizontal="center" vertical="center"/>
    </xf>
    <xf numFmtId="176" fontId="21" fillId="6" borderId="12" xfId="0" applyNumberFormat="1" applyFont="1" applyFill="1" applyBorder="1" applyAlignment="1">
      <alignment vertical="center"/>
    </xf>
    <xf numFmtId="0" fontId="21" fillId="6" borderId="13" xfId="0" applyFont="1" applyFill="1" applyBorder="1" applyAlignment="1">
      <alignment horizontal="justify" vertical="center"/>
    </xf>
    <xf numFmtId="0" fontId="22" fillId="2" borderId="0" xfId="0" applyFont="1" applyFill="1"/>
    <xf numFmtId="0" fontId="22" fillId="0" borderId="0" xfId="0" applyFont="1" applyBorder="1"/>
    <xf numFmtId="1" fontId="21" fillId="2" borderId="1"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1" fontId="21" fillId="10" borderId="4" xfId="0" applyNumberFormat="1" applyFont="1" applyFill="1" applyBorder="1" applyAlignment="1">
      <alignment horizontal="center" vertical="center"/>
    </xf>
    <xf numFmtId="0" fontId="21" fillId="10" borderId="5" xfId="0" applyFont="1" applyFill="1" applyBorder="1" applyAlignment="1">
      <alignment vertical="center"/>
    </xf>
    <xf numFmtId="0" fontId="21" fillId="10" borderId="5" xfId="0" applyFont="1" applyFill="1" applyBorder="1" applyAlignment="1">
      <alignment horizontal="justify" vertical="center"/>
    </xf>
    <xf numFmtId="175" fontId="21" fillId="10" borderId="5" xfId="0" applyNumberFormat="1" applyFont="1" applyFill="1" applyBorder="1" applyAlignment="1">
      <alignment horizontal="justify" vertical="center"/>
    </xf>
    <xf numFmtId="175" fontId="21" fillId="10" borderId="5" xfId="0" applyNumberFormat="1" applyFont="1" applyFill="1" applyBorder="1" applyAlignment="1">
      <alignment horizontal="center" vertical="center"/>
    </xf>
    <xf numFmtId="1" fontId="21" fillId="10" borderId="5" xfId="0" applyNumberFormat="1" applyFont="1" applyFill="1" applyBorder="1" applyAlignment="1">
      <alignment horizontal="center" vertical="center"/>
    </xf>
    <xf numFmtId="0" fontId="21" fillId="10" borderId="5" xfId="0" applyFont="1" applyFill="1" applyBorder="1" applyAlignment="1">
      <alignment horizontal="center" vertical="center"/>
    </xf>
    <xf numFmtId="176" fontId="21" fillId="10" borderId="5" xfId="0" applyNumberFormat="1" applyFont="1" applyFill="1" applyBorder="1" applyAlignment="1">
      <alignment vertical="center"/>
    </xf>
    <xf numFmtId="0" fontId="21" fillId="10" borderId="6" xfId="0" applyFont="1" applyFill="1" applyBorder="1" applyAlignment="1">
      <alignment horizontal="justify" vertical="center"/>
    </xf>
    <xf numFmtId="0" fontId="21" fillId="2" borderId="7" xfId="0" applyFont="1" applyFill="1" applyBorder="1" applyAlignment="1">
      <alignment horizontal="center" vertical="center" wrapText="1"/>
    </xf>
    <xf numFmtId="1" fontId="21" fillId="8" borderId="11" xfId="0" applyNumberFormat="1" applyFont="1" applyFill="1" applyBorder="1" applyAlignment="1">
      <alignment horizontal="center" vertical="center" wrapText="1"/>
    </xf>
    <xf numFmtId="0" fontId="21" fillId="8" borderId="8" xfId="0" applyFont="1" applyFill="1" applyBorder="1" applyAlignment="1">
      <alignment horizontal="justify" vertical="center"/>
    </xf>
    <xf numFmtId="0" fontId="21" fillId="8" borderId="12" xfId="0" applyFont="1" applyFill="1" applyBorder="1" applyAlignment="1">
      <alignment horizontal="justify" vertical="center"/>
    </xf>
    <xf numFmtId="175" fontId="21" fillId="8" borderId="12" xfId="0" applyNumberFormat="1" applyFont="1" applyFill="1" applyBorder="1" applyAlignment="1">
      <alignment horizontal="justify" vertical="center"/>
    </xf>
    <xf numFmtId="175" fontId="21" fillId="8" borderId="12" xfId="0" applyNumberFormat="1" applyFont="1" applyFill="1" applyBorder="1" applyAlignment="1">
      <alignment horizontal="center" vertical="center"/>
    </xf>
    <xf numFmtId="1" fontId="21" fillId="8" borderId="12" xfId="0" applyNumberFormat="1" applyFont="1" applyFill="1" applyBorder="1" applyAlignment="1">
      <alignment horizontal="center" vertical="center"/>
    </xf>
    <xf numFmtId="0" fontId="21" fillId="8" borderId="12" xfId="0" applyFont="1" applyFill="1" applyBorder="1" applyAlignment="1">
      <alignment horizontal="center" vertical="center"/>
    </xf>
    <xf numFmtId="0" fontId="21" fillId="8" borderId="12" xfId="0" applyFont="1" applyFill="1" applyBorder="1" applyAlignment="1">
      <alignment vertical="center"/>
    </xf>
    <xf numFmtId="176" fontId="21" fillId="8" borderId="12" xfId="0" applyNumberFormat="1" applyFont="1" applyFill="1" applyBorder="1" applyAlignment="1">
      <alignment vertical="center"/>
    </xf>
    <xf numFmtId="0" fontId="21" fillId="8" borderId="13" xfId="0" applyFont="1" applyFill="1" applyBorder="1" applyAlignment="1">
      <alignment horizontal="justify" vertical="center"/>
    </xf>
    <xf numFmtId="1" fontId="22" fillId="2" borderId="1"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0" xfId="0" applyFont="1" applyFill="1" applyBorder="1" applyAlignment="1">
      <alignment horizontal="justify" vertical="center" wrapText="1"/>
    </xf>
    <xf numFmtId="0" fontId="22" fillId="2" borderId="16" xfId="0" applyFont="1" applyFill="1" applyBorder="1" applyAlignment="1">
      <alignment horizontal="justify" vertical="center" wrapText="1"/>
    </xf>
    <xf numFmtId="0" fontId="22" fillId="2" borderId="0" xfId="0" applyFont="1" applyFill="1" applyBorder="1" applyAlignment="1">
      <alignment horizontal="justify" vertical="center" wrapText="1"/>
    </xf>
    <xf numFmtId="0" fontId="22" fillId="0" borderId="3" xfId="0" applyFont="1" applyFill="1" applyBorder="1" applyAlignment="1">
      <alignment horizontal="justify" vertical="center" wrapText="1"/>
    </xf>
    <xf numFmtId="175" fontId="22" fillId="0" borderId="3" xfId="0" applyNumberFormat="1" applyFont="1" applyFill="1" applyBorder="1" applyAlignment="1">
      <alignment vertical="center" wrapText="1"/>
    </xf>
    <xf numFmtId="1" fontId="22" fillId="2" borderId="4"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7" xfId="0" applyFont="1" applyFill="1" applyBorder="1" applyAlignment="1">
      <alignment horizontal="justify" vertical="center" wrapText="1"/>
    </xf>
    <xf numFmtId="0" fontId="22" fillId="0" borderId="10" xfId="0" applyFont="1" applyFill="1" applyBorder="1" applyAlignment="1">
      <alignment horizontal="justify" vertical="center" wrapText="1"/>
    </xf>
    <xf numFmtId="175" fontId="22" fillId="0" borderId="10" xfId="0" applyNumberFormat="1" applyFont="1" applyFill="1" applyBorder="1" applyAlignment="1">
      <alignment vertical="center" wrapText="1"/>
    </xf>
    <xf numFmtId="0" fontId="22" fillId="0" borderId="0" xfId="0" applyFont="1"/>
    <xf numFmtId="3" fontId="22" fillId="2" borderId="3" xfId="0" applyNumberFormat="1" applyFont="1" applyFill="1" applyBorder="1" applyAlignment="1">
      <alignment horizontal="justify" wrapText="1"/>
    </xf>
    <xf numFmtId="3" fontId="22" fillId="2" borderId="3" xfId="0" applyNumberFormat="1" applyFont="1" applyFill="1" applyBorder="1" applyAlignment="1">
      <alignment horizontal="justify" vertical="center" wrapText="1"/>
    </xf>
    <xf numFmtId="175" fontId="22" fillId="2" borderId="0" xfId="0" applyNumberFormat="1" applyFont="1" applyFill="1" applyAlignment="1">
      <alignment horizontal="center" vertical="center"/>
    </xf>
    <xf numFmtId="0" fontId="21" fillId="6" borderId="37" xfId="0" applyFont="1" applyFill="1" applyBorder="1" applyAlignment="1">
      <alignment vertical="center"/>
    </xf>
    <xf numFmtId="0" fontId="21" fillId="6" borderId="8" xfId="0" applyFont="1" applyFill="1" applyBorder="1" applyAlignment="1">
      <alignment vertical="center"/>
    </xf>
    <xf numFmtId="0" fontId="21" fillId="6" borderId="0" xfId="0" applyFont="1" applyFill="1" applyBorder="1" applyAlignment="1">
      <alignment vertical="center"/>
    </xf>
    <xf numFmtId="0" fontId="21" fillId="6" borderId="5" xfId="0" applyFont="1" applyFill="1" applyBorder="1" applyAlignment="1">
      <alignment vertical="center"/>
    </xf>
    <xf numFmtId="0" fontId="21" fillId="6" borderId="5" xfId="0" applyFont="1" applyFill="1" applyBorder="1" applyAlignment="1">
      <alignment horizontal="justify" vertical="center"/>
    </xf>
    <xf numFmtId="3" fontId="21" fillId="6" borderId="5" xfId="0" applyNumberFormat="1" applyFont="1" applyFill="1" applyBorder="1" applyAlignment="1">
      <alignment horizontal="center" vertical="center"/>
    </xf>
    <xf numFmtId="1" fontId="21" fillId="6" borderId="5" xfId="0" applyNumberFormat="1" applyFont="1" applyFill="1" applyBorder="1" applyAlignment="1">
      <alignment horizontal="center" vertical="center"/>
    </xf>
    <xf numFmtId="0" fontId="22" fillId="6" borderId="5" xfId="0" applyFont="1" applyFill="1" applyBorder="1" applyAlignment="1">
      <alignment horizontal="left" vertical="center"/>
    </xf>
    <xf numFmtId="176" fontId="21" fillId="6" borderId="5" xfId="0" applyNumberFormat="1" applyFont="1" applyFill="1" applyBorder="1" applyAlignment="1">
      <alignment vertical="center"/>
    </xf>
    <xf numFmtId="0" fontId="22" fillId="6" borderId="6" xfId="0" applyFont="1" applyFill="1" applyBorder="1" applyAlignment="1">
      <alignment horizontal="center" vertical="center"/>
    </xf>
    <xf numFmtId="0" fontId="21" fillId="10" borderId="11" xfId="0" applyFont="1" applyFill="1" applyBorder="1" applyAlignment="1">
      <alignment vertical="center"/>
    </xf>
    <xf numFmtId="3" fontId="21" fillId="10" borderId="5" xfId="0" applyNumberFormat="1" applyFont="1" applyFill="1" applyBorder="1" applyAlignment="1">
      <alignment horizontal="center" vertical="center"/>
    </xf>
    <xf numFmtId="0" fontId="22" fillId="10" borderId="5" xfId="0" applyFont="1" applyFill="1" applyBorder="1" applyAlignment="1">
      <alignment horizontal="left" vertical="center"/>
    </xf>
    <xf numFmtId="0" fontId="22" fillId="10" borderId="6" xfId="0" applyFont="1" applyFill="1" applyBorder="1" applyAlignment="1">
      <alignment horizontal="center" vertical="center"/>
    </xf>
    <xf numFmtId="0" fontId="21" fillId="8" borderId="11" xfId="0" applyFont="1" applyFill="1" applyBorder="1" applyAlignment="1">
      <alignment horizontal="left" vertical="center"/>
    </xf>
    <xf numFmtId="3" fontId="21" fillId="8" borderId="12" xfId="0" applyNumberFormat="1" applyFont="1" applyFill="1" applyBorder="1" applyAlignment="1">
      <alignment horizontal="center" vertical="center"/>
    </xf>
    <xf numFmtId="0" fontId="22" fillId="8" borderId="12" xfId="0" applyFont="1" applyFill="1" applyBorder="1" applyAlignment="1">
      <alignment horizontal="left" vertical="center"/>
    </xf>
    <xf numFmtId="0" fontId="22" fillId="8" borderId="13" xfId="0" applyFont="1" applyFill="1" applyBorder="1" applyAlignment="1">
      <alignment horizontal="center" vertical="center"/>
    </xf>
    <xf numFmtId="3" fontId="22" fillId="0" borderId="3" xfId="0" applyNumberFormat="1" applyFont="1" applyFill="1" applyBorder="1" applyAlignment="1">
      <alignment horizontal="center" vertical="center" wrapText="1"/>
    </xf>
    <xf numFmtId="0" fontId="22" fillId="2" borderId="0" xfId="0" applyFont="1" applyFill="1" applyBorder="1"/>
    <xf numFmtId="0" fontId="22" fillId="11" borderId="3" xfId="0" applyFont="1" applyFill="1" applyBorder="1"/>
    <xf numFmtId="0" fontId="22" fillId="0" borderId="16" xfId="0" applyFont="1" applyFill="1" applyBorder="1" applyAlignment="1">
      <alignment horizontal="justify" vertical="center" wrapText="1"/>
    </xf>
    <xf numFmtId="0" fontId="22" fillId="11" borderId="0" xfId="0" applyFont="1" applyFill="1" applyBorder="1"/>
    <xf numFmtId="0" fontId="22" fillId="0" borderId="0" xfId="0" applyFont="1" applyFill="1" applyBorder="1" applyAlignment="1">
      <alignment horizontal="justify" vertical="center"/>
    </xf>
    <xf numFmtId="0" fontId="22" fillId="2" borderId="0" xfId="0" applyFont="1" applyFill="1" applyAlignment="1">
      <alignment horizontal="left"/>
    </xf>
    <xf numFmtId="0" fontId="21" fillId="8" borderId="3" xfId="0" applyFont="1" applyFill="1" applyBorder="1" applyAlignment="1">
      <alignment horizontal="left" vertical="center"/>
    </xf>
    <xf numFmtId="0" fontId="21" fillId="8" borderId="3" xfId="0" applyFont="1" applyFill="1" applyBorder="1" applyAlignment="1">
      <alignment horizontal="justify" vertical="center"/>
    </xf>
    <xf numFmtId="3" fontId="21" fillId="8" borderId="3" xfId="0" applyNumberFormat="1" applyFont="1" applyFill="1" applyBorder="1" applyAlignment="1">
      <alignment horizontal="center" vertical="center"/>
    </xf>
    <xf numFmtId="0" fontId="21" fillId="8" borderId="3" xfId="0" applyFont="1" applyFill="1" applyBorder="1" applyAlignment="1">
      <alignment horizontal="center" vertical="center"/>
    </xf>
    <xf numFmtId="0" fontId="22" fillId="8" borderId="3" xfId="0" applyFont="1" applyFill="1" applyBorder="1" applyAlignment="1">
      <alignment horizontal="left" vertical="center"/>
    </xf>
    <xf numFmtId="0" fontId="21" fillId="8" borderId="3" xfId="0" applyFont="1" applyFill="1" applyBorder="1" applyAlignment="1">
      <alignment vertical="center"/>
    </xf>
    <xf numFmtId="0" fontId="22" fillId="8" borderId="3" xfId="0" applyFont="1" applyFill="1" applyBorder="1" applyAlignment="1">
      <alignment horizontal="center" vertical="center"/>
    </xf>
    <xf numFmtId="169" fontId="22" fillId="0" borderId="0" xfId="0" applyNumberFormat="1" applyFont="1" applyFill="1" applyBorder="1"/>
    <xf numFmtId="0" fontId="22" fillId="2" borderId="3" xfId="0" applyFont="1" applyFill="1" applyBorder="1" applyAlignment="1">
      <alignment horizontal="justify" vertical="center" wrapText="1"/>
    </xf>
    <xf numFmtId="0" fontId="22" fillId="2" borderId="0" xfId="0" applyFont="1" applyFill="1" applyBorder="1" applyAlignment="1">
      <alignment horizontal="left"/>
    </xf>
    <xf numFmtId="0" fontId="22" fillId="11" borderId="13" xfId="0" applyFont="1" applyFill="1" applyBorder="1" applyAlignment="1">
      <alignment horizontal="left"/>
    </xf>
    <xf numFmtId="0" fontId="22" fillId="11" borderId="3" xfId="0" applyFont="1" applyFill="1" applyBorder="1" applyAlignment="1">
      <alignment horizontal="left"/>
    </xf>
    <xf numFmtId="0" fontId="22" fillId="11" borderId="0" xfId="0" applyFont="1" applyFill="1" applyBorder="1" applyAlignment="1">
      <alignment horizontal="left"/>
    </xf>
    <xf numFmtId="9" fontId="22" fillId="2" borderId="3" xfId="3" applyFont="1" applyFill="1" applyBorder="1" applyAlignment="1">
      <alignment horizontal="justify" vertical="center" wrapText="1"/>
    </xf>
    <xf numFmtId="3" fontId="22" fillId="0" borderId="3" xfId="0" applyNumberFormat="1" applyFont="1" applyFill="1" applyBorder="1" applyAlignment="1">
      <alignment vertical="center" wrapText="1"/>
    </xf>
    <xf numFmtId="0" fontId="22" fillId="2" borderId="3" xfId="0" applyFont="1" applyFill="1" applyBorder="1" applyAlignment="1">
      <alignment horizontal="left" vertical="center" wrapText="1"/>
    </xf>
    <xf numFmtId="1" fontId="22" fillId="2" borderId="3" xfId="0" applyNumberFormat="1" applyFont="1" applyFill="1" applyBorder="1" applyAlignment="1">
      <alignment horizontal="justify" vertical="center" wrapText="1"/>
    </xf>
    <xf numFmtId="0" fontId="22" fillId="0" borderId="0" xfId="0" applyFont="1" applyAlignment="1">
      <alignment horizontal="left"/>
    </xf>
    <xf numFmtId="0" fontId="22" fillId="0" borderId="17" xfId="0" applyFont="1" applyFill="1" applyBorder="1" applyAlignment="1">
      <alignment horizontal="justify" vertical="center" wrapText="1"/>
    </xf>
    <xf numFmtId="0" fontId="22" fillId="0" borderId="0" xfId="0" applyFont="1" applyFill="1" applyBorder="1" applyAlignment="1">
      <alignment horizontal="justify" vertical="center" wrapText="1"/>
    </xf>
    <xf numFmtId="42" fontId="22" fillId="2" borderId="0" xfId="2" applyFont="1" applyFill="1" applyBorder="1" applyAlignment="1">
      <alignment horizontal="justify" vertical="center" wrapText="1"/>
    </xf>
    <xf numFmtId="175" fontId="22" fillId="2" borderId="0" xfId="0" applyNumberFormat="1" applyFont="1" applyFill="1" applyBorder="1" applyAlignment="1">
      <alignment horizontal="justify" vertical="center" wrapText="1"/>
    </xf>
    <xf numFmtId="42" fontId="22" fillId="2" borderId="0" xfId="2" applyFont="1" applyFill="1" applyBorder="1" applyAlignment="1">
      <alignment horizontal="center" vertical="center" wrapText="1"/>
    </xf>
    <xf numFmtId="175" fontId="22" fillId="2" borderId="0" xfId="0" applyNumberFormat="1" applyFont="1" applyFill="1" applyBorder="1" applyAlignment="1">
      <alignment horizontal="center" vertical="center" wrapText="1"/>
    </xf>
    <xf numFmtId="175" fontId="22" fillId="2" borderId="0" xfId="0" applyNumberFormat="1" applyFont="1" applyFill="1" applyBorder="1" applyAlignment="1">
      <alignment horizontal="left" vertical="center" wrapText="1"/>
    </xf>
    <xf numFmtId="1" fontId="22" fillId="2" borderId="0" xfId="0" applyNumberFormat="1" applyFont="1" applyFill="1" applyBorder="1" applyAlignment="1">
      <alignment horizontal="center" vertical="center" wrapText="1"/>
    </xf>
    <xf numFmtId="0" fontId="22" fillId="2" borderId="0" xfId="0" applyFont="1" applyFill="1" applyBorder="1" applyAlignment="1">
      <alignment horizontal="left" vertical="center" textRotation="180" wrapText="1"/>
    </xf>
    <xf numFmtId="49" fontId="22" fillId="2" borderId="0" xfId="0" applyNumberFormat="1" applyFont="1" applyFill="1" applyBorder="1" applyAlignment="1">
      <alignment horizontal="left" vertical="center" textRotation="180" wrapText="1"/>
    </xf>
    <xf numFmtId="173" fontId="22" fillId="0" borderId="0" xfId="0" applyNumberFormat="1" applyFont="1" applyFill="1" applyBorder="1" applyAlignment="1">
      <alignment vertical="center" textRotation="180" wrapText="1"/>
    </xf>
    <xf numFmtId="0" fontId="22" fillId="2" borderId="0" xfId="0" applyFont="1" applyFill="1" applyAlignment="1">
      <alignment horizontal="justify"/>
    </xf>
    <xf numFmtId="0" fontId="22" fillId="2" borderId="0" xfId="0" applyFont="1" applyFill="1" applyAlignment="1">
      <alignment horizontal="justify" vertical="center"/>
    </xf>
    <xf numFmtId="174" fontId="22" fillId="2" borderId="0" xfId="0" applyNumberFormat="1" applyFont="1" applyFill="1" applyAlignment="1">
      <alignment horizontal="justify" vertical="center"/>
    </xf>
    <xf numFmtId="175" fontId="22" fillId="2" borderId="0" xfId="0" applyNumberFormat="1" applyFont="1" applyFill="1" applyAlignment="1">
      <alignment horizontal="justify" vertical="center"/>
    </xf>
    <xf numFmtId="171" fontId="24" fillId="0" borderId="0" xfId="0" applyNumberFormat="1" applyFont="1" applyAlignment="1">
      <alignment horizontal="right" vertical="center"/>
    </xf>
    <xf numFmtId="1" fontId="22" fillId="2" borderId="0" xfId="0" applyNumberFormat="1" applyFont="1" applyFill="1" applyAlignment="1">
      <alignment horizontal="center" vertical="center"/>
    </xf>
    <xf numFmtId="0" fontId="22" fillId="2" borderId="0" xfId="0" applyFont="1" applyFill="1" applyAlignment="1">
      <alignment horizontal="left" vertical="center"/>
    </xf>
    <xf numFmtId="175" fontId="22" fillId="2" borderId="0" xfId="0" applyNumberFormat="1" applyFont="1" applyFill="1" applyBorder="1" applyAlignment="1">
      <alignment horizontal="center" vertical="center"/>
    </xf>
    <xf numFmtId="0" fontId="21" fillId="2" borderId="0" xfId="0" applyFont="1" applyFill="1"/>
    <xf numFmtId="3" fontId="22" fillId="2" borderId="0" xfId="0" applyNumberFormat="1" applyFont="1" applyFill="1" applyAlignment="1">
      <alignment horizontal="center" vertical="center"/>
    </xf>
    <xf numFmtId="176" fontId="22" fillId="0" borderId="0" xfId="0" applyNumberFormat="1" applyFont="1" applyFill="1" applyAlignment="1">
      <alignment horizontal="right" vertical="center"/>
    </xf>
    <xf numFmtId="176" fontId="22" fillId="0" borderId="0" xfId="0" applyNumberFormat="1" applyFont="1" applyAlignment="1">
      <alignment horizontal="center"/>
    </xf>
    <xf numFmtId="1" fontId="22" fillId="0" borderId="0" xfId="0" applyNumberFormat="1" applyFont="1"/>
    <xf numFmtId="0" fontId="22" fillId="0" borderId="0" xfId="0" applyFont="1" applyAlignment="1">
      <alignment horizontal="justify"/>
    </xf>
    <xf numFmtId="0" fontId="5" fillId="0" borderId="0" xfId="0" applyFont="1" applyFill="1" applyBorder="1" applyAlignment="1">
      <alignment vertical="center"/>
    </xf>
    <xf numFmtId="169" fontId="6" fillId="0" borderId="0" xfId="4" applyFont="1"/>
    <xf numFmtId="0" fontId="5" fillId="6" borderId="12" xfId="0" applyFont="1" applyFill="1" applyBorder="1" applyAlignment="1">
      <alignment horizontal="justify" vertical="center" wrapText="1"/>
    </xf>
    <xf numFmtId="174" fontId="6" fillId="6" borderId="12" xfId="0" applyNumberFormat="1" applyFont="1" applyFill="1" applyBorder="1" applyAlignment="1">
      <alignment horizontal="center" vertical="center"/>
    </xf>
    <xf numFmtId="1" fontId="5" fillId="2" borderId="8" xfId="4" applyNumberFormat="1" applyFont="1" applyFill="1" applyBorder="1" applyAlignment="1">
      <alignment vertical="center" wrapText="1"/>
    </xf>
    <xf numFmtId="1" fontId="5" fillId="2" borderId="9" xfId="4" applyNumberFormat="1" applyFont="1" applyFill="1" applyBorder="1" applyAlignment="1">
      <alignment vertical="center" wrapText="1"/>
    </xf>
    <xf numFmtId="1" fontId="5" fillId="10" borderId="4" xfId="0" applyNumberFormat="1" applyFont="1" applyFill="1" applyBorder="1" applyAlignment="1">
      <alignment horizontal="center" vertical="center"/>
    </xf>
    <xf numFmtId="0" fontId="5" fillId="10" borderId="5" xfId="0" applyFont="1" applyFill="1" applyBorder="1" applyAlignment="1">
      <alignment horizontal="justify" vertical="center" wrapText="1"/>
    </xf>
    <xf numFmtId="174" fontId="6" fillId="10" borderId="5" xfId="0" applyNumberFormat="1" applyFont="1" applyFill="1" applyBorder="1" applyAlignment="1">
      <alignment horizontal="center" vertical="center"/>
    </xf>
    <xf numFmtId="1" fontId="5" fillId="2" borderId="0" xfId="4" applyNumberFormat="1" applyFont="1" applyFill="1" applyBorder="1" applyAlignment="1">
      <alignment vertical="center" wrapText="1"/>
    </xf>
    <xf numFmtId="1" fontId="5" fillId="2" borderId="2" xfId="4" applyNumberFormat="1" applyFont="1" applyFill="1" applyBorder="1" applyAlignment="1">
      <alignment vertical="center" wrapText="1"/>
    </xf>
    <xf numFmtId="174" fontId="6" fillId="8" borderId="12" xfId="0" applyNumberFormat="1" applyFont="1" applyFill="1" applyBorder="1" applyAlignment="1">
      <alignment horizontal="center" vertical="center"/>
    </xf>
    <xf numFmtId="3" fontId="6" fillId="0" borderId="10" xfId="4" applyNumberFormat="1" applyFont="1" applyFill="1" applyBorder="1" applyAlignment="1">
      <alignment vertical="center" wrapText="1"/>
    </xf>
    <xf numFmtId="3" fontId="6" fillId="2" borderId="10" xfId="4" applyNumberFormat="1" applyFont="1" applyFill="1" applyBorder="1" applyAlignment="1">
      <alignment vertical="center" wrapText="1"/>
    </xf>
    <xf numFmtId="169" fontId="4" fillId="0" borderId="10" xfId="4" applyFont="1" applyFill="1" applyBorder="1" applyAlignment="1">
      <alignment horizontal="center" vertical="center" textRotation="180" wrapText="1"/>
    </xf>
    <xf numFmtId="169" fontId="6" fillId="0" borderId="0" xfId="4" applyFont="1" applyFill="1"/>
    <xf numFmtId="3" fontId="6" fillId="0" borderId="16" xfId="4" applyNumberFormat="1" applyFont="1" applyFill="1" applyBorder="1" applyAlignment="1">
      <alignment vertical="center" wrapText="1"/>
    </xf>
    <xf numFmtId="3" fontId="6" fillId="2" borderId="16" xfId="4" applyNumberFormat="1" applyFont="1" applyFill="1" applyBorder="1" applyAlignment="1">
      <alignment vertical="center" wrapText="1"/>
    </xf>
    <xf numFmtId="169" fontId="4" fillId="0" borderId="16" xfId="4" applyFont="1" applyFill="1" applyBorder="1" applyAlignment="1">
      <alignment horizontal="center" vertical="center" textRotation="180" wrapText="1"/>
    </xf>
    <xf numFmtId="3" fontId="6" fillId="0" borderId="16" xfId="4" applyNumberFormat="1" applyFont="1" applyFill="1" applyBorder="1" applyAlignment="1">
      <alignment horizontal="center" vertical="center" wrapText="1"/>
    </xf>
    <xf numFmtId="169" fontId="6" fillId="2" borderId="0" xfId="4" applyFont="1" applyFill="1"/>
    <xf numFmtId="3" fontId="5" fillId="2" borderId="3" xfId="4" applyNumberFormat="1" applyFont="1" applyFill="1" applyBorder="1" applyAlignment="1">
      <alignment horizontal="center" vertical="center" wrapText="1"/>
    </xf>
    <xf numFmtId="169" fontId="6" fillId="2" borderId="3" xfId="4" applyFont="1" applyFill="1" applyBorder="1" applyAlignment="1">
      <alignment horizontal="justify" vertical="center" wrapText="1"/>
    </xf>
    <xf numFmtId="169" fontId="6" fillId="0" borderId="3" xfId="4" applyFont="1" applyFill="1" applyBorder="1" applyAlignment="1">
      <alignment horizontal="center" vertical="center" wrapText="1"/>
    </xf>
    <xf numFmtId="3" fontId="6" fillId="2" borderId="3" xfId="4" applyNumberFormat="1" applyFont="1" applyFill="1" applyBorder="1" applyAlignment="1">
      <alignment horizontal="center" vertical="center"/>
    </xf>
    <xf numFmtId="10" fontId="3" fillId="2" borderId="4" xfId="4" applyNumberFormat="1" applyFont="1" applyFill="1" applyBorder="1" applyAlignment="1">
      <alignment horizontal="center" vertical="center" wrapText="1"/>
    </xf>
    <xf numFmtId="169" fontId="6" fillId="0" borderId="17" xfId="4" applyFont="1" applyFill="1" applyBorder="1" applyAlignment="1">
      <alignment horizontal="justify" vertical="center" wrapText="1"/>
    </xf>
    <xf numFmtId="42" fontId="6" fillId="0" borderId="17" xfId="4" applyNumberFormat="1" applyFont="1" applyFill="1" applyBorder="1" applyAlignment="1">
      <alignment horizontal="center" vertical="center" wrapText="1"/>
    </xf>
    <xf numFmtId="42" fontId="6" fillId="0" borderId="3" xfId="4" applyNumberFormat="1" applyFont="1" applyFill="1" applyBorder="1" applyAlignment="1">
      <alignment horizontal="center" vertical="center" wrapText="1"/>
    </xf>
    <xf numFmtId="170" fontId="6" fillId="2" borderId="3" xfId="4" applyNumberFormat="1" applyFont="1" applyFill="1" applyBorder="1" applyAlignment="1">
      <alignment horizontal="center" vertical="center" wrapText="1"/>
    </xf>
    <xf numFmtId="169" fontId="18" fillId="0" borderId="3" xfId="4" applyFont="1" applyFill="1" applyBorder="1" applyAlignment="1">
      <alignment horizontal="justify" vertical="center" wrapText="1"/>
    </xf>
    <xf numFmtId="169" fontId="6" fillId="2" borderId="3" xfId="4" applyFont="1" applyFill="1" applyBorder="1" applyAlignment="1">
      <alignment wrapText="1"/>
    </xf>
    <xf numFmtId="42" fontId="6" fillId="2" borderId="17" xfId="4" applyNumberFormat="1" applyFont="1" applyFill="1" applyBorder="1" applyAlignment="1">
      <alignment horizontal="center" vertical="center" wrapText="1"/>
    </xf>
    <xf numFmtId="42" fontId="6" fillId="2" borderId="3" xfId="4" applyNumberFormat="1" applyFont="1" applyFill="1" applyBorder="1" applyAlignment="1">
      <alignment horizontal="center" vertical="center" wrapText="1"/>
    </xf>
    <xf numFmtId="169" fontId="18" fillId="2" borderId="3" xfId="4" applyFont="1" applyFill="1" applyBorder="1" applyAlignment="1">
      <alignment horizontal="justify" vertical="center" wrapText="1"/>
    </xf>
    <xf numFmtId="42" fontId="6" fillId="0" borderId="3" xfId="4" applyNumberFormat="1" applyFont="1" applyFill="1" applyBorder="1" applyAlignment="1">
      <alignment horizontal="center" vertical="center"/>
    </xf>
    <xf numFmtId="0" fontId="6" fillId="2" borderId="16" xfId="4" applyNumberFormat="1" applyFont="1" applyFill="1" applyBorder="1" applyAlignment="1">
      <alignment horizontal="center" vertical="center" wrapText="1"/>
    </xf>
    <xf numFmtId="3" fontId="6" fillId="2" borderId="2" xfId="4" applyNumberFormat="1" applyFont="1" applyFill="1" applyBorder="1" applyAlignment="1">
      <alignment horizontal="center" vertical="center" wrapText="1"/>
    </xf>
    <xf numFmtId="0" fontId="6" fillId="2" borderId="16" xfId="4" applyNumberFormat="1" applyFont="1" applyFill="1" applyBorder="1" applyAlignment="1">
      <alignment horizontal="center" vertical="center"/>
    </xf>
    <xf numFmtId="169" fontId="18" fillId="0" borderId="10" xfId="4" applyFont="1" applyFill="1" applyBorder="1" applyAlignment="1">
      <alignment horizontal="justify" vertical="center" wrapText="1"/>
    </xf>
    <xf numFmtId="169" fontId="6" fillId="0" borderId="3" xfId="4" applyFont="1" applyFill="1" applyBorder="1" applyAlignment="1">
      <alignment horizontal="justify" vertical="center" wrapText="1"/>
    </xf>
    <xf numFmtId="169" fontId="18" fillId="2" borderId="10" xfId="4" applyFont="1" applyFill="1" applyBorder="1" applyAlignment="1">
      <alignment horizontal="justify" vertical="center" wrapText="1"/>
    </xf>
    <xf numFmtId="42" fontId="6" fillId="2" borderId="17" xfId="4" applyNumberFormat="1" applyFont="1" applyFill="1" applyBorder="1" applyAlignment="1">
      <alignment horizontal="center" vertical="center"/>
    </xf>
    <xf numFmtId="42" fontId="6" fillId="2" borderId="3" xfId="4" applyNumberFormat="1" applyFont="1" applyFill="1" applyBorder="1" applyAlignment="1">
      <alignment horizontal="center" vertical="center"/>
    </xf>
    <xf numFmtId="3" fontId="6" fillId="0" borderId="17" xfId="4" applyNumberFormat="1" applyFont="1" applyFill="1" applyBorder="1" applyAlignment="1">
      <alignment vertical="center" wrapText="1"/>
    </xf>
    <xf numFmtId="3" fontId="6" fillId="2" borderId="17" xfId="4" applyNumberFormat="1" applyFont="1" applyFill="1" applyBorder="1" applyAlignment="1">
      <alignment vertical="center" wrapText="1"/>
    </xf>
    <xf numFmtId="169" fontId="4" fillId="0" borderId="17" xfId="4" applyFont="1" applyFill="1" applyBorder="1" applyAlignment="1">
      <alignment horizontal="center" vertical="center" textRotation="180" wrapText="1"/>
    </xf>
    <xf numFmtId="0" fontId="5" fillId="8" borderId="8" xfId="0" applyFont="1" applyFill="1" applyBorder="1" applyAlignment="1">
      <alignment horizontal="center" vertical="center"/>
    </xf>
    <xf numFmtId="1" fontId="5" fillId="0" borderId="10" xfId="4" applyNumberFormat="1" applyFont="1" applyFill="1" applyBorder="1" applyAlignment="1">
      <alignment horizontal="center" vertical="center" textRotation="180" wrapText="1"/>
    </xf>
    <xf numFmtId="1" fontId="5" fillId="0" borderId="16" xfId="4" applyNumberFormat="1" applyFont="1" applyFill="1" applyBorder="1" applyAlignment="1">
      <alignment horizontal="center" vertical="center" textRotation="180" wrapText="1"/>
    </xf>
    <xf numFmtId="169" fontId="6" fillId="2" borderId="16" xfId="4" applyFont="1" applyFill="1" applyBorder="1" applyAlignment="1">
      <alignment horizontal="center" vertical="center"/>
    </xf>
    <xf numFmtId="3" fontId="6" fillId="2" borderId="16" xfId="4" applyNumberFormat="1" applyFont="1" applyFill="1" applyBorder="1" applyAlignment="1">
      <alignment horizontal="center" vertical="center" wrapText="1"/>
    </xf>
    <xf numFmtId="42" fontId="6" fillId="2" borderId="10" xfId="4" applyNumberFormat="1" applyFont="1" applyFill="1" applyBorder="1" applyAlignment="1">
      <alignment horizontal="center" vertical="center" wrapText="1"/>
    </xf>
    <xf numFmtId="169" fontId="6" fillId="2" borderId="16" xfId="4" applyFont="1" applyFill="1" applyBorder="1" applyAlignment="1">
      <alignment horizontal="center" vertical="center" wrapText="1"/>
    </xf>
    <xf numFmtId="3" fontId="6" fillId="0" borderId="0" xfId="4" applyNumberFormat="1" applyFont="1" applyFill="1" applyBorder="1" applyAlignment="1">
      <alignment horizontal="center" vertical="center" wrapText="1"/>
    </xf>
    <xf numFmtId="1" fontId="3" fillId="2" borderId="3" xfId="11" applyNumberFormat="1" applyFont="1" applyFill="1" applyBorder="1" applyAlignment="1">
      <alignment horizontal="center" vertical="center" wrapText="1"/>
    </xf>
    <xf numFmtId="169" fontId="6" fillId="0" borderId="3" xfId="4" applyFont="1" applyBorder="1" applyAlignment="1">
      <alignment horizontal="justify" vertical="center" wrapText="1"/>
    </xf>
    <xf numFmtId="169" fontId="6" fillId="0" borderId="3" xfId="4" applyFont="1" applyFill="1" applyBorder="1" applyAlignment="1">
      <alignment horizontal="center" vertical="center"/>
    </xf>
    <xf numFmtId="1" fontId="6" fillId="0" borderId="3" xfId="4" applyNumberFormat="1" applyFont="1" applyBorder="1" applyAlignment="1">
      <alignment horizontal="center" vertical="center"/>
    </xf>
    <xf numFmtId="10" fontId="3" fillId="2" borderId="3" xfId="4" applyNumberFormat="1" applyFont="1" applyFill="1" applyBorder="1" applyAlignment="1">
      <alignment horizontal="center" vertical="center" wrapText="1"/>
    </xf>
    <xf numFmtId="42" fontId="6" fillId="2" borderId="3" xfId="4" applyNumberFormat="1" applyFont="1" applyFill="1" applyBorder="1" applyAlignment="1">
      <alignment vertical="center" wrapText="1"/>
    </xf>
    <xf numFmtId="3" fontId="6" fillId="2" borderId="17" xfId="4" applyNumberFormat="1" applyFont="1" applyFill="1" applyBorder="1" applyAlignment="1">
      <alignment horizontal="center" vertical="center" wrapText="1"/>
    </xf>
    <xf numFmtId="1" fontId="5" fillId="0" borderId="17" xfId="4" applyNumberFormat="1" applyFont="1" applyFill="1" applyBorder="1" applyAlignment="1">
      <alignment horizontal="center" vertical="center" textRotation="180" wrapText="1"/>
    </xf>
    <xf numFmtId="1" fontId="5" fillId="2" borderId="1" xfId="4" applyNumberFormat="1" applyFont="1" applyFill="1" applyBorder="1" applyAlignment="1">
      <alignment horizontal="center" vertical="center" wrapText="1"/>
    </xf>
    <xf numFmtId="1" fontId="5" fillId="2" borderId="0" xfId="4" applyNumberFormat="1" applyFont="1" applyFill="1" applyBorder="1" applyAlignment="1">
      <alignment horizontal="center" vertical="center" wrapText="1"/>
    </xf>
    <xf numFmtId="1" fontId="5" fillId="2" borderId="2" xfId="4" applyNumberFormat="1" applyFont="1" applyFill="1" applyBorder="1" applyAlignment="1">
      <alignment horizontal="center" vertical="center" wrapText="1"/>
    </xf>
    <xf numFmtId="0" fontId="5" fillId="8" borderId="8" xfId="0" applyFont="1" applyFill="1" applyBorder="1" applyAlignment="1">
      <alignment vertical="center"/>
    </xf>
    <xf numFmtId="175" fontId="5" fillId="8" borderId="13" xfId="0" applyNumberFormat="1" applyFont="1" applyFill="1" applyBorder="1" applyAlignment="1">
      <alignment horizontal="center" vertical="center"/>
    </xf>
    <xf numFmtId="169" fontId="6" fillId="2" borderId="10" xfId="4" applyFont="1" applyFill="1" applyBorder="1" applyAlignment="1">
      <alignment vertical="center"/>
    </xf>
    <xf numFmtId="1" fontId="6" fillId="0" borderId="10" xfId="4" applyNumberFormat="1" applyFont="1" applyFill="1" applyBorder="1" applyAlignment="1">
      <alignment horizontal="center" vertical="center" wrapText="1"/>
    </xf>
    <xf numFmtId="170" fontId="6" fillId="2" borderId="11" xfId="4" applyNumberFormat="1" applyFont="1" applyFill="1" applyBorder="1" applyAlignment="1">
      <alignment horizontal="center" vertical="center" wrapText="1"/>
    </xf>
    <xf numFmtId="169" fontId="6" fillId="2" borderId="16" xfId="4" applyFont="1" applyFill="1" applyBorder="1" applyAlignment="1">
      <alignment vertical="center"/>
    </xf>
    <xf numFmtId="1" fontId="6" fillId="0" borderId="16" xfId="4" applyNumberFormat="1" applyFont="1" applyFill="1" applyBorder="1" applyAlignment="1">
      <alignment horizontal="center" vertical="center" wrapText="1"/>
    </xf>
    <xf numFmtId="169" fontId="6" fillId="2" borderId="16" xfId="4" applyFont="1" applyFill="1" applyBorder="1" applyAlignment="1">
      <alignment vertical="center" wrapText="1"/>
    </xf>
    <xf numFmtId="169" fontId="6" fillId="2" borderId="17" xfId="4" applyFont="1" applyFill="1" applyBorder="1" applyAlignment="1">
      <alignment vertical="center"/>
    </xf>
    <xf numFmtId="1" fontId="6" fillId="0" borderId="17" xfId="4" applyNumberFormat="1" applyFont="1" applyFill="1" applyBorder="1" applyAlignment="1">
      <alignment horizontal="center" vertical="center" wrapText="1"/>
    </xf>
    <xf numFmtId="42" fontId="6" fillId="2" borderId="3" xfId="4" applyNumberFormat="1" applyFont="1" applyFill="1" applyBorder="1" applyAlignment="1">
      <alignment horizontal="justify" vertical="center"/>
    </xf>
    <xf numFmtId="3" fontId="3" fillId="2" borderId="10" xfId="4" applyNumberFormat="1" applyFont="1" applyFill="1" applyBorder="1" applyAlignment="1">
      <alignment horizontal="center" vertical="center"/>
    </xf>
    <xf numFmtId="3" fontId="6" fillId="0" borderId="10" xfId="4" applyNumberFormat="1" applyFont="1" applyFill="1" applyBorder="1" applyAlignment="1">
      <alignment horizontal="center" vertical="center"/>
    </xf>
    <xf numFmtId="3" fontId="3" fillId="2" borderId="16" xfId="4" applyNumberFormat="1" applyFont="1" applyFill="1" applyBorder="1" applyAlignment="1">
      <alignment horizontal="center" vertical="center"/>
    </xf>
    <xf numFmtId="3" fontId="6" fillId="0" borderId="16" xfId="4" applyNumberFormat="1" applyFont="1" applyFill="1" applyBorder="1" applyAlignment="1">
      <alignment horizontal="center" vertical="center"/>
    </xf>
    <xf numFmtId="170" fontId="6" fillId="0" borderId="3" xfId="4" applyNumberFormat="1" applyFont="1" applyFill="1" applyBorder="1" applyAlignment="1">
      <alignment horizontal="center" vertical="center"/>
    </xf>
    <xf numFmtId="170" fontId="6" fillId="0" borderId="3" xfId="4" applyNumberFormat="1" applyFont="1" applyBorder="1" applyAlignment="1">
      <alignment horizontal="center" vertical="center"/>
    </xf>
    <xf numFmtId="3" fontId="3" fillId="2" borderId="17" xfId="4" applyNumberFormat="1" applyFont="1" applyFill="1" applyBorder="1" applyAlignment="1">
      <alignment horizontal="center" vertical="center"/>
    </xf>
    <xf numFmtId="3" fontId="6" fillId="0" borderId="17" xfId="4" applyNumberFormat="1" applyFont="1" applyFill="1" applyBorder="1" applyAlignment="1">
      <alignment horizontal="center" vertical="center"/>
    </xf>
    <xf numFmtId="183" fontId="6" fillId="2" borderId="3" xfId="4" applyNumberFormat="1" applyFont="1" applyFill="1" applyBorder="1" applyAlignment="1">
      <alignment horizontal="justify" vertical="center"/>
    </xf>
    <xf numFmtId="170" fontId="6" fillId="0" borderId="11" xfId="4" applyNumberFormat="1" applyFont="1" applyBorder="1" applyAlignment="1">
      <alignment horizontal="center" vertical="center"/>
    </xf>
    <xf numFmtId="37" fontId="6" fillId="0" borderId="10" xfId="4" applyNumberFormat="1" applyFont="1" applyFill="1" applyBorder="1" applyAlignment="1">
      <alignment horizontal="center" vertical="center"/>
    </xf>
    <xf numFmtId="37" fontId="6" fillId="0" borderId="16" xfId="4" applyNumberFormat="1" applyFont="1" applyFill="1" applyBorder="1" applyAlignment="1">
      <alignment horizontal="center" vertical="center"/>
    </xf>
    <xf numFmtId="42" fontId="6" fillId="0" borderId="10" xfId="4" applyNumberFormat="1" applyFont="1" applyFill="1" applyBorder="1" applyAlignment="1">
      <alignment horizontal="center" vertical="center"/>
    </xf>
    <xf numFmtId="42" fontId="6" fillId="2" borderId="10" xfId="4" applyNumberFormat="1" applyFont="1" applyFill="1" applyBorder="1" applyAlignment="1">
      <alignment horizontal="center" vertical="center"/>
    </xf>
    <xf numFmtId="169" fontId="3" fillId="0" borderId="3" xfId="4" applyFont="1" applyFill="1" applyBorder="1" applyAlignment="1">
      <alignment horizontal="justify" vertical="center" wrapText="1"/>
    </xf>
    <xf numFmtId="42" fontId="3" fillId="2" borderId="3" xfId="4" applyNumberFormat="1" applyFont="1" applyFill="1" applyBorder="1" applyAlignment="1">
      <alignment horizontal="center" vertical="center"/>
    </xf>
    <xf numFmtId="37" fontId="6" fillId="0" borderId="17" xfId="4" applyNumberFormat="1" applyFont="1" applyFill="1" applyBorder="1" applyAlignment="1">
      <alignment horizontal="center" vertical="center"/>
    </xf>
    <xf numFmtId="14" fontId="6" fillId="0" borderId="3" xfId="4" applyNumberFormat="1" applyFont="1" applyBorder="1" applyAlignment="1">
      <alignment horizontal="center" vertical="center"/>
    </xf>
    <xf numFmtId="169" fontId="18" fillId="0" borderId="3" xfId="4" applyFont="1" applyBorder="1" applyAlignment="1">
      <alignment horizontal="justify" vertical="center" wrapText="1" readingOrder="2"/>
    </xf>
    <xf numFmtId="169" fontId="18" fillId="0" borderId="3" xfId="4" applyFont="1" applyFill="1" applyBorder="1" applyAlignment="1">
      <alignment horizontal="justify" vertical="center" wrapText="1" readingOrder="2"/>
    </xf>
    <xf numFmtId="3" fontId="6" fillId="0" borderId="3" xfId="4" applyNumberFormat="1" applyFont="1" applyBorder="1" applyAlignment="1">
      <alignment horizontal="center" vertical="center"/>
    </xf>
    <xf numFmtId="169" fontId="6" fillId="0" borderId="10" xfId="4" applyFont="1" applyBorder="1" applyAlignment="1">
      <alignment horizontal="justify" vertical="center" wrapText="1"/>
    </xf>
    <xf numFmtId="169" fontId="3" fillId="0" borderId="10" xfId="4" applyFont="1" applyFill="1" applyBorder="1" applyAlignment="1">
      <alignment horizontal="center" vertical="center" wrapText="1"/>
    </xf>
    <xf numFmtId="10" fontId="6" fillId="0" borderId="3" xfId="4" applyNumberFormat="1" applyFont="1" applyFill="1" applyBorder="1" applyAlignment="1">
      <alignment horizontal="center" vertical="center"/>
    </xf>
    <xf numFmtId="174" fontId="6" fillId="10" borderId="12" xfId="0" applyNumberFormat="1" applyFont="1" applyFill="1" applyBorder="1" applyAlignment="1">
      <alignment horizontal="center" vertical="center"/>
    </xf>
    <xf numFmtId="175" fontId="5" fillId="10" borderId="12" xfId="0" applyNumberFormat="1" applyFont="1" applyFill="1" applyBorder="1" applyAlignment="1">
      <alignment horizontal="center" vertical="center"/>
    </xf>
    <xf numFmtId="174" fontId="6" fillId="8" borderId="5" xfId="0" applyNumberFormat="1" applyFont="1" applyFill="1" applyBorder="1" applyAlignment="1">
      <alignment horizontal="center" vertical="center"/>
    </xf>
    <xf numFmtId="175" fontId="5" fillId="8" borderId="6" xfId="0" applyNumberFormat="1" applyFont="1" applyFill="1" applyBorder="1" applyAlignment="1">
      <alignment horizontal="center" vertical="center"/>
    </xf>
    <xf numFmtId="1" fontId="6" fillId="0" borderId="10" xfId="4" applyNumberFormat="1" applyFont="1" applyFill="1" applyBorder="1" applyAlignment="1">
      <alignment vertical="center"/>
    </xf>
    <xf numFmtId="3" fontId="6" fillId="2" borderId="40" xfId="4" applyNumberFormat="1" applyFont="1" applyFill="1" applyBorder="1" applyAlignment="1">
      <alignment vertical="center"/>
    </xf>
    <xf numFmtId="3" fontId="6" fillId="0" borderId="10" xfId="4" applyNumberFormat="1" applyFont="1" applyFill="1" applyBorder="1" applyAlignment="1">
      <alignment horizontal="center"/>
    </xf>
    <xf numFmtId="1" fontId="6" fillId="0" borderId="16" xfId="4" applyNumberFormat="1" applyFont="1" applyFill="1" applyBorder="1" applyAlignment="1">
      <alignment vertical="center"/>
    </xf>
    <xf numFmtId="3" fontId="6" fillId="2" borderId="41" xfId="4" applyNumberFormat="1" applyFont="1" applyFill="1" applyBorder="1" applyAlignment="1">
      <alignment vertical="center"/>
    </xf>
    <xf numFmtId="3" fontId="6" fillId="0" borderId="16" xfId="4" applyNumberFormat="1" applyFont="1" applyFill="1" applyBorder="1" applyAlignment="1">
      <alignment horizontal="center"/>
    </xf>
    <xf numFmtId="170" fontId="6" fillId="0" borderId="11" xfId="4" applyNumberFormat="1" applyFont="1" applyFill="1" applyBorder="1" applyAlignment="1">
      <alignment horizontal="center" vertical="center"/>
    </xf>
    <xf numFmtId="3" fontId="6" fillId="2" borderId="41" xfId="4" applyNumberFormat="1" applyFont="1" applyFill="1" applyBorder="1" applyAlignment="1">
      <alignment horizontal="center" vertical="center" wrapText="1"/>
    </xf>
    <xf numFmtId="1" fontId="5" fillId="2" borderId="30" xfId="4" applyNumberFormat="1" applyFont="1" applyFill="1" applyBorder="1" applyAlignment="1">
      <alignment vertical="center" wrapText="1"/>
    </xf>
    <xf numFmtId="1" fontId="5" fillId="2" borderId="43" xfId="4" applyNumberFormat="1" applyFont="1" applyFill="1" applyBorder="1" applyAlignment="1">
      <alignment vertical="center" wrapText="1"/>
    </xf>
    <xf numFmtId="169" fontId="18" fillId="2" borderId="45" xfId="4" applyFont="1" applyFill="1" applyBorder="1" applyAlignment="1">
      <alignment horizontal="justify" vertical="center" wrapText="1"/>
    </xf>
    <xf numFmtId="42" fontId="6" fillId="2" borderId="45" xfId="4" applyNumberFormat="1" applyFont="1" applyFill="1" applyBorder="1" applyAlignment="1">
      <alignment horizontal="justify" vertical="center"/>
    </xf>
    <xf numFmtId="1" fontId="6" fillId="0" borderId="18" xfId="4" applyNumberFormat="1" applyFont="1" applyFill="1" applyBorder="1" applyAlignment="1">
      <alignment vertical="center"/>
    </xf>
    <xf numFmtId="3" fontId="6" fillId="2" borderId="46" xfId="4" applyNumberFormat="1" applyFont="1" applyFill="1" applyBorder="1" applyAlignment="1">
      <alignment vertical="center"/>
    </xf>
    <xf numFmtId="3" fontId="6" fillId="0" borderId="18" xfId="4" applyNumberFormat="1" applyFont="1" applyFill="1" applyBorder="1" applyAlignment="1">
      <alignment horizontal="center"/>
    </xf>
    <xf numFmtId="170" fontId="6" fillId="0" borderId="45" xfId="4" applyNumberFormat="1" applyFont="1" applyFill="1" applyBorder="1" applyAlignment="1">
      <alignment horizontal="center" vertical="center"/>
    </xf>
    <xf numFmtId="170" fontId="6" fillId="0" borderId="47" xfId="4" applyNumberFormat="1" applyFont="1" applyBorder="1" applyAlignment="1">
      <alignment horizontal="center" vertical="center"/>
    </xf>
    <xf numFmtId="1" fontId="6" fillId="0" borderId="17" xfId="4" applyNumberFormat="1" applyFont="1" applyBorder="1" applyAlignment="1">
      <alignment horizontal="center" vertical="center"/>
    </xf>
    <xf numFmtId="169" fontId="6" fillId="0" borderId="4" xfId="4" applyFont="1" applyBorder="1" applyAlignment="1">
      <alignment horizontal="left" vertical="center" wrapText="1"/>
    </xf>
    <xf numFmtId="169" fontId="6" fillId="0" borderId="6" xfId="4" applyFont="1" applyBorder="1" applyAlignment="1">
      <alignment horizontal="left" vertical="center" wrapText="1"/>
    </xf>
    <xf numFmtId="169" fontId="6" fillId="0" borderId="7" xfId="4" applyFont="1" applyBorder="1" applyAlignment="1">
      <alignment vertical="center" wrapText="1"/>
    </xf>
    <xf numFmtId="169" fontId="6" fillId="0" borderId="9" xfId="4" applyFont="1" applyBorder="1" applyAlignment="1">
      <alignment vertical="center" wrapText="1"/>
    </xf>
    <xf numFmtId="169" fontId="6" fillId="0" borderId="3" xfId="4" applyFont="1" applyFill="1" applyBorder="1" applyAlignment="1">
      <alignment horizontal="justify" vertical="center" wrapText="1" readingOrder="2"/>
    </xf>
    <xf numFmtId="169" fontId="6" fillId="0" borderId="10" xfId="4" applyFont="1" applyFill="1" applyBorder="1" applyAlignment="1">
      <alignment horizontal="center"/>
    </xf>
    <xf numFmtId="169" fontId="6" fillId="0" borderId="1" xfId="4" applyFont="1" applyBorder="1" applyAlignment="1">
      <alignment vertical="center" wrapText="1"/>
    </xf>
    <xf numFmtId="169" fontId="6" fillId="0" borderId="2" xfId="4" applyFont="1" applyBorder="1" applyAlignment="1">
      <alignment vertical="center" wrapText="1"/>
    </xf>
    <xf numFmtId="169" fontId="6" fillId="2" borderId="3" xfId="4" applyFont="1" applyFill="1" applyBorder="1" applyAlignment="1">
      <alignment horizontal="justify" vertical="center" wrapText="1" readingOrder="2"/>
    </xf>
    <xf numFmtId="169" fontId="6" fillId="0" borderId="16" xfId="4" applyFont="1" applyFill="1" applyBorder="1" applyAlignment="1">
      <alignment horizontal="center"/>
    </xf>
    <xf numFmtId="169" fontId="18" fillId="2" borderId="3" xfId="4" applyFont="1" applyFill="1" applyBorder="1" applyAlignment="1">
      <alignment horizontal="justify" vertical="center" wrapText="1" readingOrder="2"/>
    </xf>
    <xf numFmtId="169" fontId="6" fillId="2" borderId="10" xfId="4" applyFont="1" applyFill="1" applyBorder="1" applyAlignment="1">
      <alignment horizontal="justify" vertical="center" wrapText="1"/>
    </xf>
    <xf numFmtId="170" fontId="6" fillId="0" borderId="10" xfId="4" applyNumberFormat="1" applyFont="1" applyFill="1" applyBorder="1" applyAlignment="1">
      <alignment horizontal="center" vertical="center"/>
    </xf>
    <xf numFmtId="170" fontId="6" fillId="0" borderId="7" xfId="4" applyNumberFormat="1" applyFont="1" applyBorder="1" applyAlignment="1">
      <alignment horizontal="center" vertical="center"/>
    </xf>
    <xf numFmtId="175" fontId="5" fillId="6" borderId="13" xfId="0" applyNumberFormat="1" applyFont="1" applyFill="1" applyBorder="1" applyAlignment="1">
      <alignment horizontal="center" vertical="center"/>
    </xf>
    <xf numFmtId="169" fontId="6" fillId="0" borderId="0" xfId="4" applyFont="1" applyBorder="1"/>
    <xf numFmtId="169" fontId="6" fillId="0" borderId="19" xfId="4" applyFont="1" applyBorder="1"/>
    <xf numFmtId="169" fontId="6" fillId="2" borderId="20" xfId="4" applyFont="1" applyFill="1" applyBorder="1" applyAlignment="1">
      <alignment horizontal="justify" vertical="center" wrapText="1"/>
    </xf>
    <xf numFmtId="169" fontId="6" fillId="2" borderId="20" xfId="4" applyFont="1" applyFill="1" applyBorder="1"/>
    <xf numFmtId="169" fontId="6" fillId="0" borderId="20" xfId="4" applyFont="1" applyFill="1" applyBorder="1"/>
    <xf numFmtId="169" fontId="5" fillId="2" borderId="20" xfId="4" applyFont="1" applyFill="1" applyBorder="1" applyAlignment="1"/>
    <xf numFmtId="169" fontId="6" fillId="2" borderId="21" xfId="4" applyFont="1" applyFill="1" applyBorder="1" applyAlignment="1">
      <alignment horizontal="center" vertical="center"/>
    </xf>
    <xf numFmtId="175" fontId="5" fillId="2" borderId="22" xfId="4" applyNumberFormat="1" applyFont="1" applyFill="1" applyBorder="1" applyAlignment="1">
      <alignment horizontal="right" vertical="center"/>
    </xf>
    <xf numFmtId="184" fontId="5" fillId="2" borderId="19" xfId="4" applyNumberFormat="1" applyFont="1" applyFill="1" applyBorder="1" applyAlignment="1">
      <alignment horizontal="right" vertical="center"/>
    </xf>
    <xf numFmtId="184" fontId="5" fillId="2" borderId="20" xfId="4" applyNumberFormat="1" applyFont="1" applyFill="1" applyBorder="1" applyAlignment="1">
      <alignment horizontal="justify" vertical="center" wrapText="1"/>
    </xf>
    <xf numFmtId="184" fontId="5" fillId="2" borderId="21" xfId="4" applyNumberFormat="1" applyFont="1" applyFill="1" applyBorder="1" applyAlignment="1">
      <alignment horizontal="justify" vertical="center" wrapText="1"/>
    </xf>
    <xf numFmtId="184" fontId="5" fillId="0" borderId="19" xfId="4" applyNumberFormat="1" applyFont="1" applyFill="1" applyBorder="1" applyAlignment="1">
      <alignment horizontal="right" vertical="center"/>
    </xf>
    <xf numFmtId="169" fontId="6" fillId="2" borderId="20" xfId="4" applyFont="1" applyFill="1" applyBorder="1" applyAlignment="1">
      <alignment horizontal="justify" vertical="center"/>
    </xf>
    <xf numFmtId="169" fontId="6" fillId="0" borderId="20" xfId="4" applyFont="1" applyBorder="1"/>
    <xf numFmtId="169" fontId="6" fillId="0" borderId="20" xfId="4" applyFont="1" applyFill="1" applyBorder="1" applyAlignment="1">
      <alignment horizontal="right" vertical="center"/>
    </xf>
    <xf numFmtId="170" fontId="6" fillId="0" borderId="20" xfId="4" applyNumberFormat="1" applyFont="1" applyBorder="1" applyAlignment="1">
      <alignment horizontal="center"/>
    </xf>
    <xf numFmtId="169" fontId="6" fillId="0" borderId="21" xfId="4" applyFont="1" applyBorder="1" applyAlignment="1">
      <alignment horizontal="left"/>
    </xf>
    <xf numFmtId="169" fontId="6" fillId="2" borderId="0" xfId="4" applyFont="1" applyFill="1" applyBorder="1" applyAlignment="1">
      <alignment horizontal="justify" vertical="center" wrapText="1"/>
    </xf>
    <xf numFmtId="169" fontId="6" fillId="2" borderId="0" xfId="4" applyFont="1" applyFill="1" applyBorder="1"/>
    <xf numFmtId="169" fontId="6" fillId="0" borderId="0" xfId="4" applyFont="1" applyFill="1" applyBorder="1"/>
    <xf numFmtId="169" fontId="6" fillId="2" borderId="0" xfId="4" applyFont="1" applyFill="1" applyBorder="1" applyAlignment="1"/>
    <xf numFmtId="169" fontId="6" fillId="2" borderId="0" xfId="4" applyFont="1" applyFill="1" applyBorder="1" applyAlignment="1">
      <alignment horizontal="center" vertical="center"/>
    </xf>
    <xf numFmtId="169" fontId="6" fillId="2" borderId="0" xfId="4" applyFont="1" applyFill="1" applyBorder="1" applyAlignment="1">
      <alignment horizontal="justify" vertical="center"/>
    </xf>
    <xf numFmtId="169" fontId="6" fillId="0" borderId="0" xfId="4" applyFont="1" applyFill="1" applyBorder="1" applyAlignment="1">
      <alignment horizontal="justify" vertical="center"/>
    </xf>
    <xf numFmtId="169" fontId="6" fillId="0" borderId="0" xfId="4" applyFont="1" applyFill="1" applyBorder="1" applyAlignment="1">
      <alignment horizontal="right" vertical="center"/>
    </xf>
    <xf numFmtId="170" fontId="6" fillId="0" borderId="0" xfId="4" applyNumberFormat="1" applyFont="1" applyBorder="1" applyAlignment="1">
      <alignment horizontal="center"/>
    </xf>
    <xf numFmtId="169" fontId="6" fillId="0" borderId="0" xfId="4" applyFont="1" applyBorder="1" applyAlignment="1">
      <alignment horizontal="left"/>
    </xf>
    <xf numFmtId="185" fontId="6" fillId="2" borderId="0" xfId="4" applyNumberFormat="1" applyFont="1" applyFill="1" applyBorder="1" applyAlignment="1">
      <alignment horizontal="justify" vertical="center" wrapText="1"/>
    </xf>
    <xf numFmtId="169" fontId="6" fillId="2" borderId="0" xfId="4" applyFont="1" applyFill="1" applyAlignment="1">
      <alignment horizontal="justify" vertical="center" wrapText="1"/>
    </xf>
    <xf numFmtId="169" fontId="6" fillId="2" borderId="0" xfId="4" applyFont="1" applyFill="1" applyAlignment="1"/>
    <xf numFmtId="169" fontId="6" fillId="2" borderId="0" xfId="4" applyFont="1" applyFill="1" applyAlignment="1">
      <alignment horizontal="center" vertical="center"/>
    </xf>
    <xf numFmtId="169" fontId="6" fillId="2" borderId="0" xfId="4" applyFont="1" applyFill="1" applyAlignment="1">
      <alignment horizontal="justify" vertical="center"/>
    </xf>
    <xf numFmtId="186" fontId="6" fillId="0" borderId="0" xfId="4" applyNumberFormat="1" applyFont="1" applyFill="1" applyAlignment="1">
      <alignment horizontal="justify" vertical="center"/>
    </xf>
    <xf numFmtId="169" fontId="6" fillId="0" borderId="0" xfId="4" applyFont="1" applyFill="1" applyAlignment="1">
      <alignment horizontal="right" vertical="center"/>
    </xf>
    <xf numFmtId="170" fontId="6" fillId="0" borderId="0" xfId="4" applyNumberFormat="1" applyFont="1" applyAlignment="1">
      <alignment horizontal="center"/>
    </xf>
    <xf numFmtId="169" fontId="6" fillId="0" borderId="0" xfId="4" applyFont="1" applyAlignment="1">
      <alignment horizontal="left"/>
    </xf>
    <xf numFmtId="169" fontId="6" fillId="0" borderId="0" xfId="4" applyFont="1" applyFill="1" applyAlignment="1">
      <alignment horizontal="justify" vertical="center"/>
    </xf>
    <xf numFmtId="169" fontId="6" fillId="12" borderId="0" xfId="4" applyFont="1" applyFill="1"/>
    <xf numFmtId="0" fontId="8" fillId="0" borderId="0" xfId="0" applyFont="1" applyBorder="1"/>
    <xf numFmtId="0" fontId="8" fillId="0" borderId="0" xfId="0" applyFont="1" applyAlignment="1">
      <alignment wrapText="1"/>
    </xf>
    <xf numFmtId="0" fontId="15" fillId="0" borderId="0" xfId="0" applyFont="1" applyBorder="1" applyAlignment="1">
      <alignment horizontal="center" vertical="center"/>
    </xf>
    <xf numFmtId="0" fontId="15" fillId="0" borderId="0" xfId="0" applyFont="1" applyBorder="1" applyAlignment="1">
      <alignment horizontal="center"/>
    </xf>
    <xf numFmtId="0" fontId="15" fillId="6" borderId="10" xfId="0" applyFont="1" applyFill="1" applyBorder="1" applyAlignment="1">
      <alignment horizontal="center" vertical="center" wrapText="1"/>
    </xf>
    <xf numFmtId="0" fontId="15" fillId="6" borderId="8" xfId="0" applyFont="1" applyFill="1" applyBorder="1" applyAlignment="1">
      <alignment vertical="center" wrapText="1"/>
    </xf>
    <xf numFmtId="0" fontId="15" fillId="6" borderId="12" xfId="0" applyFont="1" applyFill="1" applyBorder="1" applyAlignment="1">
      <alignment vertical="center" wrapText="1"/>
    </xf>
    <xf numFmtId="0" fontId="15" fillId="6" borderId="12" xfId="0" applyFont="1" applyFill="1" applyBorder="1" applyAlignment="1">
      <alignment horizontal="justify" vertical="center" wrapText="1"/>
    </xf>
    <xf numFmtId="4" fontId="15" fillId="6" borderId="12" xfId="0" applyNumberFormat="1" applyFont="1" applyFill="1" applyBorder="1" applyAlignment="1">
      <alignment horizontal="right" vertical="center" wrapText="1"/>
    </xf>
    <xf numFmtId="1" fontId="15" fillId="6" borderId="12" xfId="0" applyNumberFormat="1" applyFont="1" applyFill="1" applyBorder="1" applyAlignment="1">
      <alignment horizontal="center" vertical="center" wrapText="1"/>
    </xf>
    <xf numFmtId="0" fontId="15" fillId="6" borderId="3" xfId="0" applyFont="1" applyFill="1" applyBorder="1" applyAlignment="1">
      <alignment vertical="center" wrapText="1"/>
    </xf>
    <xf numFmtId="0" fontId="15" fillId="0" borderId="0" xfId="0" applyFont="1" applyBorder="1"/>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xf numFmtId="0" fontId="15" fillId="13" borderId="9" xfId="0" applyFont="1" applyFill="1" applyBorder="1" applyAlignment="1">
      <alignment horizontal="center" vertical="center" wrapText="1"/>
    </xf>
    <xf numFmtId="0" fontId="15" fillId="13" borderId="12" xfId="0" applyFont="1" applyFill="1" applyBorder="1" applyAlignment="1">
      <alignment horizontal="justify" vertical="center" wrapText="1"/>
    </xf>
    <xf numFmtId="0" fontId="15" fillId="13" borderId="12" xfId="0" applyFont="1" applyFill="1" applyBorder="1" applyAlignment="1">
      <alignment vertical="center" wrapText="1"/>
    </xf>
    <xf numFmtId="4" fontId="15" fillId="13" borderId="12" xfId="0" applyNumberFormat="1" applyFont="1" applyFill="1" applyBorder="1" applyAlignment="1">
      <alignment horizontal="right" vertical="center" wrapText="1"/>
    </xf>
    <xf numFmtId="1" fontId="15" fillId="13" borderId="12" xfId="0" applyNumberFormat="1" applyFont="1" applyFill="1" applyBorder="1" applyAlignment="1">
      <alignment horizontal="center" vertical="center" wrapText="1"/>
    </xf>
    <xf numFmtId="0" fontId="15" fillId="13" borderId="3" xfId="0" applyFont="1" applyFill="1" applyBorder="1" applyAlignment="1">
      <alignment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8" xfId="0" applyFont="1" applyFill="1" applyBorder="1"/>
    <xf numFmtId="0" fontId="8" fillId="2" borderId="9" xfId="0" applyFont="1" applyFill="1" applyBorder="1"/>
    <xf numFmtId="0" fontId="15" fillId="8" borderId="3" xfId="0" applyFont="1" applyFill="1" applyBorder="1" applyAlignment="1">
      <alignment horizontal="center" vertical="center" wrapText="1"/>
    </xf>
    <xf numFmtId="0" fontId="8" fillId="8" borderId="12" xfId="0" applyFont="1" applyFill="1" applyBorder="1" applyAlignment="1">
      <alignment horizontal="justify" vertical="center" wrapText="1"/>
    </xf>
    <xf numFmtId="0" fontId="8" fillId="8" borderId="12" xfId="0" applyFont="1" applyFill="1" applyBorder="1" applyAlignment="1">
      <alignment vertical="center" wrapText="1"/>
    </xf>
    <xf numFmtId="4" fontId="8" fillId="8" borderId="12" xfId="0" applyNumberFormat="1" applyFont="1" applyFill="1" applyBorder="1" applyAlignment="1">
      <alignment horizontal="right" vertical="center" wrapText="1"/>
    </xf>
    <xf numFmtId="1" fontId="8" fillId="8" borderId="12" xfId="0" applyNumberFormat="1" applyFont="1" applyFill="1" applyBorder="1" applyAlignment="1">
      <alignment horizontal="center" vertical="center" wrapText="1"/>
    </xf>
    <xf numFmtId="0" fontId="8" fillId="8" borderId="3" xfId="0" applyFont="1" applyFill="1" applyBorder="1" applyAlignment="1">
      <alignment vertical="center" wrapText="1"/>
    </xf>
    <xf numFmtId="0" fontId="8" fillId="2" borderId="16" xfId="0" applyFont="1" applyFill="1" applyBorder="1" applyAlignment="1">
      <alignment vertical="center" wrapText="1"/>
    </xf>
    <xf numFmtId="0" fontId="8" fillId="2" borderId="0" xfId="0" applyFont="1" applyFill="1" applyBorder="1" applyAlignment="1">
      <alignment vertical="center" textRotation="90" wrapText="1"/>
    </xf>
    <xf numFmtId="0" fontId="8" fillId="2" borderId="2" xfId="0" applyFont="1" applyFill="1" applyBorder="1" applyAlignment="1">
      <alignment vertical="center" textRotation="90" wrapText="1"/>
    </xf>
    <xf numFmtId="0" fontId="8" fillId="2" borderId="0" xfId="0" applyFont="1" applyFill="1" applyBorder="1"/>
    <xf numFmtId="187" fontId="8" fillId="2" borderId="3"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0" fontId="8" fillId="2" borderId="10" xfId="0" applyFont="1" applyFill="1" applyBorder="1" applyAlignment="1">
      <alignment horizontal="justify" vertical="center" wrapText="1"/>
    </xf>
    <xf numFmtId="0" fontId="8" fillId="2" borderId="3" xfId="0" applyFont="1" applyFill="1" applyBorder="1" applyAlignment="1">
      <alignment vertical="center" wrapText="1"/>
    </xf>
    <xf numFmtId="9" fontId="8" fillId="2" borderId="4" xfId="0" applyNumberFormat="1"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17" xfId="0" applyFont="1" applyBorder="1" applyAlignment="1">
      <alignment horizontal="justify" vertical="center" wrapText="1"/>
    </xf>
    <xf numFmtId="4" fontId="8" fillId="2" borderId="17" xfId="0" applyNumberFormat="1" applyFont="1" applyFill="1" applyBorder="1" applyAlignment="1">
      <alignment horizontal="right" vertical="center" wrapText="1"/>
    </xf>
    <xf numFmtId="1" fontId="8" fillId="2"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7" xfId="0" applyFont="1" applyFill="1" applyBorder="1" applyAlignment="1">
      <alignment horizontal="justify" vertical="center" wrapText="1"/>
    </xf>
    <xf numFmtId="0" fontId="8" fillId="2" borderId="2" xfId="0" applyFont="1" applyFill="1" applyBorder="1" applyAlignment="1">
      <alignment vertical="center" wrapText="1"/>
    </xf>
    <xf numFmtId="0" fontId="8" fillId="2" borderId="10" xfId="0" applyFont="1" applyFill="1" applyBorder="1" applyAlignment="1">
      <alignment vertical="center" wrapText="1"/>
    </xf>
    <xf numFmtId="0" fontId="8" fillId="2" borderId="17" xfId="0" applyFont="1" applyFill="1" applyBorder="1" applyAlignment="1">
      <alignment vertical="center" wrapText="1"/>
    </xf>
    <xf numFmtId="0" fontId="8" fillId="2" borderId="0"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8" xfId="0" applyFont="1" applyFill="1" applyBorder="1"/>
    <xf numFmtId="0" fontId="15" fillId="8" borderId="12" xfId="0" applyFont="1" applyFill="1" applyBorder="1" applyAlignment="1">
      <alignment vertical="center" wrapText="1"/>
    </xf>
    <xf numFmtId="0" fontId="15" fillId="8" borderId="12" xfId="0" applyFont="1" applyFill="1" applyBorder="1" applyAlignment="1">
      <alignment horizontal="justify" vertical="center" wrapText="1"/>
    </xf>
    <xf numFmtId="4" fontId="15" fillId="8" borderId="12" xfId="0" applyNumberFormat="1" applyFont="1" applyFill="1" applyBorder="1" applyAlignment="1">
      <alignment horizontal="right" vertical="center" wrapText="1"/>
    </xf>
    <xf numFmtId="1" fontId="15" fillId="8" borderId="12" xfId="0" applyNumberFormat="1" applyFont="1" applyFill="1" applyBorder="1" applyAlignment="1">
      <alignment horizontal="center" vertical="center" wrapText="1"/>
    </xf>
    <xf numFmtId="0" fontId="15" fillId="8" borderId="3" xfId="0" applyFont="1" applyFill="1" applyBorder="1" applyAlignment="1">
      <alignment vertical="center" wrapText="1"/>
    </xf>
    <xf numFmtId="4" fontId="8" fillId="2" borderId="3" xfId="0" applyNumberFormat="1" applyFont="1" applyFill="1" applyBorder="1" applyAlignment="1">
      <alignment horizontal="right" vertical="center" wrapText="1"/>
    </xf>
    <xf numFmtId="4" fontId="8" fillId="2" borderId="10"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wrapText="1"/>
    </xf>
    <xf numFmtId="0" fontId="8" fillId="2" borderId="5" xfId="0" applyFont="1" applyFill="1" applyBorder="1" applyAlignment="1">
      <alignment vertical="center" textRotation="90" wrapText="1"/>
    </xf>
    <xf numFmtId="0" fontId="8" fillId="2" borderId="6" xfId="0" applyFont="1" applyFill="1" applyBorder="1" applyAlignment="1">
      <alignment vertical="center" wrapText="1"/>
    </xf>
    <xf numFmtId="187" fontId="8" fillId="2" borderId="17" xfId="0" applyNumberFormat="1" applyFont="1" applyFill="1" applyBorder="1" applyAlignment="1">
      <alignment horizontal="center" vertical="center" wrapText="1"/>
    </xf>
    <xf numFmtId="0" fontId="8" fillId="0" borderId="16" xfId="0" applyFont="1" applyBorder="1" applyAlignment="1">
      <alignment horizontal="justify"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187" fontId="8" fillId="0" borderId="5" xfId="0" applyNumberFormat="1"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17" xfId="0" applyFont="1" applyFill="1" applyBorder="1" applyAlignment="1">
      <alignment horizontal="center" vertical="center" wrapText="1"/>
    </xf>
    <xf numFmtId="0" fontId="8" fillId="0" borderId="4" xfId="0" applyFont="1" applyFill="1" applyBorder="1" applyAlignment="1">
      <alignment vertical="center" wrapText="1"/>
    </xf>
    <xf numFmtId="10" fontId="8" fillId="0" borderId="4" xfId="0" applyNumberFormat="1" applyFont="1" applyFill="1" applyBorder="1" applyAlignment="1">
      <alignment horizontal="center" vertical="center" wrapText="1"/>
    </xf>
    <xf numFmtId="4" fontId="15" fillId="0" borderId="4" xfId="0" applyNumberFormat="1" applyFont="1" applyFill="1" applyBorder="1" applyAlignment="1">
      <alignment horizontal="right" vertical="center" wrapText="1"/>
    </xf>
    <xf numFmtId="4" fontId="15" fillId="0" borderId="17" xfId="0" applyNumberFormat="1" applyFont="1" applyFill="1" applyBorder="1" applyAlignment="1">
      <alignment horizontal="right" vertical="center" wrapText="1"/>
    </xf>
    <xf numFmtId="1" fontId="8" fillId="0" borderId="17" xfId="0" applyNumberFormat="1" applyFont="1" applyFill="1" applyBorder="1" applyAlignment="1">
      <alignment horizontal="center" vertical="center" wrapText="1"/>
    </xf>
    <xf numFmtId="0" fontId="8" fillId="0" borderId="4" xfId="0" applyFont="1" applyFill="1" applyBorder="1" applyAlignment="1">
      <alignment horizontal="center" vertical="center" textRotation="180" wrapText="1"/>
    </xf>
    <xf numFmtId="49" fontId="8" fillId="0" borderId="4" xfId="0" applyNumberFormat="1" applyFont="1" applyFill="1" applyBorder="1" applyAlignment="1">
      <alignment horizontal="center" vertical="center" textRotation="180" wrapText="1"/>
    </xf>
    <xf numFmtId="170" fontId="8" fillId="0" borderId="4" xfId="0" applyNumberFormat="1" applyFont="1" applyFill="1" applyBorder="1" applyAlignment="1">
      <alignment horizontal="center" vertical="center" wrapText="1"/>
    </xf>
    <xf numFmtId="3" fontId="8" fillId="0" borderId="4" xfId="0" applyNumberFormat="1" applyFont="1" applyFill="1" applyBorder="1" applyAlignment="1">
      <alignment horizontal="left" vertical="center" wrapText="1"/>
    </xf>
    <xf numFmtId="0" fontId="8" fillId="2" borderId="0" xfId="0" applyFont="1" applyFill="1" applyAlignment="1">
      <alignment horizontal="justify"/>
    </xf>
    <xf numFmtId="0" fontId="8" fillId="2" borderId="0" xfId="0" applyFont="1" applyFill="1" applyAlignment="1">
      <alignment vertical="center"/>
    </xf>
    <xf numFmtId="4" fontId="8" fillId="2" borderId="0" xfId="0" applyNumberFormat="1" applyFont="1" applyFill="1" applyAlignment="1">
      <alignment horizontal="right"/>
    </xf>
    <xf numFmtId="4" fontId="8" fillId="2" borderId="0" xfId="0" applyNumberFormat="1" applyFont="1" applyFill="1" applyAlignment="1">
      <alignment horizontal="right" vertical="center"/>
    </xf>
    <xf numFmtId="0" fontId="8" fillId="0" borderId="0" xfId="0" applyFont="1" applyFill="1" applyAlignment="1">
      <alignment horizontal="right" vertical="center"/>
    </xf>
    <xf numFmtId="170" fontId="8" fillId="0" borderId="0" xfId="0" applyNumberFormat="1" applyFont="1" applyAlignment="1">
      <alignment horizontal="center"/>
    </xf>
    <xf numFmtId="0" fontId="8" fillId="0" borderId="0" xfId="0" applyFont="1" applyAlignment="1">
      <alignment horizontal="left"/>
    </xf>
    <xf numFmtId="0" fontId="14" fillId="2" borderId="0" xfId="0" applyFont="1" applyFill="1" applyAlignment="1">
      <alignment vertical="center"/>
    </xf>
    <xf numFmtId="0" fontId="8" fillId="2" borderId="0" xfId="0" applyFont="1" applyFill="1" applyAlignment="1"/>
    <xf numFmtId="175" fontId="8" fillId="2" borderId="0" xfId="0" applyNumberFormat="1" applyFont="1" applyFill="1" applyAlignment="1">
      <alignment horizontal="justify"/>
    </xf>
    <xf numFmtId="175" fontId="14" fillId="2" borderId="0" xfId="0" applyNumberFormat="1" applyFont="1" applyFill="1" applyAlignment="1">
      <alignment horizontal="center" vertical="center"/>
    </xf>
    <xf numFmtId="3" fontId="8" fillId="2" borderId="0" xfId="0" applyNumberFormat="1" applyFont="1" applyFill="1" applyAlignment="1">
      <alignment horizontal="center" vertical="center"/>
    </xf>
    <xf numFmtId="0" fontId="8" fillId="0" borderId="0" xfId="0" applyFont="1" applyAlignment="1"/>
    <xf numFmtId="0" fontId="8" fillId="0" borderId="0" xfId="0" applyFont="1" applyFill="1" applyAlignment="1"/>
    <xf numFmtId="0" fontId="14" fillId="0" borderId="0" xfId="0" applyFont="1" applyFill="1" applyAlignment="1">
      <alignment horizontal="right" vertical="center"/>
    </xf>
    <xf numFmtId="170" fontId="14" fillId="0" borderId="0" xfId="0" applyNumberFormat="1" applyFont="1" applyAlignment="1">
      <alignment horizontal="center"/>
    </xf>
    <xf numFmtId="0" fontId="8" fillId="0" borderId="0" xfId="0" applyFont="1" applyFill="1"/>
    <xf numFmtId="4" fontId="20" fillId="0" borderId="0" xfId="0" applyNumberFormat="1" applyFont="1" applyAlignment="1">
      <alignment horizontal="right" vertical="center"/>
    </xf>
    <xf numFmtId="188" fontId="11" fillId="0" borderId="0" xfId="12" applyFont="1" applyFill="1" applyBorder="1" applyAlignment="1">
      <alignment horizontal="justify" vertical="center"/>
    </xf>
    <xf numFmtId="3" fontId="8" fillId="0" borderId="0" xfId="0" applyNumberFormat="1" applyFont="1" applyFill="1" applyAlignment="1"/>
    <xf numFmtId="0" fontId="8" fillId="2" borderId="0" xfId="0" applyFont="1" applyFill="1" applyBorder="1" applyAlignment="1">
      <alignment horizontal="justify"/>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horizontal="justify" vertical="center" wrapText="1"/>
    </xf>
    <xf numFmtId="0" fontId="3" fillId="0" borderId="0" xfId="0" applyFont="1" applyProtection="1"/>
    <xf numFmtId="172" fontId="2" fillId="6" borderId="10" xfId="0" applyNumberFormat="1" applyFont="1" applyFill="1" applyBorder="1" applyAlignment="1" applyProtection="1">
      <alignment horizontal="center" vertical="center" wrapText="1"/>
    </xf>
    <xf numFmtId="0" fontId="29" fillId="6" borderId="9" xfId="0" applyFont="1" applyFill="1" applyBorder="1" applyAlignment="1" applyProtection="1">
      <alignment horizontal="justify" vertical="center" wrapText="1"/>
    </xf>
    <xf numFmtId="0" fontId="29" fillId="0" borderId="0" xfId="0" applyFont="1" applyProtection="1"/>
    <xf numFmtId="0" fontId="29" fillId="0" borderId="0" xfId="0" applyFont="1" applyFill="1" applyProtection="1"/>
    <xf numFmtId="0" fontId="29" fillId="0" borderId="0" xfId="0" applyFont="1" applyFill="1" applyProtection="1">
      <protection locked="0"/>
    </xf>
    <xf numFmtId="0" fontId="29" fillId="13" borderId="2" xfId="0" applyFont="1" applyFill="1" applyBorder="1" applyAlignment="1" applyProtection="1">
      <alignment horizontal="justify" vertical="center" wrapText="1"/>
      <protection locked="0"/>
    </xf>
    <xf numFmtId="0" fontId="29" fillId="2" borderId="0" xfId="0" applyFont="1" applyFill="1" applyProtection="1">
      <protection locked="0"/>
    </xf>
    <xf numFmtId="0" fontId="29" fillId="13" borderId="6" xfId="0" applyFont="1" applyFill="1" applyBorder="1" applyAlignment="1" applyProtection="1">
      <alignment horizontal="justify" vertical="center" wrapText="1"/>
      <protection locked="0"/>
    </xf>
    <xf numFmtId="0" fontId="29" fillId="8" borderId="9" xfId="0" applyFont="1" applyFill="1" applyBorder="1" applyAlignment="1" applyProtection="1">
      <alignment horizontal="justify" vertical="center" wrapText="1"/>
      <protection locked="0"/>
    </xf>
    <xf numFmtId="0" fontId="29" fillId="8" borderId="6" xfId="0" applyFont="1" applyFill="1" applyBorder="1" applyAlignment="1" applyProtection="1">
      <alignment horizontal="justify" vertical="center" wrapText="1"/>
      <protection locked="0"/>
    </xf>
    <xf numFmtId="0" fontId="3" fillId="2" borderId="9"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9" fillId="0" borderId="0" xfId="0" applyFont="1" applyProtection="1">
      <protection locked="0"/>
    </xf>
    <xf numFmtId="0" fontId="3" fillId="2" borderId="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72" fontId="2" fillId="0" borderId="1" xfId="0" applyNumberFormat="1" applyFont="1" applyFill="1" applyBorder="1" applyAlignment="1" applyProtection="1">
      <alignment vertical="center" wrapText="1"/>
      <protection locked="0"/>
    </xf>
    <xf numFmtId="172" fontId="2" fillId="0" borderId="0" xfId="0" applyNumberFormat="1" applyFont="1" applyFill="1" applyBorder="1" applyAlignment="1" applyProtection="1">
      <alignment vertical="center" wrapText="1"/>
      <protection locked="0"/>
    </xf>
    <xf numFmtId="172" fontId="2" fillId="0" borderId="2" xfId="0" applyNumberFormat="1" applyFont="1" applyFill="1" applyBorder="1" applyAlignment="1" applyProtection="1">
      <alignment vertical="center" wrapText="1"/>
      <protection locked="0"/>
    </xf>
    <xf numFmtId="1" fontId="2" fillId="8" borderId="6" xfId="0" applyNumberFormat="1" applyFont="1" applyFill="1" applyBorder="1" applyAlignment="1" applyProtection="1">
      <alignment horizontal="center" vertical="center" wrapText="1"/>
    </xf>
    <xf numFmtId="0" fontId="29" fillId="0" borderId="0" xfId="0" applyFont="1" applyFill="1" applyBorder="1" applyProtection="1">
      <protection locked="0"/>
    </xf>
    <xf numFmtId="0" fontId="29" fillId="0" borderId="3" xfId="0" applyFont="1" applyFill="1" applyBorder="1" applyProtection="1">
      <protection locked="0"/>
    </xf>
    <xf numFmtId="172" fontId="2" fillId="2" borderId="1" xfId="0" applyNumberFormat="1" applyFont="1" applyFill="1" applyBorder="1" applyAlignment="1" applyProtection="1">
      <alignment vertical="center" wrapText="1"/>
      <protection locked="0"/>
    </xf>
    <xf numFmtId="172" fontId="2" fillId="2" borderId="0" xfId="0" applyNumberFormat="1" applyFont="1" applyFill="1" applyBorder="1" applyAlignment="1" applyProtection="1">
      <alignment vertical="center" wrapText="1"/>
      <protection locked="0"/>
    </xf>
    <xf numFmtId="0" fontId="2" fillId="8" borderId="8" xfId="0" applyFont="1" applyFill="1" applyBorder="1" applyAlignment="1" applyProtection="1">
      <alignment horizontal="justify" vertical="center" wrapText="1"/>
      <protection locked="0"/>
    </xf>
    <xf numFmtId="0" fontId="2" fillId="8" borderId="0" xfId="0" applyFont="1" applyFill="1" applyBorder="1" applyAlignment="1" applyProtection="1">
      <alignment horizontal="justify" vertical="center" wrapText="1"/>
      <protection locked="0"/>
    </xf>
    <xf numFmtId="0" fontId="29" fillId="0" borderId="19" xfId="0" applyFont="1" applyBorder="1" applyProtection="1">
      <protection locked="0"/>
    </xf>
    <xf numFmtId="0" fontId="29" fillId="0" borderId="20" xfId="0" applyFont="1" applyBorder="1" applyProtection="1">
      <protection locked="0"/>
    </xf>
    <xf numFmtId="0" fontId="29" fillId="2" borderId="20" xfId="0" applyFont="1" applyFill="1" applyBorder="1" applyAlignment="1" applyProtection="1">
      <alignment horizontal="justify" vertical="center" wrapText="1"/>
      <protection locked="0"/>
    </xf>
    <xf numFmtId="0" fontId="29" fillId="2" borderId="20" xfId="0" applyFont="1" applyFill="1" applyBorder="1" applyProtection="1">
      <protection locked="0"/>
    </xf>
    <xf numFmtId="0" fontId="29" fillId="2" borderId="20" xfId="0" applyFont="1" applyFill="1" applyBorder="1" applyAlignment="1" applyProtection="1">
      <alignment horizontal="center"/>
    </xf>
    <xf numFmtId="0" fontId="29" fillId="2" borderId="20" xfId="0" applyFont="1" applyFill="1" applyBorder="1" applyProtection="1"/>
    <xf numFmtId="0" fontId="29" fillId="2" borderId="20" xfId="0" applyFont="1" applyFill="1" applyBorder="1" applyAlignment="1" applyProtection="1">
      <alignment horizontal="justify" vertical="center" wrapText="1"/>
    </xf>
    <xf numFmtId="0" fontId="29" fillId="2" borderId="21" xfId="0" applyFont="1" applyFill="1" applyBorder="1" applyAlignment="1" applyProtection="1">
      <alignment horizontal="center" vertical="center"/>
    </xf>
    <xf numFmtId="172" fontId="2" fillId="2" borderId="22" xfId="0" applyNumberFormat="1" applyFont="1" applyFill="1" applyBorder="1" applyAlignment="1" applyProtection="1">
      <alignment vertical="center"/>
    </xf>
    <xf numFmtId="0" fontId="29" fillId="2" borderId="19" xfId="0" applyFont="1" applyFill="1" applyBorder="1" applyAlignment="1" applyProtection="1">
      <alignment horizontal="justify" vertical="center" wrapText="1"/>
    </xf>
    <xf numFmtId="0" fontId="29" fillId="2" borderId="21" xfId="0" applyFont="1" applyFill="1" applyBorder="1" applyAlignment="1" applyProtection="1">
      <alignment horizontal="justify" vertical="center"/>
    </xf>
    <xf numFmtId="172" fontId="2" fillId="2" borderId="22" xfId="0" applyNumberFormat="1" applyFont="1" applyFill="1" applyBorder="1" applyAlignment="1" applyProtection="1">
      <alignment horizontal="right" vertical="center"/>
    </xf>
    <xf numFmtId="0" fontId="29" fillId="2" borderId="19" xfId="0" applyFont="1" applyFill="1" applyBorder="1" applyAlignment="1" applyProtection="1">
      <alignment horizontal="justify" vertical="center"/>
      <protection locked="0"/>
    </xf>
    <xf numFmtId="0" fontId="29" fillId="0" borderId="20" xfId="0" applyFont="1" applyFill="1" applyBorder="1" applyAlignment="1" applyProtection="1">
      <alignment horizontal="right" vertical="center"/>
      <protection locked="0"/>
    </xf>
    <xf numFmtId="14" fontId="29" fillId="0" borderId="20" xfId="0" applyNumberFormat="1" applyFont="1" applyBorder="1" applyAlignment="1" applyProtection="1">
      <alignment horizontal="center"/>
      <protection locked="0"/>
    </xf>
    <xf numFmtId="14" fontId="29" fillId="0" borderId="20" xfId="0" applyNumberFormat="1" applyFont="1" applyBorder="1" applyAlignment="1" applyProtection="1">
      <alignment horizontal="left"/>
      <protection locked="0"/>
    </xf>
    <xf numFmtId="0" fontId="29" fillId="0" borderId="21" xfId="0" applyFont="1" applyFill="1" applyBorder="1" applyAlignment="1" applyProtection="1">
      <alignment horizontal="justify" vertical="center" wrapText="1"/>
      <protection locked="0"/>
    </xf>
    <xf numFmtId="0" fontId="29" fillId="2" borderId="0" xfId="0" applyFont="1" applyFill="1" applyAlignment="1" applyProtection="1">
      <alignment horizontal="justify" vertical="center" wrapText="1"/>
      <protection locked="0"/>
    </xf>
    <xf numFmtId="0" fontId="29" fillId="2" borderId="0" xfId="0" applyFont="1" applyFill="1" applyAlignment="1" applyProtection="1">
      <alignment horizontal="center"/>
    </xf>
    <xf numFmtId="0" fontId="29" fillId="2" borderId="0" xfId="0" applyFont="1" applyFill="1" applyProtection="1"/>
    <xf numFmtId="0" fontId="29" fillId="2" borderId="0" xfId="0" applyFont="1" applyFill="1" applyAlignment="1" applyProtection="1">
      <alignment horizontal="justify" vertical="center" wrapText="1"/>
    </xf>
    <xf numFmtId="0" fontId="29" fillId="2" borderId="0" xfId="0" applyFont="1" applyFill="1" applyAlignment="1" applyProtection="1">
      <alignment horizontal="center" vertical="center"/>
    </xf>
    <xf numFmtId="172" fontId="3" fillId="2" borderId="0" xfId="0" applyNumberFormat="1" applyFont="1" applyFill="1" applyBorder="1" applyAlignment="1" applyProtection="1">
      <alignment vertical="center"/>
    </xf>
    <xf numFmtId="0" fontId="29" fillId="2" borderId="0" xfId="0" applyFont="1" applyFill="1" applyAlignment="1" applyProtection="1">
      <alignment horizontal="justify" vertical="center"/>
    </xf>
    <xf numFmtId="0" fontId="29" fillId="2" borderId="0" xfId="0" applyFont="1" applyFill="1" applyAlignment="1" applyProtection="1">
      <alignment horizontal="right" vertical="center"/>
    </xf>
    <xf numFmtId="0" fontId="29" fillId="2" borderId="0" xfId="0" applyFont="1" applyFill="1" applyAlignment="1" applyProtection="1">
      <alignment horizontal="right" vertical="center"/>
      <protection locked="0"/>
    </xf>
    <xf numFmtId="0" fontId="29" fillId="2" borderId="0" xfId="0" applyFont="1" applyFill="1" applyAlignment="1" applyProtection="1">
      <alignment horizontal="justify" vertical="center"/>
      <protection locked="0"/>
    </xf>
    <xf numFmtId="0" fontId="29" fillId="0" borderId="0" xfId="0" applyFont="1" applyFill="1" applyAlignment="1" applyProtection="1">
      <alignment horizontal="right" vertical="center"/>
      <protection locked="0"/>
    </xf>
    <xf numFmtId="14" fontId="29" fillId="0" borderId="0" xfId="0" applyNumberFormat="1" applyFont="1" applyAlignment="1" applyProtection="1">
      <alignment horizontal="center"/>
      <protection locked="0"/>
    </xf>
    <xf numFmtId="14" fontId="29" fillId="0" borderId="0" xfId="0" applyNumberFormat="1" applyFont="1" applyAlignment="1" applyProtection="1">
      <alignment horizontal="left"/>
      <protection locked="0"/>
    </xf>
    <xf numFmtId="0" fontId="29" fillId="0" borderId="0" xfId="0" applyFont="1" applyFill="1" applyAlignment="1" applyProtection="1">
      <alignment horizontal="justify" vertical="center" wrapText="1"/>
      <protection locked="0"/>
    </xf>
    <xf numFmtId="169" fontId="2" fillId="0" borderId="0" xfId="4" applyFont="1" applyFill="1" applyAlignment="1" applyProtection="1">
      <protection locked="0"/>
    </xf>
    <xf numFmtId="169" fontId="3" fillId="0" borderId="0" xfId="4" applyFont="1" applyFill="1" applyProtection="1">
      <protection locked="0"/>
    </xf>
    <xf numFmtId="169" fontId="3" fillId="0" borderId="0" xfId="4" applyFont="1" applyFill="1" applyAlignment="1" applyProtection="1">
      <alignment horizontal="center"/>
      <protection locked="0"/>
    </xf>
    <xf numFmtId="0" fontId="3" fillId="0" borderId="0" xfId="4" applyNumberFormat="1" applyFont="1" applyFill="1" applyProtection="1">
      <protection locked="0"/>
    </xf>
    <xf numFmtId="169" fontId="3" fillId="0" borderId="0" xfId="4" applyFont="1" applyFill="1" applyAlignment="1" applyProtection="1">
      <protection locked="0"/>
    </xf>
    <xf numFmtId="169" fontId="3" fillId="0" borderId="0" xfId="4" applyFont="1" applyFill="1" applyAlignment="1" applyProtection="1">
      <alignment horizontal="center" vertical="center"/>
      <protection locked="0"/>
    </xf>
    <xf numFmtId="175" fontId="3" fillId="0" borderId="0" xfId="4" applyNumberFormat="1" applyFont="1" applyFill="1" applyBorder="1" applyAlignment="1" applyProtection="1">
      <alignment vertical="center"/>
      <protection locked="0"/>
    </xf>
    <xf numFmtId="171" fontId="3" fillId="0" borderId="0" xfId="4" applyNumberFormat="1" applyFont="1" applyFill="1" applyAlignment="1" applyProtection="1">
      <alignment horizontal="right" vertical="center"/>
      <protection locked="0"/>
    </xf>
    <xf numFmtId="175" fontId="3" fillId="0" borderId="0" xfId="4" applyNumberFormat="1" applyFont="1" applyFill="1" applyAlignment="1" applyProtection="1">
      <alignment horizontal="justify" vertical="center"/>
      <protection locked="0"/>
    </xf>
    <xf numFmtId="0" fontId="3" fillId="0" borderId="0" xfId="4" applyNumberFormat="1" applyFont="1" applyFill="1" applyAlignment="1" applyProtection="1">
      <alignment horizontal="center" vertical="center"/>
      <protection locked="0"/>
    </xf>
    <xf numFmtId="14" fontId="3" fillId="0" borderId="0" xfId="4" applyNumberFormat="1" applyFont="1" applyFill="1" applyProtection="1">
      <protection locked="0"/>
    </xf>
    <xf numFmtId="169" fontId="3" fillId="0" borderId="0" xfId="4" applyFont="1" applyFill="1" applyAlignment="1" applyProtection="1">
      <alignment horizontal="justify" vertical="center" wrapText="1"/>
      <protection locked="0"/>
    </xf>
    <xf numFmtId="169" fontId="3" fillId="0" borderId="0" xfId="4" applyFont="1" applyFill="1" applyAlignment="1" applyProtection="1">
      <alignment horizontal="right" vertical="center"/>
      <protection locked="0"/>
    </xf>
    <xf numFmtId="178" fontId="3" fillId="0" borderId="0" xfId="7" applyNumberFormat="1" applyFont="1" applyFill="1" applyAlignment="1" applyProtection="1">
      <alignment horizontal="center" vertical="center"/>
      <protection locked="0"/>
    </xf>
    <xf numFmtId="170" fontId="3" fillId="0" borderId="0" xfId="4" applyNumberFormat="1" applyFont="1" applyFill="1" applyAlignment="1" applyProtection="1">
      <alignment horizontal="center"/>
      <protection locked="0"/>
    </xf>
    <xf numFmtId="169" fontId="3" fillId="0" borderId="0" xfId="4" applyFont="1" applyFill="1" applyAlignment="1" applyProtection="1">
      <alignment horizontal="left"/>
      <protection locked="0"/>
    </xf>
    <xf numFmtId="180" fontId="31" fillId="0" borderId="0" xfId="0" applyNumberFormat="1" applyFont="1" applyAlignment="1">
      <alignment horizontal="right" vertical="center"/>
    </xf>
    <xf numFmtId="0" fontId="29" fillId="2" borderId="0" xfId="0" applyFont="1" applyFill="1" applyAlignment="1" applyProtection="1">
      <alignment horizontal="center"/>
      <protection locked="0"/>
    </xf>
    <xf numFmtId="0" fontId="29" fillId="2" borderId="0" xfId="0" applyFont="1" applyFill="1" applyAlignment="1" applyProtection="1">
      <alignment horizontal="center" vertical="center"/>
      <protection locked="0"/>
    </xf>
    <xf numFmtId="172" fontId="3" fillId="2" borderId="0" xfId="0" applyNumberFormat="1" applyFont="1" applyFill="1" applyBorder="1" applyAlignment="1" applyProtection="1">
      <alignment vertical="center"/>
      <protection locked="0"/>
    </xf>
    <xf numFmtId="180" fontId="32" fillId="0" borderId="0" xfId="0" applyNumberFormat="1" applyFont="1" applyAlignment="1">
      <alignment horizontal="right" vertical="center"/>
    </xf>
    <xf numFmtId="4" fontId="29" fillId="2" borderId="0" xfId="0" applyNumberFormat="1" applyFont="1" applyFill="1" applyAlignment="1" applyProtection="1">
      <alignment horizontal="right" vertical="center"/>
      <protection locked="0"/>
    </xf>
    <xf numFmtId="170" fontId="29" fillId="0" borderId="0" xfId="0" applyNumberFormat="1" applyFont="1" applyAlignment="1" applyProtection="1">
      <alignment horizontal="center"/>
      <protection locked="0"/>
    </xf>
    <xf numFmtId="0" fontId="29" fillId="0" borderId="0" xfId="0" applyFont="1" applyAlignment="1" applyProtection="1">
      <alignment horizontal="left"/>
      <protection locked="0"/>
    </xf>
    <xf numFmtId="0" fontId="15" fillId="0" borderId="3" xfId="0" applyFont="1" applyFill="1" applyBorder="1" applyAlignment="1">
      <alignment vertical="center"/>
    </xf>
    <xf numFmtId="3" fontId="25" fillId="0" borderId="3" xfId="0" applyNumberFormat="1" applyFont="1" applyFill="1" applyBorder="1" applyAlignment="1">
      <alignment horizontal="left" vertical="center" wrapText="1"/>
    </xf>
    <xf numFmtId="0" fontId="15" fillId="0" borderId="4" xfId="0" applyFont="1" applyBorder="1" applyAlignment="1">
      <alignment vertical="center"/>
    </xf>
    <xf numFmtId="0" fontId="15" fillId="0" borderId="5" xfId="0" applyFont="1" applyBorder="1" applyAlignment="1">
      <alignment vertical="center"/>
    </xf>
    <xf numFmtId="1" fontId="15" fillId="6" borderId="12" xfId="0" applyNumberFormat="1" applyFont="1" applyFill="1" applyBorder="1" applyAlignment="1">
      <alignment horizontal="left" vertical="center" wrapText="1"/>
    </xf>
    <xf numFmtId="0" fontId="15" fillId="6" borderId="12" xfId="0" applyFont="1" applyFill="1" applyBorder="1" applyAlignment="1">
      <alignment vertical="center"/>
    </xf>
    <xf numFmtId="0" fontId="15" fillId="6" borderId="12" xfId="0" applyFont="1" applyFill="1" applyBorder="1" applyAlignment="1">
      <alignment horizontal="center" vertical="center"/>
    </xf>
    <xf numFmtId="0" fontId="15" fillId="6" borderId="12" xfId="0" applyFont="1" applyFill="1" applyBorder="1" applyAlignment="1">
      <alignment horizontal="justify" vertical="center"/>
    </xf>
    <xf numFmtId="174" fontId="15" fillId="6" borderId="12" xfId="0" applyNumberFormat="1" applyFont="1" applyFill="1" applyBorder="1" applyAlignment="1">
      <alignment horizontal="center" vertical="center"/>
    </xf>
    <xf numFmtId="3" fontId="15" fillId="6" borderId="12" xfId="0" applyNumberFormat="1" applyFont="1" applyFill="1" applyBorder="1" applyAlignment="1">
      <alignment vertical="center"/>
    </xf>
    <xf numFmtId="3" fontId="15" fillId="6" borderId="12" xfId="0" applyNumberFormat="1" applyFont="1" applyFill="1" applyBorder="1" applyAlignment="1">
      <alignment horizontal="right" vertical="center"/>
    </xf>
    <xf numFmtId="1" fontId="15" fillId="6" borderId="12" xfId="0" applyNumberFormat="1" applyFont="1" applyFill="1" applyBorder="1" applyAlignment="1">
      <alignment horizontal="center" vertical="center"/>
    </xf>
    <xf numFmtId="176" fontId="15" fillId="6" borderId="12" xfId="0" applyNumberFormat="1" applyFont="1" applyFill="1" applyBorder="1" applyAlignment="1">
      <alignment horizontal="center" vertical="center"/>
    </xf>
    <xf numFmtId="0" fontId="15" fillId="6" borderId="13" xfId="0" applyFont="1" applyFill="1" applyBorder="1" applyAlignment="1">
      <alignment horizontal="justify" vertical="center"/>
    </xf>
    <xf numFmtId="1" fontId="15" fillId="10" borderId="17" xfId="0" applyNumberFormat="1" applyFont="1" applyFill="1" applyBorder="1" applyAlignment="1">
      <alignment horizontal="center" vertical="center"/>
    </xf>
    <xf numFmtId="0" fontId="15" fillId="10" borderId="5" xfId="0" applyFont="1" applyFill="1" applyBorder="1" applyAlignment="1">
      <alignment vertical="center"/>
    </xf>
    <xf numFmtId="0" fontId="15" fillId="10" borderId="5" xfId="0" applyFont="1" applyFill="1" applyBorder="1" applyAlignment="1">
      <alignment horizontal="justify" vertical="center" wrapText="1"/>
    </xf>
    <xf numFmtId="0" fontId="15" fillId="10" borderId="5" xfId="0" applyFont="1" applyFill="1" applyBorder="1" applyAlignment="1">
      <alignment horizontal="center" vertical="center"/>
    </xf>
    <xf numFmtId="1" fontId="15" fillId="10" borderId="5" xfId="0" applyNumberFormat="1" applyFont="1" applyFill="1" applyBorder="1" applyAlignment="1">
      <alignment horizontal="center" vertical="center"/>
    </xf>
    <xf numFmtId="0" fontId="15" fillId="10" borderId="5" xfId="0" applyFont="1" applyFill="1" applyBorder="1" applyAlignment="1">
      <alignment horizontal="justify" vertical="center"/>
    </xf>
    <xf numFmtId="174" fontId="15" fillId="10" borderId="5" xfId="0" applyNumberFormat="1" applyFont="1" applyFill="1" applyBorder="1" applyAlignment="1">
      <alignment horizontal="center" vertical="center"/>
    </xf>
    <xf numFmtId="3" fontId="15" fillId="10" borderId="5" xfId="0" applyNumberFormat="1" applyFont="1" applyFill="1" applyBorder="1" applyAlignment="1">
      <alignment vertical="center"/>
    </xf>
    <xf numFmtId="3" fontId="15" fillId="10" borderId="5" xfId="0" applyNumberFormat="1" applyFont="1" applyFill="1" applyBorder="1" applyAlignment="1">
      <alignment horizontal="right" vertical="center"/>
    </xf>
    <xf numFmtId="176" fontId="15" fillId="10" borderId="5" xfId="0" applyNumberFormat="1" applyFont="1" applyFill="1" applyBorder="1" applyAlignment="1">
      <alignment horizontal="center" vertical="center"/>
    </xf>
    <xf numFmtId="0" fontId="15" fillId="10" borderId="6" xfId="0" applyFont="1" applyFill="1" applyBorder="1" applyAlignment="1">
      <alignment horizontal="justify" vertical="center"/>
    </xf>
    <xf numFmtId="1" fontId="15" fillId="8" borderId="11" xfId="0" applyNumberFormat="1" applyFont="1" applyFill="1" applyBorder="1" applyAlignment="1">
      <alignment horizontal="center" vertical="center" wrapText="1"/>
    </xf>
    <xf numFmtId="0" fontId="15" fillId="8" borderId="12" xfId="0" applyFont="1" applyFill="1" applyBorder="1" applyAlignment="1">
      <alignment vertical="center"/>
    </xf>
    <xf numFmtId="0" fontId="15" fillId="8" borderId="12" xfId="0" applyFont="1" applyFill="1" applyBorder="1" applyAlignment="1">
      <alignment horizontal="center" vertical="center"/>
    </xf>
    <xf numFmtId="1" fontId="15" fillId="8" borderId="12" xfId="0" applyNumberFormat="1" applyFont="1" applyFill="1" applyBorder="1" applyAlignment="1">
      <alignment horizontal="center" vertical="center"/>
    </xf>
    <xf numFmtId="0" fontId="15" fillId="8" borderId="12" xfId="0" applyFont="1" applyFill="1" applyBorder="1" applyAlignment="1">
      <alignment horizontal="justify" vertical="center"/>
    </xf>
    <xf numFmtId="174" fontId="15" fillId="8" borderId="12" xfId="0" applyNumberFormat="1" applyFont="1" applyFill="1" applyBorder="1" applyAlignment="1">
      <alignment horizontal="center" vertical="center"/>
    </xf>
    <xf numFmtId="3" fontId="15" fillId="8" borderId="12" xfId="0" applyNumberFormat="1" applyFont="1" applyFill="1" applyBorder="1" applyAlignment="1">
      <alignment vertical="center"/>
    </xf>
    <xf numFmtId="3" fontId="15" fillId="8" borderId="12" xfId="0" applyNumberFormat="1" applyFont="1" applyFill="1" applyBorder="1" applyAlignment="1">
      <alignment horizontal="right" vertical="center"/>
    </xf>
    <xf numFmtId="176" fontId="15" fillId="8" borderId="12" xfId="0" applyNumberFormat="1" applyFont="1" applyFill="1" applyBorder="1" applyAlignment="1">
      <alignment horizontal="center" vertical="center"/>
    </xf>
    <xf numFmtId="0" fontId="15" fillId="8" borderId="13" xfId="0" applyFont="1" applyFill="1" applyBorder="1" applyAlignment="1">
      <alignment horizontal="justify" vertical="center"/>
    </xf>
    <xf numFmtId="0" fontId="8" fillId="2" borderId="9" xfId="0" applyFont="1" applyFill="1" applyBorder="1" applyAlignment="1">
      <alignment vertical="center" wrapText="1"/>
    </xf>
    <xf numFmtId="0" fontId="8" fillId="2" borderId="4" xfId="0" applyFont="1" applyFill="1" applyBorder="1" applyAlignment="1">
      <alignment horizontal="justify" vertical="center" wrapText="1"/>
    </xf>
    <xf numFmtId="3" fontId="19" fillId="2" borderId="11" xfId="13" applyNumberFormat="1" applyFont="1" applyFill="1" applyBorder="1" applyAlignment="1">
      <alignment horizontal="right"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4" fillId="2" borderId="3" xfId="0" applyFont="1" applyFill="1" applyBorder="1" applyAlignment="1">
      <alignment horizontal="justify" vertical="center" wrapText="1"/>
    </xf>
    <xf numFmtId="0" fontId="34" fillId="2" borderId="3" xfId="0" applyFont="1" applyFill="1" applyBorder="1" applyAlignment="1">
      <alignment horizontal="justify" vertical="center"/>
    </xf>
    <xf numFmtId="3" fontId="8" fillId="2" borderId="10" xfId="5" applyNumberFormat="1" applyFont="1" applyFill="1" applyBorder="1" applyAlignment="1">
      <alignment horizontal="right" vertical="center"/>
    </xf>
    <xf numFmtId="0" fontId="8" fillId="8" borderId="12" xfId="0" applyFont="1" applyFill="1" applyBorder="1" applyAlignment="1" applyProtection="1">
      <alignment horizontal="center" vertical="center"/>
      <protection locked="0"/>
    </xf>
    <xf numFmtId="3" fontId="8" fillId="2" borderId="3" xfId="5" applyNumberFormat="1" applyFont="1" applyFill="1" applyBorder="1" applyAlignment="1">
      <alignment horizontal="right" vertical="center"/>
    </xf>
    <xf numFmtId="0" fontId="8" fillId="2" borderId="9" xfId="0" applyNumberFormat="1" applyFont="1" applyFill="1" applyBorder="1" applyAlignment="1">
      <alignment vertical="center" wrapText="1"/>
    </xf>
    <xf numFmtId="0" fontId="8" fillId="2" borderId="2" xfId="0" applyNumberFormat="1" applyFont="1" applyFill="1" applyBorder="1" applyAlignment="1">
      <alignment vertical="center" wrapText="1"/>
    </xf>
    <xf numFmtId="3" fontId="8" fillId="2" borderId="3" xfId="0" applyNumberFormat="1" applyFont="1" applyFill="1" applyBorder="1" applyAlignment="1">
      <alignment horizontal="right" vertical="center"/>
    </xf>
    <xf numFmtId="0" fontId="8" fillId="2" borderId="6" xfId="0" applyNumberFormat="1" applyFont="1" applyFill="1" applyBorder="1" applyAlignment="1">
      <alignment vertical="center" wrapText="1"/>
    </xf>
    <xf numFmtId="3" fontId="8" fillId="2" borderId="3" xfId="0" applyNumberFormat="1" applyFont="1" applyFill="1" applyBorder="1" applyAlignment="1">
      <alignment horizontal="right" vertical="center" wrapText="1"/>
    </xf>
    <xf numFmtId="0" fontId="8" fillId="0" borderId="9" xfId="0" applyFont="1" applyFill="1" applyBorder="1" applyAlignment="1">
      <alignment vertical="center" wrapText="1"/>
    </xf>
    <xf numFmtId="0" fontId="8" fillId="0" borderId="2" xfId="0" applyFont="1" applyFill="1" applyBorder="1" applyAlignment="1">
      <alignment vertical="center" wrapText="1"/>
    </xf>
    <xf numFmtId="1" fontId="8" fillId="2" borderId="3" xfId="0" applyNumberFormat="1" applyFont="1" applyFill="1" applyBorder="1" applyAlignment="1">
      <alignment horizontal="center" vertical="center"/>
    </xf>
    <xf numFmtId="0" fontId="8" fillId="2" borderId="0" xfId="0" applyFont="1" applyFill="1" applyAlignment="1">
      <alignment wrapText="1"/>
    </xf>
    <xf numFmtId="0" fontId="8" fillId="2" borderId="3" xfId="0" applyFont="1" applyFill="1" applyBorder="1" applyAlignment="1">
      <alignment horizontal="center" vertical="center"/>
    </xf>
    <xf numFmtId="9" fontId="8" fillId="2" borderId="3" xfId="3" applyFont="1" applyFill="1" applyBorder="1" applyAlignment="1">
      <alignment horizontal="center" vertical="center"/>
    </xf>
    <xf numFmtId="3" fontId="8" fillId="0" borderId="3" xfId="0" applyNumberFormat="1" applyFont="1" applyFill="1" applyBorder="1" applyAlignment="1">
      <alignment horizontal="right" vertical="center" wrapText="1"/>
    </xf>
    <xf numFmtId="0" fontId="11" fillId="2" borderId="3" xfId="0" applyFont="1" applyFill="1" applyBorder="1" applyAlignment="1">
      <alignment horizontal="justify" vertical="center" wrapText="1"/>
    </xf>
    <xf numFmtId="0" fontId="8" fillId="2" borderId="3" xfId="0" applyFont="1" applyFill="1" applyBorder="1" applyAlignment="1">
      <alignment horizontal="justify" vertical="center"/>
    </xf>
    <xf numFmtId="3" fontId="11" fillId="0" borderId="11" xfId="13" applyNumberFormat="1" applyFont="1" applyFill="1" applyBorder="1" applyAlignment="1">
      <alignment horizontal="right" vertical="center"/>
    </xf>
    <xf numFmtId="3" fontId="8" fillId="2" borderId="3" xfId="0" applyNumberFormat="1" applyFont="1" applyFill="1" applyBorder="1" applyAlignment="1">
      <alignment horizontal="justify" vertical="center" wrapText="1"/>
    </xf>
    <xf numFmtId="0" fontId="8" fillId="0" borderId="6" xfId="0" applyFont="1" applyFill="1" applyBorder="1" applyAlignment="1">
      <alignment vertical="center" wrapText="1"/>
    </xf>
    <xf numFmtId="0" fontId="8" fillId="6" borderId="12" xfId="0" applyFont="1" applyFill="1" applyBorder="1" applyAlignment="1" applyProtection="1">
      <alignment horizontal="center" vertical="center"/>
      <protection locked="0"/>
    </xf>
    <xf numFmtId="1" fontId="15" fillId="10" borderId="6" xfId="0" applyNumberFormat="1" applyFont="1" applyFill="1" applyBorder="1" applyAlignment="1">
      <alignment horizontal="center" vertical="center"/>
    </xf>
    <xf numFmtId="0" fontId="8" fillId="10" borderId="5" xfId="0" applyFont="1" applyFill="1" applyBorder="1" applyAlignment="1" applyProtection="1">
      <alignment horizontal="center" vertical="center"/>
      <protection locked="0"/>
    </xf>
    <xf numFmtId="0" fontId="10" fillId="0" borderId="3" xfId="0" applyFont="1" applyBorder="1" applyAlignment="1">
      <alignment horizontal="justify" vertical="center" wrapText="1"/>
    </xf>
    <xf numFmtId="3" fontId="11" fillId="0" borderId="3" xfId="0" applyNumberFormat="1" applyFont="1" applyFill="1" applyBorder="1" applyAlignment="1">
      <alignment horizontal="right" vertical="center"/>
    </xf>
    <xf numFmtId="1" fontId="8" fillId="0" borderId="3" xfId="0" applyNumberFormat="1" applyFont="1" applyFill="1" applyBorder="1" applyAlignment="1">
      <alignment horizontal="center" vertical="center"/>
    </xf>
    <xf numFmtId="3" fontId="8" fillId="0" borderId="3" xfId="0" applyNumberFormat="1" applyFont="1" applyFill="1" applyBorder="1" applyAlignment="1">
      <alignment horizontal="right" vertical="center"/>
    </xf>
    <xf numFmtId="0" fontId="11" fillId="2" borderId="13" xfId="0" applyFont="1" applyFill="1" applyBorder="1" applyAlignment="1">
      <alignment horizontal="center" vertical="center" wrapText="1"/>
    </xf>
    <xf numFmtId="0" fontId="8"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8" fillId="2" borderId="13" xfId="0" applyFont="1" applyFill="1" applyBorder="1" applyAlignment="1">
      <alignment horizontal="center" vertical="center" wrapText="1"/>
    </xf>
    <xf numFmtId="3" fontId="8" fillId="2" borderId="3" xfId="0" applyNumberFormat="1" applyFont="1" applyFill="1" applyBorder="1" applyAlignment="1">
      <alignment vertical="center"/>
    </xf>
    <xf numFmtId="175" fontId="8" fillId="2" borderId="3" xfId="0" applyNumberFormat="1" applyFont="1" applyFill="1" applyBorder="1" applyAlignment="1" applyProtection="1">
      <alignment horizontal="center" vertical="center"/>
      <protection locked="0"/>
    </xf>
    <xf numFmtId="3" fontId="8" fillId="2" borderId="3" xfId="0" applyNumberFormat="1" applyFont="1" applyFill="1" applyBorder="1" applyAlignment="1" applyProtection="1">
      <alignment horizontal="center" vertical="center"/>
      <protection locked="0"/>
    </xf>
    <xf numFmtId="175" fontId="8" fillId="2" borderId="3"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3" fontId="11" fillId="2" borderId="3" xfId="13" applyNumberFormat="1" applyFont="1" applyFill="1" applyBorder="1" applyAlignment="1">
      <alignment horizontal="right" vertical="center"/>
    </xf>
    <xf numFmtId="0" fontId="11" fillId="2" borderId="11" xfId="0" applyFont="1" applyFill="1" applyBorder="1" applyAlignment="1">
      <alignment horizontal="center" vertical="center" wrapText="1"/>
    </xf>
    <xf numFmtId="0" fontId="11" fillId="2" borderId="3" xfId="0" applyFont="1" applyFill="1" applyBorder="1" applyAlignment="1">
      <alignment horizontal="justify" vertical="center"/>
    </xf>
    <xf numFmtId="0" fontId="11" fillId="2" borderId="7" xfId="0" applyFont="1" applyFill="1" applyBorder="1" applyAlignment="1">
      <alignment horizontal="center" vertical="center" wrapText="1"/>
    </xf>
    <xf numFmtId="0" fontId="8" fillId="2" borderId="10" xfId="0" applyFont="1" applyFill="1" applyBorder="1" applyAlignment="1">
      <alignment horizontal="justify" vertical="center"/>
    </xf>
    <xf numFmtId="3" fontId="11" fillId="2" borderId="10" xfId="13" applyNumberFormat="1" applyFont="1" applyFill="1" applyBorder="1" applyAlignment="1">
      <alignment horizontal="right" vertical="center"/>
    </xf>
    <xf numFmtId="3" fontId="11" fillId="0" borderId="3" xfId="13" applyNumberFormat="1" applyFont="1" applyFill="1" applyBorder="1" applyAlignment="1">
      <alignment horizontal="right" vertical="center"/>
    </xf>
    <xf numFmtId="0" fontId="8" fillId="2" borderId="3" xfId="0" applyNumberFormat="1" applyFont="1" applyFill="1" applyBorder="1" applyAlignment="1">
      <alignment horizontal="justify" vertical="center" wrapText="1"/>
    </xf>
    <xf numFmtId="0" fontId="8" fillId="2" borderId="19" xfId="0" applyFont="1" applyFill="1" applyBorder="1" applyAlignment="1">
      <alignment horizontal="justify" vertical="center"/>
    </xf>
    <xf numFmtId="0" fontId="8" fillId="2" borderId="20" xfId="0" applyFont="1" applyFill="1" applyBorder="1" applyAlignment="1">
      <alignment horizontal="justify" vertical="center"/>
    </xf>
    <xf numFmtId="0" fontId="35" fillId="2" borderId="20" xfId="0" applyFont="1" applyFill="1" applyBorder="1" applyAlignment="1">
      <alignment horizontal="justify" vertical="center" wrapText="1"/>
    </xf>
    <xf numFmtId="0" fontId="8" fillId="2" borderId="20" xfId="0" applyFont="1" applyFill="1" applyBorder="1" applyAlignment="1">
      <alignment horizontal="center" vertical="center"/>
    </xf>
    <xf numFmtId="0" fontId="8" fillId="2" borderId="20" xfId="0" applyFont="1" applyFill="1" applyBorder="1"/>
    <xf numFmtId="1" fontId="35" fillId="2" borderId="20" xfId="0" applyNumberFormat="1" applyFont="1" applyFill="1" applyBorder="1" applyAlignment="1">
      <alignment horizontal="center"/>
    </xf>
    <xf numFmtId="174" fontId="8" fillId="2" borderId="21" xfId="0" applyNumberFormat="1" applyFont="1" applyFill="1" applyBorder="1" applyAlignment="1">
      <alignment horizontal="center" vertical="center"/>
    </xf>
    <xf numFmtId="3" fontId="15" fillId="2" borderId="22" xfId="0" applyNumberFormat="1" applyFont="1" applyFill="1" applyBorder="1" applyAlignment="1">
      <alignment vertical="center"/>
    </xf>
    <xf numFmtId="0" fontId="35" fillId="2" borderId="20" xfId="0" applyFont="1" applyFill="1" applyBorder="1" applyAlignment="1">
      <alignment horizontal="justify" vertical="center"/>
    </xf>
    <xf numFmtId="0" fontId="8" fillId="2" borderId="21" xfId="0" applyFont="1" applyFill="1" applyBorder="1" applyAlignment="1">
      <alignment horizontal="justify" vertical="center"/>
    </xf>
    <xf numFmtId="3" fontId="15" fillId="2" borderId="22" xfId="0" applyNumberFormat="1" applyFont="1" applyFill="1" applyBorder="1" applyAlignment="1">
      <alignment horizontal="right" vertical="center"/>
    </xf>
    <xf numFmtId="1" fontId="8" fillId="2" borderId="19" xfId="0" applyNumberFormat="1" applyFont="1" applyFill="1" applyBorder="1" applyAlignment="1">
      <alignment horizontal="center" vertical="center"/>
    </xf>
    <xf numFmtId="175" fontId="8" fillId="2" borderId="20" xfId="0" applyNumberFormat="1" applyFont="1" applyFill="1" applyBorder="1" applyAlignment="1">
      <alignment horizontal="center" vertical="center"/>
    </xf>
    <xf numFmtId="175" fontId="8" fillId="2" borderId="20" xfId="0" applyNumberFormat="1" applyFont="1" applyFill="1" applyBorder="1" applyAlignment="1">
      <alignment horizontal="justify" vertical="center"/>
    </xf>
    <xf numFmtId="175" fontId="8" fillId="2" borderId="21" xfId="0" applyNumberFormat="1" applyFont="1" applyFill="1" applyBorder="1" applyAlignment="1">
      <alignment horizontal="center" vertical="center"/>
    </xf>
    <xf numFmtId="0" fontId="35" fillId="2" borderId="0" xfId="0" applyFont="1" applyFill="1" applyAlignment="1">
      <alignment horizontal="justify" vertical="center" wrapText="1"/>
    </xf>
    <xf numFmtId="1" fontId="35" fillId="2" borderId="0" xfId="0" applyNumberFormat="1" applyFont="1" applyFill="1" applyAlignment="1">
      <alignment horizontal="center"/>
    </xf>
    <xf numFmtId="3" fontId="8" fillId="2" borderId="0" xfId="0" applyNumberFormat="1" applyFont="1" applyFill="1" applyAlignment="1">
      <alignment vertical="center"/>
    </xf>
    <xf numFmtId="0" fontId="35" fillId="2" borderId="0" xfId="0" applyFont="1" applyFill="1" applyAlignment="1">
      <alignment horizontal="justify" vertical="center"/>
    </xf>
    <xf numFmtId="3" fontId="8" fillId="2" borderId="0" xfId="0" applyNumberFormat="1" applyFont="1" applyFill="1" applyAlignment="1">
      <alignment horizontal="right" vertical="center"/>
    </xf>
    <xf numFmtId="175" fontId="8" fillId="2" borderId="0" xfId="0" applyNumberFormat="1" applyFont="1" applyFill="1" applyAlignment="1">
      <alignment horizontal="justify" vertical="center"/>
    </xf>
    <xf numFmtId="0" fontId="14" fillId="2" borderId="0" xfId="0" applyFont="1" applyFill="1"/>
    <xf numFmtId="3" fontId="28" fillId="0" borderId="0" xfId="0" applyNumberFormat="1" applyFont="1" applyAlignment="1">
      <alignment horizontal="right" vertical="center"/>
    </xf>
    <xf numFmtId="0" fontId="14" fillId="2" borderId="0" xfId="0" applyFont="1" applyFill="1" applyAlignment="1">
      <alignment horizontal="center" vertical="center"/>
    </xf>
    <xf numFmtId="0" fontId="14" fillId="2" borderId="0" xfId="0" applyFont="1" applyFill="1" applyAlignment="1">
      <alignment horizontal="center"/>
    </xf>
    <xf numFmtId="0" fontId="11" fillId="2" borderId="0" xfId="0" applyFont="1" applyFill="1"/>
    <xf numFmtId="42" fontId="8" fillId="2" borderId="0" xfId="2" applyFont="1" applyFill="1" applyAlignment="1">
      <alignment horizontal="center" vertical="center"/>
    </xf>
    <xf numFmtId="42" fontId="8" fillId="2" borderId="0" xfId="2" applyFont="1" applyFill="1" applyAlignment="1">
      <alignment vertical="center"/>
    </xf>
    <xf numFmtId="0" fontId="11" fillId="2" borderId="0" xfId="0" applyFont="1" applyFill="1" applyAlignment="1">
      <alignment horizontal="center"/>
    </xf>
    <xf numFmtId="170" fontId="8" fillId="2" borderId="0" xfId="0" applyNumberFormat="1" applyFont="1" applyFill="1" applyAlignment="1">
      <alignment horizontal="center"/>
    </xf>
    <xf numFmtId="170" fontId="14" fillId="2" borderId="0" xfId="0" applyNumberFormat="1" applyFont="1" applyFill="1" applyAlignment="1">
      <alignment horizontal="center"/>
    </xf>
    <xf numFmtId="0" fontId="8" fillId="2" borderId="0" xfId="0" applyFont="1" applyFill="1" applyAlignment="1">
      <alignment horizontal="left"/>
    </xf>
    <xf numFmtId="42" fontId="8" fillId="2" borderId="0" xfId="0" applyNumberFormat="1" applyFont="1" applyFill="1" applyAlignment="1">
      <alignment horizontal="justify" vertical="center"/>
    </xf>
    <xf numFmtId="0" fontId="8" fillId="2" borderId="0" xfId="0" applyFont="1" applyFill="1" applyAlignment="1">
      <alignment horizontal="left" vertical="center"/>
    </xf>
    <xf numFmtId="176" fontId="8" fillId="0" borderId="0" xfId="0" applyNumberFormat="1" applyFont="1" applyFill="1" applyAlignment="1">
      <alignment horizontal="center" vertical="center"/>
    </xf>
    <xf numFmtId="3" fontId="6" fillId="2" borderId="0" xfId="0" applyNumberFormat="1" applyFont="1" applyFill="1" applyAlignment="1">
      <alignment horizontal="right" vertical="center"/>
    </xf>
    <xf numFmtId="3" fontId="6" fillId="2" borderId="0" xfId="0" applyNumberFormat="1" applyFont="1" applyFill="1" applyAlignment="1">
      <alignment vertical="center"/>
    </xf>
    <xf numFmtId="9" fontId="6" fillId="2" borderId="0" xfId="3" applyFont="1" applyFill="1" applyAlignment="1">
      <alignment horizontal="center" vertical="center"/>
    </xf>
    <xf numFmtId="169" fontId="8" fillId="2" borderId="0" xfId="4" applyFont="1" applyFill="1"/>
    <xf numFmtId="169" fontId="8" fillId="2" borderId="0" xfId="4" applyFont="1" applyFill="1" applyAlignment="1">
      <alignment horizontal="left"/>
    </xf>
    <xf numFmtId="170" fontId="14" fillId="2" borderId="0" xfId="4" applyNumberFormat="1" applyFont="1" applyFill="1" applyAlignment="1">
      <alignment horizontal="center"/>
    </xf>
    <xf numFmtId="170" fontId="8" fillId="2" borderId="0" xfId="4" applyNumberFormat="1" applyFont="1" applyFill="1" applyAlignment="1">
      <alignment horizontal="center"/>
    </xf>
    <xf numFmtId="169" fontId="14" fillId="2" borderId="0" xfId="4" applyFont="1" applyFill="1" applyAlignment="1">
      <alignment horizontal="right" vertical="center"/>
    </xf>
    <xf numFmtId="169" fontId="8" fillId="2" borderId="0" xfId="4" applyFont="1" applyFill="1" applyAlignment="1">
      <alignment horizontal="right" vertical="center"/>
    </xf>
    <xf numFmtId="169" fontId="8" fillId="2" borderId="0" xfId="4" applyFont="1" applyFill="1" applyAlignment="1"/>
    <xf numFmtId="169" fontId="14" fillId="2" borderId="0" xfId="4" applyFont="1" applyFill="1"/>
    <xf numFmtId="169" fontId="8" fillId="2" borderId="0" xfId="4" applyFont="1" applyFill="1" applyAlignment="1">
      <alignment horizontal="justify" vertical="center"/>
    </xf>
    <xf numFmtId="169" fontId="14" fillId="2" borderId="0" xfId="4" applyFont="1" applyFill="1" applyAlignment="1">
      <alignment horizontal="justify" vertical="center"/>
    </xf>
    <xf numFmtId="3" fontId="8" fillId="2" borderId="0" xfId="4" applyNumberFormat="1" applyFont="1" applyFill="1" applyAlignment="1">
      <alignment horizontal="right" vertical="center"/>
    </xf>
    <xf numFmtId="169" fontId="8" fillId="2" borderId="0" xfId="4" applyFont="1" applyFill="1" applyAlignment="1">
      <alignment horizontal="justify"/>
    </xf>
    <xf numFmtId="3" fontId="8" fillId="2" borderId="0" xfId="4" applyNumberFormat="1" applyFont="1" applyFill="1" applyAlignment="1">
      <alignment vertical="center"/>
    </xf>
    <xf numFmtId="9" fontId="8" fillId="2" borderId="0" xfId="3" applyFont="1" applyFill="1" applyAlignment="1"/>
    <xf numFmtId="169" fontId="8" fillId="2" borderId="0" xfId="4" applyFont="1" applyFill="1" applyAlignment="1">
      <alignment horizontal="center"/>
    </xf>
    <xf numFmtId="169" fontId="8" fillId="2" borderId="8" xfId="4" applyFont="1" applyFill="1" applyBorder="1" applyAlignment="1">
      <alignment horizontal="center"/>
    </xf>
    <xf numFmtId="169" fontId="15" fillId="2" borderId="8" xfId="4" applyFont="1" applyFill="1" applyBorder="1"/>
    <xf numFmtId="3" fontId="36" fillId="0" borderId="0" xfId="0" applyNumberFormat="1" applyFont="1" applyAlignment="1">
      <alignment horizontal="right" vertical="center"/>
    </xf>
    <xf numFmtId="175" fontId="6" fillId="2" borderId="21" xfId="0" applyNumberFormat="1" applyFont="1" applyFill="1" applyBorder="1" applyAlignment="1">
      <alignment horizontal="center" vertical="center"/>
    </xf>
    <xf numFmtId="175" fontId="6" fillId="2" borderId="20" xfId="0" applyNumberFormat="1" applyFont="1" applyFill="1" applyBorder="1" applyAlignment="1">
      <alignment horizontal="center" vertical="center"/>
    </xf>
    <xf numFmtId="3" fontId="5" fillId="2" borderId="22" xfId="0" applyNumberFormat="1" applyFont="1" applyFill="1" applyBorder="1" applyAlignment="1">
      <alignment horizontal="right" vertical="center"/>
    </xf>
    <xf numFmtId="0" fontId="6" fillId="2" borderId="20" xfId="0" applyFont="1" applyFill="1" applyBorder="1" applyAlignment="1">
      <alignment horizontal="center" vertical="center"/>
    </xf>
    <xf numFmtId="1" fontId="6" fillId="2" borderId="19" xfId="0" applyNumberFormat="1" applyFont="1" applyFill="1" applyBorder="1" applyAlignment="1">
      <alignment horizontal="center" vertical="center"/>
    </xf>
    <xf numFmtId="0" fontId="6" fillId="2" borderId="21" xfId="0" applyFont="1" applyFill="1" applyBorder="1" applyAlignment="1">
      <alignment horizontal="justify" vertical="center"/>
    </xf>
    <xf numFmtId="0" fontId="6" fillId="2" borderId="20" xfId="0" applyFont="1" applyFill="1" applyBorder="1" applyAlignment="1">
      <alignment horizontal="justify" vertical="center"/>
    </xf>
    <xf numFmtId="0" fontId="6" fillId="2" borderId="19" xfId="0" applyFont="1" applyFill="1" applyBorder="1" applyAlignment="1">
      <alignment horizontal="justify" vertical="center"/>
    </xf>
    <xf numFmtId="3" fontId="5" fillId="2" borderId="22" xfId="0" applyNumberFormat="1" applyFont="1" applyFill="1" applyBorder="1" applyAlignment="1">
      <alignment vertical="center"/>
    </xf>
    <xf numFmtId="9" fontId="6" fillId="2" borderId="21" xfId="3" applyFont="1" applyFill="1" applyBorder="1" applyAlignment="1">
      <alignment horizontal="center" vertical="center"/>
    </xf>
    <xf numFmtId="0" fontId="5" fillId="2" borderId="20" xfId="0" applyFont="1" applyFill="1" applyBorder="1" applyAlignment="1">
      <alignment horizontal="justify" vertical="center"/>
    </xf>
    <xf numFmtId="0" fontId="6" fillId="2" borderId="20" xfId="0" applyFont="1" applyFill="1" applyBorder="1" applyAlignment="1">
      <alignment horizontal="center"/>
    </xf>
    <xf numFmtId="0" fontId="6" fillId="2" borderId="20" xfId="0" applyFont="1" applyFill="1" applyBorder="1"/>
    <xf numFmtId="0" fontId="6" fillId="2" borderId="0" xfId="0" applyFont="1" applyFill="1" applyBorder="1" applyAlignment="1">
      <alignment horizontal="justify" vertical="center"/>
    </xf>
    <xf numFmtId="0" fontId="6" fillId="2" borderId="1" xfId="0" applyFont="1" applyFill="1" applyBorder="1" applyAlignment="1">
      <alignment horizontal="justify" vertical="center"/>
    </xf>
    <xf numFmtId="3" fontId="6" fillId="0" borderId="6" xfId="0" applyNumberFormat="1" applyFont="1" applyFill="1" applyBorder="1" applyAlignment="1">
      <alignment horizontal="right" vertical="center" wrapText="1"/>
    </xf>
    <xf numFmtId="0" fontId="18" fillId="9" borderId="3" xfId="0" applyFont="1" applyFill="1" applyBorder="1" applyAlignment="1">
      <alignment horizontal="justify" vertical="center" wrapText="1"/>
    </xf>
    <xf numFmtId="3" fontId="6" fillId="2" borderId="13" xfId="0" applyNumberFormat="1" applyFont="1" applyFill="1" applyBorder="1" applyAlignment="1">
      <alignment horizontal="right" vertical="center" wrapText="1"/>
    </xf>
    <xf numFmtId="0" fontId="18" fillId="9" borderId="3" xfId="0" applyFont="1" applyFill="1" applyBorder="1" applyAlignment="1">
      <alignment horizontal="justify" vertical="center"/>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8" borderId="12" xfId="0" applyFont="1" applyFill="1" applyBorder="1" applyAlignment="1" applyProtection="1">
      <alignment horizontal="center" vertical="center"/>
      <protection locked="0"/>
    </xf>
    <xf numFmtId="3" fontId="5" fillId="8" borderId="12" xfId="0" applyNumberFormat="1" applyFont="1" applyFill="1" applyBorder="1" applyAlignment="1">
      <alignment horizontal="right" vertical="center"/>
    </xf>
    <xf numFmtId="0" fontId="5" fillId="8" borderId="8" xfId="0" applyFont="1" applyFill="1" applyBorder="1" applyAlignment="1">
      <alignment horizontal="justify" vertical="center"/>
    </xf>
    <xf numFmtId="3" fontId="5" fillId="8" borderId="12" xfId="0" applyNumberFormat="1" applyFont="1" applyFill="1" applyBorder="1" applyAlignment="1">
      <alignment vertical="center"/>
    </xf>
    <xf numFmtId="9" fontId="5" fillId="8" borderId="12" xfId="3" applyFont="1" applyFill="1" applyBorder="1" applyAlignment="1">
      <alignment horizontal="center" vertical="center"/>
    </xf>
    <xf numFmtId="176" fontId="5" fillId="10" borderId="5" xfId="0" applyNumberFormat="1" applyFont="1" applyFill="1" applyBorder="1" applyAlignment="1" applyProtection="1">
      <alignment vertical="center"/>
      <protection locked="0"/>
    </xf>
    <xf numFmtId="0" fontId="5" fillId="10" borderId="5" xfId="0" applyFont="1" applyFill="1" applyBorder="1" applyAlignment="1" applyProtection="1">
      <alignment vertical="center"/>
      <protection locked="0"/>
    </xf>
    <xf numFmtId="3" fontId="5" fillId="10" borderId="5" xfId="0" applyNumberFormat="1" applyFont="1" applyFill="1" applyBorder="1" applyAlignment="1">
      <alignment horizontal="right" vertical="center"/>
    </xf>
    <xf numFmtId="3" fontId="5" fillId="10" borderId="5" xfId="0" applyNumberFormat="1" applyFont="1" applyFill="1" applyBorder="1" applyAlignment="1">
      <alignment vertical="center"/>
    </xf>
    <xf numFmtId="9" fontId="5" fillId="10" borderId="5" xfId="3" applyFont="1" applyFill="1" applyBorder="1" applyAlignment="1">
      <alignment horizontal="center" vertical="center"/>
    </xf>
    <xf numFmtId="3" fontId="6" fillId="2" borderId="17" xfId="0" applyNumberFormat="1" applyFont="1" applyFill="1" applyBorder="1" applyAlignment="1">
      <alignment vertical="center" wrapText="1"/>
    </xf>
    <xf numFmtId="0" fontId="6" fillId="2" borderId="17" xfId="0" applyFont="1" applyFill="1" applyBorder="1" applyAlignment="1">
      <alignment vertical="center" wrapText="1"/>
    </xf>
    <xf numFmtId="0" fontId="6" fillId="2" borderId="4" xfId="0" applyFont="1" applyFill="1" applyBorder="1" applyAlignment="1">
      <alignment horizontal="center" vertical="center" wrapText="1"/>
    </xf>
    <xf numFmtId="3" fontId="6" fillId="2" borderId="3" xfId="0" applyNumberFormat="1" applyFont="1" applyFill="1" applyBorder="1" applyAlignment="1">
      <alignment vertical="center" wrapText="1"/>
    </xf>
    <xf numFmtId="0" fontId="6" fillId="2" borderId="3" xfId="0" applyFont="1" applyFill="1" applyBorder="1" applyAlignment="1">
      <alignment vertical="center" wrapText="1"/>
    </xf>
    <xf numFmtId="3" fontId="6" fillId="2" borderId="17" xfId="0" applyNumberFormat="1" applyFont="1" applyFill="1" applyBorder="1" applyAlignment="1">
      <alignment horizontal="right" vertical="center" wrapText="1"/>
    </xf>
    <xf numFmtId="0" fontId="6" fillId="2" borderId="4" xfId="0" applyFont="1" applyFill="1" applyBorder="1" applyAlignment="1">
      <alignment horizontal="justify" vertical="center" wrapText="1"/>
    </xf>
    <xf numFmtId="0" fontId="5" fillId="2" borderId="0" xfId="0" applyFont="1" applyFill="1" applyBorder="1"/>
    <xf numFmtId="0" fontId="5" fillId="2" borderId="1" xfId="0" applyFont="1" applyFill="1" applyBorder="1"/>
    <xf numFmtId="0" fontId="6" fillId="2" borderId="5"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6" fillId="2" borderId="16" xfId="0" applyFont="1" applyFill="1" applyBorder="1" applyAlignment="1">
      <alignment vertical="center" wrapText="1"/>
    </xf>
    <xf numFmtId="0" fontId="6" fillId="2" borderId="4" xfId="0" applyFont="1" applyFill="1" applyBorder="1" applyAlignment="1">
      <alignment horizontal="justify" wrapText="1"/>
    </xf>
    <xf numFmtId="3" fontId="6" fillId="2" borderId="3" xfId="0" applyNumberFormat="1" applyFont="1" applyFill="1" applyBorder="1" applyAlignment="1">
      <alignment horizontal="right" vertical="center" wrapText="1"/>
    </xf>
    <xf numFmtId="0" fontId="18" fillId="2" borderId="3" xfId="0" applyFont="1" applyFill="1" applyBorder="1" applyAlignment="1">
      <alignment horizontal="justify" vertical="center" wrapText="1"/>
    </xf>
    <xf numFmtId="0" fontId="6" fillId="2" borderId="10" xfId="0" applyFont="1" applyFill="1" applyBorder="1" applyAlignment="1">
      <alignment vertical="center" wrapText="1"/>
    </xf>
    <xf numFmtId="9" fontId="5" fillId="8" borderId="12" xfId="3" applyFont="1" applyFill="1" applyBorder="1" applyAlignment="1">
      <alignment vertical="center"/>
    </xf>
    <xf numFmtId="9" fontId="5" fillId="6" borderId="12" xfId="3" applyFont="1" applyFill="1" applyBorder="1" applyAlignment="1">
      <alignment horizontal="center" vertical="center"/>
    </xf>
    <xf numFmtId="1" fontId="5" fillId="6" borderId="7" xfId="0" applyNumberFormat="1" applyFont="1" applyFill="1" applyBorder="1" applyAlignment="1">
      <alignment horizontal="left" vertical="center" wrapText="1"/>
    </xf>
    <xf numFmtId="0" fontId="15" fillId="6" borderId="23" xfId="0" applyFont="1" applyFill="1" applyBorder="1" applyAlignment="1">
      <alignment horizontal="center" vertical="center" wrapText="1"/>
    </xf>
    <xf numFmtId="0" fontId="15" fillId="6" borderId="14" xfId="0" applyFont="1" applyFill="1" applyBorder="1" applyAlignment="1">
      <alignment horizontal="left" vertical="center"/>
    </xf>
    <xf numFmtId="0" fontId="15" fillId="6" borderId="15" xfId="0" applyFont="1" applyFill="1" applyBorder="1" applyAlignment="1">
      <alignment horizontal="left" vertical="center" wrapText="1"/>
    </xf>
    <xf numFmtId="0" fontId="15" fillId="6" borderId="15" xfId="0" applyFont="1" applyFill="1" applyBorder="1" applyAlignment="1">
      <alignment horizontal="justify" vertical="center" wrapText="1"/>
    </xf>
    <xf numFmtId="0" fontId="15" fillId="6" borderId="49" xfId="0" applyFont="1" applyFill="1" applyBorder="1" applyAlignment="1">
      <alignment horizontal="left" vertical="center" wrapText="1"/>
    </xf>
    <xf numFmtId="0" fontId="15" fillId="0" borderId="37" xfId="0" applyFont="1" applyBorder="1" applyAlignment="1">
      <alignment vertical="center" wrapText="1"/>
    </xf>
    <xf numFmtId="0" fontId="15" fillId="0" borderId="2" xfId="0" applyFont="1" applyBorder="1" applyAlignment="1">
      <alignment vertical="center" wrapText="1"/>
    </xf>
    <xf numFmtId="0" fontId="15" fillId="10" borderId="3" xfId="0" applyFont="1" applyFill="1" applyBorder="1" applyAlignment="1">
      <alignment horizontal="center" vertical="center" wrapText="1"/>
    </xf>
    <xf numFmtId="0" fontId="15" fillId="10" borderId="11" xfId="0" applyFont="1" applyFill="1" applyBorder="1" applyAlignment="1">
      <alignment vertical="center"/>
    </xf>
    <xf numFmtId="0" fontId="15" fillId="10" borderId="0" xfId="0" applyFont="1" applyFill="1" applyBorder="1" applyAlignment="1">
      <alignment vertical="center"/>
    </xf>
    <xf numFmtId="0" fontId="15" fillId="10" borderId="0" xfId="0" applyFont="1" applyFill="1" applyBorder="1" applyAlignment="1">
      <alignment horizontal="justify" vertical="center"/>
    </xf>
    <xf numFmtId="0" fontId="15" fillId="10" borderId="38" xfId="0" applyFont="1" applyFill="1" applyBorder="1" applyAlignment="1">
      <alignment vertical="center"/>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8" borderId="11" xfId="0" applyFont="1" applyFill="1" applyBorder="1" applyAlignment="1">
      <alignment horizontal="left" vertical="center"/>
    </xf>
    <xf numFmtId="0" fontId="15" fillId="8" borderId="12" xfId="0" applyFont="1" applyFill="1" applyBorder="1" applyAlignment="1">
      <alignment horizontal="left" vertical="center"/>
    </xf>
    <xf numFmtId="0" fontId="15" fillId="8" borderId="50" xfId="0" applyFont="1" applyFill="1" applyBorder="1" applyAlignment="1">
      <alignment horizontal="left" vertical="center"/>
    </xf>
    <xf numFmtId="191" fontId="8" fillId="0" borderId="16" xfId="0" applyNumberFormat="1" applyFont="1" applyBorder="1" applyAlignment="1">
      <alignment vertical="center" wrapText="1"/>
    </xf>
    <xf numFmtId="191" fontId="8" fillId="0" borderId="16" xfId="0" applyNumberFormat="1" applyFont="1" applyBorder="1" applyAlignment="1">
      <alignment horizontal="justify" vertical="top" wrapText="1"/>
    </xf>
    <xf numFmtId="175" fontId="8" fillId="0" borderId="3" xfId="15" applyNumberFormat="1"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9" fillId="0" borderId="9" xfId="0" applyFont="1" applyFill="1" applyBorder="1" applyAlignment="1">
      <alignment horizontal="center" vertical="center" wrapText="1"/>
    </xf>
    <xf numFmtId="0" fontId="19" fillId="2" borderId="10" xfId="0" applyFont="1" applyFill="1" applyBorder="1" applyAlignment="1">
      <alignment vertical="center" wrapText="1"/>
    </xf>
    <xf numFmtId="191" fontId="8" fillId="0" borderId="17" xfId="0" applyNumberFormat="1" applyFont="1" applyBorder="1" applyAlignment="1">
      <alignment horizontal="justify" vertical="top" wrapText="1"/>
    </xf>
    <xf numFmtId="0" fontId="8" fillId="0" borderId="16" xfId="0" applyFont="1" applyFill="1" applyBorder="1" applyAlignment="1">
      <alignment vertical="center" wrapText="1"/>
    </xf>
    <xf numFmtId="0" fontId="15" fillId="10" borderId="11" xfId="0" applyFont="1" applyFill="1" applyBorder="1" applyAlignment="1">
      <alignment horizontal="left" vertical="center"/>
    </xf>
    <xf numFmtId="0" fontId="15" fillId="10" borderId="12" xfId="0" applyFont="1" applyFill="1" applyBorder="1" applyAlignment="1">
      <alignment horizontal="left" vertical="center"/>
    </xf>
    <xf numFmtId="0" fontId="15" fillId="10" borderId="12" xfId="0" applyFont="1" applyFill="1" applyBorder="1" applyAlignment="1">
      <alignment horizontal="justify" vertical="center"/>
    </xf>
    <xf numFmtId="0" fontId="8" fillId="10" borderId="50" xfId="0" applyFont="1" applyFill="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15" fillId="8" borderId="10" xfId="0" applyFont="1" applyFill="1" applyBorder="1" applyAlignment="1">
      <alignment horizontal="center" vertical="center" wrapText="1"/>
    </xf>
    <xf numFmtId="0" fontId="25" fillId="8" borderId="11" xfId="0" applyFont="1" applyFill="1" applyBorder="1" applyAlignment="1">
      <alignment horizontal="left" vertical="center"/>
    </xf>
    <xf numFmtId="0" fontId="25" fillId="8" borderId="12" xfId="0" applyFont="1" applyFill="1" applyBorder="1" applyAlignment="1">
      <alignment horizontal="left" vertical="center"/>
    </xf>
    <xf numFmtId="0" fontId="25" fillId="8" borderId="12" xfId="0" applyFont="1" applyFill="1" applyBorder="1" applyAlignment="1">
      <alignment horizontal="justify" vertical="center"/>
    </xf>
    <xf numFmtId="0" fontId="19" fillId="8" borderId="50" xfId="0" applyFont="1" applyFill="1" applyBorder="1" applyAlignment="1">
      <alignment horizontal="center" vertical="center"/>
    </xf>
    <xf numFmtId="0" fontId="8" fillId="0" borderId="7" xfId="0" applyFont="1" applyBorder="1" applyAlignment="1">
      <alignment vertical="center" wrapText="1"/>
    </xf>
    <xf numFmtId="0" fontId="8" fillId="0" borderId="9" xfId="0" applyFont="1" applyBorder="1" applyAlignment="1">
      <alignment vertical="center" wrapText="1"/>
    </xf>
    <xf numFmtId="175" fontId="8" fillId="0" borderId="17" xfId="15" applyNumberFormat="1" applyFont="1" applyBorder="1" applyAlignment="1">
      <alignment horizontal="center" vertical="center" wrapText="1"/>
    </xf>
    <xf numFmtId="175" fontId="8" fillId="0" borderId="3" xfId="15" applyNumberFormat="1" applyFont="1" applyBorder="1" applyAlignment="1">
      <alignment horizontal="center" vertical="center" wrapText="1"/>
    </xf>
    <xf numFmtId="0" fontId="15" fillId="8" borderId="17" xfId="0" applyFont="1" applyFill="1" applyBorder="1" applyAlignment="1">
      <alignment horizontal="center" vertical="center" wrapText="1"/>
    </xf>
    <xf numFmtId="0" fontId="17" fillId="8" borderId="4" xfId="0" applyFont="1" applyFill="1" applyBorder="1" applyAlignment="1">
      <alignment horizontal="left" vertical="center"/>
    </xf>
    <xf numFmtId="0" fontId="17" fillId="8" borderId="5" xfId="0" applyFont="1" applyFill="1" applyBorder="1" applyAlignment="1">
      <alignment horizontal="left" vertical="center"/>
    </xf>
    <xf numFmtId="0" fontId="17" fillId="8" borderId="5" xfId="0" applyFont="1" applyFill="1" applyBorder="1" applyAlignment="1">
      <alignment horizontal="justify" vertical="center"/>
    </xf>
    <xf numFmtId="0" fontId="11" fillId="8" borderId="39" xfId="0" applyFont="1" applyFill="1" applyBorder="1" applyAlignment="1">
      <alignment horizontal="center" vertical="center"/>
    </xf>
    <xf numFmtId="0" fontId="8" fillId="0" borderId="1" xfId="0" applyNumberFormat="1" applyFont="1" applyBorder="1" applyAlignment="1">
      <alignment vertical="center" wrapText="1"/>
    </xf>
    <xf numFmtId="0" fontId="8" fillId="0" borderId="2" xfId="0" applyNumberFormat="1" applyFont="1" applyBorder="1" applyAlignment="1">
      <alignment vertical="center" wrapText="1"/>
    </xf>
    <xf numFmtId="191" fontId="8" fillId="0" borderId="10" xfId="0" applyNumberFormat="1" applyFont="1" applyBorder="1" applyAlignment="1">
      <alignment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justify" vertical="center"/>
    </xf>
    <xf numFmtId="0" fontId="15" fillId="8" borderId="16" xfId="0" applyFont="1" applyFill="1" applyBorder="1" applyAlignment="1">
      <alignment horizontal="center" vertical="center" wrapText="1"/>
    </xf>
    <xf numFmtId="0" fontId="17" fillId="8" borderId="11" xfId="0" applyFont="1" applyFill="1" applyBorder="1" applyAlignment="1">
      <alignment horizontal="left" vertical="center"/>
    </xf>
    <xf numFmtId="0" fontId="17" fillId="8" borderId="12" xfId="0" applyFont="1" applyFill="1" applyBorder="1" applyAlignment="1">
      <alignment horizontal="left" vertical="center"/>
    </xf>
    <xf numFmtId="0" fontId="17" fillId="8" borderId="12" xfId="0" applyFont="1" applyFill="1" applyBorder="1" applyAlignment="1">
      <alignment horizontal="justify" vertical="center"/>
    </xf>
    <xf numFmtId="0" fontId="11" fillId="8" borderId="50" xfId="0" applyFont="1" applyFill="1" applyBorder="1" applyAlignment="1">
      <alignment horizontal="center" vertical="center"/>
    </xf>
    <xf numFmtId="0" fontId="15" fillId="0" borderId="37" xfId="0" applyFont="1" applyFill="1" applyBorder="1" applyAlignment="1">
      <alignment vertical="center" wrapText="1"/>
    </xf>
    <xf numFmtId="0" fontId="8" fillId="0" borderId="7" xfId="0" applyFont="1" applyFill="1" applyBorder="1" applyAlignment="1">
      <alignment vertical="center" wrapText="1"/>
    </xf>
    <xf numFmtId="0" fontId="11" fillId="0" borderId="6" xfId="0" applyFont="1" applyFill="1" applyBorder="1" applyAlignment="1">
      <alignment horizontal="center" vertical="center" wrapText="1"/>
    </xf>
    <xf numFmtId="0" fontId="19" fillId="0" borderId="17" xfId="0" applyFont="1" applyFill="1" applyBorder="1" applyAlignment="1">
      <alignment horizontal="justify" vertical="center" wrapText="1"/>
    </xf>
    <xf numFmtId="0" fontId="8" fillId="0" borderId="17" xfId="0" applyFont="1" applyFill="1" applyBorder="1" applyAlignment="1">
      <alignment horizontal="center" vertical="center"/>
    </xf>
    <xf numFmtId="9" fontId="8" fillId="0" borderId="17" xfId="3" applyFont="1" applyFill="1" applyBorder="1" applyAlignment="1">
      <alignment horizontal="center" vertical="center"/>
    </xf>
    <xf numFmtId="191" fontId="8" fillId="0" borderId="3" xfId="0" applyNumberFormat="1" applyFont="1" applyFill="1" applyBorder="1" applyAlignment="1">
      <alignment horizontal="center" vertical="center" wrapText="1"/>
    </xf>
    <xf numFmtId="0" fontId="19" fillId="0" borderId="3" xfId="0" applyFont="1" applyFill="1" applyBorder="1" applyAlignment="1">
      <alignment vertical="center" wrapText="1"/>
    </xf>
    <xf numFmtId="0" fontId="8" fillId="0" borderId="17" xfId="0" applyFont="1" applyFill="1" applyBorder="1" applyAlignment="1">
      <alignment vertical="center" wrapText="1"/>
    </xf>
    <xf numFmtId="0" fontId="11" fillId="8" borderId="51" xfId="0" applyFont="1" applyFill="1" applyBorder="1" applyAlignment="1">
      <alignment horizontal="center" vertical="center"/>
    </xf>
    <xf numFmtId="0" fontId="8" fillId="2" borderId="3" xfId="0" applyFont="1" applyFill="1" applyBorder="1" applyAlignment="1">
      <alignment horizontal="justify" vertical="top" wrapText="1"/>
    </xf>
    <xf numFmtId="175" fontId="8" fillId="2" borderId="11" xfId="15" applyNumberFormat="1" applyFont="1" applyFill="1" applyBorder="1" applyAlignment="1">
      <alignment horizontal="center" vertical="center" wrapText="1"/>
    </xf>
    <xf numFmtId="175" fontId="8" fillId="2" borderId="4" xfId="15" applyNumberFormat="1" applyFont="1" applyFill="1" applyBorder="1" applyAlignment="1">
      <alignment horizontal="center" vertical="center" wrapText="1"/>
    </xf>
    <xf numFmtId="191" fontId="8" fillId="0" borderId="17" xfId="0" applyNumberFormat="1" applyFont="1" applyBorder="1" applyAlignment="1">
      <alignment vertical="center" wrapText="1"/>
    </xf>
    <xf numFmtId="0" fontId="8" fillId="2" borderId="3" xfId="0" applyFont="1" applyFill="1" applyBorder="1" applyAlignment="1">
      <alignment horizontal="justify" vertical="justify" wrapText="1"/>
    </xf>
    <xf numFmtId="0" fontId="15" fillId="10" borderId="17" xfId="0" applyFont="1" applyFill="1" applyBorder="1" applyAlignment="1">
      <alignment horizontal="center" vertical="center" wrapText="1"/>
    </xf>
    <xf numFmtId="0" fontId="15" fillId="10" borderId="4" xfId="0" applyFont="1" applyFill="1" applyBorder="1" applyAlignment="1">
      <alignment vertical="center"/>
    </xf>
    <xf numFmtId="0" fontId="8" fillId="10" borderId="38" xfId="0" applyFont="1" applyFill="1" applyBorder="1" applyAlignment="1">
      <alignment horizontal="center" vertical="center"/>
    </xf>
    <xf numFmtId="0" fontId="15" fillId="0" borderId="0" xfId="0" applyFont="1"/>
    <xf numFmtId="0" fontId="17" fillId="8" borderId="3" xfId="0" applyFont="1" applyFill="1" applyBorder="1" applyAlignment="1">
      <alignment vertical="center"/>
    </xf>
    <xf numFmtId="0" fontId="17" fillId="8" borderId="12" xfId="0" applyFont="1" applyFill="1" applyBorder="1" applyAlignment="1">
      <alignment vertical="center"/>
    </xf>
    <xf numFmtId="191" fontId="8" fillId="2" borderId="16" xfId="0" applyNumberFormat="1" applyFont="1" applyFill="1" applyBorder="1" applyAlignment="1">
      <alignment vertical="center" wrapText="1"/>
    </xf>
    <xf numFmtId="49" fontId="8" fillId="0" borderId="3" xfId="0" applyNumberFormat="1" applyFont="1" applyBorder="1" applyAlignment="1">
      <alignment horizontal="justify" vertical="center" wrapText="1"/>
    </xf>
    <xf numFmtId="184" fontId="8" fillId="0" borderId="10" xfId="0" applyNumberFormat="1" applyFont="1" applyFill="1" applyBorder="1" applyAlignment="1">
      <alignment horizontal="center" vertical="center"/>
    </xf>
    <xf numFmtId="191" fontId="8" fillId="2" borderId="17" xfId="0" applyNumberFormat="1" applyFont="1" applyFill="1" applyBorder="1" applyAlignment="1">
      <alignment vertical="center" wrapText="1"/>
    </xf>
    <xf numFmtId="191" fontId="8" fillId="2" borderId="10" xfId="0" applyNumberFormat="1" applyFont="1" applyFill="1" applyBorder="1" applyAlignment="1">
      <alignment vertical="center" wrapText="1"/>
    </xf>
    <xf numFmtId="0" fontId="8" fillId="0" borderId="4" xfId="0" applyFont="1" applyBorder="1" applyAlignment="1">
      <alignment vertical="center" wrapText="1"/>
    </xf>
    <xf numFmtId="175" fontId="8" fillId="0" borderId="4" xfId="15" applyNumberFormat="1" applyFont="1" applyFill="1" applyBorder="1" applyAlignment="1">
      <alignment horizontal="center" vertical="center" wrapText="1"/>
    </xf>
    <xf numFmtId="175" fontId="8" fillId="0" borderId="11" xfId="15" applyNumberFormat="1" applyFont="1" applyFill="1" applyBorder="1" applyAlignment="1">
      <alignment horizontal="center" vertical="center" wrapText="1"/>
    </xf>
    <xf numFmtId="191" fontId="8" fillId="0" borderId="10" xfId="0" applyNumberFormat="1" applyFont="1" applyBorder="1" applyAlignment="1">
      <alignment wrapText="1"/>
    </xf>
    <xf numFmtId="175" fontId="11" fillId="0" borderId="3" xfId="15" applyNumberFormat="1" applyFont="1" applyFill="1" applyBorder="1" applyAlignment="1">
      <alignment horizontal="center" vertical="center" wrapText="1"/>
    </xf>
    <xf numFmtId="0" fontId="25" fillId="8" borderId="11" xfId="0" applyFont="1" applyFill="1" applyBorder="1" applyAlignment="1">
      <alignment vertical="center"/>
    </xf>
    <xf numFmtId="0" fontId="25" fillId="8" borderId="12" xfId="0" applyFont="1" applyFill="1" applyBorder="1" applyAlignment="1">
      <alignment vertical="center"/>
    </xf>
    <xf numFmtId="191" fontId="8" fillId="2" borderId="17" xfId="0" applyNumberFormat="1" applyFont="1" applyFill="1" applyBorder="1" applyAlignment="1">
      <alignment vertical="top" wrapText="1"/>
    </xf>
    <xf numFmtId="175" fontId="8" fillId="0" borderId="3" xfId="15" applyNumberFormat="1" applyFont="1" applyFill="1" applyBorder="1" applyAlignment="1">
      <alignment horizontal="center" vertical="center" wrapText="1" readingOrder="1"/>
    </xf>
    <xf numFmtId="0" fontId="15" fillId="8" borderId="3" xfId="0" applyFont="1" applyFill="1" applyBorder="1" applyAlignment="1">
      <alignment horizontal="center" vertical="center"/>
    </xf>
    <xf numFmtId="0" fontId="8" fillId="0" borderId="6" xfId="0" applyFont="1" applyBorder="1" applyAlignment="1">
      <alignment vertical="center" wrapText="1"/>
    </xf>
    <xf numFmtId="0" fontId="8" fillId="0" borderId="4" xfId="0" applyNumberFormat="1" applyFont="1" applyBorder="1" applyAlignment="1">
      <alignment vertical="center" wrapText="1"/>
    </xf>
    <xf numFmtId="0" fontId="8" fillId="0" borderId="6" xfId="0" applyNumberFormat="1" applyFont="1" applyBorder="1" applyAlignment="1">
      <alignment vertical="center" wrapText="1"/>
    </xf>
    <xf numFmtId="0" fontId="15" fillId="10" borderId="16" xfId="0" applyFont="1" applyFill="1" applyBorder="1" applyAlignment="1">
      <alignment horizontal="center" vertical="center" wrapText="1"/>
    </xf>
    <xf numFmtId="0" fontId="15" fillId="10" borderId="12" xfId="0" applyFont="1" applyFill="1" applyBorder="1" applyAlignment="1">
      <alignment vertical="center"/>
    </xf>
    <xf numFmtId="0" fontId="19" fillId="0" borderId="10" xfId="0" applyFont="1" applyFill="1" applyBorder="1" applyAlignment="1">
      <alignment vertical="center"/>
    </xf>
    <xf numFmtId="175" fontId="11" fillId="0" borderId="4" xfId="15" applyNumberFormat="1" applyFont="1" applyFill="1" applyBorder="1" applyAlignment="1">
      <alignment horizontal="center" vertical="center" wrapText="1"/>
    </xf>
    <xf numFmtId="0" fontId="19" fillId="0" borderId="16" xfId="0" applyFont="1" applyFill="1" applyBorder="1" applyAlignment="1">
      <alignment vertical="center"/>
    </xf>
    <xf numFmtId="175" fontId="11" fillId="0" borderId="11" xfId="15"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1" fontId="19" fillId="0" borderId="3" xfId="0" applyNumberFormat="1" applyFont="1" applyFill="1" applyBorder="1" applyAlignment="1">
      <alignment horizontal="center" vertical="center" wrapText="1"/>
    </xf>
    <xf numFmtId="195" fontId="8" fillId="0" borderId="3" xfId="3" applyNumberFormat="1" applyFont="1" applyFill="1" applyBorder="1" applyAlignment="1">
      <alignment horizontal="center" vertical="center"/>
    </xf>
    <xf numFmtId="175" fontId="11" fillId="2" borderId="11" xfId="15"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vertical="center" wrapText="1"/>
    </xf>
    <xf numFmtId="168" fontId="19" fillId="0" borderId="16"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9" fillId="0" borderId="16" xfId="0" applyFont="1" applyFill="1" applyBorder="1" applyAlignment="1">
      <alignment vertical="top" wrapText="1"/>
    </xf>
    <xf numFmtId="195" fontId="8" fillId="0" borderId="10" xfId="3" applyNumberFormat="1" applyFont="1" applyFill="1" applyBorder="1" applyAlignment="1">
      <alignment horizontal="center" vertical="center"/>
    </xf>
    <xf numFmtId="192" fontId="11" fillId="0" borderId="0" xfId="0" applyNumberFormat="1" applyFont="1" applyFill="1" applyBorder="1" applyAlignment="1">
      <alignment horizontal="center"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175" fontId="15" fillId="0" borderId="32" xfId="0" applyNumberFormat="1" applyFont="1" applyFill="1" applyBorder="1" applyAlignment="1">
      <alignment horizontal="center" vertical="center" wrapText="1"/>
    </xf>
    <xf numFmtId="175" fontId="19" fillId="2" borderId="19" xfId="0" applyNumberFormat="1" applyFont="1" applyFill="1" applyBorder="1" applyAlignment="1">
      <alignment vertical="center" wrapText="1"/>
    </xf>
    <xf numFmtId="0" fontId="19" fillId="2" borderId="20" xfId="0" applyFont="1" applyFill="1" applyBorder="1" applyAlignment="1">
      <alignment vertical="center" wrapText="1"/>
    </xf>
    <xf numFmtId="0" fontId="19" fillId="2" borderId="21" xfId="0" applyFont="1" applyFill="1" applyBorder="1" applyAlignment="1">
      <alignment horizontal="justify" vertical="center" wrapText="1"/>
    </xf>
    <xf numFmtId="175" fontId="15" fillId="0" borderId="22" xfId="0" applyNumberFormat="1" applyFont="1" applyFill="1" applyBorder="1" applyAlignment="1">
      <alignment horizontal="center" vertical="center" wrapText="1"/>
    </xf>
    <xf numFmtId="0" fontId="19" fillId="2" borderId="19" xfId="0" applyFont="1" applyFill="1" applyBorder="1" applyAlignment="1">
      <alignment vertical="center" wrapText="1"/>
    </xf>
    <xf numFmtId="0" fontId="19" fillId="2" borderId="21" xfId="0" applyFont="1" applyFill="1" applyBorder="1" applyAlignment="1">
      <alignment vertical="center" wrapText="1"/>
    </xf>
    <xf numFmtId="0" fontId="8" fillId="0" borderId="0" xfId="0" applyNumberFormat="1" applyFont="1" applyAlignment="1">
      <alignment wrapText="1"/>
    </xf>
    <xf numFmtId="0" fontId="8" fillId="0" borderId="0" xfId="0" applyNumberFormat="1" applyFont="1" applyBorder="1" applyAlignment="1">
      <alignment horizontal="center" wrapText="1"/>
    </xf>
    <xf numFmtId="0" fontId="19" fillId="0" borderId="0" xfId="0" applyFont="1" applyFill="1" applyBorder="1" applyAlignment="1">
      <alignment vertical="center" wrapText="1"/>
    </xf>
    <xf numFmtId="0" fontId="8" fillId="0" borderId="0" xfId="0" applyNumberFormat="1" applyFont="1" applyBorder="1" applyAlignment="1">
      <alignment wrapText="1"/>
    </xf>
    <xf numFmtId="0" fontId="8" fillId="0" borderId="0" xfId="0" applyFont="1" applyBorder="1" applyAlignment="1">
      <alignment wrapText="1"/>
    </xf>
    <xf numFmtId="175" fontId="15" fillId="0" borderId="0" xfId="0" applyNumberFormat="1" applyFont="1" applyBorder="1" applyAlignment="1">
      <alignment wrapText="1"/>
    </xf>
    <xf numFmtId="0" fontId="8" fillId="0" borderId="0" xfId="0" applyFont="1" applyBorder="1" applyAlignment="1">
      <alignment vertical="center" wrapText="1"/>
    </xf>
    <xf numFmtId="0" fontId="8" fillId="0" borderId="0" xfId="0" applyFont="1" applyBorder="1" applyAlignment="1">
      <alignment horizontal="justify" vertical="center" wrapText="1"/>
    </xf>
    <xf numFmtId="175" fontId="8" fillId="0" borderId="0" xfId="0" applyNumberFormat="1"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171" fontId="8" fillId="0" borderId="0" xfId="0" applyNumberFormat="1" applyFont="1" applyAlignment="1">
      <alignment horizontal="center" vertical="center" wrapText="1"/>
    </xf>
    <xf numFmtId="0" fontId="8" fillId="0" borderId="0" xfId="0" applyNumberFormat="1" applyFont="1" applyAlignment="1">
      <alignment horizontal="center" wrapText="1"/>
    </xf>
    <xf numFmtId="175" fontId="8" fillId="2" borderId="0" xfId="0" applyNumberFormat="1" applyFont="1" applyFill="1" applyBorder="1" applyAlignment="1">
      <alignment wrapText="1"/>
    </xf>
    <xf numFmtId="180" fontId="37" fillId="0" borderId="0" xfId="0" applyNumberFormat="1" applyFont="1" applyAlignment="1">
      <alignment horizontal="right" vertical="center"/>
    </xf>
    <xf numFmtId="175" fontId="8" fillId="0" borderId="0" xfId="0" applyNumberFormat="1" applyFont="1" applyBorder="1" applyAlignment="1">
      <alignment wrapText="1"/>
    </xf>
    <xf numFmtId="175" fontId="8" fillId="0" borderId="0" xfId="0" applyNumberFormat="1" applyFont="1" applyAlignment="1">
      <alignment wrapText="1"/>
    </xf>
    <xf numFmtId="0" fontId="8" fillId="0" borderId="0" xfId="0" applyFont="1" applyAlignment="1">
      <alignment horizontal="justify" vertical="center" wrapText="1"/>
    </xf>
    <xf numFmtId="0" fontId="8" fillId="0" borderId="0" xfId="0" applyFont="1" applyBorder="1" applyAlignment="1">
      <alignment vertical="center"/>
    </xf>
    <xf numFmtId="14" fontId="8" fillId="0" borderId="0" xfId="0" applyNumberFormat="1" applyFont="1" applyFill="1" applyBorder="1" applyAlignment="1">
      <alignment horizontal="center" vertical="center"/>
    </xf>
    <xf numFmtId="0" fontId="8" fillId="0" borderId="0" xfId="0" applyFont="1" applyAlignment="1">
      <alignment horizontal="center" wrapText="1"/>
    </xf>
    <xf numFmtId="175" fontId="8" fillId="0" borderId="0" xfId="0" applyNumberFormat="1" applyFont="1"/>
    <xf numFmtId="0" fontId="11" fillId="0" borderId="0" xfId="0" applyFont="1"/>
    <xf numFmtId="0" fontId="17" fillId="0" borderId="12" xfId="0" applyFont="1" applyBorder="1" applyAlignment="1">
      <alignment vertical="center"/>
    </xf>
    <xf numFmtId="0" fontId="17" fillId="0" borderId="13" xfId="0" applyFont="1" applyBorder="1" applyAlignment="1">
      <alignment vertical="center"/>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xf>
    <xf numFmtId="0" fontId="17" fillId="6" borderId="8" xfId="0" applyFont="1" applyFill="1" applyBorder="1" applyAlignment="1">
      <alignment horizontal="center" vertical="center" wrapText="1"/>
    </xf>
    <xf numFmtId="170" fontId="17" fillId="6" borderId="8" xfId="0" applyNumberFormat="1" applyFont="1" applyFill="1" applyBorder="1" applyAlignment="1">
      <alignment horizontal="center" vertical="center" wrapText="1"/>
    </xf>
    <xf numFmtId="3" fontId="17" fillId="6" borderId="9" xfId="0" applyNumberFormat="1" applyFont="1" applyFill="1" applyBorder="1" applyAlignment="1">
      <alignment horizontal="center" vertical="center" wrapText="1"/>
    </xf>
    <xf numFmtId="0" fontId="11" fillId="0" borderId="0" xfId="0" applyFont="1" applyFill="1"/>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13" borderId="0" xfId="0" applyFont="1" applyFill="1" applyBorder="1" applyAlignment="1">
      <alignment horizontal="center" vertical="center" wrapText="1"/>
    </xf>
    <xf numFmtId="0" fontId="17" fillId="13" borderId="0" xfId="0" applyFont="1" applyFill="1" applyBorder="1" applyAlignment="1">
      <alignment horizontal="left" vertical="center"/>
    </xf>
    <xf numFmtId="3" fontId="17" fillId="13" borderId="0" xfId="0" applyNumberFormat="1" applyFont="1" applyFill="1" applyBorder="1" applyAlignment="1">
      <alignment horizontal="center" vertical="center" wrapText="1"/>
    </xf>
    <xf numFmtId="170" fontId="17" fillId="13" borderId="0"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170" fontId="17" fillId="8" borderId="12" xfId="0" applyNumberFormat="1" applyFont="1" applyFill="1" applyBorder="1" applyAlignment="1">
      <alignment horizontal="center" vertical="center" wrapText="1"/>
    </xf>
    <xf numFmtId="3" fontId="17" fillId="8" borderId="13" xfId="0" applyNumberFormat="1" applyFont="1" applyFill="1" applyBorder="1" applyAlignment="1">
      <alignment horizontal="center" vertical="center" wrapText="1"/>
    </xf>
    <xf numFmtId="0" fontId="11" fillId="0" borderId="6" xfId="0" applyFont="1" applyBorder="1"/>
    <xf numFmtId="0" fontId="11" fillId="0" borderId="17" xfId="0" applyFont="1" applyFill="1" applyBorder="1" applyAlignment="1">
      <alignment horizontal="justify" vertical="center" wrapText="1"/>
    </xf>
    <xf numFmtId="4" fontId="11" fillId="0" borderId="17" xfId="10" applyNumberFormat="1" applyFont="1" applyFill="1" applyBorder="1" applyAlignment="1">
      <alignment horizontal="center" vertical="center"/>
    </xf>
    <xf numFmtId="0" fontId="11" fillId="0" borderId="13" xfId="0" applyFont="1" applyBorder="1"/>
    <xf numFmtId="0" fontId="11" fillId="0" borderId="3" xfId="0" applyFont="1" applyBorder="1" applyAlignment="1">
      <alignment horizontal="justify" vertical="center" wrapText="1"/>
    </xf>
    <xf numFmtId="4" fontId="11" fillId="0" borderId="3" xfId="10" applyNumberFormat="1" applyFont="1" applyFill="1" applyBorder="1" applyAlignment="1">
      <alignment horizontal="center" vertical="center"/>
    </xf>
    <xf numFmtId="0" fontId="17" fillId="0" borderId="11" xfId="0" applyFont="1" applyBorder="1" applyAlignment="1">
      <alignment vertical="center"/>
    </xf>
    <xf numFmtId="171" fontId="17" fillId="0" borderId="3" xfId="10" applyNumberFormat="1" applyFont="1" applyBorder="1" applyAlignment="1">
      <alignment horizontal="right" vertical="center"/>
    </xf>
    <xf numFmtId="12" fontId="17" fillId="0" borderId="13" xfId="2" applyNumberFormat="1" applyFont="1" applyBorder="1" applyAlignment="1">
      <alignment vertical="center"/>
    </xf>
    <xf numFmtId="4" fontId="17" fillId="0" borderId="3" xfId="10" applyNumberFormat="1" applyFont="1" applyBorder="1" applyAlignment="1">
      <alignment horizontal="center" vertical="center"/>
    </xf>
    <xf numFmtId="2" fontId="39" fillId="14" borderId="12" xfId="0" applyNumberFormat="1" applyFont="1" applyFill="1" applyBorder="1" applyAlignment="1">
      <alignment vertical="center" wrapText="1"/>
    </xf>
    <xf numFmtId="0" fontId="17" fillId="0" borderId="12" xfId="0" applyFont="1" applyBorder="1" applyAlignment="1">
      <alignment horizontal="center" vertical="center"/>
    </xf>
    <xf numFmtId="0" fontId="17" fillId="0" borderId="0" xfId="0" applyFont="1" applyAlignment="1">
      <alignment vertical="center"/>
    </xf>
    <xf numFmtId="0" fontId="11" fillId="0" borderId="0" xfId="0" applyFont="1" applyBorder="1"/>
    <xf numFmtId="12" fontId="11" fillId="0" borderId="0" xfId="2" applyNumberFormat="1" applyFont="1" applyBorder="1"/>
    <xf numFmtId="179" fontId="11" fillId="0" borderId="0" xfId="0" applyNumberFormat="1" applyFont="1" applyBorder="1" applyAlignment="1">
      <alignment horizontal="center"/>
    </xf>
    <xf numFmtId="0" fontId="11" fillId="0" borderId="0" xfId="0" applyFont="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0" fontId="9" fillId="0" borderId="0" xfId="18" applyFont="1" applyFill="1"/>
    <xf numFmtId="0" fontId="9" fillId="0" borderId="0" xfId="18" applyFont="1"/>
    <xf numFmtId="0" fontId="6" fillId="0" borderId="0" xfId="18" applyFont="1"/>
    <xf numFmtId="0" fontId="5" fillId="4" borderId="3" xfId="18" applyFont="1" applyFill="1" applyBorder="1" applyAlignment="1">
      <alignment horizontal="center" vertical="center" wrapText="1"/>
    </xf>
    <xf numFmtId="0" fontId="5" fillId="4" borderId="16" xfId="18" applyFont="1" applyFill="1" applyBorder="1" applyAlignment="1">
      <alignment vertical="center" wrapText="1"/>
    </xf>
    <xf numFmtId="0" fontId="5" fillId="4" borderId="1" xfId="18" applyFont="1" applyFill="1" applyBorder="1" applyAlignment="1">
      <alignment vertical="center" wrapText="1"/>
    </xf>
    <xf numFmtId="171" fontId="5" fillId="5" borderId="1" xfId="10" applyNumberFormat="1" applyFont="1" applyFill="1" applyBorder="1" applyAlignment="1">
      <alignment vertical="center" wrapText="1"/>
    </xf>
    <xf numFmtId="170" fontId="5" fillId="4" borderId="1" xfId="18" applyNumberFormat="1" applyFont="1" applyFill="1" applyBorder="1" applyAlignment="1">
      <alignment vertical="center" wrapText="1"/>
    </xf>
    <xf numFmtId="0" fontId="5" fillId="4" borderId="17" xfId="18" applyFont="1" applyFill="1" applyBorder="1" applyAlignment="1">
      <alignment vertical="center" wrapText="1"/>
    </xf>
    <xf numFmtId="0" fontId="5" fillId="4" borderId="4" xfId="18" applyFont="1" applyFill="1" applyBorder="1" applyAlignment="1">
      <alignment vertical="center" wrapText="1"/>
    </xf>
    <xf numFmtId="171" fontId="5" fillId="5" borderId="4" xfId="10" applyNumberFormat="1" applyFont="1" applyFill="1" applyBorder="1" applyAlignment="1">
      <alignment vertical="center" wrapText="1"/>
    </xf>
    <xf numFmtId="170" fontId="5" fillId="4" borderId="4" xfId="18" applyNumberFormat="1" applyFont="1" applyFill="1" applyBorder="1" applyAlignment="1">
      <alignment vertical="center" wrapText="1"/>
    </xf>
    <xf numFmtId="0" fontId="5" fillId="6" borderId="12" xfId="18" applyFont="1" applyFill="1" applyBorder="1" applyAlignment="1">
      <alignment horizontal="center" vertical="center" wrapText="1"/>
    </xf>
    <xf numFmtId="0" fontId="5" fillId="6" borderId="12" xfId="18" applyFont="1" applyFill="1" applyBorder="1" applyAlignment="1">
      <alignment vertical="center"/>
    </xf>
    <xf numFmtId="0" fontId="5" fillId="6" borderId="12" xfId="18" applyFont="1" applyFill="1" applyBorder="1" applyAlignment="1">
      <alignment horizontal="justify" vertical="center"/>
    </xf>
    <xf numFmtId="0" fontId="5" fillId="6" borderId="12" xfId="18" applyFont="1" applyFill="1" applyBorder="1" applyAlignment="1">
      <alignment horizontal="center" vertical="center"/>
    </xf>
    <xf numFmtId="0" fontId="6" fillId="6" borderId="12" xfId="18" applyFont="1" applyFill="1" applyBorder="1" applyAlignment="1">
      <alignment vertical="center"/>
    </xf>
    <xf numFmtId="171" fontId="5" fillId="6" borderId="12" xfId="10" applyNumberFormat="1" applyFont="1" applyFill="1" applyBorder="1" applyAlignment="1">
      <alignment vertical="center"/>
    </xf>
    <xf numFmtId="0" fontId="5" fillId="6" borderId="13" xfId="18" applyFont="1" applyFill="1" applyBorder="1" applyAlignment="1">
      <alignment vertical="center"/>
    </xf>
    <xf numFmtId="171" fontId="9" fillId="0" borderId="0" xfId="19" applyNumberFormat="1" applyFont="1" applyFill="1" applyBorder="1" applyAlignment="1">
      <alignment horizontal="justify" vertical="center"/>
    </xf>
    <xf numFmtId="171" fontId="6" fillId="0" borderId="0" xfId="19" applyNumberFormat="1" applyFont="1" applyFill="1" applyBorder="1" applyAlignment="1">
      <alignment horizontal="justify" vertical="center"/>
    </xf>
    <xf numFmtId="0" fontId="6" fillId="0" borderId="0" xfId="18" applyFont="1" applyFill="1" applyBorder="1"/>
    <xf numFmtId="0" fontId="5" fillId="10" borderId="8" xfId="18" applyFont="1" applyFill="1" applyBorder="1" applyAlignment="1">
      <alignment horizontal="center" vertical="center"/>
    </xf>
    <xf numFmtId="0" fontId="5" fillId="10" borderId="8" xfId="18" applyFont="1" applyFill="1" applyBorder="1" applyAlignment="1">
      <alignment vertical="center"/>
    </xf>
    <xf numFmtId="0" fontId="5" fillId="10" borderId="12" xfId="18" applyFont="1" applyFill="1" applyBorder="1" applyAlignment="1">
      <alignment vertical="center"/>
    </xf>
    <xf numFmtId="0" fontId="5" fillId="10" borderId="12" xfId="18" applyFont="1" applyFill="1" applyBorder="1" applyAlignment="1">
      <alignment horizontal="justify" vertical="center"/>
    </xf>
    <xf numFmtId="0" fontId="5" fillId="10" borderId="12" xfId="18" applyFont="1" applyFill="1" applyBorder="1" applyAlignment="1">
      <alignment horizontal="center" vertical="center"/>
    </xf>
    <xf numFmtId="0" fontId="6" fillId="10" borderId="12" xfId="18" applyFont="1" applyFill="1" applyBorder="1" applyAlignment="1">
      <alignment vertical="center"/>
    </xf>
    <xf numFmtId="171" fontId="5" fillId="10" borderId="12" xfId="10" applyNumberFormat="1" applyFont="1" applyFill="1" applyBorder="1" applyAlignment="1">
      <alignment vertical="center"/>
    </xf>
    <xf numFmtId="0" fontId="5" fillId="10" borderId="13" xfId="18" applyFont="1" applyFill="1" applyBorder="1" applyAlignment="1">
      <alignment vertical="center"/>
    </xf>
    <xf numFmtId="0" fontId="5" fillId="0" borderId="1" xfId="18" applyFont="1" applyFill="1" applyBorder="1" applyAlignment="1">
      <alignment vertical="center" wrapText="1"/>
    </xf>
    <xf numFmtId="0" fontId="5" fillId="0" borderId="0" xfId="18" applyFont="1" applyFill="1" applyBorder="1" applyAlignment="1">
      <alignment vertical="center" wrapText="1"/>
    </xf>
    <xf numFmtId="0" fontId="5" fillId="0" borderId="2" xfId="18" applyFont="1" applyFill="1" applyBorder="1" applyAlignment="1">
      <alignment vertical="center" wrapText="1"/>
    </xf>
    <xf numFmtId="0" fontId="5" fillId="0" borderId="8" xfId="18" applyFont="1" applyFill="1" applyBorder="1" applyAlignment="1">
      <alignment vertical="center" wrapText="1"/>
    </xf>
    <xf numFmtId="0" fontId="5" fillId="0" borderId="9" xfId="18" applyFont="1" applyFill="1" applyBorder="1" applyAlignment="1">
      <alignment vertical="center" wrapText="1"/>
    </xf>
    <xf numFmtId="0" fontId="5" fillId="15" borderId="12" xfId="18" applyFont="1" applyFill="1" applyBorder="1" applyAlignment="1">
      <alignment horizontal="center" vertical="center" wrapText="1"/>
    </xf>
    <xf numFmtId="0" fontId="5" fillId="15" borderId="12" xfId="18" applyFont="1" applyFill="1" applyBorder="1" applyAlignment="1">
      <alignment vertical="center"/>
    </xf>
    <xf numFmtId="0" fontId="5" fillId="15" borderId="12" xfId="18" applyFont="1" applyFill="1" applyBorder="1" applyAlignment="1">
      <alignment horizontal="justify" vertical="center"/>
    </xf>
    <xf numFmtId="0" fontId="5" fillId="15" borderId="12" xfId="18" applyFont="1" applyFill="1" applyBorder="1" applyAlignment="1">
      <alignment horizontal="center" vertical="center"/>
    </xf>
    <xf numFmtId="0" fontId="6" fillId="15" borderId="12" xfId="18" applyFont="1" applyFill="1" applyBorder="1" applyAlignment="1">
      <alignment vertical="center"/>
    </xf>
    <xf numFmtId="171" fontId="5" fillId="15" borderId="12" xfId="10" applyNumberFormat="1" applyFont="1" applyFill="1" applyBorder="1" applyAlignment="1">
      <alignment vertical="center"/>
    </xf>
    <xf numFmtId="0" fontId="5" fillId="15" borderId="13" xfId="18" applyFont="1" applyFill="1" applyBorder="1" applyAlignment="1">
      <alignment vertical="center"/>
    </xf>
    <xf numFmtId="0" fontId="6" fillId="2" borderId="1" xfId="18" applyFont="1" applyFill="1" applyBorder="1" applyAlignment="1">
      <alignment vertical="center" wrapText="1"/>
    </xf>
    <xf numFmtId="0" fontId="6" fillId="2" borderId="0" xfId="18" applyFont="1" applyFill="1" applyBorder="1" applyAlignment="1">
      <alignment vertical="center" wrapText="1"/>
    </xf>
    <xf numFmtId="0" fontId="6" fillId="2" borderId="2" xfId="18" applyFont="1" applyFill="1" applyBorder="1" applyAlignment="1">
      <alignment vertical="center" wrapText="1"/>
    </xf>
    <xf numFmtId="0" fontId="6" fillId="2" borderId="7" xfId="18" applyFont="1" applyFill="1" applyBorder="1" applyAlignment="1">
      <alignment vertical="center" wrapText="1"/>
    </xf>
    <xf numFmtId="0" fontId="6" fillId="2" borderId="8" xfId="18" applyFont="1" applyFill="1" applyBorder="1" applyAlignment="1">
      <alignment vertical="center" wrapText="1"/>
    </xf>
    <xf numFmtId="0" fontId="6" fillId="2" borderId="9" xfId="18" applyFont="1" applyFill="1" applyBorder="1" applyAlignment="1">
      <alignment vertical="center" wrapText="1"/>
    </xf>
    <xf numFmtId="0" fontId="6" fillId="2" borderId="3" xfId="18" applyFont="1" applyFill="1" applyBorder="1" applyAlignment="1">
      <alignment horizontal="center" vertical="center" wrapText="1"/>
    </xf>
    <xf numFmtId="0" fontId="6" fillId="2" borderId="3" xfId="18" applyFont="1" applyFill="1" applyBorder="1" applyAlignment="1">
      <alignment horizontal="justify" vertical="center" wrapText="1"/>
    </xf>
    <xf numFmtId="0" fontId="6" fillId="2" borderId="10" xfId="18" applyFont="1" applyFill="1" applyBorder="1" applyAlignment="1">
      <alignment horizontal="center" vertical="center" wrapText="1"/>
    </xf>
    <xf numFmtId="9" fontId="6" fillId="2" borderId="3" xfId="3" applyFont="1" applyFill="1" applyBorder="1" applyAlignment="1">
      <alignment horizontal="center" vertical="center" wrapText="1"/>
    </xf>
    <xf numFmtId="0" fontId="6" fillId="2" borderId="4" xfId="18" applyFont="1" applyFill="1" applyBorder="1" applyAlignment="1">
      <alignment horizontal="justify" vertical="center" wrapText="1"/>
    </xf>
    <xf numFmtId="164" fontId="22" fillId="2" borderId="11" xfId="20" applyFont="1" applyFill="1" applyBorder="1" applyAlignment="1">
      <alignment horizontal="center" vertical="center" wrapText="1"/>
    </xf>
    <xf numFmtId="0" fontId="9" fillId="2" borderId="0" xfId="18" applyFont="1" applyFill="1" applyAlignment="1">
      <alignment wrapText="1"/>
    </xf>
    <xf numFmtId="0" fontId="9" fillId="2" borderId="0" xfId="18" applyFont="1" applyFill="1"/>
    <xf numFmtId="0" fontId="6" fillId="2" borderId="0" xfId="18" applyFont="1" applyFill="1"/>
    <xf numFmtId="164" fontId="22" fillId="0" borderId="11" xfId="20" applyFont="1" applyFill="1" applyBorder="1" applyAlignment="1">
      <alignment horizontal="center" vertical="center" wrapText="1"/>
    </xf>
    <xf numFmtId="0" fontId="9" fillId="2" borderId="0" xfId="18" applyFont="1" applyFill="1" applyBorder="1" applyAlignment="1">
      <alignment horizontal="center" vertical="center" wrapText="1"/>
    </xf>
    <xf numFmtId="0" fontId="6" fillId="2" borderId="5" xfId="18" applyFont="1" applyFill="1" applyBorder="1" applyAlignment="1">
      <alignment vertical="center" wrapText="1"/>
    </xf>
    <xf numFmtId="0" fontId="6" fillId="2" borderId="6" xfId="18" applyFont="1" applyFill="1" applyBorder="1" applyAlignment="1">
      <alignment vertical="center" wrapText="1"/>
    </xf>
    <xf numFmtId="0" fontId="6" fillId="2" borderId="4" xfId="18" applyFont="1" applyFill="1" applyBorder="1" applyAlignment="1">
      <alignment vertical="center" wrapText="1"/>
    </xf>
    <xf numFmtId="0" fontId="6" fillId="0" borderId="2" xfId="18" applyFont="1" applyFill="1" applyBorder="1"/>
    <xf numFmtId="0" fontId="5" fillId="10" borderId="12" xfId="18" applyFont="1" applyFill="1" applyBorder="1" applyAlignment="1">
      <alignment horizontal="justify" vertical="center" wrapText="1"/>
    </xf>
    <xf numFmtId="0" fontId="5" fillId="10" borderId="11" xfId="18" applyFont="1" applyFill="1" applyBorder="1" applyAlignment="1">
      <alignment vertical="center"/>
    </xf>
    <xf numFmtId="0" fontId="33" fillId="10" borderId="12" xfId="18" applyFont="1" applyFill="1" applyBorder="1" applyAlignment="1">
      <alignment vertical="center"/>
    </xf>
    <xf numFmtId="1" fontId="5" fillId="10" borderId="12" xfId="18" applyNumberFormat="1" applyFont="1" applyFill="1" applyBorder="1" applyAlignment="1">
      <alignment horizontal="center" vertical="center"/>
    </xf>
    <xf numFmtId="0" fontId="5" fillId="15" borderId="12" xfId="18" applyFont="1" applyFill="1" applyBorder="1" applyAlignment="1">
      <alignment horizontal="justify" vertical="center" wrapText="1"/>
    </xf>
    <xf numFmtId="0" fontId="33" fillId="15" borderId="12" xfId="18" applyFont="1" applyFill="1" applyBorder="1" applyAlignment="1">
      <alignment vertical="center"/>
    </xf>
    <xf numFmtId="1" fontId="5" fillId="15" borderId="12" xfId="18" applyNumberFormat="1" applyFont="1" applyFill="1" applyBorder="1" applyAlignment="1">
      <alignment horizontal="center" vertical="center"/>
    </xf>
    <xf numFmtId="49" fontId="6" fillId="0" borderId="3" xfId="21" applyNumberFormat="1" applyFont="1" applyFill="1" applyBorder="1" applyAlignment="1">
      <alignment horizontal="justify" vertical="center" wrapText="1"/>
    </xf>
    <xf numFmtId="0" fontId="9" fillId="0" borderId="0" xfId="18" applyFont="1" applyFill="1" applyAlignment="1">
      <alignment wrapText="1"/>
    </xf>
    <xf numFmtId="0" fontId="6" fillId="0" borderId="0" xfId="18" applyFont="1" applyBorder="1"/>
    <xf numFmtId="0" fontId="5" fillId="2" borderId="1" xfId="18" applyFont="1" applyFill="1" applyBorder="1" applyAlignment="1">
      <alignment vertical="center" wrapText="1"/>
    </xf>
    <xf numFmtId="0" fontId="5" fillId="2" borderId="0" xfId="18" applyFont="1" applyFill="1" applyBorder="1" applyAlignment="1">
      <alignment vertical="center" wrapText="1"/>
    </xf>
    <xf numFmtId="0" fontId="5" fillId="2" borderId="2" xfId="18" applyFont="1" applyFill="1" applyBorder="1" applyAlignment="1">
      <alignment vertical="center" wrapText="1"/>
    </xf>
    <xf numFmtId="0" fontId="5" fillId="2" borderId="7" xfId="18" applyFont="1" applyFill="1" applyBorder="1" applyAlignment="1">
      <alignment vertical="center" wrapText="1"/>
    </xf>
    <xf numFmtId="0" fontId="5" fillId="2" borderId="8" xfId="18" applyFont="1" applyFill="1" applyBorder="1" applyAlignment="1">
      <alignment vertical="center" wrapText="1"/>
    </xf>
    <xf numFmtId="0" fontId="5" fillId="2" borderId="9" xfId="18" applyFont="1" applyFill="1" applyBorder="1" applyAlignment="1">
      <alignment vertical="center" wrapText="1"/>
    </xf>
    <xf numFmtId="49" fontId="6" fillId="2" borderId="3" xfId="21" applyNumberFormat="1" applyFont="1" applyFill="1" applyBorder="1" applyAlignment="1">
      <alignment horizontal="justify" vertical="center" wrapText="1"/>
    </xf>
    <xf numFmtId="0" fontId="5" fillId="2" borderId="4" xfId="18" applyFont="1" applyFill="1" applyBorder="1" applyAlignment="1">
      <alignment vertical="center" wrapText="1"/>
    </xf>
    <xf numFmtId="0" fontId="5" fillId="2" borderId="5" xfId="18" applyFont="1" applyFill="1" applyBorder="1" applyAlignment="1">
      <alignment vertical="center" wrapText="1"/>
    </xf>
    <xf numFmtId="0" fontId="5" fillId="2" borderId="6" xfId="18" applyFont="1" applyFill="1" applyBorder="1" applyAlignment="1">
      <alignment vertical="center" wrapText="1"/>
    </xf>
    <xf numFmtId="0" fontId="6" fillId="2" borderId="17" xfId="18" applyFont="1" applyFill="1" applyBorder="1" applyAlignment="1">
      <alignment horizontal="center" vertical="center" wrapText="1"/>
    </xf>
    <xf numFmtId="9" fontId="6" fillId="2" borderId="10" xfId="3" applyFont="1" applyFill="1" applyBorder="1" applyAlignment="1">
      <alignment horizontal="center" vertical="center" wrapText="1"/>
    </xf>
    <xf numFmtId="0" fontId="9" fillId="2" borderId="0" xfId="18" applyFont="1" applyFill="1" applyAlignment="1">
      <alignment horizontal="center" vertical="center" wrapText="1"/>
    </xf>
    <xf numFmtId="49" fontId="6" fillId="0" borderId="3" xfId="21" applyNumberFormat="1" applyFont="1" applyFill="1" applyBorder="1" applyAlignment="1">
      <alignment horizontal="justify" vertical="top" wrapText="1"/>
    </xf>
    <xf numFmtId="0" fontId="22" fillId="2" borderId="0" xfId="18" applyFont="1" applyFill="1"/>
    <xf numFmtId="0" fontId="3" fillId="2" borderId="0" xfId="18" applyFont="1" applyFill="1"/>
    <xf numFmtId="0" fontId="3" fillId="16" borderId="0" xfId="18" applyFont="1" applyFill="1"/>
    <xf numFmtId="0" fontId="3" fillId="2" borderId="1" xfId="18" applyFont="1" applyFill="1" applyBorder="1" applyAlignment="1">
      <alignment vertical="center" wrapText="1"/>
    </xf>
    <xf numFmtId="0" fontId="3" fillId="2" borderId="0" xfId="18" applyFont="1" applyFill="1" applyBorder="1" applyAlignment="1">
      <alignment vertical="center" wrapText="1"/>
    </xf>
    <xf numFmtId="0" fontId="3" fillId="2" borderId="2" xfId="18" applyFont="1" applyFill="1" applyBorder="1" applyAlignment="1">
      <alignment vertical="center" wrapText="1"/>
    </xf>
    <xf numFmtId="0" fontId="3" fillId="2" borderId="7" xfId="18" applyFont="1" applyFill="1" applyBorder="1" applyAlignment="1">
      <alignment vertical="center" wrapText="1"/>
    </xf>
    <xf numFmtId="0" fontId="3" fillId="2" borderId="8" xfId="18" applyFont="1" applyFill="1" applyBorder="1" applyAlignment="1">
      <alignment vertical="center" wrapText="1"/>
    </xf>
    <xf numFmtId="0" fontId="3" fillId="2" borderId="9" xfId="18" applyFont="1" applyFill="1" applyBorder="1" applyAlignment="1">
      <alignment vertical="center" wrapText="1"/>
    </xf>
    <xf numFmtId="44" fontId="22" fillId="2" borderId="0" xfId="18" applyNumberFormat="1" applyFont="1" applyFill="1"/>
    <xf numFmtId="0" fontId="3" fillId="2" borderId="4" xfId="18" applyFont="1" applyFill="1" applyBorder="1" applyAlignment="1">
      <alignment vertical="center" wrapText="1"/>
    </xf>
    <xf numFmtId="0" fontId="3" fillId="2" borderId="5" xfId="18" applyFont="1" applyFill="1" applyBorder="1" applyAlignment="1">
      <alignment vertical="center" wrapText="1"/>
    </xf>
    <xf numFmtId="0" fontId="3" fillId="2" borderId="6" xfId="18" applyFont="1" applyFill="1" applyBorder="1" applyAlignment="1">
      <alignment vertical="center" wrapText="1"/>
    </xf>
    <xf numFmtId="0" fontId="6" fillId="2" borderId="1" xfId="18" applyFont="1" applyFill="1" applyBorder="1" applyAlignment="1">
      <alignment horizontal="justify" vertical="center" wrapText="1"/>
    </xf>
    <xf numFmtId="9" fontId="3" fillId="2" borderId="10" xfId="3" applyFont="1" applyFill="1" applyBorder="1" applyAlignment="1">
      <alignment horizontal="center" vertical="center" wrapText="1"/>
    </xf>
    <xf numFmtId="0" fontId="6" fillId="2" borderId="17" xfId="18" applyFont="1" applyFill="1" applyBorder="1" applyAlignment="1">
      <alignment horizontal="justify" vertical="center" wrapText="1"/>
    </xf>
    <xf numFmtId="164" fontId="22" fillId="2" borderId="3" xfId="20" applyFont="1" applyFill="1" applyBorder="1" applyAlignment="1">
      <alignment horizontal="center" vertical="center" wrapText="1"/>
    </xf>
    <xf numFmtId="9" fontId="3" fillId="2" borderId="16" xfId="3" applyFont="1" applyFill="1" applyBorder="1" applyAlignment="1">
      <alignment horizontal="center" vertical="center" wrapText="1"/>
    </xf>
    <xf numFmtId="164" fontId="22" fillId="2" borderId="17" xfId="20" applyFont="1" applyFill="1" applyBorder="1" applyAlignment="1">
      <alignment horizontal="center" vertical="center" wrapText="1"/>
    </xf>
    <xf numFmtId="9" fontId="3" fillId="2" borderId="17" xfId="3" applyFont="1" applyFill="1" applyBorder="1" applyAlignment="1">
      <alignment horizontal="center" vertical="center" wrapText="1"/>
    </xf>
    <xf numFmtId="0" fontId="9" fillId="2" borderId="0" xfId="18" applyFont="1" applyFill="1" applyAlignment="1">
      <alignment vertical="center" wrapText="1"/>
    </xf>
    <xf numFmtId="44" fontId="9" fillId="0" borderId="0" xfId="1" applyFont="1" applyFill="1"/>
    <xf numFmtId="0" fontId="6" fillId="0" borderId="1" xfId="18" applyFont="1" applyFill="1" applyBorder="1" applyAlignment="1">
      <alignment vertical="center" wrapText="1"/>
    </xf>
    <xf numFmtId="0" fontId="6" fillId="0" borderId="0" xfId="18" applyFont="1" applyFill="1" applyBorder="1" applyAlignment="1">
      <alignment vertical="center" wrapText="1"/>
    </xf>
    <xf numFmtId="0" fontId="6" fillId="0" borderId="2" xfId="18" applyFont="1" applyFill="1" applyBorder="1" applyAlignment="1">
      <alignment vertical="center" wrapText="1"/>
    </xf>
    <xf numFmtId="0" fontId="6" fillId="0" borderId="10" xfId="18" applyFont="1" applyFill="1" applyBorder="1" applyAlignment="1">
      <alignment horizontal="center" vertical="center" wrapText="1"/>
    </xf>
    <xf numFmtId="1" fontId="9" fillId="0" borderId="10" xfId="18" applyNumberFormat="1" applyFont="1" applyFill="1" applyBorder="1" applyAlignment="1">
      <alignment horizontal="center" vertical="center" wrapText="1"/>
    </xf>
    <xf numFmtId="0" fontId="9" fillId="0" borderId="10" xfId="18" applyFont="1" applyFill="1" applyBorder="1" applyAlignment="1">
      <alignment horizontal="center" vertical="center" wrapText="1"/>
    </xf>
    <xf numFmtId="44" fontId="9" fillId="0" borderId="0" xfId="18" applyNumberFormat="1" applyFont="1" applyFill="1"/>
    <xf numFmtId="0" fontId="6" fillId="0" borderId="0" xfId="18" applyFont="1" applyFill="1"/>
    <xf numFmtId="0" fontId="6" fillId="0" borderId="16" xfId="18" applyFont="1" applyFill="1" applyBorder="1" applyAlignment="1">
      <alignment horizontal="center" vertical="center" wrapText="1"/>
    </xf>
    <xf numFmtId="1" fontId="9" fillId="0" borderId="16" xfId="18" applyNumberFormat="1" applyFont="1" applyFill="1" applyBorder="1" applyAlignment="1">
      <alignment horizontal="center" vertical="center" wrapText="1"/>
    </xf>
    <xf numFmtId="0" fontId="9" fillId="0" borderId="16" xfId="18" applyFont="1" applyFill="1" applyBorder="1" applyAlignment="1">
      <alignment horizontal="center" vertical="center" wrapText="1"/>
    </xf>
    <xf numFmtId="42" fontId="9" fillId="0" borderId="0" xfId="18" applyNumberFormat="1" applyFont="1" applyFill="1"/>
    <xf numFmtId="9" fontId="9" fillId="0" borderId="0" xfId="3" applyFont="1" applyFill="1"/>
    <xf numFmtId="0" fontId="6" fillId="0" borderId="10" xfId="18" applyFont="1" applyFill="1" applyBorder="1" applyAlignment="1">
      <alignment horizontal="justify" vertical="center" wrapText="1"/>
    </xf>
    <xf numFmtId="0" fontId="6" fillId="0" borderId="17" xfId="18" applyFont="1" applyFill="1" applyBorder="1" applyAlignment="1">
      <alignment horizontal="center" vertical="center" wrapText="1"/>
    </xf>
    <xf numFmtId="9" fontId="6" fillId="0" borderId="10" xfId="3" applyFont="1" applyFill="1" applyBorder="1" applyAlignment="1">
      <alignment horizontal="center" vertical="center" wrapText="1"/>
    </xf>
    <xf numFmtId="0" fontId="6" fillId="2" borderId="10" xfId="18" applyFont="1" applyFill="1" applyBorder="1" applyAlignment="1">
      <alignment horizontal="justify" vertical="center" wrapText="1"/>
    </xf>
    <xf numFmtId="42" fontId="9" fillId="2" borderId="17" xfId="2" applyFont="1" applyFill="1" applyBorder="1" applyAlignment="1">
      <alignment horizontal="center" vertical="center" wrapText="1"/>
    </xf>
    <xf numFmtId="44" fontId="9" fillId="0" borderId="0" xfId="3" applyNumberFormat="1" applyFont="1" applyFill="1"/>
    <xf numFmtId="195" fontId="9" fillId="0" borderId="0" xfId="3" applyNumberFormat="1" applyFont="1" applyFill="1"/>
    <xf numFmtId="197" fontId="9" fillId="0" borderId="0" xfId="18" applyNumberFormat="1" applyFont="1" applyFill="1"/>
    <xf numFmtId="0" fontId="41" fillId="0" borderId="0" xfId="0" applyFont="1" applyAlignment="1">
      <alignment horizontal="center" vertical="center" wrapText="1"/>
    </xf>
    <xf numFmtId="0" fontId="6" fillId="0" borderId="4" xfId="18" applyFont="1" applyFill="1" applyBorder="1" applyAlignment="1">
      <alignment vertical="center" wrapText="1"/>
    </xf>
    <xf numFmtId="0" fontId="6" fillId="0" borderId="5" xfId="18" applyFont="1" applyFill="1" applyBorder="1" applyAlignment="1">
      <alignment vertical="center" wrapText="1"/>
    </xf>
    <xf numFmtId="0" fontId="6" fillId="0" borderId="6" xfId="18" applyFont="1" applyFill="1" applyBorder="1" applyAlignment="1">
      <alignment vertical="center" wrapText="1"/>
    </xf>
    <xf numFmtId="1" fontId="9" fillId="0" borderId="17" xfId="18" applyNumberFormat="1" applyFont="1" applyFill="1" applyBorder="1" applyAlignment="1">
      <alignment horizontal="center" vertical="center" wrapText="1"/>
    </xf>
    <xf numFmtId="0" fontId="9" fillId="0" borderId="17" xfId="18" applyFont="1" applyFill="1" applyBorder="1" applyAlignment="1">
      <alignment horizontal="center" vertical="center" wrapText="1"/>
    </xf>
    <xf numFmtId="44" fontId="9" fillId="0" borderId="0" xfId="18" applyNumberFormat="1" applyFont="1"/>
    <xf numFmtId="42" fontId="9" fillId="0" borderId="0" xfId="18" applyNumberFormat="1" applyFont="1"/>
    <xf numFmtId="44" fontId="6" fillId="0" borderId="0" xfId="18" applyNumberFormat="1" applyFont="1"/>
    <xf numFmtId="44" fontId="9" fillId="0" borderId="0" xfId="3" applyNumberFormat="1" applyFont="1"/>
    <xf numFmtId="44" fontId="9" fillId="2" borderId="0" xfId="1" applyFont="1" applyFill="1" applyAlignment="1">
      <alignment wrapText="1"/>
    </xf>
    <xf numFmtId="9" fontId="9" fillId="0" borderId="0" xfId="3" applyFont="1"/>
    <xf numFmtId="42" fontId="6" fillId="15" borderId="12" xfId="18" applyNumberFormat="1" applyFont="1" applyFill="1" applyBorder="1" applyAlignment="1">
      <alignment vertical="center"/>
    </xf>
    <xf numFmtId="171" fontId="9" fillId="2" borderId="0" xfId="19" applyNumberFormat="1" applyFont="1" applyFill="1" applyBorder="1" applyAlignment="1">
      <alignment horizontal="justify" vertical="center"/>
    </xf>
    <xf numFmtId="1" fontId="9" fillId="2" borderId="10" xfId="18" applyNumberFormat="1" applyFont="1" applyFill="1" applyBorder="1" applyAlignment="1">
      <alignment vertical="center" wrapText="1"/>
    </xf>
    <xf numFmtId="0" fontId="9" fillId="2" borderId="10" xfId="18" applyFont="1" applyFill="1" applyBorder="1" applyAlignment="1">
      <alignment horizontal="center" vertical="center" wrapText="1"/>
    </xf>
    <xf numFmtId="44" fontId="9" fillId="2" borderId="0" xfId="1" applyFont="1" applyFill="1"/>
    <xf numFmtId="0" fontId="6" fillId="2" borderId="16" xfId="18" applyFont="1" applyFill="1" applyBorder="1" applyAlignment="1">
      <alignment horizontal="center" vertical="center" wrapText="1"/>
    </xf>
    <xf numFmtId="1" fontId="9" fillId="2" borderId="16" xfId="18" applyNumberFormat="1" applyFont="1" applyFill="1" applyBorder="1" applyAlignment="1">
      <alignment vertical="center" wrapText="1"/>
    </xf>
    <xf numFmtId="0" fontId="9" fillId="2" borderId="16" xfId="18" applyFont="1" applyFill="1" applyBorder="1" applyAlignment="1">
      <alignment horizontal="center" vertical="center" wrapText="1"/>
    </xf>
    <xf numFmtId="44" fontId="9" fillId="2" borderId="0" xfId="18" applyNumberFormat="1" applyFont="1" applyFill="1" applyAlignment="1">
      <alignment wrapText="1"/>
    </xf>
    <xf numFmtId="171" fontId="9" fillId="0" borderId="0" xfId="18" applyNumberFormat="1" applyFont="1"/>
    <xf numFmtId="1" fontId="9" fillId="2" borderId="16" xfId="18" applyNumberFormat="1" applyFont="1" applyFill="1" applyBorder="1" applyAlignment="1">
      <alignment horizontal="center" vertical="center" wrapText="1"/>
    </xf>
    <xf numFmtId="1" fontId="9" fillId="2" borderId="17" xfId="18" applyNumberFormat="1" applyFont="1" applyFill="1" applyBorder="1" applyAlignment="1">
      <alignment vertical="center" wrapText="1"/>
    </xf>
    <xf numFmtId="0" fontId="9" fillId="2" borderId="17" xfId="18" applyFont="1" applyFill="1" applyBorder="1" applyAlignment="1">
      <alignment horizontal="center" vertical="center" wrapText="1"/>
    </xf>
    <xf numFmtId="1" fontId="9" fillId="2" borderId="10" xfId="18" applyNumberFormat="1" applyFont="1" applyFill="1" applyBorder="1" applyAlignment="1">
      <alignment horizontal="center" vertical="center" wrapText="1"/>
    </xf>
    <xf numFmtId="42" fontId="9" fillId="2" borderId="3" xfId="2" applyFont="1" applyFill="1" applyBorder="1" applyAlignment="1">
      <alignment horizontal="center" vertical="center" wrapText="1"/>
    </xf>
    <xf numFmtId="1" fontId="9" fillId="2" borderId="17" xfId="18" applyNumberFormat="1" applyFont="1" applyFill="1" applyBorder="1" applyAlignment="1">
      <alignment horizontal="center" vertical="center" wrapText="1"/>
    </xf>
    <xf numFmtId="9" fontId="9" fillId="2" borderId="0" xfId="3" applyFont="1" applyFill="1"/>
    <xf numFmtId="43" fontId="9" fillId="2" borderId="0" xfId="18" applyNumberFormat="1" applyFont="1" applyFill="1"/>
    <xf numFmtId="0" fontId="6" fillId="2" borderId="3" xfId="18" applyFont="1" applyFill="1" applyBorder="1" applyAlignment="1">
      <alignment vertical="center" wrapText="1"/>
    </xf>
    <xf numFmtId="9" fontId="9" fillId="2" borderId="0" xfId="3" applyFont="1" applyFill="1" applyAlignment="1">
      <alignment wrapText="1"/>
    </xf>
    <xf numFmtId="0" fontId="6" fillId="2" borderId="3" xfId="18" applyFont="1" applyFill="1" applyBorder="1" applyAlignment="1">
      <alignment horizontal="left" vertical="center" wrapText="1"/>
    </xf>
    <xf numFmtId="42" fontId="6" fillId="15" borderId="12" xfId="2" applyFont="1" applyFill="1" applyBorder="1" applyAlignment="1">
      <alignment vertical="center"/>
    </xf>
    <xf numFmtId="44" fontId="9" fillId="0" borderId="0" xfId="1" applyFont="1"/>
    <xf numFmtId="0" fontId="6" fillId="16" borderId="0" xfId="18" applyFont="1" applyFill="1"/>
    <xf numFmtId="44" fontId="9" fillId="2" borderId="0" xfId="18" applyNumberFormat="1" applyFont="1" applyFill="1"/>
    <xf numFmtId="0" fontId="5" fillId="10" borderId="0" xfId="18" applyFont="1" applyFill="1" applyBorder="1" applyAlignment="1">
      <alignment horizontal="justify" vertical="center" wrapText="1"/>
    </xf>
    <xf numFmtId="0" fontId="5" fillId="10" borderId="0" xfId="18" applyFont="1" applyFill="1" applyBorder="1" applyAlignment="1">
      <alignment vertical="center"/>
    </xf>
    <xf numFmtId="0" fontId="5" fillId="10" borderId="5" xfId="18" applyFont="1" applyFill="1" applyBorder="1" applyAlignment="1">
      <alignment vertical="center"/>
    </xf>
    <xf numFmtId="0" fontId="5" fillId="10" borderId="5" xfId="18" applyFont="1" applyFill="1" applyBorder="1" applyAlignment="1">
      <alignment horizontal="justify" vertical="center"/>
    </xf>
    <xf numFmtId="0" fontId="5" fillId="10" borderId="5" xfId="18" applyFont="1" applyFill="1" applyBorder="1" applyAlignment="1">
      <alignment horizontal="center" vertical="center"/>
    </xf>
    <xf numFmtId="0" fontId="33" fillId="10" borderId="5" xfId="18" applyFont="1" applyFill="1" applyBorder="1" applyAlignment="1">
      <alignment vertical="center"/>
    </xf>
    <xf numFmtId="42" fontId="6" fillId="10" borderId="5" xfId="2" applyFont="1" applyFill="1" applyBorder="1" applyAlignment="1">
      <alignment vertical="center"/>
    </xf>
    <xf numFmtId="1" fontId="5" fillId="10" borderId="5" xfId="18" applyNumberFormat="1" applyFont="1" applyFill="1" applyBorder="1" applyAlignment="1">
      <alignment horizontal="center" vertical="center"/>
    </xf>
    <xf numFmtId="0" fontId="5" fillId="10" borderId="6" xfId="18" applyFont="1" applyFill="1" applyBorder="1" applyAlignment="1">
      <alignment vertical="center"/>
    </xf>
    <xf numFmtId="0" fontId="6" fillId="2" borderId="11" xfId="18" applyFont="1" applyFill="1" applyBorder="1" applyAlignment="1">
      <alignment vertical="center" wrapText="1"/>
    </xf>
    <xf numFmtId="0" fontId="6" fillId="2" borderId="12" xfId="18" applyFont="1" applyFill="1" applyBorder="1" applyAlignment="1">
      <alignment vertical="center" wrapText="1"/>
    </xf>
    <xf numFmtId="0" fontId="6" fillId="2" borderId="13" xfId="18" applyFont="1" applyFill="1" applyBorder="1" applyAlignment="1">
      <alignment vertical="center" wrapText="1"/>
    </xf>
    <xf numFmtId="0" fontId="6" fillId="2" borderId="13" xfId="18" applyFont="1" applyFill="1" applyBorder="1" applyAlignment="1">
      <alignment horizontal="center" vertical="center" wrapText="1"/>
    </xf>
    <xf numFmtId="0" fontId="6" fillId="2" borderId="11" xfId="18" applyFont="1" applyFill="1" applyBorder="1" applyAlignment="1">
      <alignment horizontal="center" vertical="center" wrapText="1"/>
    </xf>
    <xf numFmtId="10" fontId="6" fillId="2" borderId="12" xfId="3" applyNumberFormat="1" applyFont="1" applyFill="1" applyBorder="1" applyAlignment="1">
      <alignment horizontal="center" vertical="center" wrapText="1"/>
    </xf>
    <xf numFmtId="0" fontId="6" fillId="2" borderId="13" xfId="18" applyFont="1" applyFill="1" applyBorder="1" applyAlignment="1">
      <alignment horizontal="justify" vertical="center" wrapText="1"/>
    </xf>
    <xf numFmtId="0" fontId="6" fillId="2" borderId="3" xfId="18" quotePrefix="1" applyFont="1" applyFill="1" applyBorder="1" applyAlignment="1">
      <alignment horizontal="justify" vertical="center" wrapText="1"/>
    </xf>
    <xf numFmtId="1" fontId="6" fillId="2" borderId="3" xfId="18" quotePrefix="1" applyNumberFormat="1" applyFont="1" applyFill="1" applyBorder="1" applyAlignment="1">
      <alignment horizontal="center" vertical="center" wrapText="1"/>
    </xf>
    <xf numFmtId="0" fontId="6" fillId="2" borderId="6" xfId="18" applyFont="1" applyFill="1" applyBorder="1" applyAlignment="1">
      <alignment horizontal="center" vertical="center" wrapText="1"/>
    </xf>
    <xf numFmtId="1" fontId="6" fillId="2" borderId="10" xfId="18" quotePrefix="1" applyNumberFormat="1" applyFont="1" applyFill="1" applyBorder="1" applyAlignment="1">
      <alignment horizontal="center" vertical="center" wrapText="1"/>
    </xf>
    <xf numFmtId="1" fontId="6" fillId="2" borderId="17" xfId="18" quotePrefix="1" applyNumberFormat="1" applyFont="1" applyFill="1" applyBorder="1" applyAlignment="1">
      <alignment horizontal="center" vertical="center" wrapText="1"/>
    </xf>
    <xf numFmtId="3" fontId="5" fillId="10" borderId="8" xfId="18" applyNumberFormat="1" applyFont="1" applyFill="1" applyBorder="1" applyAlignment="1">
      <alignment horizontal="justify" vertical="center" wrapText="1"/>
    </xf>
    <xf numFmtId="164" fontId="6" fillId="10" borderId="12" xfId="18" applyNumberFormat="1" applyFont="1" applyFill="1" applyBorder="1" applyAlignment="1">
      <alignment vertical="center"/>
    </xf>
    <xf numFmtId="0" fontId="5" fillId="15" borderId="8" xfId="18" applyFont="1" applyFill="1" applyBorder="1" applyAlignment="1">
      <alignment horizontal="justify" vertical="center" wrapText="1"/>
    </xf>
    <xf numFmtId="0" fontId="5" fillId="15" borderId="8" xfId="18" applyFont="1" applyFill="1" applyBorder="1" applyAlignment="1">
      <alignment vertical="center"/>
    </xf>
    <xf numFmtId="0" fontId="5" fillId="15" borderId="8" xfId="18" applyFont="1" applyFill="1" applyBorder="1" applyAlignment="1">
      <alignment horizontal="justify" vertical="center"/>
    </xf>
    <xf numFmtId="0" fontId="5" fillId="15" borderId="8" xfId="18" applyFont="1" applyFill="1" applyBorder="1" applyAlignment="1">
      <alignment horizontal="center" vertical="center"/>
    </xf>
    <xf numFmtId="0" fontId="33" fillId="15" borderId="8" xfId="18" applyFont="1" applyFill="1" applyBorder="1" applyAlignment="1">
      <alignment vertical="center"/>
    </xf>
    <xf numFmtId="0" fontId="6" fillId="15" borderId="8" xfId="18" applyFont="1" applyFill="1" applyBorder="1" applyAlignment="1">
      <alignment vertical="center"/>
    </xf>
    <xf numFmtId="1" fontId="5" fillId="15" borderId="8" xfId="18" applyNumberFormat="1" applyFont="1" applyFill="1" applyBorder="1" applyAlignment="1">
      <alignment horizontal="center" vertical="center"/>
    </xf>
    <xf numFmtId="0" fontId="5" fillId="15" borderId="9" xfId="18" applyFont="1" applyFill="1" applyBorder="1" applyAlignment="1">
      <alignment vertical="center"/>
    </xf>
    <xf numFmtId="0" fontId="6" fillId="0" borderId="3" xfId="18" applyFont="1" applyFill="1" applyBorder="1" applyAlignment="1">
      <alignment horizontal="center"/>
    </xf>
    <xf numFmtId="1" fontId="6" fillId="2" borderId="16" xfId="18" quotePrefix="1" applyNumberFormat="1" applyFont="1" applyFill="1" applyBorder="1" applyAlignment="1">
      <alignment horizontal="center" vertical="center" wrapText="1"/>
    </xf>
    <xf numFmtId="0" fontId="6" fillId="0" borderId="0" xfId="18" applyFont="1" applyFill="1" applyBorder="1" applyAlignment="1">
      <alignment horizontal="center"/>
    </xf>
    <xf numFmtId="0" fontId="6" fillId="0" borderId="10" xfId="18" applyFont="1" applyFill="1" applyBorder="1" applyAlignment="1">
      <alignment horizontal="center" vertical="center"/>
    </xf>
    <xf numFmtId="0" fontId="6" fillId="2" borderId="3" xfId="18" quotePrefix="1" applyFont="1" applyFill="1" applyBorder="1" applyAlignment="1">
      <alignment vertical="center" wrapText="1"/>
    </xf>
    <xf numFmtId="164" fontId="22" fillId="0" borderId="17" xfId="20" applyFont="1" applyFill="1" applyBorder="1" applyAlignment="1">
      <alignment vertical="center" wrapText="1"/>
    </xf>
    <xf numFmtId="0" fontId="5" fillId="0" borderId="5" xfId="18" applyFont="1" applyFill="1" applyBorder="1" applyAlignment="1">
      <alignment vertical="center" wrapText="1"/>
    </xf>
    <xf numFmtId="0" fontId="5" fillId="0" borderId="6" xfId="18" applyFont="1" applyFill="1" applyBorder="1" applyAlignment="1">
      <alignment vertical="center" wrapText="1"/>
    </xf>
    <xf numFmtId="0" fontId="5" fillId="15" borderId="0" xfId="18" applyFont="1" applyFill="1" applyBorder="1" applyAlignment="1">
      <alignment horizontal="justify" vertical="center" wrapText="1"/>
    </xf>
    <xf numFmtId="0" fontId="5" fillId="15" borderId="0" xfId="18" applyFont="1" applyFill="1" applyBorder="1" applyAlignment="1">
      <alignment vertical="center"/>
    </xf>
    <xf numFmtId="0" fontId="5" fillId="15" borderId="5" xfId="18" applyFont="1" applyFill="1" applyBorder="1" applyAlignment="1">
      <alignment vertical="center"/>
    </xf>
    <xf numFmtId="0" fontId="5" fillId="15" borderId="5" xfId="18" applyFont="1" applyFill="1" applyBorder="1" applyAlignment="1">
      <alignment horizontal="justify" vertical="center"/>
    </xf>
    <xf numFmtId="0" fontId="6" fillId="2" borderId="1" xfId="18" applyFont="1" applyFill="1" applyBorder="1" applyAlignment="1">
      <alignment horizontal="center" vertical="center" wrapText="1"/>
    </xf>
    <xf numFmtId="0" fontId="6" fillId="2" borderId="0" xfId="18" applyFont="1" applyFill="1" applyBorder="1" applyAlignment="1">
      <alignment horizontal="center" vertical="center" wrapText="1"/>
    </xf>
    <xf numFmtId="0" fontId="6" fillId="2" borderId="2" xfId="18" applyFont="1" applyFill="1" applyBorder="1" applyAlignment="1">
      <alignment horizontal="center" vertical="center" wrapText="1"/>
    </xf>
    <xf numFmtId="0" fontId="6" fillId="2" borderId="8" xfId="18" applyFont="1" applyFill="1" applyBorder="1" applyAlignment="1">
      <alignment horizontal="center" vertical="center" wrapText="1"/>
    </xf>
    <xf numFmtId="0" fontId="6" fillId="2" borderId="9" xfId="18" applyFont="1" applyFill="1" applyBorder="1" applyAlignment="1">
      <alignment horizontal="center" vertical="center" wrapText="1"/>
    </xf>
    <xf numFmtId="44" fontId="22" fillId="0" borderId="3" xfId="1" applyFont="1" applyFill="1" applyBorder="1" applyAlignment="1">
      <alignment horizontal="center" vertical="center" wrapText="1"/>
    </xf>
    <xf numFmtId="0" fontId="3" fillId="0" borderId="3" xfId="21" quotePrefix="1" applyNumberFormat="1" applyFont="1" applyFill="1" applyBorder="1" applyAlignment="1">
      <alignment horizontal="justify" vertical="center" wrapText="1"/>
    </xf>
    <xf numFmtId="196" fontId="22" fillId="0" borderId="3" xfId="1" quotePrefix="1" applyNumberFormat="1" applyFont="1" applyFill="1" applyBorder="1" applyAlignment="1">
      <alignment vertical="center" wrapText="1"/>
    </xf>
    <xf numFmtId="196" fontId="22" fillId="0" borderId="3" xfId="1" applyNumberFormat="1" applyFont="1" applyBorder="1" applyAlignment="1">
      <alignment horizontal="center" vertical="center" wrapText="1"/>
    </xf>
    <xf numFmtId="49" fontId="6" fillId="0" borderId="3" xfId="21" quotePrefix="1" applyNumberFormat="1" applyFont="1" applyFill="1" applyBorder="1" applyAlignment="1">
      <alignment horizontal="justify" vertical="center" wrapText="1"/>
    </xf>
    <xf numFmtId="1" fontId="6" fillId="2" borderId="10" xfId="18" applyNumberFormat="1" applyFont="1" applyFill="1" applyBorder="1" applyAlignment="1">
      <alignment horizontal="center" vertical="center" wrapText="1"/>
    </xf>
    <xf numFmtId="0" fontId="6" fillId="2" borderId="10" xfId="18" applyFont="1" applyFill="1" applyBorder="1" applyAlignment="1">
      <alignment vertical="center" wrapText="1"/>
    </xf>
    <xf numFmtId="1" fontId="6" fillId="2" borderId="16" xfId="18" applyNumberFormat="1" applyFont="1" applyFill="1" applyBorder="1" applyAlignment="1">
      <alignment horizontal="center" vertical="center" wrapText="1"/>
    </xf>
    <xf numFmtId="0" fontId="6" fillId="2" borderId="16" xfId="18" applyFont="1" applyFill="1" applyBorder="1" applyAlignment="1">
      <alignment vertical="center" wrapText="1"/>
    </xf>
    <xf numFmtId="49" fontId="6" fillId="2" borderId="3" xfId="21" quotePrefix="1" applyNumberFormat="1" applyFont="1" applyFill="1" applyBorder="1" applyAlignment="1">
      <alignment horizontal="justify" vertical="center" wrapText="1"/>
    </xf>
    <xf numFmtId="196" fontId="22" fillId="2" borderId="3" xfId="1" applyNumberFormat="1" applyFont="1" applyFill="1" applyBorder="1" applyAlignment="1">
      <alignment horizontal="center" vertical="center" wrapText="1"/>
    </xf>
    <xf numFmtId="49" fontId="3" fillId="0" borderId="10" xfId="21" quotePrefix="1" applyNumberFormat="1" applyFont="1" applyFill="1" applyBorder="1" applyAlignment="1">
      <alignment horizontal="justify" vertical="center" wrapText="1"/>
    </xf>
    <xf numFmtId="1" fontId="6" fillId="2" borderId="17" xfId="18" applyNumberFormat="1" applyFont="1" applyFill="1" applyBorder="1" applyAlignment="1">
      <alignment horizontal="center" vertical="center" wrapText="1"/>
    </xf>
    <xf numFmtId="0" fontId="6" fillId="2" borderId="17" xfId="18" applyFont="1" applyFill="1" applyBorder="1" applyAlignment="1">
      <alignment vertical="center" wrapText="1"/>
    </xf>
    <xf numFmtId="171" fontId="5" fillId="15" borderId="12" xfId="10" applyNumberFormat="1" applyFont="1" applyFill="1" applyBorder="1" applyAlignment="1">
      <alignment vertical="center" textRotation="180" wrapText="1"/>
    </xf>
    <xf numFmtId="49" fontId="3" fillId="0" borderId="3" xfId="21" applyNumberFormat="1" applyFont="1" applyFill="1" applyBorder="1" applyAlignment="1">
      <alignment horizontal="left" vertical="center" wrapText="1"/>
    </xf>
    <xf numFmtId="0" fontId="6" fillId="2" borderId="5" xfId="18" applyFont="1" applyFill="1" applyBorder="1" applyAlignment="1">
      <alignment horizontal="center" vertical="center" wrapText="1"/>
    </xf>
    <xf numFmtId="49" fontId="3" fillId="0" borderId="3" xfId="21" applyNumberFormat="1" applyFont="1" applyFill="1" applyBorder="1" applyAlignment="1">
      <alignment horizontal="justify" vertical="center" wrapText="1"/>
    </xf>
    <xf numFmtId="196" fontId="22" fillId="0" borderId="3" xfId="1" quotePrefix="1" applyNumberFormat="1" applyFont="1" applyFill="1" applyBorder="1" applyAlignment="1">
      <alignment horizontal="center" vertical="center"/>
    </xf>
    <xf numFmtId="196" fontId="22" fillId="0" borderId="3" xfId="1" applyNumberFormat="1" applyFont="1" applyFill="1" applyBorder="1" applyAlignment="1">
      <alignment horizontal="center" vertical="center" wrapText="1"/>
    </xf>
    <xf numFmtId="0" fontId="6" fillId="0" borderId="3" xfId="18" applyFont="1" applyFill="1" applyBorder="1" applyAlignment="1">
      <alignment horizontal="center" vertical="center" wrapText="1"/>
    </xf>
    <xf numFmtId="0" fontId="6" fillId="0" borderId="3" xfId="18" applyFont="1" applyFill="1" applyBorder="1" applyAlignment="1">
      <alignment horizontal="justify" vertical="center" wrapText="1"/>
    </xf>
    <xf numFmtId="0" fontId="6" fillId="0" borderId="10" xfId="18" applyFont="1" applyFill="1" applyBorder="1" applyAlignment="1">
      <alignment vertical="center" wrapText="1"/>
    </xf>
    <xf numFmtId="171" fontId="5" fillId="10" borderId="12" xfId="10" applyNumberFormat="1" applyFont="1" applyFill="1" applyBorder="1" applyAlignment="1">
      <alignment vertical="center" textRotation="180" wrapText="1"/>
    </xf>
    <xf numFmtId="0" fontId="5" fillId="15" borderId="5" xfId="18" applyFont="1" applyFill="1" applyBorder="1" applyAlignment="1">
      <alignment horizontal="center" vertical="center"/>
    </xf>
    <xf numFmtId="171" fontId="5" fillId="15" borderId="5" xfId="10" applyNumberFormat="1" applyFont="1" applyFill="1" applyBorder="1" applyAlignment="1">
      <alignment vertical="center" textRotation="180" wrapText="1"/>
    </xf>
    <xf numFmtId="9" fontId="6" fillId="2" borderId="17" xfId="3" applyFont="1" applyFill="1" applyBorder="1" applyAlignment="1">
      <alignment horizontal="center" vertical="center" wrapText="1"/>
    </xf>
    <xf numFmtId="42" fontId="9" fillId="2" borderId="3" xfId="2" applyFont="1" applyFill="1" applyBorder="1" applyAlignment="1">
      <alignment vertical="center"/>
    </xf>
    <xf numFmtId="171" fontId="6" fillId="2" borderId="0" xfId="19" applyNumberFormat="1" applyFont="1" applyFill="1" applyBorder="1" applyAlignment="1">
      <alignment horizontal="justify" vertical="center"/>
    </xf>
    <xf numFmtId="0" fontId="6" fillId="2" borderId="0" xfId="18" applyFont="1" applyFill="1" applyBorder="1"/>
    <xf numFmtId="49" fontId="3" fillId="2" borderId="3" xfId="21" applyNumberFormat="1" applyFont="1" applyFill="1" applyBorder="1" applyAlignment="1">
      <alignment horizontal="justify" vertical="center" wrapText="1"/>
    </xf>
    <xf numFmtId="196" fontId="22" fillId="2" borderId="11" xfId="1" applyNumberFormat="1" applyFont="1" applyFill="1" applyBorder="1" applyAlignment="1">
      <alignment horizontal="center" vertical="center" wrapText="1"/>
    </xf>
    <xf numFmtId="196" fontId="9" fillId="0" borderId="0" xfId="18" applyNumberFormat="1" applyFont="1" applyFill="1"/>
    <xf numFmtId="0" fontId="3" fillId="2" borderId="3" xfId="21" applyFont="1" applyFill="1" applyBorder="1" applyAlignment="1">
      <alignment horizontal="justify" vertical="center" wrapText="1"/>
    </xf>
    <xf numFmtId="196" fontId="9" fillId="0" borderId="0" xfId="18" applyNumberFormat="1" applyFont="1"/>
    <xf numFmtId="0" fontId="6" fillId="0" borderId="3" xfId="18" applyFont="1" applyBorder="1"/>
    <xf numFmtId="0" fontId="6" fillId="2" borderId="0" xfId="18" applyFont="1" applyFill="1" applyAlignment="1">
      <alignment horizontal="justify"/>
    </xf>
    <xf numFmtId="0" fontId="6" fillId="2" borderId="0" xfId="18" applyFont="1" applyFill="1" applyAlignment="1">
      <alignment horizontal="justify" vertical="center"/>
    </xf>
    <xf numFmtId="0" fontId="6" fillId="2" borderId="0" xfId="18" applyFont="1" applyFill="1" applyAlignment="1">
      <alignment horizontal="center" vertical="center"/>
    </xf>
    <xf numFmtId="171" fontId="6" fillId="0" borderId="0" xfId="10" applyNumberFormat="1" applyFont="1" applyFill="1"/>
    <xf numFmtId="0" fontId="6" fillId="0" borderId="0" xfId="18" applyFont="1" applyFill="1" applyAlignment="1">
      <alignment horizontal="right" vertical="center"/>
    </xf>
    <xf numFmtId="170" fontId="6" fillId="0" borderId="0" xfId="18" applyNumberFormat="1" applyFont="1" applyAlignment="1">
      <alignment horizontal="center"/>
    </xf>
    <xf numFmtId="0" fontId="6" fillId="0" borderId="0" xfId="18" applyFont="1" applyAlignment="1">
      <alignment horizontal="left"/>
    </xf>
    <xf numFmtId="0" fontId="35" fillId="0" borderId="0" xfId="18" applyFont="1" applyAlignment="1">
      <alignment horizontal="center" vertical="center"/>
    </xf>
    <xf numFmtId="0" fontId="35" fillId="2" borderId="0" xfId="18" applyFont="1" applyFill="1" applyAlignment="1">
      <alignment horizontal="center" vertical="center"/>
    </xf>
    <xf numFmtId="42" fontId="35" fillId="2" borderId="3" xfId="18" applyNumberFormat="1" applyFont="1" applyFill="1" applyBorder="1" applyAlignment="1">
      <alignment horizontal="center" vertical="center"/>
    </xf>
    <xf numFmtId="171" fontId="35" fillId="0" borderId="0" xfId="10" applyNumberFormat="1" applyFont="1" applyFill="1" applyAlignment="1">
      <alignment horizontal="center" vertical="center"/>
    </xf>
    <xf numFmtId="0" fontId="35" fillId="0" borderId="0" xfId="18" applyFont="1" applyFill="1" applyAlignment="1">
      <alignment horizontal="center" vertical="center"/>
    </xf>
    <xf numFmtId="170" fontId="35" fillId="0" borderId="0" xfId="18" applyNumberFormat="1" applyFont="1" applyAlignment="1">
      <alignment horizontal="center" vertical="center"/>
    </xf>
    <xf numFmtId="0" fontId="6" fillId="2" borderId="0" xfId="18" applyFont="1" applyFill="1" applyAlignment="1">
      <alignment horizontal="center"/>
    </xf>
    <xf numFmtId="0" fontId="8" fillId="0" borderId="0" xfId="0" applyFont="1" applyFill="1" applyBorder="1" applyAlignment="1">
      <alignment horizontal="center" vertical="center"/>
    </xf>
    <xf numFmtId="0" fontId="14" fillId="0" borderId="0" xfId="0" applyFont="1" applyFill="1" applyBorder="1" applyAlignment="1">
      <alignment horizontal="center" vertical="center"/>
    </xf>
    <xf numFmtId="44" fontId="8" fillId="0" borderId="0" xfId="0" applyNumberFormat="1" applyFont="1" applyFill="1" applyBorder="1" applyAlignment="1">
      <alignment horizontal="justify" vertical="center"/>
    </xf>
    <xf numFmtId="44" fontId="14" fillId="0" borderId="0" xfId="0" applyNumberFormat="1" applyFont="1" applyFill="1" applyBorder="1" applyAlignment="1">
      <alignment horizontal="justify" vertical="center"/>
    </xf>
    <xf numFmtId="0" fontId="8" fillId="0" borderId="0" xfId="0" applyFont="1" applyFill="1" applyBorder="1" applyAlignment="1"/>
    <xf numFmtId="0" fontId="14" fillId="0" borderId="0" xfId="0" applyFont="1" applyFill="1" applyBorder="1" applyAlignment="1"/>
    <xf numFmtId="0" fontId="9" fillId="0" borderId="0" xfId="0" applyFont="1" applyFill="1" applyBorder="1" applyAlignment="1"/>
    <xf numFmtId="0" fontId="40" fillId="0" borderId="0" xfId="0" applyFont="1" applyFill="1" applyBorder="1" applyAlignment="1"/>
    <xf numFmtId="44" fontId="8" fillId="0" borderId="0" xfId="1" applyFont="1" applyFill="1" applyBorder="1" applyAlignment="1"/>
    <xf numFmtId="9" fontId="8" fillId="0" borderId="0" xfId="3" applyFont="1" applyFill="1" applyBorder="1" applyAlignment="1"/>
    <xf numFmtId="0" fontId="8" fillId="0" borderId="0" xfId="0" applyFont="1" applyFill="1" applyBorder="1" applyAlignment="1">
      <alignment horizontal="right" vertical="center"/>
    </xf>
    <xf numFmtId="0" fontId="14" fillId="0" borderId="0" xfId="0" applyFont="1" applyFill="1" applyBorder="1" applyAlignment="1">
      <alignment horizontal="right" vertical="center"/>
    </xf>
    <xf numFmtId="170" fontId="8" fillId="0" borderId="0" xfId="0" applyNumberFormat="1" applyFont="1" applyFill="1" applyBorder="1" applyAlignment="1">
      <alignment horizontal="center"/>
    </xf>
    <xf numFmtId="170" fontId="14" fillId="0" borderId="0" xfId="0" applyNumberFormat="1" applyFont="1" applyFill="1" applyBorder="1" applyAlignment="1">
      <alignment horizontal="center"/>
    </xf>
    <xf numFmtId="0" fontId="8" fillId="0" borderId="0" xfId="0" applyFont="1" applyFill="1" applyBorder="1" applyAlignment="1">
      <alignment horizontal="left"/>
    </xf>
    <xf numFmtId="164" fontId="8" fillId="0" borderId="0" xfId="0" applyNumberFormat="1" applyFont="1" applyFill="1" applyBorder="1" applyAlignment="1">
      <alignment horizontal="justify" vertical="center"/>
    </xf>
    <xf numFmtId="43" fontId="9" fillId="16" borderId="0" xfId="0" applyNumberFormat="1" applyFont="1" applyFill="1" applyBorder="1" applyAlignment="1">
      <alignment horizontal="justify" vertical="center"/>
    </xf>
    <xf numFmtId="196" fontId="8" fillId="0" borderId="0" xfId="0" applyNumberFormat="1" applyFont="1" applyFill="1" applyBorder="1" applyAlignment="1">
      <alignment horizontal="justify" vertical="center"/>
    </xf>
    <xf numFmtId="196" fontId="14" fillId="0" borderId="0" xfId="0" applyNumberFormat="1" applyFont="1" applyFill="1" applyBorder="1" applyAlignment="1">
      <alignment horizontal="justify" vertical="center"/>
    </xf>
    <xf numFmtId="1" fontId="14" fillId="0" borderId="0" xfId="0" applyNumberFormat="1" applyFont="1" applyFill="1" applyBorder="1" applyAlignment="1"/>
    <xf numFmtId="1" fontId="8" fillId="0" borderId="0" xfId="0" applyNumberFormat="1" applyFont="1" applyFill="1" applyBorder="1" applyAlignment="1"/>
    <xf numFmtId="0" fontId="15" fillId="0" borderId="0" xfId="0" applyFont="1" applyFill="1" applyBorder="1" applyAlignment="1">
      <alignment horizontal="justify" vertical="center"/>
    </xf>
    <xf numFmtId="175" fontId="8" fillId="0" borderId="0" xfId="0" applyNumberFormat="1" applyFont="1" applyFill="1" applyBorder="1" applyAlignment="1">
      <alignment horizontal="center" vertical="center"/>
    </xf>
    <xf numFmtId="0" fontId="14" fillId="0" borderId="0" xfId="0" applyFont="1" applyFill="1" applyBorder="1"/>
    <xf numFmtId="171" fontId="6" fillId="2" borderId="0" xfId="18" applyNumberFormat="1" applyFont="1" applyFill="1" applyAlignment="1">
      <alignment horizontal="justify" vertical="center"/>
    </xf>
    <xf numFmtId="0" fontId="6" fillId="0" borderId="0" xfId="0" applyFont="1" applyBorder="1" applyAlignment="1">
      <alignment horizontal="center"/>
    </xf>
    <xf numFmtId="0" fontId="5" fillId="6" borderId="8" xfId="0" applyFont="1" applyFill="1" applyBorder="1" applyAlignment="1">
      <alignment horizontal="justify" vertical="center"/>
    </xf>
    <xf numFmtId="0" fontId="5" fillId="6" borderId="8" xfId="0" applyFont="1" applyFill="1" applyBorder="1" applyAlignment="1">
      <alignment horizontal="center" vertical="center"/>
    </xf>
    <xf numFmtId="9" fontId="5" fillId="6" borderId="8" xfId="3" applyFont="1" applyFill="1" applyBorder="1" applyAlignment="1">
      <alignment horizontal="center" vertical="center"/>
    </xf>
    <xf numFmtId="4" fontId="5" fillId="6" borderId="8" xfId="0" applyNumberFormat="1" applyFont="1" applyFill="1" applyBorder="1" applyAlignment="1">
      <alignment horizontal="right" vertical="center"/>
    </xf>
    <xf numFmtId="1" fontId="5" fillId="6" borderId="8" xfId="0" applyNumberFormat="1" applyFont="1" applyFill="1" applyBorder="1" applyAlignment="1">
      <alignment horizontal="center" vertical="center"/>
    </xf>
    <xf numFmtId="176" fontId="5" fillId="6" borderId="8" xfId="0" applyNumberFormat="1" applyFont="1" applyFill="1" applyBorder="1" applyAlignment="1">
      <alignment vertical="center"/>
    </xf>
    <xf numFmtId="0" fontId="5" fillId="6" borderId="9" xfId="0" applyFont="1" applyFill="1" applyBorder="1" applyAlignment="1">
      <alignment horizontal="justify" vertical="center"/>
    </xf>
    <xf numFmtId="1" fontId="5" fillId="2" borderId="7" xfId="0" applyNumberFormat="1"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1" fontId="5" fillId="10" borderId="3" xfId="0" applyNumberFormat="1" applyFont="1" applyFill="1" applyBorder="1" applyAlignment="1">
      <alignment horizontal="center" vertical="center"/>
    </xf>
    <xf numFmtId="0" fontId="5" fillId="10" borderId="3" xfId="0" applyFont="1" applyFill="1" applyBorder="1" applyAlignment="1">
      <alignment vertical="center"/>
    </xf>
    <xf numFmtId="0" fontId="5" fillId="10" borderId="3" xfId="0" applyFont="1" applyFill="1" applyBorder="1" applyAlignment="1">
      <alignment horizontal="justify" vertical="center"/>
    </xf>
    <xf numFmtId="0" fontId="5" fillId="10" borderId="3" xfId="0" applyFont="1" applyFill="1" applyBorder="1" applyAlignment="1">
      <alignment horizontal="center" vertical="center"/>
    </xf>
    <xf numFmtId="9" fontId="5" fillId="10" borderId="3" xfId="3" applyFont="1" applyFill="1" applyBorder="1" applyAlignment="1">
      <alignment horizontal="center" vertical="center"/>
    </xf>
    <xf numFmtId="4" fontId="5" fillId="10" borderId="3" xfId="0" applyNumberFormat="1" applyFont="1" applyFill="1" applyBorder="1" applyAlignment="1">
      <alignment horizontal="right" vertical="center"/>
    </xf>
    <xf numFmtId="176" fontId="5" fillId="10" borderId="3" xfId="0" applyNumberFormat="1" applyFont="1" applyFill="1" applyBorder="1" applyAlignment="1">
      <alignment vertical="center"/>
    </xf>
    <xf numFmtId="1" fontId="5" fillId="2" borderId="1" xfId="0" applyNumberFormat="1" applyFont="1" applyFill="1" applyBorder="1" applyAlignment="1">
      <alignment vertical="center" wrapText="1"/>
    </xf>
    <xf numFmtId="0" fontId="5" fillId="2" borderId="0" xfId="0" applyFont="1" applyFill="1" applyBorder="1" applyAlignment="1">
      <alignment vertical="center" wrapText="1"/>
    </xf>
    <xf numFmtId="0" fontId="5" fillId="2" borderId="2" xfId="0" applyFont="1" applyFill="1" applyBorder="1" applyAlignment="1">
      <alignment vertical="center" wrapText="1"/>
    </xf>
    <xf numFmtId="0" fontId="5" fillId="2" borderId="7" xfId="0" applyFont="1" applyFill="1" applyBorder="1" applyAlignment="1">
      <alignment vertical="center" wrapText="1"/>
    </xf>
    <xf numFmtId="1" fontId="5" fillId="8" borderId="10" xfId="0" applyNumberFormat="1" applyFont="1" applyFill="1" applyBorder="1" applyAlignment="1">
      <alignment horizontal="center" wrapText="1"/>
    </xf>
    <xf numFmtId="0" fontId="5" fillId="8" borderId="11" xfId="0" applyFont="1" applyFill="1" applyBorder="1" applyAlignment="1">
      <alignment vertical="center"/>
    </xf>
    <xf numFmtId="4" fontId="5" fillId="8" borderId="12" xfId="0" applyNumberFormat="1" applyFont="1" applyFill="1" applyBorder="1" applyAlignment="1">
      <alignment horizontal="right" vertical="center"/>
    </xf>
    <xf numFmtId="0" fontId="5" fillId="2" borderId="1" xfId="0" applyFont="1" applyFill="1" applyBorder="1" applyAlignment="1">
      <alignment vertical="center" wrapText="1"/>
    </xf>
    <xf numFmtId="4" fontId="6" fillId="0" borderId="3" xfId="2" applyNumberFormat="1" applyFont="1" applyFill="1" applyBorder="1" applyAlignment="1">
      <alignment horizontal="right" vertical="center" wrapText="1"/>
    </xf>
    <xf numFmtId="1" fontId="6" fillId="2" borderId="3" xfId="0" applyNumberFormat="1" applyFont="1" applyFill="1" applyBorder="1" applyAlignment="1" applyProtection="1">
      <alignment horizontal="center" vertical="center" wrapText="1"/>
      <protection locked="0"/>
    </xf>
    <xf numFmtId="0" fontId="43" fillId="0" borderId="3"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6" fillId="2" borderId="10" xfId="0" applyFont="1" applyFill="1" applyBorder="1" applyAlignment="1" applyProtection="1">
      <alignment horizontal="justify" vertical="center" wrapText="1"/>
      <protection locked="0"/>
    </xf>
    <xf numFmtId="1" fontId="5" fillId="8" borderId="3" xfId="0" applyNumberFormat="1" applyFont="1" applyFill="1" applyBorder="1" applyAlignment="1">
      <alignment horizontal="center" vertical="center" wrapText="1"/>
    </xf>
    <xf numFmtId="0" fontId="5" fillId="8" borderId="12" xfId="0" applyFont="1" applyFill="1" applyBorder="1" applyAlignment="1" applyProtection="1">
      <alignment horizontal="justify" vertical="center"/>
      <protection locked="0"/>
    </xf>
    <xf numFmtId="4" fontId="5" fillId="8" borderId="12" xfId="2" applyNumberFormat="1" applyFont="1" applyFill="1" applyBorder="1" applyAlignment="1">
      <alignment horizontal="right" vertical="center"/>
    </xf>
    <xf numFmtId="4" fontId="6" fillId="0" borderId="3" xfId="0" applyNumberFormat="1" applyFont="1" applyFill="1" applyBorder="1" applyAlignment="1">
      <alignment horizontal="right" vertical="center" wrapText="1"/>
    </xf>
    <xf numFmtId="0" fontId="44" fillId="9" borderId="3" xfId="0" applyFont="1" applyFill="1" applyBorder="1" applyAlignment="1">
      <alignment horizontal="justify" vertical="center" wrapText="1"/>
    </xf>
    <xf numFmtId="4" fontId="6" fillId="2" borderId="3" xfId="0" applyNumberFormat="1" applyFont="1" applyFill="1" applyBorder="1" applyAlignment="1">
      <alignment horizontal="right" vertical="center" wrapText="1"/>
    </xf>
    <xf numFmtId="0" fontId="6" fillId="2" borderId="1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3" fillId="0" borderId="13" xfId="0" applyFont="1" applyFill="1" applyBorder="1" applyAlignment="1">
      <alignment horizontal="justify" vertical="center" wrapText="1"/>
    </xf>
    <xf numFmtId="0" fontId="5" fillId="10" borderId="3" xfId="0" applyFont="1" applyFill="1" applyBorder="1" applyAlignment="1" applyProtection="1">
      <alignment horizontal="justify" vertical="center"/>
      <protection locked="0"/>
    </xf>
    <xf numFmtId="1" fontId="5" fillId="10" borderId="3" xfId="0" applyNumberFormat="1" applyFont="1" applyFill="1" applyBorder="1" applyAlignment="1" applyProtection="1">
      <alignment horizontal="center" vertical="center"/>
      <protection locked="0"/>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6" fillId="2" borderId="19" xfId="0" applyFont="1" applyFill="1" applyBorder="1"/>
    <xf numFmtId="4" fontId="6" fillId="2" borderId="20" xfId="0" applyNumberFormat="1" applyFont="1" applyFill="1" applyBorder="1" applyAlignment="1">
      <alignment horizontal="right" vertical="center"/>
    </xf>
    <xf numFmtId="0" fontId="6" fillId="2" borderId="20" xfId="0" applyFont="1" applyFill="1" applyBorder="1" applyAlignment="1">
      <alignment horizontal="justify" vertical="center" wrapText="1"/>
    </xf>
    <xf numFmtId="4" fontId="5" fillId="2" borderId="20" xfId="0" applyNumberFormat="1" applyFont="1" applyFill="1" applyBorder="1" applyAlignment="1">
      <alignment horizontal="right" vertical="center"/>
    </xf>
    <xf numFmtId="1" fontId="6" fillId="2" borderId="20" xfId="0" applyNumberFormat="1" applyFont="1" applyFill="1" applyBorder="1" applyAlignment="1">
      <alignment horizontal="center" vertical="center"/>
    </xf>
    <xf numFmtId="1" fontId="6" fillId="2" borderId="20" xfId="0" applyNumberFormat="1" applyFont="1" applyFill="1" applyBorder="1" applyAlignment="1">
      <alignment horizontal="justify" vertical="center"/>
    </xf>
    <xf numFmtId="1" fontId="6" fillId="2" borderId="20" xfId="0" applyNumberFormat="1" applyFont="1" applyFill="1" applyBorder="1" applyAlignment="1">
      <alignment horizontal="center" vertical="center" textRotation="180" wrapText="1"/>
    </xf>
    <xf numFmtId="176" fontId="6" fillId="2" borderId="20" xfId="0" applyNumberFormat="1" applyFont="1" applyFill="1" applyBorder="1" applyAlignment="1">
      <alignment horizontal="center" vertical="center"/>
    </xf>
    <xf numFmtId="0" fontId="6" fillId="2" borderId="0" xfId="0" applyFont="1" applyFill="1" applyBorder="1" applyAlignment="1">
      <alignment horizontal="justify"/>
    </xf>
    <xf numFmtId="0" fontId="6" fillId="2" borderId="0" xfId="0" applyFont="1" applyFill="1" applyBorder="1" applyAlignment="1">
      <alignment horizontal="center"/>
    </xf>
    <xf numFmtId="9" fontId="6" fillId="2" borderId="0" xfId="3" applyFont="1" applyFill="1" applyBorder="1" applyAlignment="1">
      <alignment horizontal="center" vertical="center"/>
    </xf>
    <xf numFmtId="4" fontId="6" fillId="0" borderId="0"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1" fontId="6" fillId="2" borderId="0" xfId="0" applyNumberFormat="1" applyFont="1" applyFill="1" applyBorder="1" applyAlignment="1">
      <alignment horizontal="center" vertical="center"/>
    </xf>
    <xf numFmtId="175" fontId="6" fillId="2" borderId="0" xfId="0" applyNumberFormat="1" applyFont="1" applyFill="1" applyAlignment="1">
      <alignment horizontal="justify" vertical="center"/>
    </xf>
    <xf numFmtId="0" fontId="5" fillId="2" borderId="0" xfId="0" applyFont="1" applyFill="1"/>
    <xf numFmtId="0" fontId="6" fillId="2" borderId="0" xfId="0" applyFont="1" applyFill="1" applyAlignment="1">
      <alignment horizontal="justify"/>
    </xf>
    <xf numFmtId="4" fontId="6" fillId="2" borderId="0" xfId="0" applyNumberFormat="1" applyFont="1" applyFill="1" applyAlignment="1">
      <alignment horizontal="right" vertical="center"/>
    </xf>
    <xf numFmtId="0" fontId="5" fillId="6" borderId="1" xfId="0" applyFont="1" applyFill="1" applyBorder="1" applyAlignment="1">
      <alignment vertical="center"/>
    </xf>
    <xf numFmtId="0" fontId="5" fillId="6" borderId="0" xfId="0" applyFont="1" applyFill="1" applyBorder="1" applyAlignment="1">
      <alignment vertical="center"/>
    </xf>
    <xf numFmtId="0" fontId="5" fillId="13" borderId="3" xfId="0" applyFont="1" applyFill="1" applyBorder="1" applyAlignment="1">
      <alignment horizontal="center" vertical="center" wrapText="1"/>
    </xf>
    <xf numFmtId="0" fontId="5" fillId="13" borderId="1" xfId="0" applyFont="1" applyFill="1" applyBorder="1" applyAlignment="1">
      <alignment horizontal="left" vertical="center"/>
    </xf>
    <xf numFmtId="0" fontId="5" fillId="13" borderId="0" xfId="0" applyFont="1" applyFill="1" applyBorder="1" applyAlignment="1">
      <alignment horizontal="left" vertical="center"/>
    </xf>
    <xf numFmtId="0" fontId="5" fillId="8" borderId="3" xfId="0" applyFont="1" applyFill="1" applyBorder="1" applyAlignment="1">
      <alignment horizontal="center" vertical="center" wrapText="1"/>
    </xf>
    <xf numFmtId="0" fontId="5" fillId="8" borderId="1" xfId="0" applyFont="1" applyFill="1" applyBorder="1" applyAlignment="1">
      <alignment vertical="center"/>
    </xf>
    <xf numFmtId="0" fontId="5" fillId="8" borderId="0" xfId="0" applyFont="1" applyFill="1" applyBorder="1" applyAlignment="1">
      <alignment vertical="center"/>
    </xf>
    <xf numFmtId="2" fontId="6" fillId="2" borderId="3" xfId="0" applyNumberFormat="1" applyFont="1" applyFill="1" applyBorder="1" applyAlignment="1">
      <alignment horizontal="justify" vertical="center" wrapText="1"/>
    </xf>
    <xf numFmtId="3" fontId="6" fillId="2" borderId="3" xfId="0" applyNumberFormat="1" applyFont="1" applyFill="1" applyBorder="1" applyAlignment="1">
      <alignment horizontal="center" vertical="center" wrapText="1"/>
    </xf>
    <xf numFmtId="172" fontId="6" fillId="2" borderId="3" xfId="0" applyNumberFormat="1" applyFont="1" applyFill="1" applyBorder="1" applyAlignment="1">
      <alignment horizontal="center" vertical="center" wrapText="1"/>
    </xf>
    <xf numFmtId="172" fontId="6" fillId="2"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2" fontId="6" fillId="2" borderId="10" xfId="0" applyNumberFormat="1" applyFont="1" applyFill="1" applyBorder="1" applyAlignment="1">
      <alignment horizontal="justify" vertical="center" wrapText="1"/>
    </xf>
    <xf numFmtId="3" fontId="5" fillId="2" borderId="22" xfId="0" applyNumberFormat="1" applyFont="1" applyFill="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3" fontId="5" fillId="0" borderId="22"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0" fontId="5" fillId="0" borderId="20" xfId="0" applyFont="1" applyBorder="1"/>
    <xf numFmtId="0" fontId="5" fillId="0" borderId="20" xfId="0" applyFont="1" applyFill="1" applyBorder="1" applyAlignment="1">
      <alignment horizontal="right" vertical="center"/>
    </xf>
    <xf numFmtId="170" fontId="5" fillId="0" borderId="20" xfId="0" applyNumberFormat="1" applyFont="1" applyBorder="1" applyAlignment="1">
      <alignment horizontal="center"/>
    </xf>
    <xf numFmtId="0" fontId="5" fillId="0" borderId="21" xfId="0" applyFont="1" applyBorder="1" applyAlignment="1">
      <alignment horizontal="left" vertical="center"/>
    </xf>
    <xf numFmtId="0" fontId="5" fillId="0" borderId="0" xfId="0" applyFont="1" applyBorder="1"/>
    <xf numFmtId="3" fontId="8" fillId="2" borderId="0" xfId="0" applyNumberFormat="1" applyFont="1" applyFill="1" applyAlignment="1">
      <alignment horizontal="justify" vertical="center"/>
    </xf>
    <xf numFmtId="3" fontId="14" fillId="2" borderId="0" xfId="0" applyNumberFormat="1" applyFont="1" applyFill="1" applyAlignment="1">
      <alignment horizontal="justify" vertical="center"/>
    </xf>
    <xf numFmtId="0" fontId="8" fillId="2" borderId="0" xfId="0" applyFont="1" applyFill="1" applyAlignment="1">
      <alignment horizontal="right" vertical="center"/>
    </xf>
    <xf numFmtId="0" fontId="14" fillId="2" borderId="0" xfId="0" applyFont="1" applyFill="1" applyAlignment="1">
      <alignment horizontal="right" vertical="center"/>
    </xf>
    <xf numFmtId="49" fontId="8" fillId="2" borderId="0" xfId="0" applyNumberFormat="1" applyFont="1" applyFill="1"/>
    <xf numFmtId="172" fontId="6" fillId="0" borderId="0" xfId="0" applyNumberFormat="1" applyFont="1"/>
    <xf numFmtId="0" fontId="6" fillId="2" borderId="0" xfId="0" applyFont="1" applyFill="1" applyAlignment="1">
      <alignment horizontal="left"/>
    </xf>
    <xf numFmtId="0" fontId="6" fillId="2" borderId="0" xfId="0" applyFont="1" applyFill="1" applyAlignment="1">
      <alignment horizontal="left" vertical="center"/>
    </xf>
    <xf numFmtId="3" fontId="6" fillId="2" borderId="0" xfId="0" applyNumberFormat="1" applyFont="1" applyFill="1" applyAlignment="1">
      <alignment horizontal="justify" vertical="center"/>
    </xf>
    <xf numFmtId="0" fontId="5" fillId="13" borderId="2" xfId="0" applyFont="1" applyFill="1" applyBorder="1" applyAlignment="1">
      <alignment horizontal="left" vertical="center"/>
    </xf>
    <xf numFmtId="0" fontId="5" fillId="8" borderId="6" xfId="0" applyFont="1" applyFill="1" applyBorder="1" applyAlignment="1">
      <alignment vertical="center"/>
    </xf>
    <xf numFmtId="0" fontId="11" fillId="0" borderId="3" xfId="0" applyFont="1" applyFill="1" applyBorder="1" applyAlignment="1">
      <alignment horizontal="justify" vertical="center" wrapText="1"/>
    </xf>
    <xf numFmtId="0" fontId="22" fillId="2" borderId="0" xfId="0" applyFont="1" applyFill="1" applyAlignment="1"/>
    <xf numFmtId="0" fontId="6" fillId="10" borderId="5" xfId="0" applyFont="1" applyFill="1" applyBorder="1" applyAlignment="1">
      <alignment vertical="center"/>
    </xf>
    <xf numFmtId="0" fontId="6" fillId="8" borderId="12" xfId="0" applyFont="1" applyFill="1" applyBorder="1" applyAlignment="1">
      <alignment vertical="center"/>
    </xf>
    <xf numFmtId="169" fontId="6" fillId="2" borderId="17" xfId="4" applyFont="1" applyFill="1" applyBorder="1" applyAlignment="1">
      <alignment vertical="center" wrapText="1"/>
    </xf>
    <xf numFmtId="0" fontId="6" fillId="8" borderId="8" xfId="0" applyFont="1" applyFill="1" applyBorder="1" applyAlignment="1">
      <alignment vertical="center"/>
    </xf>
    <xf numFmtId="0" fontId="6" fillId="10" borderId="12" xfId="0" applyFont="1" applyFill="1" applyBorder="1" applyAlignment="1">
      <alignment vertical="center"/>
    </xf>
    <xf numFmtId="0" fontId="6" fillId="8" borderId="5" xfId="0" applyFont="1" applyFill="1" applyBorder="1" applyAlignment="1">
      <alignment vertical="center"/>
    </xf>
    <xf numFmtId="42" fontId="9" fillId="0" borderId="0" xfId="2" applyFont="1" applyFill="1" applyBorder="1" applyAlignment="1">
      <alignment horizontal="justify" vertical="center"/>
    </xf>
    <xf numFmtId="0" fontId="22" fillId="0" borderId="8" xfId="0" applyFont="1" applyFill="1" applyBorder="1"/>
    <xf numFmtId="0" fontId="22" fillId="0" borderId="0" xfId="0" applyFont="1" applyFill="1" applyBorder="1"/>
    <xf numFmtId="0" fontId="17" fillId="0" borderId="0" xfId="0" applyFont="1" applyFill="1" applyAlignment="1"/>
    <xf numFmtId="0" fontId="2" fillId="6" borderId="10" xfId="0" applyFont="1" applyFill="1" applyBorder="1" applyAlignment="1">
      <alignment horizontal="center" vertical="center" wrapText="1"/>
    </xf>
    <xf numFmtId="0" fontId="2" fillId="6" borderId="12" xfId="0" applyFont="1" applyFill="1" applyBorder="1" applyAlignment="1">
      <alignment vertical="center" wrapText="1"/>
    </xf>
    <xf numFmtId="14" fontId="2" fillId="6" borderId="12" xfId="0" applyNumberFormat="1" applyFont="1" applyFill="1" applyBorder="1" applyAlignment="1">
      <alignment vertical="center" wrapText="1"/>
    </xf>
    <xf numFmtId="0" fontId="2" fillId="6" borderId="13" xfId="0" applyFont="1" applyFill="1" applyBorder="1" applyAlignment="1">
      <alignment vertical="center" wrapText="1"/>
    </xf>
    <xf numFmtId="0" fontId="3" fillId="0" borderId="0" xfId="0" applyFont="1" applyFill="1"/>
    <xf numFmtId="0" fontId="2"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13"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6" xfId="0" applyFont="1" applyFill="1" applyBorder="1" applyAlignment="1">
      <alignment vertical="center" wrapText="1"/>
    </xf>
    <xf numFmtId="0" fontId="2" fillId="8" borderId="3" xfId="0" applyFont="1" applyFill="1" applyBorder="1" applyAlignment="1">
      <alignment horizontal="center" vertical="center" wrapText="1"/>
    </xf>
    <xf numFmtId="49" fontId="3" fillId="2" borderId="16" xfId="0" applyNumberFormat="1" applyFont="1" applyFill="1" applyBorder="1" applyAlignment="1">
      <alignment vertical="center" wrapText="1"/>
    </xf>
    <xf numFmtId="0" fontId="3" fillId="2" borderId="16" xfId="0" applyFont="1" applyFill="1" applyBorder="1" applyAlignment="1">
      <alignment vertical="center" wrapText="1"/>
    </xf>
    <xf numFmtId="49" fontId="11" fillId="2" borderId="10" xfId="0" applyNumberFormat="1" applyFont="1" applyFill="1" applyBorder="1" applyAlignment="1">
      <alignment vertical="center" wrapText="1"/>
    </xf>
    <xf numFmtId="0" fontId="11" fillId="2" borderId="10" xfId="0" applyFont="1" applyFill="1" applyBorder="1" applyAlignment="1">
      <alignment vertical="center" wrapText="1"/>
    </xf>
    <xf numFmtId="0" fontId="11" fillId="0" borderId="3" xfId="10" applyNumberFormat="1" applyFont="1" applyFill="1" applyBorder="1" applyAlignment="1">
      <alignment horizontal="center" vertical="center" wrapText="1"/>
    </xf>
    <xf numFmtId="9" fontId="11" fillId="0" borderId="3" xfId="3" applyFont="1" applyFill="1" applyBorder="1" applyAlignment="1">
      <alignment horizontal="center" vertical="center" wrapText="1"/>
    </xf>
    <xf numFmtId="198" fontId="11" fillId="0" borderId="3" xfId="0" applyNumberFormat="1" applyFont="1" applyFill="1" applyBorder="1" applyAlignment="1">
      <alignment horizontal="center" vertical="center" wrapText="1"/>
    </xf>
    <xf numFmtId="199" fontId="17" fillId="0" borderId="3" xfId="0" applyNumberFormat="1" applyFont="1" applyFill="1" applyBorder="1" applyAlignment="1">
      <alignment horizontal="center" vertical="center" wrapText="1"/>
    </xf>
    <xf numFmtId="200" fontId="11"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3" fillId="0" borderId="0" xfId="0" applyFont="1" applyFill="1" applyBorder="1"/>
    <xf numFmtId="0" fontId="17" fillId="8" borderId="3" xfId="0" applyFont="1" applyFill="1" applyBorder="1" applyAlignment="1">
      <alignment horizontal="center" vertical="center" wrapText="1"/>
    </xf>
    <xf numFmtId="0" fontId="17" fillId="8" borderId="3" xfId="0" applyFont="1" applyFill="1" applyBorder="1" applyAlignment="1">
      <alignment horizontal="left" vertical="center" wrapText="1"/>
    </xf>
    <xf numFmtId="199" fontId="17" fillId="8" borderId="3" xfId="0" applyNumberFormat="1" applyFont="1" applyFill="1" applyBorder="1" applyAlignment="1">
      <alignment horizontal="left" vertical="center" wrapText="1"/>
    </xf>
    <xf numFmtId="14" fontId="17" fillId="8" borderId="3" xfId="0" applyNumberFormat="1" applyFont="1" applyFill="1" applyBorder="1" applyAlignment="1">
      <alignment horizontal="left" vertical="center" wrapText="1"/>
    </xf>
    <xf numFmtId="49" fontId="3" fillId="2" borderId="16"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6" xfId="0" applyFont="1" applyFill="1" applyBorder="1" applyAlignment="1">
      <alignment horizontal="justify" vertical="center" wrapText="1"/>
    </xf>
    <xf numFmtId="198" fontId="21" fillId="5" borderId="3" xfId="0" applyNumberFormat="1" applyFont="1" applyFill="1" applyBorder="1" applyAlignment="1">
      <alignment vertical="center" wrapText="1"/>
    </xf>
    <xf numFmtId="0" fontId="21" fillId="5" borderId="12" xfId="0" applyFont="1" applyFill="1" applyBorder="1" applyAlignment="1">
      <alignment vertical="center" wrapText="1"/>
    </xf>
    <xf numFmtId="0" fontId="21" fillId="5" borderId="12" xfId="0" applyFont="1" applyFill="1" applyBorder="1" applyAlignment="1">
      <alignment horizontal="justify" vertical="center" wrapText="1"/>
    </xf>
    <xf numFmtId="199" fontId="21" fillId="5" borderId="3" xfId="0" applyNumberFormat="1" applyFont="1" applyFill="1" applyBorder="1" applyAlignment="1">
      <alignment horizontal="center" vertical="center" wrapText="1"/>
    </xf>
    <xf numFmtId="200" fontId="21" fillId="5" borderId="12" xfId="0" applyNumberFormat="1" applyFont="1" applyFill="1" applyBorder="1" applyAlignment="1">
      <alignment horizontal="center" vertical="center" wrapText="1"/>
    </xf>
    <xf numFmtId="0" fontId="21" fillId="5" borderId="12" xfId="0" applyFont="1" applyFill="1" applyBorder="1" applyAlignment="1">
      <alignment vertical="center"/>
    </xf>
    <xf numFmtId="14" fontId="21" fillId="5" borderId="12" xfId="0" applyNumberFormat="1" applyFont="1" applyFill="1" applyBorder="1" applyAlignment="1">
      <alignment horizontal="right" vertical="center"/>
    </xf>
    <xf numFmtId="14" fontId="21" fillId="5" borderId="12" xfId="0" applyNumberFormat="1" applyFont="1" applyFill="1" applyBorder="1" applyAlignment="1">
      <alignment horizontal="center" vertical="center"/>
    </xf>
    <xf numFmtId="0" fontId="21" fillId="5" borderId="13" xfId="0" applyFont="1" applyFill="1" applyBorder="1" applyAlignment="1">
      <alignment horizontal="left" vertical="center"/>
    </xf>
    <xf numFmtId="0" fontId="22" fillId="0" borderId="0" xfId="0" applyFont="1" applyFill="1"/>
    <xf numFmtId="0" fontId="22" fillId="0" borderId="0" xfId="0" applyFont="1" applyFill="1" applyAlignment="1">
      <alignment horizontal="center"/>
    </xf>
    <xf numFmtId="0" fontId="22" fillId="0" borderId="0" xfId="0" applyFont="1" applyFill="1" applyAlignment="1"/>
    <xf numFmtId="0" fontId="22" fillId="0" borderId="0" xfId="0" applyFont="1" applyFill="1" applyAlignment="1">
      <alignment horizontal="center" vertical="center"/>
    </xf>
    <xf numFmtId="0" fontId="22" fillId="0" borderId="0" xfId="0" applyFont="1" applyFill="1" applyAlignment="1">
      <alignment horizontal="justify" vertical="center"/>
    </xf>
    <xf numFmtId="14" fontId="22" fillId="0" borderId="0" xfId="0" applyNumberFormat="1" applyFont="1" applyFill="1" applyAlignment="1">
      <alignment horizontal="right" vertical="center"/>
    </xf>
    <xf numFmtId="14" fontId="22" fillId="0" borderId="0" xfId="0" applyNumberFormat="1" applyFont="1" applyFill="1" applyAlignment="1">
      <alignment horizontal="center"/>
    </xf>
    <xf numFmtId="0" fontId="22" fillId="0" borderId="0" xfId="0" applyFont="1" applyAlignment="1">
      <alignment horizontal="center"/>
    </xf>
    <xf numFmtId="0" fontId="22" fillId="2" borderId="0" xfId="0" applyFont="1" applyFill="1" applyAlignment="1">
      <alignment horizontal="center" vertical="center"/>
    </xf>
    <xf numFmtId="14" fontId="22" fillId="0" borderId="0" xfId="0" applyNumberFormat="1" applyFont="1" applyAlignment="1">
      <alignment horizontal="center"/>
    </xf>
    <xf numFmtId="0" fontId="8" fillId="0" borderId="0" xfId="0" applyFont="1" applyAlignment="1">
      <alignment horizontal="center"/>
    </xf>
    <xf numFmtId="0" fontId="6" fillId="2" borderId="3" xfId="0" applyFont="1" applyFill="1" applyBorder="1" applyAlignment="1">
      <alignment horizontal="justify" vertical="center" wrapText="1"/>
    </xf>
    <xf numFmtId="9" fontId="6" fillId="2" borderId="3" xfId="3" applyFont="1" applyFill="1" applyBorder="1" applyAlignment="1">
      <alignment horizontal="center" vertical="center"/>
    </xf>
    <xf numFmtId="9" fontId="6" fillId="2" borderId="10" xfId="3" applyFont="1" applyFill="1" applyBorder="1" applyAlignment="1">
      <alignment horizontal="center" vertical="center"/>
    </xf>
    <xf numFmtId="175" fontId="6" fillId="2" borderId="3" xfId="0" applyNumberFormat="1" applyFont="1" applyFill="1" applyBorder="1" applyAlignment="1">
      <alignment horizontal="center" vertical="center"/>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1" fontId="6" fillId="2" borderId="17"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5" fontId="6" fillId="0" borderId="17" xfId="0" applyNumberFormat="1" applyFont="1" applyFill="1" applyBorder="1" applyAlignment="1">
      <alignment horizontal="center" vertical="center"/>
    </xf>
    <xf numFmtId="175" fontId="6" fillId="0" borderId="3" xfId="0" applyNumberFormat="1" applyFont="1" applyFill="1" applyBorder="1" applyAlignment="1">
      <alignment horizontal="center" vertical="center"/>
    </xf>
    <xf numFmtId="175" fontId="6" fillId="0" borderId="10"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0" fontId="6" fillId="0" borderId="17" xfId="0" applyFont="1" applyFill="1" applyBorder="1" applyAlignment="1">
      <alignment horizontal="justify" vertical="center"/>
    </xf>
    <xf numFmtId="0" fontId="6" fillId="0" borderId="3" xfId="0" applyFont="1" applyFill="1" applyBorder="1" applyAlignment="1">
      <alignment horizontal="justify" vertical="center"/>
    </xf>
    <xf numFmtId="1" fontId="6" fillId="0" borderId="3"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0" fontId="6" fillId="2" borderId="3" xfId="0" applyFont="1" applyFill="1" applyBorder="1" applyAlignment="1">
      <alignment horizontal="justify" vertical="center"/>
    </xf>
    <xf numFmtId="0" fontId="6" fillId="2" borderId="10" xfId="0" applyFont="1" applyFill="1" applyBorder="1" applyAlignment="1">
      <alignment horizontal="justify" vertical="center"/>
    </xf>
    <xf numFmtId="1" fontId="6" fillId="2" borderId="3" xfId="0" applyNumberFormat="1" applyFont="1" applyFill="1" applyBorder="1" applyAlignment="1">
      <alignment horizontal="center" vertical="center"/>
    </xf>
    <xf numFmtId="1" fontId="5" fillId="6" borderId="11" xfId="0" applyNumberFormat="1" applyFont="1" applyFill="1" applyBorder="1" applyAlignment="1">
      <alignment horizontal="left" vertical="center"/>
    </xf>
    <xf numFmtId="0" fontId="5" fillId="6" borderId="12" xfId="0" applyFont="1" applyFill="1" applyBorder="1" applyAlignment="1">
      <alignment horizontal="left" vertical="center"/>
    </xf>
    <xf numFmtId="174" fontId="5" fillId="6" borderId="12" xfId="0" applyNumberFormat="1" applyFont="1" applyFill="1" applyBorder="1" applyAlignment="1">
      <alignment horizontal="left" vertical="center"/>
    </xf>
    <xf numFmtId="175" fontId="5" fillId="6" borderId="12" xfId="0" applyNumberFormat="1" applyFont="1" applyFill="1" applyBorder="1" applyAlignment="1">
      <alignment horizontal="left" vertical="center"/>
    </xf>
    <xf numFmtId="176" fontId="5" fillId="6" borderId="12" xfId="0" applyNumberFormat="1" applyFont="1" applyFill="1" applyBorder="1" applyAlignment="1">
      <alignment horizontal="left" vertical="center"/>
    </xf>
    <xf numFmtId="0" fontId="5" fillId="6" borderId="3" xfId="0" applyFont="1" applyFill="1" applyBorder="1" applyAlignment="1">
      <alignment horizontal="justify" vertical="center"/>
    </xf>
    <xf numFmtId="1" fontId="5" fillId="2" borderId="1" xfId="0" applyNumberFormat="1" applyFont="1" applyFill="1" applyBorder="1" applyAlignment="1">
      <alignment horizontal="left" vertical="center"/>
    </xf>
    <xf numFmtId="0" fontId="5" fillId="2" borderId="0" xfId="0" applyFont="1" applyFill="1" applyBorder="1" applyAlignment="1">
      <alignment horizontal="left" vertical="center"/>
    </xf>
    <xf numFmtId="1" fontId="5" fillId="10" borderId="4" xfId="0" applyNumberFormat="1" applyFont="1" applyFill="1" applyBorder="1" applyAlignment="1">
      <alignment horizontal="left" vertical="center"/>
    </xf>
    <xf numFmtId="0" fontId="5" fillId="10" borderId="11" xfId="0" applyFont="1" applyFill="1" applyBorder="1" applyAlignment="1">
      <alignment horizontal="left" vertical="center"/>
    </xf>
    <xf numFmtId="0" fontId="5" fillId="10" borderId="5" xfId="0" applyFont="1" applyFill="1" applyBorder="1" applyAlignment="1">
      <alignment horizontal="left" vertical="center"/>
    </xf>
    <xf numFmtId="174" fontId="5" fillId="10" borderId="5" xfId="0" applyNumberFormat="1" applyFont="1" applyFill="1" applyBorder="1" applyAlignment="1">
      <alignment horizontal="left" vertical="center"/>
    </xf>
    <xf numFmtId="175" fontId="5" fillId="10" borderId="5" xfId="0" applyNumberFormat="1" applyFont="1" applyFill="1" applyBorder="1" applyAlignment="1">
      <alignment horizontal="left" vertical="center"/>
    </xf>
    <xf numFmtId="176" fontId="5" fillId="10" borderId="5" xfId="0" applyNumberFormat="1" applyFont="1" applyFill="1" applyBorder="1" applyAlignment="1">
      <alignment horizontal="left" vertical="center"/>
    </xf>
    <xf numFmtId="0" fontId="5" fillId="2" borderId="7" xfId="0" applyFont="1" applyFill="1" applyBorder="1" applyAlignment="1">
      <alignment horizontal="left" vertical="center"/>
    </xf>
    <xf numFmtId="1" fontId="5" fillId="8" borderId="11" xfId="0" applyNumberFormat="1" applyFont="1" applyFill="1" applyBorder="1" applyAlignment="1">
      <alignment horizontal="left" vertical="center"/>
    </xf>
    <xf numFmtId="0" fontId="5" fillId="8" borderId="12" xfId="0" applyFont="1" applyFill="1" applyBorder="1" applyAlignment="1">
      <alignment horizontal="left" vertical="center"/>
    </xf>
    <xf numFmtId="174" fontId="5" fillId="8" borderId="12" xfId="0" applyNumberFormat="1" applyFont="1" applyFill="1" applyBorder="1" applyAlignment="1">
      <alignment horizontal="left" vertical="center"/>
    </xf>
    <xf numFmtId="175" fontId="5" fillId="8" borderId="12" xfId="0" applyNumberFormat="1" applyFont="1" applyFill="1" applyBorder="1" applyAlignment="1">
      <alignment horizontal="left" vertical="center"/>
    </xf>
    <xf numFmtId="1" fontId="5" fillId="8" borderId="12" xfId="0" applyNumberFormat="1" applyFont="1" applyFill="1" applyBorder="1" applyAlignment="1">
      <alignment horizontal="left" vertical="center"/>
    </xf>
    <xf numFmtId="176" fontId="5" fillId="8" borderId="12" xfId="0" applyNumberFormat="1" applyFont="1" applyFill="1" applyBorder="1" applyAlignment="1">
      <alignment horizontal="left" vertical="center"/>
    </xf>
    <xf numFmtId="0" fontId="5" fillId="8" borderId="3" xfId="0" applyFont="1" applyFill="1" applyBorder="1" applyAlignment="1">
      <alignment horizontal="justify" vertical="center"/>
    </xf>
    <xf numFmtId="1" fontId="6" fillId="2" borderId="1" xfId="0" applyNumberFormat="1" applyFont="1" applyFill="1" applyBorder="1" applyAlignment="1">
      <alignment horizontal="justify" vertical="center"/>
    </xf>
    <xf numFmtId="0" fontId="6" fillId="2" borderId="2" xfId="0" applyFont="1" applyFill="1" applyBorder="1" applyAlignment="1">
      <alignment horizontal="justify" vertical="center"/>
    </xf>
    <xf numFmtId="0" fontId="6" fillId="0" borderId="3" xfId="0" applyNumberFormat="1" applyFont="1" applyFill="1" applyBorder="1" applyAlignment="1">
      <alignment horizontal="justify" vertical="center"/>
    </xf>
    <xf numFmtId="0" fontId="6" fillId="0" borderId="10" xfId="0" applyNumberFormat="1" applyFont="1" applyFill="1" applyBorder="1" applyAlignment="1">
      <alignment horizontal="justify" vertical="center"/>
    </xf>
    <xf numFmtId="195" fontId="6" fillId="2" borderId="10" xfId="0" applyNumberFormat="1" applyFont="1" applyFill="1" applyBorder="1" applyAlignment="1">
      <alignment horizontal="center" vertical="center"/>
    </xf>
    <xf numFmtId="0" fontId="6" fillId="2" borderId="10" xfId="0" applyNumberFormat="1" applyFont="1" applyFill="1" applyBorder="1" applyAlignment="1">
      <alignment horizontal="justify" vertical="center"/>
    </xf>
    <xf numFmtId="0" fontId="6" fillId="0" borderId="16" xfId="0" applyFont="1" applyFill="1" applyBorder="1" applyAlignment="1">
      <alignment horizontal="center" vertical="center"/>
    </xf>
    <xf numFmtId="1" fontId="5" fillId="8" borderId="7" xfId="0" applyNumberFormat="1" applyFont="1" applyFill="1" applyBorder="1" applyAlignment="1">
      <alignment horizontal="justify" vertical="center"/>
    </xf>
    <xf numFmtId="0" fontId="6" fillId="2" borderId="10" xfId="0" applyFont="1" applyFill="1" applyBorder="1" applyAlignment="1">
      <alignment vertical="center"/>
    </xf>
    <xf numFmtId="3" fontId="6" fillId="2" borderId="3" xfId="0" applyNumberFormat="1" applyFont="1" applyFill="1" applyBorder="1" applyAlignment="1">
      <alignment horizontal="justify" vertical="center"/>
    </xf>
    <xf numFmtId="0" fontId="6" fillId="2" borderId="16" xfId="0" applyFont="1" applyFill="1" applyBorder="1" applyAlignment="1">
      <alignment vertical="center"/>
    </xf>
    <xf numFmtId="0" fontId="6" fillId="2" borderId="3" xfId="0" applyFont="1" applyFill="1" applyBorder="1" applyAlignment="1">
      <alignment horizontal="justify"/>
    </xf>
    <xf numFmtId="0" fontId="6" fillId="2" borderId="3" xfId="0" applyFont="1" applyFill="1" applyBorder="1" applyAlignment="1">
      <alignment horizontal="justify" vertical="top"/>
    </xf>
    <xf numFmtId="176" fontId="6" fillId="2" borderId="11" xfId="0" applyNumberFormat="1" applyFont="1" applyFill="1" applyBorder="1" applyAlignment="1">
      <alignment horizontal="center" vertical="center"/>
    </xf>
    <xf numFmtId="0" fontId="6" fillId="0" borderId="3" xfId="0" applyFont="1" applyBorder="1" applyAlignment="1">
      <alignment horizontal="justify" vertical="center"/>
    </xf>
    <xf numFmtId="0" fontId="6" fillId="2" borderId="17" xfId="0" applyFont="1" applyFill="1" applyBorder="1" applyAlignment="1">
      <alignment vertical="center"/>
    </xf>
    <xf numFmtId="1" fontId="6" fillId="2" borderId="3" xfId="0" applyNumberFormat="1" applyFont="1" applyFill="1" applyBorder="1" applyAlignment="1">
      <alignment horizontal="center" vertical="center" textRotation="180"/>
    </xf>
    <xf numFmtId="1" fontId="5" fillId="10" borderId="10" xfId="0" applyNumberFormat="1" applyFont="1" applyFill="1" applyBorder="1" applyAlignment="1">
      <alignment horizontal="justify" vertical="center"/>
    </xf>
    <xf numFmtId="171" fontId="5" fillId="10" borderId="5" xfId="0" applyNumberFormat="1" applyFont="1" applyFill="1" applyBorder="1" applyAlignment="1">
      <alignment horizontal="center" vertical="center"/>
    </xf>
    <xf numFmtId="176" fontId="5" fillId="10" borderId="5" xfId="0" applyNumberFormat="1" applyFont="1" applyFill="1" applyBorder="1" applyAlignment="1">
      <alignment horizontal="center" vertical="center"/>
    </xf>
    <xf numFmtId="1" fontId="5" fillId="2" borderId="1" xfId="0" applyNumberFormat="1" applyFont="1" applyFill="1" applyBorder="1" applyAlignment="1">
      <alignment horizontal="justify" vertical="center"/>
    </xf>
    <xf numFmtId="0" fontId="5" fillId="2" borderId="0" xfId="0" applyFont="1" applyFill="1" applyBorder="1" applyAlignment="1">
      <alignment horizontal="justify" vertical="center"/>
    </xf>
    <xf numFmtId="1" fontId="5" fillId="8" borderId="11" xfId="0" applyNumberFormat="1" applyFont="1" applyFill="1" applyBorder="1" applyAlignment="1">
      <alignment horizontal="justify" vertical="center"/>
    </xf>
    <xf numFmtId="171" fontId="5" fillId="8" borderId="12" xfId="0" applyNumberFormat="1" applyFont="1" applyFill="1" applyBorder="1" applyAlignment="1">
      <alignment vertical="center"/>
    </xf>
    <xf numFmtId="0" fontId="6" fillId="2" borderId="1" xfId="0" applyFont="1" applyFill="1" applyBorder="1" applyAlignment="1">
      <alignment horizontal="justify"/>
    </xf>
    <xf numFmtId="0" fontId="6" fillId="2" borderId="10" xfId="0" applyFont="1" applyFill="1" applyBorder="1" applyAlignment="1"/>
    <xf numFmtId="14" fontId="6" fillId="2" borderId="3" xfId="0" applyNumberFormat="1" applyFont="1" applyFill="1" applyBorder="1" applyAlignment="1">
      <alignment horizontal="center" vertical="center"/>
    </xf>
    <xf numFmtId="0" fontId="6" fillId="2" borderId="16" xfId="0" applyFont="1" applyFill="1" applyBorder="1" applyAlignment="1">
      <alignment horizontal="justify"/>
    </xf>
    <xf numFmtId="0" fontId="6" fillId="2" borderId="16" xfId="0" applyFont="1" applyFill="1" applyBorder="1" applyAlignment="1"/>
    <xf numFmtId="0" fontId="6" fillId="2" borderId="17" xfId="0" applyFont="1" applyFill="1" applyBorder="1" applyAlignment="1"/>
    <xf numFmtId="0" fontId="6" fillId="2" borderId="11"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0" fontId="6" fillId="0" borderId="10" xfId="0" applyFont="1" applyFill="1" applyBorder="1" applyAlignment="1">
      <alignment vertical="center"/>
    </xf>
    <xf numFmtId="0" fontId="6" fillId="0" borderId="0" xfId="0" applyFont="1" applyFill="1" applyAlignment="1">
      <alignment horizontal="justify" vertical="center"/>
    </xf>
    <xf numFmtId="3" fontId="6" fillId="0" borderId="3" xfId="0" applyNumberFormat="1" applyFont="1" applyFill="1" applyBorder="1" applyAlignment="1">
      <alignment horizontal="justify" vertical="center"/>
    </xf>
    <xf numFmtId="0" fontId="6" fillId="0" borderId="16" xfId="0" applyFont="1" applyFill="1" applyBorder="1" applyAlignment="1">
      <alignment vertical="center"/>
    </xf>
    <xf numFmtId="9" fontId="6" fillId="0" borderId="11" xfId="3" applyFont="1" applyFill="1" applyBorder="1" applyAlignment="1">
      <alignment horizontal="center" vertical="center"/>
    </xf>
    <xf numFmtId="0" fontId="6" fillId="0" borderId="10" xfId="0" applyFont="1" applyFill="1" applyBorder="1" applyAlignment="1">
      <alignment horizontal="justify" vertical="center"/>
    </xf>
    <xf numFmtId="0" fontId="6" fillId="0" borderId="16" xfId="0" applyFont="1" applyFill="1" applyBorder="1" applyAlignment="1">
      <alignment horizontal="justify" vertical="center"/>
    </xf>
    <xf numFmtId="0" fontId="6" fillId="0" borderId="17" xfId="0" applyFont="1" applyFill="1" applyBorder="1" applyAlignment="1">
      <alignment vertical="center"/>
    </xf>
    <xf numFmtId="0" fontId="5" fillId="8" borderId="3" xfId="0" applyFont="1" applyFill="1" applyBorder="1" applyAlignment="1">
      <alignment vertical="center"/>
    </xf>
    <xf numFmtId="3" fontId="6" fillId="0" borderId="11" xfId="0" applyNumberFormat="1" applyFont="1" applyFill="1" applyBorder="1" applyAlignment="1">
      <alignment horizontal="center" vertical="center"/>
    </xf>
    <xf numFmtId="9" fontId="6" fillId="2" borderId="11" xfId="3" applyFont="1" applyFill="1" applyBorder="1" applyAlignment="1">
      <alignment horizontal="center" vertical="center"/>
    </xf>
    <xf numFmtId="0" fontId="6" fillId="2" borderId="16" xfId="0" applyFont="1" applyFill="1" applyBorder="1" applyAlignment="1">
      <alignment horizontal="center" vertical="center"/>
    </xf>
    <xf numFmtId="0" fontId="3" fillId="2" borderId="3" xfId="0" applyFont="1" applyFill="1" applyBorder="1" applyAlignment="1">
      <alignment horizontal="justify" vertical="center" wrapText="1"/>
    </xf>
    <xf numFmtId="175" fontId="3" fillId="2" borderId="3" xfId="0" applyNumberFormat="1" applyFont="1" applyFill="1" applyBorder="1" applyAlignment="1">
      <alignment horizontal="center" vertical="center"/>
    </xf>
    <xf numFmtId="0" fontId="3" fillId="2" borderId="3" xfId="0" applyFont="1" applyFill="1" applyBorder="1" applyAlignment="1">
      <alignment horizontal="justify" vertical="center"/>
    </xf>
    <xf numFmtId="0" fontId="3" fillId="0" borderId="3" xfId="0" applyFont="1" applyFill="1" applyBorder="1" applyAlignment="1">
      <alignment horizontal="justify" vertical="center"/>
    </xf>
    <xf numFmtId="175" fontId="3" fillId="0" borderId="3" xfId="0" applyNumberFormat="1" applyFont="1" applyFill="1" applyBorder="1" applyAlignment="1">
      <alignment horizontal="center" vertical="center"/>
    </xf>
    <xf numFmtId="175" fontId="5" fillId="10" borderId="3" xfId="0" applyNumberFormat="1" applyFont="1" applyFill="1" applyBorder="1" applyAlignment="1">
      <alignment vertical="center"/>
    </xf>
    <xf numFmtId="175" fontId="6" fillId="2" borderId="3" xfId="0" applyNumberFormat="1" applyFont="1" applyFill="1" applyBorder="1" applyAlignment="1">
      <alignment horizontal="justify" vertical="center"/>
    </xf>
    <xf numFmtId="1" fontId="5" fillId="2" borderId="7" xfId="0" applyNumberFormat="1" applyFont="1" applyFill="1" applyBorder="1" applyAlignment="1">
      <alignment horizontal="justify" vertical="center"/>
    </xf>
    <xf numFmtId="0" fontId="5" fillId="2" borderId="8" xfId="0" applyFont="1" applyFill="1" applyBorder="1" applyAlignment="1">
      <alignment horizontal="justify"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175" fontId="5" fillId="8" borderId="3" xfId="0" applyNumberFormat="1" applyFont="1" applyFill="1" applyBorder="1" applyAlignment="1">
      <alignment horizontal="left" vertical="center"/>
    </xf>
    <xf numFmtId="0" fontId="6" fillId="0" borderId="5" xfId="0" applyFont="1" applyFill="1" applyBorder="1" applyAlignment="1">
      <alignment horizontal="justify" vertical="center"/>
    </xf>
    <xf numFmtId="0" fontId="5" fillId="0" borderId="1" xfId="0" applyFont="1" applyFill="1" applyBorder="1" applyAlignment="1">
      <alignment vertical="center"/>
    </xf>
    <xf numFmtId="0" fontId="5" fillId="0" borderId="2" xfId="0" applyFont="1" applyFill="1" applyBorder="1" applyAlignment="1">
      <alignment vertical="center"/>
    </xf>
    <xf numFmtId="175" fontId="6" fillId="0" borderId="3" xfId="0" applyNumberFormat="1" applyFont="1" applyFill="1" applyBorder="1" applyAlignment="1">
      <alignment horizontal="justify" vertical="center"/>
    </xf>
    <xf numFmtId="0" fontId="6" fillId="0" borderId="0" xfId="0" applyFont="1" applyFill="1" applyBorder="1" applyAlignment="1">
      <alignment horizontal="justify" vertical="center"/>
    </xf>
    <xf numFmtId="0" fontId="5" fillId="0" borderId="5" xfId="0" applyFont="1" applyFill="1" applyBorder="1" applyAlignment="1">
      <alignment horizontal="justify" vertical="center"/>
    </xf>
    <xf numFmtId="0" fontId="5" fillId="0" borderId="6" xfId="0" applyFont="1" applyFill="1" applyBorder="1" applyAlignment="1">
      <alignment horizontal="justify" vertical="center"/>
    </xf>
    <xf numFmtId="1" fontId="5" fillId="0" borderId="8" xfId="0" applyNumberFormat="1" applyFont="1" applyFill="1" applyBorder="1" applyAlignment="1">
      <alignment horizontal="justify" vertical="center"/>
    </xf>
    <xf numFmtId="1" fontId="5" fillId="0" borderId="9" xfId="0" applyNumberFormat="1" applyFont="1" applyFill="1" applyBorder="1" applyAlignment="1">
      <alignment horizontal="justify" vertical="center"/>
    </xf>
    <xf numFmtId="1" fontId="5" fillId="10" borderId="9" xfId="0" applyNumberFormat="1" applyFont="1" applyFill="1" applyBorder="1" applyAlignment="1">
      <alignment horizontal="justify" vertical="center"/>
    </xf>
    <xf numFmtId="1" fontId="5" fillId="0" borderId="0" xfId="0" applyNumberFormat="1" applyFont="1" applyFill="1" applyBorder="1" applyAlignment="1">
      <alignment horizontal="justify" vertical="center"/>
    </xf>
    <xf numFmtId="1" fontId="5" fillId="0" borderId="2" xfId="0" applyNumberFormat="1" applyFont="1" applyFill="1" applyBorder="1" applyAlignment="1">
      <alignment horizontal="justify" vertical="center"/>
    </xf>
    <xf numFmtId="3" fontId="6" fillId="0" borderId="3" xfId="0" applyNumberFormat="1" applyFont="1" applyBorder="1" applyAlignment="1">
      <alignment horizontal="center" vertical="center"/>
    </xf>
    <xf numFmtId="0" fontId="6" fillId="2" borderId="4" xfId="0" applyFont="1" applyFill="1" applyBorder="1" applyAlignment="1">
      <alignment horizontal="justify"/>
    </xf>
    <xf numFmtId="0" fontId="6" fillId="2" borderId="5" xfId="0" applyFont="1" applyFill="1" applyBorder="1" applyAlignment="1">
      <alignment horizontal="justify"/>
    </xf>
    <xf numFmtId="0" fontId="6" fillId="2" borderId="12" xfId="0" applyFont="1" applyFill="1" applyBorder="1" applyAlignment="1">
      <alignment horizontal="center" vertical="center"/>
    </xf>
    <xf numFmtId="0" fontId="6" fillId="2" borderId="3" xfId="0" applyNumberFormat="1" applyFont="1" applyFill="1" applyBorder="1" applyAlignment="1">
      <alignment horizontal="center" vertical="center"/>
    </xf>
    <xf numFmtId="9" fontId="6" fillId="0" borderId="3" xfId="9" applyFont="1" applyFill="1" applyBorder="1" applyAlignment="1">
      <alignment horizontal="center" vertical="center"/>
    </xf>
    <xf numFmtId="171" fontId="5" fillId="8" borderId="12" xfId="0" applyNumberFormat="1" applyFont="1" applyFill="1" applyBorder="1" applyAlignment="1">
      <alignment horizontal="center" vertical="center"/>
    </xf>
    <xf numFmtId="176" fontId="5" fillId="8" borderId="12" xfId="0" applyNumberFormat="1" applyFont="1" applyFill="1" applyBorder="1" applyAlignment="1">
      <alignment horizontal="center" vertical="center"/>
    </xf>
    <xf numFmtId="1" fontId="5" fillId="0" borderId="5" xfId="0" applyNumberFormat="1" applyFont="1" applyFill="1" applyBorder="1" applyAlignment="1">
      <alignment horizontal="justify" vertical="center"/>
    </xf>
    <xf numFmtId="1" fontId="5" fillId="0" borderId="6" xfId="0" applyNumberFormat="1" applyFont="1" applyFill="1" applyBorder="1" applyAlignment="1">
      <alignment horizontal="justify" vertical="center"/>
    </xf>
    <xf numFmtId="0" fontId="8" fillId="0" borderId="0" xfId="0" applyFont="1" applyFill="1" applyBorder="1" applyAlignment="1">
      <alignment horizontal="justify"/>
    </xf>
    <xf numFmtId="42" fontId="8" fillId="0" borderId="0" xfId="23" applyFont="1" applyFill="1" applyBorder="1"/>
    <xf numFmtId="42" fontId="14" fillId="0" borderId="0" xfId="23" applyFont="1" applyFill="1" applyBorder="1"/>
    <xf numFmtId="0" fontId="15" fillId="0" borderId="8" xfId="0" applyFont="1" applyBorder="1" applyAlignment="1">
      <alignment wrapText="1"/>
    </xf>
    <xf numFmtId="0" fontId="8" fillId="0" borderId="8" xfId="0" applyFont="1" applyBorder="1"/>
    <xf numFmtId="42" fontId="8" fillId="0" borderId="0" xfId="23" applyFont="1"/>
    <xf numFmtId="42" fontId="14" fillId="0" borderId="0" xfId="23" applyFont="1"/>
    <xf numFmtId="0" fontId="22" fillId="2" borderId="3" xfId="0" applyFont="1" applyFill="1" applyBorder="1" applyAlignment="1">
      <alignment horizontal="center" vertical="center" wrapText="1"/>
    </xf>
    <xf numFmtId="0" fontId="11" fillId="0" borderId="3" xfId="0" applyFont="1" applyFill="1" applyBorder="1" applyAlignment="1">
      <alignment horizontal="justify" vertical="center" wrapText="1"/>
    </xf>
    <xf numFmtId="170" fontId="2" fillId="4" borderId="11" xfId="0" applyNumberFormat="1" applyFont="1" applyFill="1" applyBorder="1" applyAlignment="1">
      <alignment horizontal="center" vertical="center" wrapText="1"/>
    </xf>
    <xf numFmtId="170" fontId="2" fillId="4" borderId="11" xfId="0" applyNumberFormat="1" applyFont="1" applyFill="1" applyBorder="1" applyAlignment="1" applyProtection="1">
      <alignment horizontal="center" vertical="center" wrapText="1"/>
    </xf>
    <xf numFmtId="0" fontId="2" fillId="8" borderId="8" xfId="0" applyFont="1" applyFill="1" applyBorder="1" applyAlignment="1" applyProtection="1">
      <alignment horizontal="left" vertical="center" wrapText="1"/>
      <protection locked="0"/>
    </xf>
    <xf numFmtId="0" fontId="5" fillId="4" borderId="11" xfId="0" applyFont="1" applyFill="1" applyBorder="1" applyAlignment="1">
      <alignment horizontal="center" vertical="center" wrapText="1"/>
    </xf>
    <xf numFmtId="49" fontId="5" fillId="4" borderId="11"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179" fontId="6" fillId="0" borderId="3" xfId="0" applyNumberFormat="1" applyFont="1" applyFill="1" applyBorder="1" applyAlignment="1">
      <alignment vertical="center" wrapText="1"/>
    </xf>
    <xf numFmtId="179" fontId="11" fillId="0" borderId="3" xfId="7" applyNumberFormat="1" applyFont="1" applyFill="1" applyBorder="1" applyAlignment="1">
      <alignment vertical="center"/>
    </xf>
    <xf numFmtId="179" fontId="8" fillId="0" borderId="3" xfId="5" applyNumberFormat="1" applyFont="1" applyFill="1" applyBorder="1" applyAlignment="1">
      <alignment vertical="center"/>
    </xf>
    <xf numFmtId="0" fontId="8" fillId="2" borderId="10"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justify" vertical="center" wrapText="1"/>
    </xf>
    <xf numFmtId="9" fontId="8" fillId="2" borderId="3" xfId="3"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6" xfId="0" applyFont="1" applyFill="1" applyBorder="1" applyAlignment="1">
      <alignment horizontal="center" vertical="center" wrapText="1"/>
    </xf>
    <xf numFmtId="170" fontId="2" fillId="4" borderId="11"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2" borderId="0" xfId="0" applyFont="1" applyFill="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justify" vertical="center" wrapText="1"/>
    </xf>
    <xf numFmtId="1" fontId="8" fillId="2" borderId="17" xfId="0" applyNumberFormat="1" applyFont="1" applyFill="1" applyBorder="1" applyAlignment="1">
      <alignment horizontal="center" vertical="center" wrapText="1"/>
    </xf>
    <xf numFmtId="1" fontId="15" fillId="4" borderId="10" xfId="0" applyNumberFormat="1" applyFont="1" applyFill="1" applyBorder="1" applyAlignment="1">
      <alignment horizontal="center" vertical="center" wrapText="1"/>
    </xf>
    <xf numFmtId="0" fontId="8" fillId="2" borderId="0" xfId="0" applyFont="1" applyFill="1" applyAlignment="1">
      <alignment horizontal="left"/>
    </xf>
    <xf numFmtId="14" fontId="8" fillId="2" borderId="3" xfId="0" applyNumberFormat="1" applyFont="1" applyFill="1" applyBorder="1" applyAlignment="1">
      <alignment horizontal="center" vertical="center"/>
    </xf>
    <xf numFmtId="1" fontId="8" fillId="2" borderId="10" xfId="0" applyNumberFormat="1" applyFont="1" applyFill="1" applyBorder="1" applyAlignment="1">
      <alignment horizontal="center" vertical="center"/>
    </xf>
    <xf numFmtId="1" fontId="8" fillId="2" borderId="17" xfId="0" applyNumberFormat="1" applyFont="1" applyFill="1" applyBorder="1" applyAlignment="1">
      <alignment horizontal="center" vertical="center"/>
    </xf>
    <xf numFmtId="0" fontId="8" fillId="2" borderId="7" xfId="0" applyFont="1" applyFill="1" applyBorder="1" applyAlignment="1">
      <alignment horizontal="center" vertical="center"/>
    </xf>
    <xf numFmtId="1" fontId="8" fillId="2" borderId="16"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1" xfId="0" applyFont="1" applyFill="1" applyBorder="1" applyAlignment="1">
      <alignment horizontal="center" vertical="center"/>
    </xf>
    <xf numFmtId="9" fontId="8" fillId="2" borderId="3" xfId="3" applyFont="1" applyFill="1" applyBorder="1" applyAlignment="1">
      <alignment horizontal="center" vertical="center"/>
    </xf>
    <xf numFmtId="1" fontId="8" fillId="2" borderId="3"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0" fontId="15" fillId="0" borderId="3" xfId="0" applyFont="1" applyFill="1" applyBorder="1" applyAlignment="1">
      <alignment horizontal="left" vertical="center"/>
    </xf>
    <xf numFmtId="0" fontId="15" fillId="0" borderId="6" xfId="0" applyFont="1" applyBorder="1" applyAlignment="1">
      <alignment vertical="center"/>
    </xf>
    <xf numFmtId="170" fontId="2" fillId="4" borderId="11"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170" fontId="17" fillId="4" borderId="11" xfId="0" applyNumberFormat="1" applyFont="1" applyFill="1" applyBorder="1" applyAlignment="1">
      <alignment horizontal="center" vertical="center" wrapText="1"/>
    </xf>
    <xf numFmtId="171" fontId="5" fillId="5" borderId="3" xfId="10" applyNumberFormat="1" applyFont="1" applyFill="1" applyBorder="1" applyAlignment="1">
      <alignment horizontal="center" vertical="center" wrapText="1"/>
    </xf>
    <xf numFmtId="171" fontId="5" fillId="5" borderId="7" xfId="10" applyNumberFormat="1" applyFont="1" applyFill="1" applyBorder="1" applyAlignment="1">
      <alignment horizontal="center" vertical="center" wrapText="1"/>
    </xf>
    <xf numFmtId="171" fontId="5" fillId="5" borderId="11" xfId="10" applyNumberFormat="1" applyFont="1" applyFill="1" applyBorder="1" applyAlignment="1">
      <alignment horizontal="center" vertical="center" wrapText="1"/>
    </xf>
    <xf numFmtId="0" fontId="17" fillId="17" borderId="10" xfId="0" applyFont="1" applyFill="1" applyBorder="1" applyAlignment="1">
      <alignment horizontal="center" vertical="center" wrapText="1"/>
    </xf>
    <xf numFmtId="0" fontId="17" fillId="17" borderId="11" xfId="0" applyNumberFormat="1" applyFont="1" applyFill="1" applyBorder="1" applyAlignment="1">
      <alignment horizontal="center" vertical="center" wrapText="1"/>
    </xf>
    <xf numFmtId="3" fontId="17" fillId="17" borderId="7" xfId="0" applyNumberFormat="1" applyFont="1" applyFill="1" applyBorder="1" applyAlignment="1">
      <alignment horizontal="center" vertical="center" wrapText="1"/>
    </xf>
    <xf numFmtId="0" fontId="15" fillId="0" borderId="12" xfId="0" applyFont="1" applyBorder="1" applyAlignment="1">
      <alignment vertical="center"/>
    </xf>
    <xf numFmtId="0" fontId="15" fillId="0" borderId="8" xfId="0" applyFont="1" applyBorder="1" applyAlignment="1">
      <alignment vertical="center"/>
    </xf>
    <xf numFmtId="0" fontId="17" fillId="4" borderId="3" xfId="0" applyFont="1" applyFill="1" applyBorder="1" applyAlignment="1">
      <alignment horizontal="center" vertical="center"/>
    </xf>
    <xf numFmtId="49" fontId="17" fillId="4" borderId="3" xfId="0" applyNumberFormat="1" applyFont="1" applyFill="1" applyBorder="1" applyAlignment="1">
      <alignment horizontal="center" vertical="center"/>
    </xf>
    <xf numFmtId="0" fontId="17" fillId="4" borderId="3" xfId="0" applyFont="1" applyFill="1" applyBorder="1" applyAlignment="1">
      <alignment horizontal="center" vertical="center" textRotation="1"/>
    </xf>
    <xf numFmtId="14" fontId="17" fillId="17" borderId="3" xfId="0" applyNumberFormat="1" applyFont="1" applyFill="1" applyBorder="1" applyAlignment="1">
      <alignment horizontal="center" vertical="center" wrapText="1"/>
    </xf>
    <xf numFmtId="3" fontId="17" fillId="17"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7" xfId="0" applyFont="1" applyFill="1" applyBorder="1" applyAlignment="1">
      <alignment vertical="center"/>
    </xf>
    <xf numFmtId="0" fontId="5" fillId="6" borderId="2" xfId="0" applyFont="1" applyFill="1" applyBorder="1" applyAlignment="1">
      <alignment vertical="center"/>
    </xf>
    <xf numFmtId="0" fontId="33" fillId="0" borderId="0" xfId="0" applyFont="1" applyBorder="1" applyAlignment="1">
      <alignment horizontal="center" vertical="center"/>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2" fillId="4" borderId="1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justify" vertical="center" wrapText="1"/>
    </xf>
    <xf numFmtId="0" fontId="2" fillId="4" borderId="16" xfId="0" applyFont="1" applyFill="1" applyBorder="1" applyAlignment="1">
      <alignment horizontal="justify" vertical="center" wrapText="1"/>
    </xf>
    <xf numFmtId="9" fontId="2" fillId="4" borderId="10" xfId="3" applyFont="1" applyFill="1" applyBorder="1" applyAlignment="1">
      <alignment horizontal="center" vertical="center" wrapText="1"/>
    </xf>
    <xf numFmtId="9" fontId="2" fillId="4" borderId="16" xfId="3" applyFont="1" applyFill="1" applyBorder="1" applyAlignment="1">
      <alignment horizontal="center" vertical="center" wrapText="1"/>
    </xf>
    <xf numFmtId="0" fontId="2" fillId="4" borderId="4" xfId="0"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3" fontId="2" fillId="4" borderId="10" xfId="0" applyNumberFormat="1" applyFont="1" applyFill="1" applyBorder="1" applyAlignment="1">
      <alignment horizontal="center" vertical="center" wrapText="1"/>
    </xf>
    <xf numFmtId="3" fontId="2" fillId="4" borderId="16" xfId="0" applyNumberFormat="1" applyFont="1" applyFill="1" applyBorder="1" applyAlignment="1">
      <alignment horizontal="center" vertical="center" wrapText="1"/>
    </xf>
    <xf numFmtId="170" fontId="2" fillId="4" borderId="7" xfId="0" applyNumberFormat="1" applyFont="1" applyFill="1" applyBorder="1" applyAlignment="1">
      <alignment horizontal="center" vertical="center" wrapText="1"/>
    </xf>
    <xf numFmtId="170" fontId="2" fillId="4" borderId="4"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70" fontId="8" fillId="2" borderId="10" xfId="0" applyNumberFormat="1" applyFont="1" applyFill="1" applyBorder="1" applyAlignment="1" applyProtection="1">
      <alignment horizontal="center" vertical="center" wrapText="1"/>
      <protection locked="0"/>
    </xf>
    <xf numFmtId="170" fontId="8" fillId="2" borderId="16" xfId="0" applyNumberFormat="1" applyFont="1" applyFill="1" applyBorder="1" applyAlignment="1" applyProtection="1">
      <alignment horizontal="center" vertical="center" wrapText="1"/>
      <protection locked="0"/>
    </xf>
    <xf numFmtId="170" fontId="8" fillId="2" borderId="17" xfId="0" applyNumberFormat="1" applyFont="1" applyFill="1" applyBorder="1" applyAlignment="1" applyProtection="1">
      <alignment horizontal="center" vertical="center" wrapText="1"/>
      <protection locked="0"/>
    </xf>
    <xf numFmtId="165" fontId="8" fillId="2" borderId="3" xfId="6" applyFont="1" applyFill="1" applyBorder="1" applyAlignment="1">
      <alignment horizontal="center" vertical="center" wrapText="1"/>
    </xf>
    <xf numFmtId="9" fontId="8" fillId="2" borderId="3" xfId="3" applyFont="1" applyFill="1" applyBorder="1" applyAlignment="1">
      <alignment horizontal="center" vertical="center" wrapText="1"/>
    </xf>
    <xf numFmtId="42" fontId="8" fillId="2" borderId="3" xfId="2" applyFont="1" applyFill="1" applyBorder="1" applyAlignment="1">
      <alignment horizontal="center" vertical="center" wrapText="1"/>
    </xf>
    <xf numFmtId="0" fontId="10" fillId="9" borderId="10" xfId="0" applyFont="1" applyFill="1" applyBorder="1" applyAlignment="1">
      <alignment horizontal="justify" vertical="center" wrapText="1"/>
    </xf>
    <xf numFmtId="0" fontId="10" fillId="9" borderId="17" xfId="0" applyFont="1" applyFill="1" applyBorder="1" applyAlignment="1">
      <alignment horizontal="justify" vertical="center" wrapText="1"/>
    </xf>
    <xf numFmtId="3" fontId="8" fillId="0" borderId="10"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7" xfId="1"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0" fillId="0" borderId="3" xfId="0" applyFont="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9" fontId="8" fillId="0" borderId="3" xfId="3" applyFont="1" applyFill="1" applyBorder="1" applyAlignment="1">
      <alignment horizontal="center" vertical="center"/>
    </xf>
    <xf numFmtId="42" fontId="8" fillId="0" borderId="3" xfId="2" applyFont="1" applyFill="1" applyBorder="1" applyAlignment="1">
      <alignment horizontal="center" vertical="center"/>
    </xf>
    <xf numFmtId="0" fontId="11" fillId="0" borderId="3" xfId="0" applyFont="1" applyFill="1" applyBorder="1" applyAlignment="1">
      <alignment horizontal="justify"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7" borderId="11"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8" borderId="11"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8" fillId="0" borderId="3" xfId="0"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6" xfId="0" applyFont="1" applyFill="1" applyBorder="1" applyAlignment="1">
      <alignment horizontal="center" wrapText="1"/>
    </xf>
    <xf numFmtId="0" fontId="8" fillId="2" borderId="10" xfId="0" applyFont="1" applyFill="1" applyBorder="1" applyAlignment="1">
      <alignment horizontal="justify" vertical="center" wrapText="1"/>
    </xf>
    <xf numFmtId="0" fontId="8" fillId="2" borderId="16" xfId="0" applyFont="1" applyFill="1" applyBorder="1" applyAlignment="1">
      <alignment horizontal="justify" vertical="center" wrapText="1"/>
    </xf>
    <xf numFmtId="42" fontId="8" fillId="2" borderId="10" xfId="2" applyFont="1" applyFill="1" applyBorder="1" applyAlignment="1">
      <alignment horizontal="center" vertical="center" wrapText="1"/>
    </xf>
    <xf numFmtId="42" fontId="8" fillId="2" borderId="16" xfId="2" applyFont="1" applyFill="1" applyBorder="1" applyAlignment="1">
      <alignment horizontal="center" vertical="center" wrapText="1"/>
    </xf>
    <xf numFmtId="172" fontId="8" fillId="2" borderId="3" xfId="0" applyNumberFormat="1" applyFont="1" applyFill="1" applyBorder="1" applyAlignment="1">
      <alignment horizontal="center" vertical="center" wrapText="1"/>
    </xf>
    <xf numFmtId="3" fontId="8" fillId="0" borderId="10" xfId="1" applyNumberFormat="1" applyFont="1" applyFill="1" applyBorder="1" applyAlignment="1">
      <alignment horizontal="center" wrapText="1"/>
    </xf>
    <xf numFmtId="3" fontId="8" fillId="0" borderId="16" xfId="1" applyNumberFormat="1" applyFont="1" applyFill="1" applyBorder="1" applyAlignment="1">
      <alignment horizontal="center" wrapText="1"/>
    </xf>
    <xf numFmtId="0" fontId="8" fillId="2" borderId="10" xfId="0" applyFont="1" applyFill="1" applyBorder="1" applyAlignment="1">
      <alignment horizontal="center" wrapText="1"/>
    </xf>
    <xf numFmtId="0" fontId="8" fillId="2" borderId="16" xfId="0" applyFont="1" applyFill="1" applyBorder="1" applyAlignment="1">
      <alignment horizontal="center" wrapText="1"/>
    </xf>
    <xf numFmtId="172" fontId="8" fillId="2" borderId="10" xfId="0" applyNumberFormat="1" applyFont="1" applyFill="1" applyBorder="1" applyAlignment="1">
      <alignment horizontal="center" vertical="center" wrapText="1"/>
    </xf>
    <xf numFmtId="172" fontId="8" fillId="2" borderId="16" xfId="0" applyNumberFormat="1" applyFont="1" applyFill="1" applyBorder="1" applyAlignment="1">
      <alignment horizontal="center" vertical="center" wrapText="1"/>
    </xf>
    <xf numFmtId="3" fontId="8" fillId="0" borderId="3" xfId="1" applyNumberFormat="1" applyFont="1" applyFill="1" applyBorder="1" applyAlignment="1">
      <alignment horizontal="right" vertical="center"/>
    </xf>
    <xf numFmtId="3" fontId="8" fillId="0" borderId="10"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xf>
    <xf numFmtId="3" fontId="15" fillId="2" borderId="8" xfId="0" applyNumberFormat="1" applyFont="1" applyFill="1" applyBorder="1" applyAlignment="1">
      <alignment horizontal="center" vertical="center"/>
    </xf>
    <xf numFmtId="0" fontId="8" fillId="0" borderId="0" xfId="0" applyFont="1" applyAlignment="1">
      <alignment horizontal="center"/>
    </xf>
    <xf numFmtId="3" fontId="8" fillId="2" borderId="10" xfId="0" applyNumberFormat="1" applyFont="1" applyFill="1" applyBorder="1" applyAlignment="1">
      <alignment horizontal="center" vertical="center" wrapText="1"/>
    </xf>
    <xf numFmtId="3" fontId="8" fillId="2" borderId="16" xfId="0" applyNumberFormat="1" applyFont="1" applyFill="1" applyBorder="1" applyAlignment="1">
      <alignment horizontal="center" vertical="center" wrapText="1"/>
    </xf>
    <xf numFmtId="0" fontId="8" fillId="0" borderId="16" xfId="0" applyFont="1" applyFill="1" applyBorder="1" applyAlignment="1">
      <alignment horizontal="center" vertical="top" wrapText="1"/>
    </xf>
    <xf numFmtId="3" fontId="8" fillId="0" borderId="16" xfId="1" applyNumberFormat="1" applyFont="1" applyFill="1" applyBorder="1" applyAlignment="1">
      <alignment horizontal="center" vertical="top" wrapText="1"/>
    </xf>
    <xf numFmtId="0" fontId="8" fillId="2" borderId="16" xfId="0" applyFont="1" applyFill="1" applyBorder="1" applyAlignment="1">
      <alignment horizontal="center" vertical="top" wrapText="1"/>
    </xf>
    <xf numFmtId="0" fontId="8" fillId="2" borderId="18" xfId="0" applyFont="1" applyFill="1" applyBorder="1" applyAlignment="1">
      <alignment horizontal="center" vertical="top" wrapText="1"/>
    </xf>
    <xf numFmtId="0" fontId="12" fillId="0" borderId="1" xfId="0" applyFont="1" applyFill="1" applyBorder="1" applyAlignment="1">
      <alignment horizontal="center" vertical="center" wrapText="1"/>
    </xf>
    <xf numFmtId="3" fontId="5" fillId="4" borderId="10" xfId="4" applyNumberFormat="1" applyFont="1" applyFill="1" applyBorder="1" applyAlignment="1">
      <alignment horizontal="center" vertical="center" wrapText="1"/>
    </xf>
    <xf numFmtId="3" fontId="5" fillId="4" borderId="16"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3" fontId="6" fillId="2" borderId="3" xfId="0" applyNumberFormat="1" applyFont="1" applyFill="1" applyBorder="1" applyAlignment="1">
      <alignment horizontal="justify" vertical="center" wrapText="1"/>
    </xf>
    <xf numFmtId="3" fontId="6" fillId="2" borderId="10" xfId="0" applyNumberFormat="1" applyFont="1" applyFill="1" applyBorder="1" applyAlignment="1">
      <alignment horizontal="justify"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2" borderId="3" xfId="3" applyFont="1" applyFill="1" applyBorder="1" applyAlignment="1">
      <alignment horizontal="center" vertical="center" wrapText="1"/>
    </xf>
    <xf numFmtId="9" fontId="6" fillId="2" borderId="10" xfId="3" applyFont="1" applyFill="1" applyBorder="1" applyAlignment="1">
      <alignment horizontal="center" vertical="center" wrapText="1"/>
    </xf>
    <xf numFmtId="175" fontId="6" fillId="2" borderId="3" xfId="0" applyNumberFormat="1" applyFont="1" applyFill="1" applyBorder="1" applyAlignment="1">
      <alignment horizontal="center" vertical="center" wrapText="1"/>
    </xf>
    <xf numFmtId="175" fontId="6" fillId="2" borderId="10" xfId="0"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10" xfId="0" applyFont="1" applyFill="1" applyBorder="1" applyAlignment="1">
      <alignment horizontal="justify" vertical="center" wrapText="1"/>
    </xf>
    <xf numFmtId="1" fontId="6" fillId="2" borderId="10" xfId="0" applyNumberFormat="1" applyFont="1" applyFill="1" applyBorder="1" applyAlignment="1">
      <alignment horizontal="center" vertical="center" wrapText="1"/>
    </xf>
    <xf numFmtId="1" fontId="6" fillId="2" borderId="16" xfId="0" applyNumberFormat="1" applyFont="1" applyFill="1" applyBorder="1" applyAlignment="1">
      <alignment horizontal="center" vertical="center" wrapText="1"/>
    </xf>
    <xf numFmtId="1" fontId="6" fillId="2" borderId="17" xfId="0" applyNumberFormat="1" applyFont="1" applyFill="1" applyBorder="1" applyAlignment="1">
      <alignment horizontal="center" vertical="center" wrapText="1"/>
    </xf>
    <xf numFmtId="0" fontId="6" fillId="2" borderId="17" xfId="0" applyFont="1" applyFill="1" applyBorder="1" applyAlignment="1">
      <alignment horizontal="justify" vertical="center" wrapText="1"/>
    </xf>
    <xf numFmtId="9" fontId="6" fillId="2" borderId="17" xfId="3" applyFont="1" applyFill="1" applyBorder="1" applyAlignment="1">
      <alignment horizontal="center" vertical="center"/>
    </xf>
    <xf numFmtId="9" fontId="6" fillId="2" borderId="3" xfId="3" applyFont="1" applyFill="1" applyBorder="1" applyAlignment="1">
      <alignment horizontal="center" vertical="center"/>
    </xf>
    <xf numFmtId="9" fontId="6" fillId="2" borderId="10" xfId="3" applyFont="1" applyFill="1" applyBorder="1" applyAlignment="1">
      <alignment horizontal="center" vertical="center"/>
    </xf>
    <xf numFmtId="175" fontId="6" fillId="2" borderId="17" xfId="0" applyNumberFormat="1" applyFont="1" applyFill="1" applyBorder="1" applyAlignment="1">
      <alignment horizontal="center" vertical="center"/>
    </xf>
    <xf numFmtId="175" fontId="6" fillId="2" borderId="3" xfId="0" applyNumberFormat="1" applyFont="1" applyFill="1" applyBorder="1" applyAlignment="1">
      <alignment horizontal="center" vertical="center"/>
    </xf>
    <xf numFmtId="175" fontId="6" fillId="2" borderId="10" xfId="0" applyNumberFormat="1" applyFont="1" applyFill="1" applyBorder="1" applyAlignment="1">
      <alignment horizontal="center" vertical="center"/>
    </xf>
    <xf numFmtId="1" fontId="6" fillId="0" borderId="17" xfId="0" applyNumberFormat="1" applyFont="1" applyFill="1" applyBorder="1" applyAlignment="1">
      <alignment horizontal="justify" vertical="center" wrapText="1"/>
    </xf>
    <xf numFmtId="1" fontId="6" fillId="0" borderId="3" xfId="0" applyNumberFormat="1" applyFont="1" applyFill="1" applyBorder="1" applyAlignment="1">
      <alignment horizontal="justify" vertical="center" wrapText="1"/>
    </xf>
    <xf numFmtId="1" fontId="6" fillId="0" borderId="10" xfId="0" applyNumberFormat="1" applyFont="1" applyFill="1" applyBorder="1" applyAlignment="1">
      <alignment horizontal="justify" vertical="center" wrapText="1"/>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7" xfId="0" applyFont="1" applyFill="1" applyBorder="1" applyAlignment="1">
      <alignment horizontal="center" vertical="center" wrapText="1"/>
    </xf>
    <xf numFmtId="1" fontId="6" fillId="2" borderId="10" xfId="0" applyNumberFormat="1" applyFont="1" applyFill="1" applyBorder="1" applyAlignment="1">
      <alignment horizontal="center" vertical="center"/>
    </xf>
    <xf numFmtId="1" fontId="6" fillId="2" borderId="16" xfId="0" applyNumberFormat="1" applyFont="1" applyFill="1" applyBorder="1" applyAlignment="1">
      <alignment horizontal="center" vertical="center"/>
    </xf>
    <xf numFmtId="1" fontId="6" fillId="2" borderId="17" xfId="0" applyNumberFormat="1" applyFont="1" applyFill="1" applyBorder="1" applyAlignment="1">
      <alignment horizontal="center" vertical="center"/>
    </xf>
    <xf numFmtId="0" fontId="6" fillId="0" borderId="17" xfId="0" applyFont="1" applyFill="1" applyBorder="1" applyAlignment="1">
      <alignment horizontal="justify" vertical="center" wrapText="1"/>
    </xf>
    <xf numFmtId="1" fontId="6" fillId="0" borderId="17"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4" fontId="6" fillId="0" borderId="17" xfId="0" applyNumberFormat="1" applyFont="1" applyFill="1" applyBorder="1" applyAlignment="1">
      <alignment horizontal="justify" vertical="center" wrapText="1"/>
    </xf>
    <xf numFmtId="14" fontId="6" fillId="0" borderId="3" xfId="0" applyNumberFormat="1" applyFont="1" applyFill="1" applyBorder="1" applyAlignment="1">
      <alignment horizontal="justify" vertical="center"/>
    </xf>
    <xf numFmtId="14" fontId="6" fillId="0" borderId="10" xfId="0" applyNumberFormat="1" applyFont="1" applyFill="1" applyBorder="1" applyAlignment="1">
      <alignment horizontal="justify" vertical="center"/>
    </xf>
    <xf numFmtId="0" fontId="6" fillId="0" borderId="16" xfId="0" applyFont="1" applyFill="1" applyBorder="1" applyAlignment="1">
      <alignment horizontal="center" vertical="center" wrapText="1"/>
    </xf>
    <xf numFmtId="176" fontId="6" fillId="0" borderId="17"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9" fontId="6" fillId="0" borderId="17" xfId="3" applyFont="1" applyFill="1" applyBorder="1" applyAlignment="1">
      <alignment horizontal="center" vertical="center"/>
    </xf>
    <xf numFmtId="9" fontId="6" fillId="0" borderId="3" xfId="3" applyFont="1" applyFill="1" applyBorder="1" applyAlignment="1">
      <alignment horizontal="center" vertical="center"/>
    </xf>
    <xf numFmtId="9" fontId="6" fillId="0" borderId="10" xfId="3" applyFont="1" applyFill="1" applyBorder="1" applyAlignment="1">
      <alignment horizontal="center" vertical="center"/>
    </xf>
    <xf numFmtId="175" fontId="6" fillId="0" borderId="17" xfId="0" applyNumberFormat="1" applyFont="1" applyFill="1" applyBorder="1" applyAlignment="1">
      <alignment horizontal="center" vertical="center"/>
    </xf>
    <xf numFmtId="175" fontId="6" fillId="0" borderId="3" xfId="0" applyNumberFormat="1" applyFont="1" applyFill="1" applyBorder="1" applyAlignment="1">
      <alignment horizontal="center" vertical="center"/>
    </xf>
    <xf numFmtId="175" fontId="6" fillId="0" borderId="10"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0" fontId="6" fillId="0" borderId="16" xfId="0" applyFont="1" applyFill="1" applyBorder="1" applyAlignment="1">
      <alignment horizontal="justify" vertical="center" wrapText="1"/>
    </xf>
    <xf numFmtId="1" fontId="6" fillId="0" borderId="16" xfId="0" applyNumberFormat="1" applyFont="1" applyFill="1" applyBorder="1" applyAlignment="1">
      <alignment horizontal="center" vertical="center" wrapText="1"/>
    </xf>
    <xf numFmtId="0" fontId="6" fillId="0" borderId="17" xfId="0" applyFont="1" applyFill="1" applyBorder="1" applyAlignment="1">
      <alignment horizontal="justify" vertical="center"/>
    </xf>
    <xf numFmtId="0" fontId="6" fillId="0" borderId="3" xfId="0" applyFont="1" applyFill="1" applyBorder="1" applyAlignment="1">
      <alignment horizontal="justify" vertical="center"/>
    </xf>
    <xf numFmtId="1" fontId="11" fillId="2" borderId="3" xfId="0" applyNumberFormat="1" applyFont="1" applyFill="1" applyBorder="1" applyAlignment="1">
      <alignment horizontal="center" vertical="center" wrapText="1"/>
    </xf>
    <xf numFmtId="9" fontId="6" fillId="0" borderId="3" xfId="3" applyFont="1" applyFill="1" applyBorder="1" applyAlignment="1">
      <alignment horizontal="center" vertical="center" wrapText="1"/>
    </xf>
    <xf numFmtId="175" fontId="6" fillId="0" borderId="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3" xfId="0" applyNumberFormat="1" applyFont="1" applyFill="1" applyBorder="1" applyAlignment="1">
      <alignment horizontal="justify" vertical="center" wrapText="1"/>
    </xf>
    <xf numFmtId="1" fontId="6" fillId="0" borderId="3" xfId="0" applyNumberFormat="1" applyFont="1" applyFill="1" applyBorder="1" applyAlignment="1">
      <alignment horizontal="center" vertical="center"/>
    </xf>
    <xf numFmtId="0" fontId="8" fillId="0" borderId="1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176" fontId="6" fillId="0" borderId="3"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9" fontId="6" fillId="0" borderId="10" xfId="3" applyFont="1" applyFill="1" applyBorder="1" applyAlignment="1">
      <alignment horizontal="center" vertical="center" wrapText="1"/>
    </xf>
    <xf numFmtId="9" fontId="6" fillId="0" borderId="16" xfId="3" applyFont="1" applyFill="1" applyBorder="1" applyAlignment="1">
      <alignment horizontal="center" vertical="center" wrapText="1"/>
    </xf>
    <xf numFmtId="9" fontId="6" fillId="0" borderId="17" xfId="3" applyFont="1" applyFill="1" applyBorder="1" applyAlignment="1">
      <alignment horizontal="center" vertical="center" wrapText="1"/>
    </xf>
    <xf numFmtId="175" fontId="6" fillId="0" borderId="10" xfId="0" applyNumberFormat="1" applyFont="1" applyFill="1" applyBorder="1" applyAlignment="1">
      <alignment horizontal="center" vertical="center" wrapText="1"/>
    </xf>
    <xf numFmtId="175" fontId="6" fillId="0" borderId="16" xfId="0" applyNumberFormat="1" applyFont="1" applyFill="1" applyBorder="1" applyAlignment="1">
      <alignment horizontal="center" vertical="center" wrapText="1"/>
    </xf>
    <xf numFmtId="175" fontId="6" fillId="0" borderId="17"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1" fontId="11" fillId="2" borderId="16" xfId="0" applyNumberFormat="1"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3" fontId="6" fillId="0" borderId="10" xfId="0" applyNumberFormat="1" applyFont="1" applyFill="1" applyBorder="1" applyAlignment="1">
      <alignment horizontal="justify" vertical="center" wrapText="1"/>
    </xf>
    <xf numFmtId="3" fontId="6" fillId="0" borderId="16" xfId="0" applyNumberFormat="1" applyFont="1" applyFill="1" applyBorder="1" applyAlignment="1">
      <alignment horizontal="justify" vertical="center" wrapText="1"/>
    </xf>
    <xf numFmtId="3" fontId="6" fillId="0" borderId="17" xfId="0" applyNumberFormat="1" applyFont="1" applyFill="1" applyBorder="1" applyAlignment="1">
      <alignment horizontal="justify" vertical="center" wrapText="1"/>
    </xf>
    <xf numFmtId="1" fontId="6" fillId="0" borderId="1"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xf>
    <xf numFmtId="0" fontId="6" fillId="0" borderId="0" xfId="0" applyFont="1" applyFill="1" applyBorder="1" applyAlignment="1">
      <alignment horizontal="center"/>
    </xf>
    <xf numFmtId="176" fontId="6" fillId="0" borderId="10"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0" fontId="11" fillId="0" borderId="3" xfId="0" applyFont="1" applyFill="1" applyBorder="1" applyAlignment="1">
      <alignment horizontal="center"/>
    </xf>
    <xf numFmtId="0" fontId="6" fillId="0" borderId="3" xfId="0" applyFont="1" applyFill="1" applyBorder="1" applyAlignment="1">
      <alignment horizontal="center"/>
    </xf>
    <xf numFmtId="14" fontId="6" fillId="0" borderId="3" xfId="0" applyNumberFormat="1" applyFont="1" applyFill="1" applyBorder="1" applyAlignment="1">
      <alignment horizontal="center" vertical="center"/>
    </xf>
    <xf numFmtId="0" fontId="6" fillId="2" borderId="3" xfId="0" applyFont="1" applyFill="1" applyBorder="1" applyAlignment="1">
      <alignment horizontal="justify" vertical="center"/>
    </xf>
    <xf numFmtId="0" fontId="6" fillId="2" borderId="10" xfId="0" applyFont="1" applyFill="1" applyBorder="1" applyAlignment="1">
      <alignment horizontal="justify" vertical="center"/>
    </xf>
    <xf numFmtId="1" fontId="6" fillId="2" borderId="3"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xf>
    <xf numFmtId="0" fontId="15" fillId="0" borderId="0" xfId="0" applyFont="1" applyAlignment="1">
      <alignment horizontal="center"/>
    </xf>
    <xf numFmtId="175" fontId="5" fillId="2" borderId="28" xfId="0" applyNumberFormat="1" applyFont="1" applyFill="1" applyBorder="1" applyAlignment="1">
      <alignment horizontal="center" vertical="center"/>
    </xf>
    <xf numFmtId="175" fontId="5" fillId="2" borderId="32"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8"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65" fontId="6" fillId="0" borderId="10" xfId="6" applyFont="1" applyFill="1" applyBorder="1" applyAlignment="1">
      <alignment horizontal="center" vertical="center" wrapText="1"/>
    </xf>
    <xf numFmtId="165" fontId="6" fillId="0" borderId="16" xfId="6" applyFont="1" applyFill="1" applyBorder="1" applyAlignment="1">
      <alignment horizontal="center" vertical="center" wrapText="1"/>
    </xf>
    <xf numFmtId="165" fontId="6" fillId="0" borderId="17" xfId="6" applyFont="1" applyFill="1" applyBorder="1" applyAlignment="1">
      <alignment horizontal="center" vertical="center" wrapText="1"/>
    </xf>
    <xf numFmtId="9" fontId="6" fillId="0" borderId="33" xfId="3"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178" fontId="6" fillId="0" borderId="10" xfId="10" applyNumberFormat="1" applyFont="1" applyFill="1" applyBorder="1" applyAlignment="1">
      <alignment horizontal="center" vertical="center" wrapText="1"/>
    </xf>
    <xf numFmtId="178" fontId="6" fillId="0" borderId="16" xfId="10" applyNumberFormat="1" applyFont="1" applyFill="1" applyBorder="1" applyAlignment="1">
      <alignment horizontal="center" vertical="center" wrapText="1"/>
    </xf>
    <xf numFmtId="178" fontId="6" fillId="0" borderId="17" xfId="10" applyNumberFormat="1" applyFont="1" applyFill="1" applyBorder="1" applyAlignment="1">
      <alignment horizontal="center" vertical="center" wrapText="1"/>
    </xf>
    <xf numFmtId="170" fontId="6" fillId="0" borderId="10" xfId="0" applyNumberFormat="1" applyFont="1" applyFill="1" applyBorder="1" applyAlignment="1">
      <alignment horizontal="center" vertical="center" wrapText="1"/>
    </xf>
    <xf numFmtId="170" fontId="6" fillId="0" borderId="16" xfId="0" applyNumberFormat="1" applyFont="1" applyFill="1" applyBorder="1" applyAlignment="1">
      <alignment horizontal="center" vertical="center" wrapText="1"/>
    </xf>
    <xf numFmtId="170" fontId="6" fillId="0" borderId="17"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0" fontId="6" fillId="0" borderId="0" xfId="0" applyFont="1" applyAlignment="1">
      <alignment horizontal="center"/>
    </xf>
    <xf numFmtId="181" fontId="6" fillId="0" borderId="0" xfId="0" applyNumberFormat="1" applyFont="1" applyFill="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5" fillId="0" borderId="0" xfId="0" applyFont="1" applyAlignment="1">
      <alignment horizontal="center"/>
    </xf>
    <xf numFmtId="165" fontId="6" fillId="0" borderId="3" xfId="6" applyFont="1" applyFill="1" applyBorder="1" applyAlignment="1">
      <alignment horizontal="center" vertical="center" wrapText="1"/>
    </xf>
    <xf numFmtId="9" fontId="22" fillId="2" borderId="10" xfId="3" applyFont="1" applyFill="1" applyBorder="1" applyAlignment="1">
      <alignment horizontal="justify" vertical="center" wrapText="1"/>
    </xf>
    <xf numFmtId="9" fontId="22" fillId="2" borderId="16" xfId="3" applyFont="1" applyFill="1" applyBorder="1" applyAlignment="1">
      <alignment horizontal="justify" vertical="center" wrapText="1"/>
    </xf>
    <xf numFmtId="9" fontId="22" fillId="2" borderId="17" xfId="3" applyFont="1" applyFill="1" applyBorder="1" applyAlignment="1">
      <alignment horizontal="justify" vertical="center" wrapText="1"/>
    </xf>
    <xf numFmtId="175" fontId="22" fillId="2" borderId="3" xfId="0" applyNumberFormat="1" applyFont="1" applyFill="1" applyBorder="1" applyAlignment="1">
      <alignment horizontal="justify" vertical="center" wrapText="1"/>
    </xf>
    <xf numFmtId="0" fontId="22" fillId="2" borderId="3" xfId="0" applyFont="1" applyFill="1" applyBorder="1" applyAlignment="1">
      <alignment horizontal="justify" vertical="center" wrapText="1"/>
    </xf>
    <xf numFmtId="3" fontId="22" fillId="2" borderId="3" xfId="0" applyNumberFormat="1"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16" xfId="0" applyFont="1" applyFill="1" applyBorder="1" applyAlignment="1">
      <alignment horizontal="justify" vertical="center" wrapText="1"/>
    </xf>
    <xf numFmtId="0" fontId="22" fillId="0" borderId="17" xfId="0" applyFont="1" applyFill="1" applyBorder="1" applyAlignment="1">
      <alignment horizontal="justify" vertical="center" wrapText="1"/>
    </xf>
    <xf numFmtId="175" fontId="22" fillId="0" borderId="3" xfId="0" applyNumberFormat="1" applyFont="1" applyFill="1" applyBorder="1" applyAlignment="1">
      <alignment horizontal="center" vertical="center" wrapText="1"/>
    </xf>
    <xf numFmtId="3" fontId="23" fillId="0" borderId="10" xfId="0" applyNumberFormat="1" applyFont="1" applyBorder="1" applyAlignment="1">
      <alignment horizontal="center" vertical="center"/>
    </xf>
    <xf numFmtId="3" fontId="23" fillId="0" borderId="16" xfId="0" applyNumberFormat="1" applyFont="1" applyBorder="1" applyAlignment="1">
      <alignment horizontal="center" vertical="center"/>
    </xf>
    <xf numFmtId="3" fontId="23" fillId="0" borderId="17" xfId="0" applyNumberFormat="1" applyFont="1" applyBorder="1" applyAlignment="1">
      <alignment horizontal="center" vertical="center"/>
    </xf>
    <xf numFmtId="1" fontId="22" fillId="2" borderId="10" xfId="0" applyNumberFormat="1" applyFont="1" applyFill="1" applyBorder="1" applyAlignment="1">
      <alignment horizontal="center" vertical="center" wrapText="1"/>
    </xf>
    <xf numFmtId="1" fontId="22" fillId="2" borderId="16" xfId="0" applyNumberFormat="1"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6" xfId="0"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3" fontId="22" fillId="2" borderId="3" xfId="0" applyNumberFormat="1" applyFont="1" applyFill="1" applyBorder="1" applyAlignment="1">
      <alignment horizontal="center" vertical="center" wrapText="1"/>
    </xf>
    <xf numFmtId="0" fontId="21" fillId="8" borderId="12" xfId="0" applyFont="1" applyFill="1" applyBorder="1" applyAlignment="1">
      <alignment horizontal="left" vertical="center"/>
    </xf>
    <xf numFmtId="0" fontId="22" fillId="2" borderId="8" xfId="0" applyFont="1" applyFill="1" applyBorder="1" applyAlignment="1">
      <alignment horizontal="justify" vertical="center" wrapText="1"/>
    </xf>
    <xf numFmtId="0" fontId="22" fillId="2" borderId="9" xfId="0" applyFont="1" applyFill="1" applyBorder="1" applyAlignment="1">
      <alignment horizontal="justify" vertical="center" wrapText="1"/>
    </xf>
    <xf numFmtId="0" fontId="22" fillId="2" borderId="10" xfId="0" applyFont="1" applyFill="1" applyBorder="1" applyAlignment="1">
      <alignment horizontal="justify" vertical="center" wrapText="1"/>
    </xf>
    <xf numFmtId="0" fontId="22" fillId="2" borderId="16" xfId="0" applyFont="1" applyFill="1" applyBorder="1" applyAlignment="1">
      <alignment horizontal="justify" vertical="center" wrapText="1"/>
    </xf>
    <xf numFmtId="0" fontId="22" fillId="2" borderId="17" xfId="0" applyFont="1" applyFill="1" applyBorder="1" applyAlignment="1">
      <alignment horizontal="justify" vertical="center" wrapText="1"/>
    </xf>
    <xf numFmtId="0" fontId="22" fillId="2" borderId="10"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0"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2" fillId="2" borderId="0" xfId="0" applyFont="1" applyFill="1" applyBorder="1" applyAlignment="1">
      <alignment horizontal="center" vertical="center" wrapText="1"/>
    </xf>
    <xf numFmtId="0" fontId="22" fillId="0" borderId="3" xfId="0" applyFont="1" applyFill="1" applyBorder="1" applyAlignment="1">
      <alignment horizontal="justify" vertical="center" wrapText="1"/>
    </xf>
    <xf numFmtId="0" fontId="22" fillId="2" borderId="5" xfId="0" applyFont="1" applyFill="1" applyBorder="1" applyAlignment="1">
      <alignment horizontal="center" vertical="center" wrapText="1"/>
    </xf>
    <xf numFmtId="0" fontId="22" fillId="2" borderId="5" xfId="0" applyFont="1" applyFill="1" applyBorder="1" applyAlignment="1">
      <alignment horizontal="justify" vertical="center" wrapText="1"/>
    </xf>
    <xf numFmtId="0" fontId="22" fillId="2" borderId="6" xfId="0" applyFont="1" applyFill="1" applyBorder="1" applyAlignment="1">
      <alignment horizontal="justify" vertical="center" wrapText="1"/>
    </xf>
    <xf numFmtId="1" fontId="22" fillId="2" borderId="3" xfId="0" applyNumberFormat="1" applyFont="1" applyFill="1" applyBorder="1" applyAlignment="1">
      <alignment horizontal="center" vertical="center"/>
    </xf>
    <xf numFmtId="0" fontId="22" fillId="0" borderId="3" xfId="0" applyFont="1" applyBorder="1" applyAlignment="1">
      <alignment horizontal="center" vertical="center" wrapText="1"/>
    </xf>
    <xf numFmtId="0" fontId="22" fillId="2" borderId="3" xfId="0" applyFont="1" applyFill="1" applyBorder="1" applyAlignment="1">
      <alignment horizontal="center" vertical="center" wrapText="1"/>
    </xf>
    <xf numFmtId="3" fontId="22" fillId="0" borderId="10" xfId="0" applyNumberFormat="1" applyFont="1" applyBorder="1" applyAlignment="1">
      <alignment horizontal="center" vertical="center"/>
    </xf>
    <xf numFmtId="3" fontId="22" fillId="0" borderId="16" xfId="0" applyNumberFormat="1" applyFont="1" applyBorder="1" applyAlignment="1">
      <alignment horizontal="center" vertical="center"/>
    </xf>
    <xf numFmtId="3" fontId="22" fillId="0" borderId="17" xfId="0" applyNumberFormat="1" applyFont="1" applyBorder="1" applyAlignment="1">
      <alignment horizontal="center" vertical="center"/>
    </xf>
    <xf numFmtId="175" fontId="22" fillId="2" borderId="16" xfId="0" applyNumberFormat="1" applyFont="1" applyFill="1" applyBorder="1" applyAlignment="1">
      <alignment horizontal="center" vertical="center" wrapText="1"/>
    </xf>
    <xf numFmtId="182" fontId="23" fillId="0" borderId="10" xfId="0" applyNumberFormat="1" applyFont="1" applyBorder="1" applyAlignment="1">
      <alignment horizontal="center" vertical="center"/>
    </xf>
    <xf numFmtId="182" fontId="23" fillId="0" borderId="16" xfId="0" applyNumberFormat="1" applyFont="1" applyBorder="1" applyAlignment="1">
      <alignment horizontal="center" vertical="center"/>
    </xf>
    <xf numFmtId="182" fontId="23" fillId="0" borderId="17" xfId="0" applyNumberFormat="1" applyFont="1" applyBorder="1" applyAlignment="1">
      <alignment horizontal="center" vertical="center"/>
    </xf>
    <xf numFmtId="175" fontId="22" fillId="2" borderId="3" xfId="0" applyNumberFormat="1" applyFont="1" applyFill="1" applyBorder="1" applyAlignment="1">
      <alignment horizontal="center" vertical="center" wrapText="1"/>
    </xf>
    <xf numFmtId="1" fontId="22" fillId="2" borderId="3"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175" fontId="22" fillId="2" borderId="10" xfId="0" applyNumberFormat="1" applyFont="1" applyFill="1" applyBorder="1" applyAlignment="1">
      <alignment horizontal="center" vertical="center" wrapText="1"/>
    </xf>
    <xf numFmtId="0" fontId="22" fillId="2" borderId="6"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11" fillId="0" borderId="17" xfId="0" applyFont="1" applyFill="1" applyBorder="1" applyAlignment="1">
      <alignment horizontal="justify" vertical="center" wrapText="1"/>
    </xf>
    <xf numFmtId="175" fontId="22" fillId="2" borderId="10" xfId="0" applyNumberFormat="1" applyFont="1" applyFill="1" applyBorder="1" applyAlignment="1">
      <alignment horizontal="justify" vertical="center" wrapText="1"/>
    </xf>
    <xf numFmtId="175" fontId="22" fillId="2" borderId="16" xfId="0" applyNumberFormat="1" applyFont="1" applyFill="1" applyBorder="1" applyAlignment="1">
      <alignment horizontal="justify" vertical="center" wrapText="1"/>
    </xf>
    <xf numFmtId="175" fontId="22" fillId="2" borderId="17" xfId="0" applyNumberFormat="1" applyFont="1" applyFill="1" applyBorder="1" applyAlignment="1">
      <alignment horizontal="justify" vertical="center" wrapText="1"/>
    </xf>
    <xf numFmtId="175" fontId="22" fillId="2" borderId="17" xfId="0" applyNumberFormat="1" applyFont="1" applyFill="1" applyBorder="1" applyAlignment="1">
      <alignment horizontal="center" vertical="center" wrapText="1"/>
    </xf>
    <xf numFmtId="3" fontId="22" fillId="2" borderId="10" xfId="0" applyNumberFormat="1" applyFont="1" applyFill="1" applyBorder="1" applyAlignment="1">
      <alignment horizontal="justify" vertical="center" wrapText="1"/>
    </xf>
    <xf numFmtId="3" fontId="22" fillId="2" borderId="16" xfId="0" applyNumberFormat="1" applyFont="1" applyFill="1" applyBorder="1" applyAlignment="1">
      <alignment horizontal="justify" vertical="center" wrapText="1"/>
    </xf>
    <xf numFmtId="3" fontId="22" fillId="2" borderId="17" xfId="0" applyNumberFormat="1" applyFont="1" applyFill="1" applyBorder="1" applyAlignment="1">
      <alignment horizontal="justify" vertical="center" wrapText="1"/>
    </xf>
    <xf numFmtId="0" fontId="22" fillId="2" borderId="3" xfId="0" applyFont="1" applyFill="1" applyBorder="1" applyAlignment="1">
      <alignment horizontal="justify" vertical="top" wrapText="1"/>
    </xf>
    <xf numFmtId="0" fontId="21" fillId="10" borderId="12" xfId="0" applyFont="1" applyFill="1" applyBorder="1" applyAlignment="1">
      <alignment horizontal="left" vertical="center"/>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1" fontId="22" fillId="2" borderId="10" xfId="0" applyNumberFormat="1" applyFont="1" applyFill="1" applyBorder="1" applyAlignment="1">
      <alignment horizontal="justify" vertical="center" wrapText="1"/>
    </xf>
    <xf numFmtId="1" fontId="22" fillId="2" borderId="16" xfId="0" applyNumberFormat="1" applyFont="1" applyFill="1" applyBorder="1" applyAlignment="1">
      <alignment horizontal="justify" vertical="center" wrapText="1"/>
    </xf>
    <xf numFmtId="1" fontId="22" fillId="2" borderId="17" xfId="0" applyNumberFormat="1" applyFont="1" applyFill="1" applyBorder="1" applyAlignment="1">
      <alignment horizontal="justify" vertical="center" wrapText="1"/>
    </xf>
    <xf numFmtId="0" fontId="22" fillId="2" borderId="10"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wrapText="1"/>
    </xf>
    <xf numFmtId="0" fontId="22" fillId="2" borderId="10" xfId="0" applyFont="1" applyFill="1" applyBorder="1" applyAlignment="1">
      <alignment horizontal="left" vertical="center" wrapText="1"/>
    </xf>
    <xf numFmtId="0" fontId="22" fillId="2" borderId="16" xfId="0" applyFont="1" applyFill="1" applyBorder="1" applyAlignment="1">
      <alignment horizontal="left" vertical="center" wrapText="1"/>
    </xf>
    <xf numFmtId="1" fontId="22" fillId="0" borderId="10" xfId="0" applyNumberFormat="1"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173" fontId="22" fillId="0" borderId="10" xfId="0" applyNumberFormat="1" applyFont="1" applyFill="1" applyBorder="1" applyAlignment="1">
      <alignment horizontal="center" vertical="center" wrapText="1"/>
    </xf>
    <xf numFmtId="173" fontId="22" fillId="0" borderId="16"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2" borderId="16" xfId="0" applyNumberFormat="1" applyFont="1" applyFill="1" applyBorder="1" applyAlignment="1">
      <alignment horizontal="center" vertical="center" wrapText="1"/>
    </xf>
    <xf numFmtId="3" fontId="22" fillId="2" borderId="17" xfId="0" applyNumberFormat="1" applyFont="1" applyFill="1" applyBorder="1" applyAlignment="1">
      <alignment horizontal="center" vertical="center" wrapText="1"/>
    </xf>
    <xf numFmtId="0" fontId="21" fillId="8" borderId="11" xfId="0" applyFont="1" applyFill="1" applyBorder="1" applyAlignment="1">
      <alignment horizontal="justify" vertical="center"/>
    </xf>
    <xf numFmtId="0" fontId="21" fillId="8" borderId="12" xfId="0" applyFont="1" applyFill="1" applyBorder="1" applyAlignment="1">
      <alignment horizontal="justify" vertical="center"/>
    </xf>
    <xf numFmtId="0" fontId="21" fillId="8" borderId="13" xfId="0" applyFont="1" applyFill="1" applyBorder="1" applyAlignment="1">
      <alignment horizontal="justify" vertical="center"/>
    </xf>
    <xf numFmtId="0" fontId="22" fillId="2" borderId="7" xfId="0" applyFont="1" applyFill="1" applyBorder="1" applyAlignment="1">
      <alignment horizontal="justify" vertical="center" wrapText="1"/>
    </xf>
    <xf numFmtId="0" fontId="22" fillId="2" borderId="1" xfId="0" applyFont="1" applyFill="1" applyBorder="1" applyAlignment="1">
      <alignment horizontal="justify" vertical="center" wrapText="1"/>
    </xf>
    <xf numFmtId="0" fontId="22" fillId="2" borderId="4" xfId="0" applyFont="1" applyFill="1" applyBorder="1" applyAlignment="1">
      <alignment horizontal="justify" vertical="center" wrapText="1"/>
    </xf>
    <xf numFmtId="3" fontId="22" fillId="0" borderId="3" xfId="0" applyNumberFormat="1" applyFont="1" applyFill="1" applyBorder="1" applyAlignment="1">
      <alignment horizontal="center" vertical="center" wrapText="1"/>
    </xf>
    <xf numFmtId="0" fontId="22" fillId="2" borderId="17" xfId="0" applyNumberFormat="1" applyFont="1" applyFill="1" applyBorder="1" applyAlignment="1">
      <alignment horizontal="center" vertical="center" wrapText="1"/>
    </xf>
    <xf numFmtId="0" fontId="22" fillId="2" borderId="17" xfId="0" applyFont="1" applyFill="1" applyBorder="1" applyAlignment="1">
      <alignment horizontal="left" vertical="center" wrapText="1"/>
    </xf>
    <xf numFmtId="1" fontId="22" fillId="0" borderId="17" xfId="0" applyNumberFormat="1" applyFont="1" applyFill="1" applyBorder="1" applyAlignment="1">
      <alignment horizontal="center" vertical="center" wrapText="1"/>
    </xf>
    <xf numFmtId="173" fontId="22" fillId="0" borderId="17" xfId="0" applyNumberFormat="1" applyFont="1" applyFill="1" applyBorder="1" applyAlignment="1">
      <alignment horizontal="center" vertical="center" wrapText="1"/>
    </xf>
    <xf numFmtId="169" fontId="5" fillId="4" borderId="7" xfId="4" applyFont="1" applyFill="1" applyBorder="1" applyAlignment="1">
      <alignment horizontal="center" vertical="center" wrapText="1"/>
    </xf>
    <xf numFmtId="169" fontId="5" fillId="4" borderId="1" xfId="4" applyFont="1" applyFill="1" applyBorder="1" applyAlignment="1">
      <alignment horizontal="center" vertical="center" wrapText="1"/>
    </xf>
    <xf numFmtId="169" fontId="5" fillId="4" borderId="3" xfId="4" applyFont="1" applyFill="1" applyBorder="1" applyAlignment="1">
      <alignment horizontal="center" vertical="center" wrapText="1"/>
    </xf>
    <xf numFmtId="169" fontId="5" fillId="4" borderId="9" xfId="4" applyFont="1" applyFill="1" applyBorder="1" applyAlignment="1">
      <alignment horizontal="center" vertical="center" wrapText="1"/>
    </xf>
    <xf numFmtId="169" fontId="5" fillId="4" borderId="2" xfId="4" applyFont="1" applyFill="1" applyBorder="1" applyAlignment="1">
      <alignment horizontal="center" vertical="center" wrapText="1"/>
    </xf>
    <xf numFmtId="169" fontId="5" fillId="4" borderId="10" xfId="4" applyFont="1" applyFill="1" applyBorder="1" applyAlignment="1">
      <alignment horizontal="center" vertical="center" wrapText="1"/>
    </xf>
    <xf numFmtId="169" fontId="5" fillId="4" borderId="16" xfId="4" applyFont="1" applyFill="1" applyBorder="1" applyAlignment="1">
      <alignment horizontal="center" vertical="center" wrapText="1"/>
    </xf>
    <xf numFmtId="169" fontId="6" fillId="4" borderId="10" xfId="4" applyFont="1" applyFill="1" applyBorder="1" applyAlignment="1">
      <alignment horizontal="center" vertical="center" wrapText="1"/>
    </xf>
    <xf numFmtId="169" fontId="6" fillId="4" borderId="16" xfId="4" applyFont="1" applyFill="1" applyBorder="1" applyAlignment="1">
      <alignment horizontal="center" vertical="center" wrapText="1"/>
    </xf>
    <xf numFmtId="49" fontId="5" fillId="4" borderId="3" xfId="4" applyNumberFormat="1" applyFont="1" applyFill="1" applyBorder="1" applyAlignment="1">
      <alignment horizontal="center" vertical="center" wrapText="1"/>
    </xf>
    <xf numFmtId="169" fontId="5" fillId="4" borderId="3" xfId="4" applyFont="1" applyFill="1" applyBorder="1" applyAlignment="1">
      <alignment horizontal="center" vertical="center" textRotation="91" wrapText="1"/>
    </xf>
    <xf numFmtId="170" fontId="5" fillId="4" borderId="3" xfId="4" applyNumberFormat="1" applyFont="1" applyFill="1" applyBorder="1" applyAlignment="1">
      <alignment horizontal="center" vertical="center" wrapText="1"/>
    </xf>
    <xf numFmtId="169" fontId="6" fillId="2" borderId="10" xfId="4" applyFont="1" applyFill="1" applyBorder="1" applyAlignment="1">
      <alignment horizontal="center" vertical="center" wrapText="1"/>
    </xf>
    <xf numFmtId="169" fontId="6" fillId="2" borderId="16" xfId="4" applyFont="1" applyFill="1" applyBorder="1" applyAlignment="1">
      <alignment horizontal="center" vertical="center" wrapText="1"/>
    </xf>
    <xf numFmtId="49" fontId="5" fillId="0" borderId="9" xfId="4" applyNumberFormat="1" applyFont="1" applyFill="1" applyBorder="1" applyAlignment="1">
      <alignment horizontal="center" vertical="center" wrapText="1"/>
    </xf>
    <xf numFmtId="49" fontId="5" fillId="0" borderId="2" xfId="4" applyNumberFormat="1" applyFont="1" applyFill="1" applyBorder="1" applyAlignment="1">
      <alignment horizontal="center" vertical="center" wrapText="1"/>
    </xf>
    <xf numFmtId="49" fontId="5" fillId="0" borderId="6" xfId="4" applyNumberFormat="1" applyFont="1" applyFill="1" applyBorder="1" applyAlignment="1">
      <alignment horizontal="center" vertical="center" wrapText="1"/>
    </xf>
    <xf numFmtId="169" fontId="6" fillId="2" borderId="10" xfId="4" applyFont="1" applyFill="1" applyBorder="1" applyAlignment="1">
      <alignment horizontal="justify" vertical="center" wrapText="1"/>
    </xf>
    <xf numFmtId="169" fontId="6" fillId="2" borderId="16" xfId="4" applyFont="1" applyFill="1" applyBorder="1" applyAlignment="1">
      <alignment horizontal="justify" vertical="center" wrapText="1"/>
    </xf>
    <xf numFmtId="169" fontId="6" fillId="2" borderId="17" xfId="4" applyFont="1" applyFill="1" applyBorder="1" applyAlignment="1">
      <alignment horizontal="justify" vertical="center" wrapText="1"/>
    </xf>
    <xf numFmtId="10" fontId="3" fillId="2" borderId="3" xfId="4" applyNumberFormat="1" applyFont="1" applyFill="1" applyBorder="1" applyAlignment="1">
      <alignment horizontal="center" vertical="center" wrapText="1"/>
    </xf>
    <xf numFmtId="175" fontId="6" fillId="2" borderId="10" xfId="4" applyNumberFormat="1" applyFont="1" applyFill="1" applyBorder="1" applyAlignment="1">
      <alignment horizontal="center" vertical="center" wrapText="1"/>
    </xf>
    <xf numFmtId="175" fontId="6" fillId="2" borderId="16" xfId="4" applyNumberFormat="1" applyFont="1" applyFill="1" applyBorder="1" applyAlignment="1">
      <alignment horizontal="center" vertical="center" wrapText="1"/>
    </xf>
    <xf numFmtId="175" fontId="6" fillId="2" borderId="17" xfId="4" applyNumberFormat="1" applyFont="1" applyFill="1" applyBorder="1" applyAlignment="1">
      <alignment horizontal="center" vertical="center" wrapText="1"/>
    </xf>
    <xf numFmtId="169" fontId="5" fillId="4" borderId="7" xfId="4" applyFont="1" applyFill="1" applyBorder="1" applyAlignment="1">
      <alignment horizontal="justify" vertical="center" wrapText="1"/>
    </xf>
    <xf numFmtId="169" fontId="5" fillId="4" borderId="1" xfId="4" applyFont="1" applyFill="1" applyBorder="1" applyAlignment="1">
      <alignment horizontal="justify" vertical="center" wrapText="1"/>
    </xf>
    <xf numFmtId="3" fontId="6" fillId="2" borderId="10" xfId="4" applyNumberFormat="1" applyFont="1" applyFill="1" applyBorder="1" applyAlignment="1">
      <alignment horizontal="center" vertical="center" wrapText="1"/>
    </xf>
    <xf numFmtId="3" fontId="6" fillId="2" borderId="16" xfId="4" applyNumberFormat="1" applyFont="1" applyFill="1" applyBorder="1" applyAlignment="1">
      <alignment horizontal="center" vertical="center" wrapText="1"/>
    </xf>
    <xf numFmtId="3" fontId="6" fillId="2" borderId="17" xfId="4" applyNumberFormat="1" applyFont="1" applyFill="1" applyBorder="1" applyAlignment="1">
      <alignment horizontal="center" vertical="center" wrapText="1"/>
    </xf>
    <xf numFmtId="169" fontId="5" fillId="4" borderId="11" xfId="4" applyFont="1" applyFill="1" applyBorder="1" applyAlignment="1">
      <alignment horizontal="center" vertical="center"/>
    </xf>
    <xf numFmtId="169" fontId="5" fillId="4" borderId="12" xfId="4" applyFont="1" applyFill="1" applyBorder="1" applyAlignment="1">
      <alignment horizontal="center" vertical="center"/>
    </xf>
    <xf numFmtId="170" fontId="6" fillId="2" borderId="10" xfId="4" applyNumberFormat="1" applyFont="1" applyFill="1" applyBorder="1" applyAlignment="1">
      <alignment horizontal="center" vertical="center" wrapText="1"/>
    </xf>
    <xf numFmtId="170" fontId="6" fillId="2" borderId="17" xfId="4" applyNumberFormat="1" applyFont="1" applyFill="1" applyBorder="1" applyAlignment="1">
      <alignment horizontal="center" vertical="center" wrapText="1"/>
    </xf>
    <xf numFmtId="1" fontId="5" fillId="2" borderId="7" xfId="4" applyNumberFormat="1" applyFont="1" applyFill="1" applyBorder="1" applyAlignment="1">
      <alignment horizontal="center" vertical="center" wrapText="1"/>
    </xf>
    <xf numFmtId="1" fontId="5" fillId="2" borderId="8" xfId="4" applyNumberFormat="1" applyFont="1" applyFill="1" applyBorder="1" applyAlignment="1">
      <alignment horizontal="center" vertical="center" wrapText="1"/>
    </xf>
    <xf numFmtId="1" fontId="5" fillId="2" borderId="9" xfId="4" applyNumberFormat="1" applyFont="1" applyFill="1" applyBorder="1" applyAlignment="1">
      <alignment horizontal="center" vertical="center" wrapText="1"/>
    </xf>
    <xf numFmtId="1" fontId="5" fillId="2" borderId="1" xfId="4" applyNumberFormat="1" applyFont="1" applyFill="1" applyBorder="1" applyAlignment="1">
      <alignment horizontal="center" vertical="center" wrapText="1"/>
    </xf>
    <xf numFmtId="1" fontId="5" fillId="2" borderId="0" xfId="4" applyNumberFormat="1" applyFont="1" applyFill="1" applyBorder="1" applyAlignment="1">
      <alignment horizontal="center" vertical="center" wrapText="1"/>
    </xf>
    <xf numFmtId="1" fontId="5" fillId="2" borderId="2" xfId="4" applyNumberFormat="1" applyFont="1" applyFill="1" applyBorder="1" applyAlignment="1">
      <alignment horizontal="center" vertical="center" wrapText="1"/>
    </xf>
    <xf numFmtId="1" fontId="5" fillId="2" borderId="4" xfId="4" applyNumberFormat="1" applyFont="1" applyFill="1" applyBorder="1" applyAlignment="1">
      <alignment horizontal="center" vertical="center" wrapText="1"/>
    </xf>
    <xf numFmtId="1" fontId="5" fillId="2" borderId="5" xfId="4" applyNumberFormat="1" applyFont="1" applyFill="1" applyBorder="1" applyAlignment="1">
      <alignment horizontal="center" vertical="center" wrapText="1"/>
    </xf>
    <xf numFmtId="1" fontId="5" fillId="2" borderId="6" xfId="4" applyNumberFormat="1" applyFont="1" applyFill="1" applyBorder="1" applyAlignment="1">
      <alignment horizontal="center" vertical="center" wrapText="1"/>
    </xf>
    <xf numFmtId="3" fontId="5" fillId="2" borderId="10" xfId="4" applyNumberFormat="1" applyFont="1" applyFill="1" applyBorder="1" applyAlignment="1">
      <alignment horizontal="center" vertical="center" wrapText="1"/>
    </xf>
    <xf numFmtId="3" fontId="5" fillId="2" borderId="17" xfId="4" applyNumberFormat="1" applyFont="1" applyFill="1" applyBorder="1" applyAlignment="1">
      <alignment horizontal="center" vertical="center" wrapText="1"/>
    </xf>
    <xf numFmtId="169" fontId="6" fillId="0" borderId="10" xfId="4" applyFont="1" applyFill="1" applyBorder="1" applyAlignment="1">
      <alignment horizontal="center" vertical="center" wrapText="1"/>
    </xf>
    <xf numFmtId="169" fontId="6" fillId="0" borderId="16" xfId="4" applyFont="1" applyFill="1" applyBorder="1" applyAlignment="1">
      <alignment horizontal="center" vertical="center" wrapText="1"/>
    </xf>
    <xf numFmtId="3" fontId="6" fillId="0" borderId="10" xfId="4" applyNumberFormat="1" applyFont="1" applyBorder="1" applyAlignment="1">
      <alignment horizontal="center" vertical="center"/>
    </xf>
    <xf numFmtId="3" fontId="6" fillId="0" borderId="16" xfId="4" applyNumberFormat="1" applyFont="1" applyBorder="1" applyAlignment="1">
      <alignment horizontal="center" vertical="center"/>
    </xf>
    <xf numFmtId="3" fontId="5" fillId="2" borderId="16" xfId="4" applyNumberFormat="1" applyFont="1" applyFill="1" applyBorder="1" applyAlignment="1">
      <alignment horizontal="center" vertical="center" wrapText="1"/>
    </xf>
    <xf numFmtId="169" fontId="6" fillId="0" borderId="17" xfId="4" applyFont="1" applyFill="1" applyBorder="1" applyAlignment="1">
      <alignment horizontal="center" vertical="center" wrapText="1"/>
    </xf>
    <xf numFmtId="3" fontId="6" fillId="0" borderId="10" xfId="4" applyNumberFormat="1" applyFont="1" applyFill="1" applyBorder="1" applyAlignment="1">
      <alignment horizontal="center" vertical="center"/>
    </xf>
    <xf numFmtId="3" fontId="6" fillId="0" borderId="16" xfId="4" applyNumberFormat="1" applyFont="1" applyFill="1" applyBorder="1" applyAlignment="1">
      <alignment horizontal="center" vertical="center"/>
    </xf>
    <xf numFmtId="3" fontId="6" fillId="0" borderId="17" xfId="4" applyNumberFormat="1" applyFont="1" applyFill="1" applyBorder="1" applyAlignment="1">
      <alignment horizontal="center" vertical="center"/>
    </xf>
    <xf numFmtId="10" fontId="3" fillId="2" borderId="10" xfId="4" applyNumberFormat="1" applyFont="1" applyFill="1" applyBorder="1" applyAlignment="1">
      <alignment horizontal="center" vertical="center" wrapText="1"/>
    </xf>
    <xf numFmtId="10" fontId="3" fillId="2" borderId="16" xfId="4" applyNumberFormat="1" applyFont="1" applyFill="1" applyBorder="1" applyAlignment="1">
      <alignment horizontal="center" vertical="center" wrapText="1"/>
    </xf>
    <xf numFmtId="10" fontId="3" fillId="2" borderId="17" xfId="4" applyNumberFormat="1" applyFont="1" applyFill="1" applyBorder="1" applyAlignment="1">
      <alignment horizontal="center" vertical="center" wrapText="1"/>
    </xf>
    <xf numFmtId="3" fontId="5" fillId="2" borderId="3" xfId="4" applyNumberFormat="1" applyFont="1" applyFill="1" applyBorder="1" applyAlignment="1">
      <alignment horizontal="center" vertical="center" wrapText="1"/>
    </xf>
    <xf numFmtId="169" fontId="6" fillId="2" borderId="3" xfId="4" applyFont="1" applyFill="1" applyBorder="1" applyAlignment="1">
      <alignment horizontal="justify" vertical="center" wrapText="1"/>
    </xf>
    <xf numFmtId="3" fontId="6" fillId="0" borderId="10" xfId="4" applyNumberFormat="1" applyFont="1" applyFill="1" applyBorder="1" applyAlignment="1">
      <alignment horizontal="center" vertical="center" wrapText="1"/>
    </xf>
    <xf numFmtId="3" fontId="6" fillId="0" borderId="16" xfId="4" applyNumberFormat="1" applyFont="1" applyFill="1" applyBorder="1" applyAlignment="1">
      <alignment horizontal="center" vertical="center" wrapText="1"/>
    </xf>
    <xf numFmtId="3" fontId="6" fillId="0" borderId="17" xfId="4" applyNumberFormat="1" applyFont="1" applyFill="1" applyBorder="1" applyAlignment="1">
      <alignment horizontal="center" vertical="center" wrapText="1"/>
    </xf>
    <xf numFmtId="3" fontId="6" fillId="0" borderId="3" xfId="4" applyNumberFormat="1" applyFont="1" applyBorder="1" applyAlignment="1">
      <alignment horizontal="center" vertical="center"/>
    </xf>
    <xf numFmtId="169" fontId="6" fillId="0" borderId="3" xfId="4" applyFont="1" applyFill="1" applyBorder="1" applyAlignment="1">
      <alignment horizontal="center" vertical="center" wrapText="1"/>
    </xf>
    <xf numFmtId="169" fontId="6" fillId="2" borderId="7" xfId="4" applyFont="1" applyFill="1" applyBorder="1" applyAlignment="1">
      <alignment horizontal="justify" vertical="center" wrapText="1"/>
    </xf>
    <xf numFmtId="169" fontId="6" fillId="2" borderId="1" xfId="4" applyFont="1" applyFill="1" applyBorder="1" applyAlignment="1">
      <alignment horizontal="justify" vertical="center" wrapText="1"/>
    </xf>
    <xf numFmtId="169" fontId="6" fillId="2" borderId="4" xfId="4" applyFont="1" applyFill="1" applyBorder="1" applyAlignment="1">
      <alignment horizontal="justify" vertical="center" wrapText="1"/>
    </xf>
    <xf numFmtId="42" fontId="6" fillId="2" borderId="10" xfId="4" applyNumberFormat="1" applyFont="1" applyFill="1" applyBorder="1" applyAlignment="1">
      <alignment horizontal="center" vertical="center" wrapText="1"/>
    </xf>
    <xf numFmtId="42" fontId="6" fillId="2" borderId="17" xfId="4" applyNumberFormat="1" applyFont="1" applyFill="1" applyBorder="1" applyAlignment="1">
      <alignment horizontal="center" vertical="center" wrapText="1"/>
    </xf>
    <xf numFmtId="1" fontId="5" fillId="2" borderId="10" xfId="4" applyNumberFormat="1" applyFont="1" applyFill="1" applyBorder="1" applyAlignment="1">
      <alignment horizontal="center" vertical="center" wrapText="1"/>
    </xf>
    <xf numFmtId="1" fontId="5" fillId="2" borderId="16" xfId="4" applyNumberFormat="1" applyFont="1" applyFill="1" applyBorder="1" applyAlignment="1">
      <alignment horizontal="center" vertical="center" wrapText="1"/>
    </xf>
    <xf numFmtId="1" fontId="5" fillId="2" borderId="17" xfId="4" applyNumberFormat="1" applyFont="1" applyFill="1" applyBorder="1" applyAlignment="1">
      <alignment horizontal="center" vertical="center" wrapText="1"/>
    </xf>
    <xf numFmtId="169" fontId="5" fillId="2" borderId="7" xfId="4" applyFont="1" applyFill="1" applyBorder="1" applyAlignment="1">
      <alignment vertical="center" wrapText="1"/>
    </xf>
    <xf numFmtId="169" fontId="5" fillId="2" borderId="9" xfId="4" applyFont="1" applyFill="1" applyBorder="1" applyAlignment="1">
      <alignment vertical="center" wrapText="1"/>
    </xf>
    <xf numFmtId="169" fontId="5" fillId="2" borderId="1" xfId="4" applyFont="1" applyFill="1" applyBorder="1" applyAlignment="1">
      <alignment vertical="center" wrapText="1"/>
    </xf>
    <xf numFmtId="169" fontId="5" fillId="2" borderId="2" xfId="4" applyFont="1" applyFill="1" applyBorder="1" applyAlignment="1">
      <alignment vertical="center" wrapText="1"/>
    </xf>
    <xf numFmtId="169" fontId="5" fillId="2" borderId="4" xfId="4" applyFont="1" applyFill="1" applyBorder="1" applyAlignment="1">
      <alignment vertical="center" wrapText="1"/>
    </xf>
    <xf numFmtId="169" fontId="5" fillId="2" borderId="6" xfId="4" applyFont="1" applyFill="1" applyBorder="1" applyAlignment="1">
      <alignment vertical="center" wrapText="1"/>
    </xf>
    <xf numFmtId="1" fontId="3" fillId="2" borderId="10" xfId="11" applyNumberFormat="1" applyFont="1" applyFill="1" applyBorder="1" applyAlignment="1">
      <alignment horizontal="center" vertical="center" wrapText="1"/>
    </xf>
    <xf numFmtId="1" fontId="3" fillId="2" borderId="17" xfId="11" applyNumberFormat="1" applyFont="1" applyFill="1" applyBorder="1" applyAlignment="1">
      <alignment horizontal="center" vertical="center" wrapText="1"/>
    </xf>
    <xf numFmtId="169" fontId="6" fillId="2" borderId="10" xfId="4" applyFont="1" applyFill="1" applyBorder="1" applyAlignment="1">
      <alignment horizontal="center" vertical="center"/>
    </xf>
    <xf numFmtId="169" fontId="6" fillId="2" borderId="17" xfId="4" applyFont="1" applyFill="1" applyBorder="1" applyAlignment="1">
      <alignment horizontal="center" vertical="center"/>
    </xf>
    <xf numFmtId="1" fontId="6" fillId="2" borderId="10" xfId="4" applyNumberFormat="1" applyFont="1" applyFill="1" applyBorder="1" applyAlignment="1">
      <alignment horizontal="center" vertical="center"/>
    </xf>
    <xf numFmtId="1" fontId="6" fillId="2" borderId="17" xfId="4" applyNumberFormat="1" applyFont="1" applyFill="1" applyBorder="1" applyAlignment="1">
      <alignment horizontal="center" vertical="center"/>
    </xf>
    <xf numFmtId="49" fontId="5" fillId="0" borderId="16" xfId="4" applyNumberFormat="1" applyFont="1" applyFill="1" applyBorder="1" applyAlignment="1">
      <alignment horizontal="center" vertical="center" wrapText="1"/>
    </xf>
    <xf numFmtId="49" fontId="5" fillId="0" borderId="17" xfId="4" applyNumberFormat="1" applyFont="1" applyFill="1" applyBorder="1" applyAlignment="1">
      <alignment horizontal="center" vertical="center" wrapText="1"/>
    </xf>
    <xf numFmtId="1" fontId="3" fillId="2" borderId="16" xfId="11" applyNumberFormat="1" applyFont="1" applyFill="1" applyBorder="1" applyAlignment="1">
      <alignment horizontal="center" vertical="center" wrapText="1"/>
    </xf>
    <xf numFmtId="169" fontId="6" fillId="2" borderId="16" xfId="4" applyFont="1" applyFill="1" applyBorder="1" applyAlignment="1">
      <alignment horizontal="center" vertical="center"/>
    </xf>
    <xf numFmtId="1" fontId="6" fillId="2" borderId="16" xfId="4" applyNumberFormat="1" applyFont="1" applyFill="1" applyBorder="1" applyAlignment="1">
      <alignment horizontal="center" vertical="center"/>
    </xf>
    <xf numFmtId="1" fontId="6" fillId="0" borderId="10" xfId="4" applyNumberFormat="1" applyFont="1" applyFill="1" applyBorder="1" applyAlignment="1">
      <alignment horizontal="center" vertical="center"/>
    </xf>
    <xf numFmtId="1" fontId="6" fillId="0" borderId="16" xfId="4" applyNumberFormat="1" applyFont="1" applyFill="1" applyBorder="1" applyAlignment="1">
      <alignment horizontal="center" vertical="center"/>
    </xf>
    <xf numFmtId="1" fontId="6" fillId="0" borderId="17" xfId="4" applyNumberFormat="1" applyFont="1" applyFill="1" applyBorder="1" applyAlignment="1">
      <alignment horizontal="center" vertical="center"/>
    </xf>
    <xf numFmtId="0" fontId="6" fillId="0" borderId="10" xfId="4" applyNumberFormat="1" applyFont="1" applyFill="1" applyBorder="1" applyAlignment="1">
      <alignment horizontal="center" vertical="center"/>
    </xf>
    <xf numFmtId="0" fontId="6" fillId="0" borderId="16" xfId="4" applyNumberFormat="1" applyFont="1" applyFill="1" applyBorder="1" applyAlignment="1">
      <alignment horizontal="center" vertical="center"/>
    </xf>
    <xf numFmtId="169" fontId="18" fillId="2" borderId="10" xfId="4" applyFont="1" applyFill="1" applyBorder="1" applyAlignment="1">
      <alignment horizontal="justify" vertical="center" wrapText="1"/>
    </xf>
    <xf numFmtId="169" fontId="18" fillId="2" borderId="17" xfId="4" applyFont="1" applyFill="1" applyBorder="1" applyAlignment="1">
      <alignment horizontal="justify" vertical="center" wrapText="1"/>
    </xf>
    <xf numFmtId="170" fontId="6" fillId="2" borderId="3" xfId="4" applyNumberFormat="1" applyFont="1" applyFill="1" applyBorder="1" applyAlignment="1">
      <alignment horizontal="center" vertical="center" wrapText="1"/>
    </xf>
    <xf numFmtId="3" fontId="5" fillId="2" borderId="10" xfId="4" applyNumberFormat="1" applyFont="1" applyFill="1" applyBorder="1" applyAlignment="1">
      <alignment horizontal="center" vertical="center" textRotation="180" wrapText="1"/>
    </xf>
    <xf numFmtId="3" fontId="5" fillId="2" borderId="16" xfId="4" applyNumberFormat="1" applyFont="1" applyFill="1" applyBorder="1" applyAlignment="1">
      <alignment horizontal="center" vertical="center" textRotation="180" wrapText="1"/>
    </xf>
    <xf numFmtId="3" fontId="5" fillId="2" borderId="17" xfId="4" applyNumberFormat="1" applyFont="1" applyFill="1" applyBorder="1" applyAlignment="1">
      <alignment horizontal="center" vertical="center" textRotation="180" wrapText="1"/>
    </xf>
    <xf numFmtId="1" fontId="5" fillId="2" borderId="10" xfId="4" applyNumberFormat="1" applyFont="1" applyFill="1" applyBorder="1" applyAlignment="1">
      <alignment horizontal="center" vertical="center" textRotation="180" wrapText="1"/>
    </xf>
    <xf numFmtId="1" fontId="5" fillId="2" borderId="16" xfId="4" applyNumberFormat="1" applyFont="1" applyFill="1" applyBorder="1" applyAlignment="1">
      <alignment horizontal="center" vertical="center" textRotation="180" wrapText="1"/>
    </xf>
    <xf numFmtId="1" fontId="5" fillId="2" borderId="17" xfId="4" applyNumberFormat="1" applyFont="1" applyFill="1" applyBorder="1" applyAlignment="1">
      <alignment horizontal="center" vertical="center" textRotation="180" wrapText="1"/>
    </xf>
    <xf numFmtId="3" fontId="6" fillId="0" borderId="2" xfId="4" applyNumberFormat="1" applyFont="1" applyFill="1" applyBorder="1" applyAlignment="1">
      <alignment horizontal="center" vertical="center" wrapText="1"/>
    </xf>
    <xf numFmtId="10" fontId="6" fillId="2" borderId="10" xfId="4" applyNumberFormat="1" applyFont="1" applyFill="1" applyBorder="1" applyAlignment="1">
      <alignment horizontal="center" vertical="center" wrapText="1"/>
    </xf>
    <xf numFmtId="10" fontId="6" fillId="2" borderId="16" xfId="4" applyNumberFormat="1" applyFont="1" applyFill="1" applyBorder="1" applyAlignment="1">
      <alignment horizontal="center" vertical="center" wrapText="1"/>
    </xf>
    <xf numFmtId="10" fontId="6" fillId="2" borderId="17" xfId="4" applyNumberFormat="1" applyFont="1" applyFill="1" applyBorder="1" applyAlignment="1">
      <alignment horizontal="center" vertical="center" wrapText="1"/>
    </xf>
    <xf numFmtId="169" fontId="6" fillId="2" borderId="7" xfId="4" applyFont="1" applyFill="1" applyBorder="1" applyAlignment="1">
      <alignment horizontal="center" vertical="center" wrapText="1"/>
    </xf>
    <xf numFmtId="169" fontId="6" fillId="2" borderId="9" xfId="4" applyFont="1" applyFill="1" applyBorder="1" applyAlignment="1">
      <alignment horizontal="center" vertical="center" wrapText="1"/>
    </xf>
    <xf numFmtId="169" fontId="6" fillId="2" borderId="1" xfId="4" applyFont="1" applyFill="1" applyBorder="1" applyAlignment="1">
      <alignment horizontal="center" vertical="center" wrapText="1"/>
    </xf>
    <xf numFmtId="169" fontId="6" fillId="2" borderId="2" xfId="4" applyFont="1" applyFill="1" applyBorder="1" applyAlignment="1">
      <alignment horizontal="center" vertical="center" wrapText="1"/>
    </xf>
    <xf numFmtId="169" fontId="6" fillId="2" borderId="4" xfId="4" applyFont="1" applyFill="1" applyBorder="1" applyAlignment="1">
      <alignment horizontal="center" vertical="center" wrapText="1"/>
    </xf>
    <xf numFmtId="169" fontId="6" fillId="2" borderId="6" xfId="4" applyFont="1" applyFill="1" applyBorder="1" applyAlignment="1">
      <alignment horizontal="center" vertical="center" wrapText="1"/>
    </xf>
    <xf numFmtId="169" fontId="6" fillId="2" borderId="7" xfId="4" applyFont="1" applyFill="1" applyBorder="1" applyAlignment="1">
      <alignment vertical="center" wrapText="1"/>
    </xf>
    <xf numFmtId="169" fontId="6" fillId="2" borderId="9" xfId="4" applyFont="1" applyFill="1" applyBorder="1" applyAlignment="1">
      <alignment vertical="center" wrapText="1"/>
    </xf>
    <xf numFmtId="169" fontId="6" fillId="2" borderId="1" xfId="4" applyFont="1" applyFill="1" applyBorder="1" applyAlignment="1">
      <alignment vertical="center" wrapText="1"/>
    </xf>
    <xf numFmtId="169" fontId="6" fillId="2" borderId="2" xfId="4" applyFont="1" applyFill="1" applyBorder="1" applyAlignment="1">
      <alignment vertical="center" wrapText="1"/>
    </xf>
    <xf numFmtId="169" fontId="6" fillId="2" borderId="4" xfId="4" applyFont="1" applyFill="1" applyBorder="1" applyAlignment="1">
      <alignment vertical="center" wrapText="1"/>
    </xf>
    <xf numFmtId="169" fontId="6" fillId="2" borderId="6" xfId="4" applyFont="1" applyFill="1" applyBorder="1" applyAlignment="1">
      <alignment vertical="center" wrapText="1"/>
    </xf>
    <xf numFmtId="169" fontId="6" fillId="0" borderId="10" xfId="4" applyFont="1" applyBorder="1" applyAlignment="1">
      <alignment horizontal="justify" vertical="center" wrapText="1"/>
    </xf>
    <xf numFmtId="169" fontId="6" fillId="0" borderId="16" xfId="4" applyFont="1" applyBorder="1" applyAlignment="1">
      <alignment horizontal="justify" vertical="center" wrapText="1"/>
    </xf>
    <xf numFmtId="169" fontId="6" fillId="0" borderId="17" xfId="4" applyFont="1" applyBorder="1" applyAlignment="1">
      <alignment horizontal="justify" vertical="center" wrapText="1"/>
    </xf>
    <xf numFmtId="1" fontId="6" fillId="0" borderId="10" xfId="4" applyNumberFormat="1" applyFont="1" applyBorder="1" applyAlignment="1">
      <alignment horizontal="center" vertical="center"/>
    </xf>
    <xf numFmtId="1" fontId="6" fillId="0" borderId="16" xfId="4" applyNumberFormat="1" applyFont="1" applyBorder="1" applyAlignment="1">
      <alignment horizontal="center" vertical="center"/>
    </xf>
    <xf numFmtId="1" fontId="6" fillId="0" borderId="17" xfId="4" applyNumberFormat="1" applyFont="1" applyBorder="1" applyAlignment="1">
      <alignment horizontal="center" vertical="center"/>
    </xf>
    <xf numFmtId="3" fontId="6" fillId="2" borderId="9" xfId="4" applyNumberFormat="1" applyFont="1" applyFill="1" applyBorder="1" applyAlignment="1">
      <alignment horizontal="center" vertical="center" wrapText="1"/>
    </xf>
    <xf numFmtId="3" fontId="6" fillId="2" borderId="2" xfId="4" applyNumberFormat="1" applyFont="1" applyFill="1" applyBorder="1" applyAlignment="1">
      <alignment horizontal="center" vertical="center" wrapText="1"/>
    </xf>
    <xf numFmtId="3" fontId="6" fillId="2" borderId="6" xfId="4" applyNumberFormat="1" applyFont="1" applyFill="1" applyBorder="1" applyAlignment="1">
      <alignment horizontal="center" vertical="center" wrapText="1"/>
    </xf>
    <xf numFmtId="1" fontId="6" fillId="2" borderId="10" xfId="4" applyNumberFormat="1" applyFont="1" applyFill="1" applyBorder="1" applyAlignment="1">
      <alignment horizontal="center" vertical="center" wrapText="1"/>
    </xf>
    <xf numFmtId="1" fontId="6" fillId="2" borderId="16" xfId="4" applyNumberFormat="1" applyFont="1" applyFill="1" applyBorder="1" applyAlignment="1">
      <alignment horizontal="center" vertical="center" wrapText="1"/>
    </xf>
    <xf numFmtId="1" fontId="6" fillId="2" borderId="17" xfId="4" applyNumberFormat="1" applyFont="1" applyFill="1" applyBorder="1" applyAlignment="1">
      <alignment horizontal="center" vertical="center" wrapText="1"/>
    </xf>
    <xf numFmtId="169" fontId="6" fillId="0" borderId="10" xfId="4" applyFont="1" applyFill="1" applyBorder="1" applyAlignment="1">
      <alignment horizontal="justify" vertical="center" wrapText="1"/>
    </xf>
    <xf numFmtId="169" fontId="6" fillId="0" borderId="16" xfId="4" applyFont="1" applyFill="1" applyBorder="1" applyAlignment="1">
      <alignment horizontal="justify" vertical="center" wrapText="1"/>
    </xf>
    <xf numFmtId="169" fontId="6" fillId="0" borderId="17" xfId="4" applyFont="1" applyFill="1" applyBorder="1" applyAlignment="1">
      <alignment horizontal="justify" vertical="center" wrapText="1"/>
    </xf>
    <xf numFmtId="1" fontId="6" fillId="2" borderId="9" xfId="4" applyNumberFormat="1" applyFont="1" applyFill="1" applyBorder="1" applyAlignment="1">
      <alignment horizontal="center" vertical="center" wrapText="1"/>
    </xf>
    <xf numFmtId="1" fontId="6" fillId="2" borderId="2" xfId="4" applyNumberFormat="1" applyFont="1" applyFill="1" applyBorder="1" applyAlignment="1">
      <alignment horizontal="center" vertical="center" wrapText="1"/>
    </xf>
    <xf numFmtId="1" fontId="6" fillId="2" borderId="6" xfId="4" applyNumberFormat="1" applyFont="1" applyFill="1" applyBorder="1" applyAlignment="1">
      <alignment horizontal="center" vertical="center" wrapText="1"/>
    </xf>
    <xf numFmtId="10" fontId="6" fillId="2" borderId="10" xfId="4" applyNumberFormat="1" applyFont="1" applyFill="1" applyBorder="1" applyAlignment="1">
      <alignment horizontal="center" vertical="center"/>
    </xf>
    <xf numFmtId="10" fontId="6" fillId="2" borderId="16" xfId="4" applyNumberFormat="1" applyFont="1" applyFill="1" applyBorder="1" applyAlignment="1">
      <alignment horizontal="center" vertical="center"/>
    </xf>
    <xf numFmtId="10" fontId="6" fillId="2" borderId="17" xfId="4" applyNumberFormat="1" applyFont="1" applyFill="1" applyBorder="1" applyAlignment="1">
      <alignment horizontal="center" vertical="center"/>
    </xf>
    <xf numFmtId="3" fontId="6" fillId="2" borderId="10" xfId="4" applyNumberFormat="1" applyFont="1" applyFill="1" applyBorder="1" applyAlignment="1">
      <alignment horizontal="center" vertical="center"/>
    </xf>
    <xf numFmtId="3" fontId="6" fillId="2" borderId="16" xfId="4" applyNumberFormat="1" applyFont="1" applyFill="1" applyBorder="1" applyAlignment="1">
      <alignment horizontal="center" vertical="center"/>
    </xf>
    <xf numFmtId="3" fontId="6" fillId="2" borderId="17" xfId="4" applyNumberFormat="1" applyFont="1" applyFill="1" applyBorder="1" applyAlignment="1">
      <alignment horizontal="center" vertical="center"/>
    </xf>
    <xf numFmtId="169" fontId="6" fillId="2" borderId="10" xfId="4" applyFont="1" applyFill="1" applyBorder="1" applyAlignment="1">
      <alignment horizontal="left" vertical="center" wrapText="1"/>
    </xf>
    <xf numFmtId="169" fontId="6" fillId="2" borderId="16" xfId="4" applyFont="1" applyFill="1" applyBorder="1" applyAlignment="1">
      <alignment horizontal="left" vertical="center" wrapText="1"/>
    </xf>
    <xf numFmtId="169" fontId="6" fillId="2" borderId="17" xfId="4" applyFont="1" applyFill="1" applyBorder="1" applyAlignment="1">
      <alignment horizontal="left" vertical="center" wrapText="1"/>
    </xf>
    <xf numFmtId="3" fontId="6" fillId="2" borderId="9" xfId="4" applyNumberFormat="1" applyFont="1" applyFill="1" applyBorder="1" applyAlignment="1">
      <alignment horizontal="center" vertical="center"/>
    </xf>
    <xf numFmtId="3" fontId="6" fillId="2" borderId="2" xfId="4" applyNumberFormat="1" applyFont="1" applyFill="1" applyBorder="1" applyAlignment="1">
      <alignment horizontal="center" vertical="center"/>
    </xf>
    <xf numFmtId="3" fontId="6" fillId="2" borderId="6" xfId="4" applyNumberFormat="1" applyFont="1" applyFill="1" applyBorder="1" applyAlignment="1">
      <alignment horizontal="center" vertical="center"/>
    </xf>
    <xf numFmtId="169" fontId="6" fillId="0" borderId="7" xfId="4" applyFont="1" applyBorder="1" applyAlignment="1">
      <alignment vertical="center" wrapText="1"/>
    </xf>
    <xf numFmtId="169" fontId="6" fillId="0" borderId="9" xfId="4" applyFont="1" applyBorder="1" applyAlignment="1">
      <alignment vertical="center" wrapText="1"/>
    </xf>
    <xf numFmtId="169" fontId="6" fillId="0" borderId="1" xfId="4" applyFont="1" applyBorder="1" applyAlignment="1">
      <alignment vertical="center" wrapText="1"/>
    </xf>
    <xf numFmtId="169" fontId="6" fillId="0" borderId="2" xfId="4" applyFont="1" applyBorder="1" applyAlignment="1">
      <alignment vertical="center" wrapText="1"/>
    </xf>
    <xf numFmtId="169" fontId="6" fillId="0" borderId="4" xfId="4" applyFont="1" applyBorder="1" applyAlignment="1">
      <alignment vertical="center" wrapText="1"/>
    </xf>
    <xf numFmtId="169" fontId="6" fillId="0" borderId="6" xfId="4" applyFont="1" applyBorder="1" applyAlignment="1">
      <alignment vertical="center" wrapText="1"/>
    </xf>
    <xf numFmtId="169" fontId="6" fillId="0" borderId="10" xfId="4" applyFont="1" applyFill="1" applyBorder="1" applyAlignment="1">
      <alignment horizontal="center" vertical="center"/>
    </xf>
    <xf numFmtId="169" fontId="6" fillId="0" borderId="17" xfId="4" applyFont="1" applyFill="1" applyBorder="1" applyAlignment="1">
      <alignment horizontal="center" vertical="center"/>
    </xf>
    <xf numFmtId="3" fontId="6" fillId="0" borderId="17" xfId="4" applyNumberFormat="1" applyFont="1" applyBorder="1" applyAlignment="1">
      <alignment horizontal="center" vertical="center"/>
    </xf>
    <xf numFmtId="169" fontId="6" fillId="0" borderId="16" xfId="4" applyFont="1" applyFill="1" applyBorder="1" applyAlignment="1">
      <alignment horizontal="center" vertical="center"/>
    </xf>
    <xf numFmtId="3" fontId="5" fillId="2" borderId="10" xfId="4" applyNumberFormat="1" applyFont="1" applyFill="1" applyBorder="1" applyAlignment="1">
      <alignment horizontal="center" vertical="center"/>
    </xf>
    <xf numFmtId="3" fontId="5" fillId="2" borderId="16" xfId="4" applyNumberFormat="1" applyFont="1" applyFill="1" applyBorder="1" applyAlignment="1">
      <alignment horizontal="center" vertical="center"/>
    </xf>
    <xf numFmtId="3" fontId="5" fillId="2" borderId="17" xfId="4" applyNumberFormat="1" applyFont="1" applyFill="1" applyBorder="1" applyAlignment="1">
      <alignment horizontal="center" vertical="center"/>
    </xf>
    <xf numFmtId="3" fontId="5" fillId="0" borderId="10" xfId="4" applyNumberFormat="1" applyFont="1" applyFill="1" applyBorder="1" applyAlignment="1">
      <alignment horizontal="center" vertical="center"/>
    </xf>
    <xf numFmtId="3" fontId="5" fillId="0" borderId="16" xfId="4" applyNumberFormat="1" applyFont="1" applyFill="1" applyBorder="1" applyAlignment="1">
      <alignment horizontal="center" vertical="center"/>
    </xf>
    <xf numFmtId="3" fontId="5" fillId="0" borderId="17" xfId="4" applyNumberFormat="1" applyFont="1" applyFill="1" applyBorder="1" applyAlignment="1">
      <alignment horizontal="center" vertical="center"/>
    </xf>
    <xf numFmtId="3" fontId="3" fillId="2" borderId="10" xfId="4" applyNumberFormat="1" applyFont="1" applyFill="1" applyBorder="1" applyAlignment="1">
      <alignment horizontal="center" vertical="center"/>
    </xf>
    <xf numFmtId="3" fontId="3" fillId="2" borderId="16" xfId="4" applyNumberFormat="1" applyFont="1" applyFill="1" applyBorder="1" applyAlignment="1">
      <alignment horizontal="center" vertical="center"/>
    </xf>
    <xf numFmtId="3" fontId="3" fillId="2" borderId="17" xfId="4" applyNumberFormat="1" applyFont="1" applyFill="1" applyBorder="1" applyAlignment="1">
      <alignment horizontal="center" vertical="center"/>
    </xf>
    <xf numFmtId="169" fontId="6" fillId="2" borderId="16" xfId="4" applyFont="1" applyFill="1" applyBorder="1" applyAlignment="1">
      <alignment horizontal="justify" vertical="center"/>
    </xf>
    <xf numFmtId="169" fontId="6" fillId="2" borderId="17" xfId="4" applyFont="1" applyFill="1" applyBorder="1" applyAlignment="1">
      <alignment horizontal="justify" vertical="center"/>
    </xf>
    <xf numFmtId="49" fontId="5" fillId="0" borderId="10" xfId="4" applyNumberFormat="1" applyFont="1" applyFill="1" applyBorder="1" applyAlignment="1">
      <alignment horizontal="center" vertical="center"/>
    </xf>
    <xf numFmtId="49" fontId="5" fillId="0" borderId="16" xfId="4" applyNumberFormat="1" applyFont="1" applyFill="1" applyBorder="1" applyAlignment="1">
      <alignment horizontal="center" vertical="center"/>
    </xf>
    <xf numFmtId="49" fontId="5" fillId="0" borderId="17" xfId="4" applyNumberFormat="1" applyFont="1" applyFill="1" applyBorder="1" applyAlignment="1">
      <alignment horizontal="center" vertical="center"/>
    </xf>
    <xf numFmtId="175" fontId="6" fillId="2" borderId="10" xfId="4" applyNumberFormat="1" applyFont="1" applyFill="1" applyBorder="1" applyAlignment="1">
      <alignment horizontal="center" vertical="center"/>
    </xf>
    <xf numFmtId="175" fontId="6" fillId="2" borderId="16" xfId="4" applyNumberFormat="1" applyFont="1" applyFill="1" applyBorder="1" applyAlignment="1">
      <alignment horizontal="center" vertical="center"/>
    </xf>
    <xf numFmtId="175" fontId="6" fillId="2" borderId="17" xfId="4" applyNumberFormat="1" applyFont="1" applyFill="1" applyBorder="1" applyAlignment="1">
      <alignment horizontal="center" vertical="center"/>
    </xf>
    <xf numFmtId="169" fontId="6" fillId="0" borderId="7" xfId="4" applyFont="1" applyBorder="1" applyAlignment="1">
      <alignment vertical="center"/>
    </xf>
    <xf numFmtId="169" fontId="6" fillId="0" borderId="9" xfId="4" applyFont="1" applyBorder="1" applyAlignment="1">
      <alignment vertical="center"/>
    </xf>
    <xf numFmtId="169" fontId="6" fillId="0" borderId="1" xfId="4" applyFont="1" applyBorder="1" applyAlignment="1">
      <alignment vertical="center"/>
    </xf>
    <xf numFmtId="169" fontId="6" fillId="0" borderId="2" xfId="4" applyFont="1" applyBorder="1" applyAlignment="1">
      <alignment vertical="center"/>
    </xf>
    <xf numFmtId="169" fontId="6" fillId="0" borderId="4" xfId="4" applyFont="1" applyBorder="1" applyAlignment="1">
      <alignment vertical="center"/>
    </xf>
    <xf numFmtId="169" fontId="6" fillId="0" borderId="6" xfId="4" applyFont="1" applyBorder="1" applyAlignment="1">
      <alignment vertical="center"/>
    </xf>
    <xf numFmtId="169" fontId="6" fillId="0" borderId="3" xfId="4" applyFont="1" applyBorder="1" applyAlignment="1">
      <alignment horizontal="justify" vertical="center" wrapText="1"/>
    </xf>
    <xf numFmtId="169" fontId="6" fillId="0" borderId="3" xfId="4" applyFont="1" applyFill="1" applyBorder="1" applyAlignment="1">
      <alignment horizontal="center" vertical="center"/>
    </xf>
    <xf numFmtId="169" fontId="6" fillId="2" borderId="10" xfId="4" applyFont="1" applyFill="1" applyBorder="1" applyAlignment="1">
      <alignment horizontal="justify" vertical="center"/>
    </xf>
    <xf numFmtId="169" fontId="6" fillId="0" borderId="7" xfId="4" applyFont="1" applyBorder="1" applyAlignment="1">
      <alignment horizontal="left" vertical="center" wrapText="1"/>
    </xf>
    <xf numFmtId="169" fontId="6" fillId="0" borderId="9" xfId="4" applyFont="1" applyBorder="1" applyAlignment="1">
      <alignment horizontal="left" vertical="center" wrapText="1"/>
    </xf>
    <xf numFmtId="169" fontId="6" fillId="0" borderId="1" xfId="4" applyFont="1" applyBorder="1" applyAlignment="1">
      <alignment horizontal="left" vertical="center" wrapText="1"/>
    </xf>
    <xf numFmtId="169" fontId="6" fillId="0" borderId="2" xfId="4" applyFont="1" applyBorder="1" applyAlignment="1">
      <alignment horizontal="left" vertical="center" wrapText="1"/>
    </xf>
    <xf numFmtId="169" fontId="6" fillId="0" borderId="4" xfId="4" applyFont="1" applyBorder="1" applyAlignment="1">
      <alignment horizontal="left" vertical="center" wrapText="1"/>
    </xf>
    <xf numFmtId="169" fontId="6" fillId="0" borderId="6" xfId="4" applyFont="1" applyBorder="1" applyAlignment="1">
      <alignment horizontal="left" vertical="center" wrapText="1"/>
    </xf>
    <xf numFmtId="1" fontId="6" fillId="0" borderId="10" xfId="4" applyNumberFormat="1" applyFont="1" applyFill="1" applyBorder="1" applyAlignment="1">
      <alignment horizontal="center" vertical="center" wrapText="1"/>
    </xf>
    <xf numFmtId="3" fontId="6" fillId="2" borderId="40" xfId="4" applyNumberFormat="1" applyFont="1" applyFill="1" applyBorder="1" applyAlignment="1">
      <alignment horizontal="center" vertical="center" wrapText="1"/>
    </xf>
    <xf numFmtId="3" fontId="6" fillId="2" borderId="41" xfId="4" applyNumberFormat="1" applyFont="1" applyFill="1" applyBorder="1" applyAlignment="1">
      <alignment horizontal="center" vertical="center"/>
    </xf>
    <xf numFmtId="3" fontId="6" fillId="2" borderId="42" xfId="4" applyNumberFormat="1" applyFont="1" applyFill="1" applyBorder="1" applyAlignment="1">
      <alignment horizontal="center" vertical="center"/>
    </xf>
    <xf numFmtId="3" fontId="6" fillId="2" borderId="40" xfId="4" applyNumberFormat="1" applyFont="1" applyFill="1" applyBorder="1" applyAlignment="1">
      <alignment horizontal="center" vertical="center"/>
    </xf>
    <xf numFmtId="169" fontId="6" fillId="0" borderId="10" xfId="4" applyFont="1" applyBorder="1" applyAlignment="1">
      <alignment horizontal="center" vertical="center" wrapText="1"/>
    </xf>
    <xf numFmtId="169" fontId="6" fillId="0" borderId="16" xfId="4" applyFont="1" applyBorder="1" applyAlignment="1">
      <alignment horizontal="center" vertical="center" wrapText="1"/>
    </xf>
    <xf numFmtId="169" fontId="6" fillId="0" borderId="17" xfId="4" applyFont="1" applyBorder="1" applyAlignment="1">
      <alignment horizontal="center" vertical="center" wrapText="1"/>
    </xf>
    <xf numFmtId="10" fontId="6" fillId="0" borderId="10" xfId="4" applyNumberFormat="1" applyFont="1" applyFill="1" applyBorder="1" applyAlignment="1">
      <alignment horizontal="center" vertical="center"/>
    </xf>
    <xf numFmtId="10" fontId="6" fillId="0" borderId="16" xfId="4" applyNumberFormat="1" applyFont="1" applyFill="1" applyBorder="1" applyAlignment="1">
      <alignment horizontal="center" vertical="center"/>
    </xf>
    <xf numFmtId="10" fontId="6" fillId="0" borderId="17" xfId="4" applyNumberFormat="1" applyFont="1" applyFill="1" applyBorder="1" applyAlignment="1">
      <alignment horizontal="center" vertical="center"/>
    </xf>
    <xf numFmtId="37" fontId="6" fillId="0" borderId="10" xfId="4" applyNumberFormat="1" applyFont="1" applyBorder="1" applyAlignment="1">
      <alignment horizontal="center" vertical="center"/>
    </xf>
    <xf numFmtId="37" fontId="6" fillId="0" borderId="16" xfId="4" applyNumberFormat="1" applyFont="1" applyBorder="1" applyAlignment="1">
      <alignment horizontal="center" vertical="center"/>
    </xf>
    <xf numFmtId="37" fontId="6" fillId="0" borderId="17" xfId="4" applyNumberFormat="1" applyFont="1" applyBorder="1" applyAlignment="1">
      <alignment horizontal="center" vertical="center"/>
    </xf>
    <xf numFmtId="37" fontId="6" fillId="2" borderId="10" xfId="4" applyNumberFormat="1" applyFont="1" applyFill="1" applyBorder="1" applyAlignment="1">
      <alignment horizontal="center" vertical="center"/>
    </xf>
    <xf numFmtId="37" fontId="6" fillId="2" borderId="16" xfId="4" applyNumberFormat="1" applyFont="1" applyFill="1" applyBorder="1" applyAlignment="1">
      <alignment horizontal="center" vertical="center"/>
    </xf>
    <xf numFmtId="37" fontId="6" fillId="2" borderId="17" xfId="4" applyNumberFormat="1" applyFont="1" applyFill="1" applyBorder="1" applyAlignment="1">
      <alignment horizontal="center" vertical="center"/>
    </xf>
    <xf numFmtId="37" fontId="6" fillId="2" borderId="9" xfId="4" applyNumberFormat="1" applyFont="1" applyFill="1" applyBorder="1" applyAlignment="1">
      <alignment horizontal="center" vertical="center"/>
    </xf>
    <xf numFmtId="37" fontId="6" fillId="2" borderId="2" xfId="4" applyNumberFormat="1" applyFont="1" applyFill="1" applyBorder="1" applyAlignment="1">
      <alignment horizontal="center" vertical="center"/>
    </xf>
    <xf numFmtId="37" fontId="6" fillId="2" borderId="6" xfId="4" applyNumberFormat="1" applyFont="1" applyFill="1" applyBorder="1" applyAlignment="1">
      <alignment horizontal="center" vertical="center"/>
    </xf>
    <xf numFmtId="9" fontId="6" fillId="0" borderId="10" xfId="4" applyNumberFormat="1" applyFont="1" applyFill="1" applyBorder="1" applyAlignment="1">
      <alignment horizontal="center" vertical="center" wrapText="1"/>
    </xf>
    <xf numFmtId="9" fontId="6" fillId="0" borderId="16" xfId="4" applyNumberFormat="1" applyFont="1" applyFill="1" applyBorder="1" applyAlignment="1">
      <alignment horizontal="center" vertical="center" wrapText="1"/>
    </xf>
    <xf numFmtId="10" fontId="6" fillId="2" borderId="10" xfId="3" applyNumberFormat="1" applyFont="1" applyFill="1" applyBorder="1" applyAlignment="1">
      <alignment horizontal="center" vertical="center"/>
    </xf>
    <xf numFmtId="10" fontId="6" fillId="2" borderId="17" xfId="3" applyNumberFormat="1" applyFont="1" applyFill="1" applyBorder="1" applyAlignment="1">
      <alignment horizontal="center" vertical="center"/>
    </xf>
    <xf numFmtId="169" fontId="6" fillId="0" borderId="7" xfId="4" applyFont="1" applyBorder="1" applyAlignment="1">
      <alignment horizontal="justify" vertical="center" wrapText="1"/>
    </xf>
    <xf numFmtId="169" fontId="6" fillId="0" borderId="9" xfId="4" applyFont="1" applyBorder="1" applyAlignment="1">
      <alignment horizontal="justify" vertical="center" wrapText="1"/>
    </xf>
    <xf numFmtId="169" fontId="6" fillId="0" borderId="1" xfId="4" applyFont="1" applyBorder="1" applyAlignment="1">
      <alignment horizontal="justify" vertical="center" wrapText="1"/>
    </xf>
    <xf numFmtId="169" fontId="6" fillId="0" borderId="2" xfId="4" applyFont="1" applyBorder="1" applyAlignment="1">
      <alignment horizontal="justify" vertical="center" wrapText="1"/>
    </xf>
    <xf numFmtId="1" fontId="6" fillId="0" borderId="18" xfId="4" applyNumberFormat="1" applyFont="1" applyBorder="1" applyAlignment="1">
      <alignment horizontal="center" vertical="center"/>
    </xf>
    <xf numFmtId="169" fontId="6" fillId="0" borderId="7" xfId="4" applyFont="1" applyBorder="1" applyAlignment="1">
      <alignment horizontal="center" vertical="center" wrapText="1"/>
    </xf>
    <xf numFmtId="169" fontId="6" fillId="0" borderId="9" xfId="4" applyFont="1" applyBorder="1" applyAlignment="1">
      <alignment horizontal="center" vertical="center" wrapText="1"/>
    </xf>
    <xf numFmtId="169" fontId="6" fillId="0" borderId="1" xfId="4" applyFont="1" applyBorder="1" applyAlignment="1">
      <alignment horizontal="center" vertical="center" wrapText="1"/>
    </xf>
    <xf numFmtId="169" fontId="6" fillId="0" borderId="2" xfId="4" applyFont="1" applyBorder="1" applyAlignment="1">
      <alignment horizontal="center" vertical="center" wrapText="1"/>
    </xf>
    <xf numFmtId="169" fontId="6" fillId="0" borderId="44" xfId="4" applyFont="1" applyBorder="1" applyAlignment="1">
      <alignment horizontal="center" vertical="center" wrapText="1"/>
    </xf>
    <xf numFmtId="169" fontId="6" fillId="0" borderId="43" xfId="4" applyFont="1" applyBorder="1" applyAlignment="1">
      <alignment horizontal="center" vertical="center" wrapText="1"/>
    </xf>
    <xf numFmtId="169" fontId="6" fillId="0" borderId="44" xfId="4" applyFont="1" applyBorder="1" applyAlignment="1">
      <alignment vertical="center" wrapText="1"/>
    </xf>
    <xf numFmtId="169" fontId="6" fillId="0" borderId="43" xfId="4" applyFont="1" applyBorder="1" applyAlignment="1">
      <alignment vertical="center" wrapText="1"/>
    </xf>
    <xf numFmtId="169" fontId="6" fillId="2" borderId="10" xfId="4" applyFont="1" applyFill="1" applyBorder="1" applyAlignment="1">
      <alignment horizontal="center" vertical="center" wrapText="1" shrinkToFit="1"/>
    </xf>
    <xf numFmtId="169" fontId="6" fillId="2" borderId="16" xfId="4" applyFont="1" applyFill="1" applyBorder="1" applyAlignment="1">
      <alignment horizontal="center" vertical="center" wrapText="1" shrinkToFit="1"/>
    </xf>
    <xf numFmtId="169" fontId="6" fillId="2" borderId="17" xfId="4" applyFont="1" applyFill="1" applyBorder="1" applyAlignment="1">
      <alignment horizontal="center" vertical="center" wrapText="1" shrinkToFit="1"/>
    </xf>
    <xf numFmtId="175" fontId="6" fillId="2" borderId="18" xfId="4" applyNumberFormat="1" applyFont="1" applyFill="1" applyBorder="1" applyAlignment="1">
      <alignment horizontal="center" vertical="center"/>
    </xf>
    <xf numFmtId="169" fontId="6" fillId="2" borderId="18" xfId="4" applyFont="1" applyFill="1" applyBorder="1" applyAlignment="1">
      <alignment horizontal="justify" vertical="center" wrapText="1"/>
    </xf>
    <xf numFmtId="169" fontId="6" fillId="2" borderId="44" xfId="4" applyFont="1" applyFill="1" applyBorder="1" applyAlignment="1">
      <alignment horizontal="justify" vertical="center" wrapText="1"/>
    </xf>
    <xf numFmtId="3" fontId="6" fillId="2" borderId="43" xfId="4" applyNumberFormat="1" applyFont="1" applyFill="1" applyBorder="1" applyAlignment="1">
      <alignment horizontal="center" vertical="center"/>
    </xf>
    <xf numFmtId="3" fontId="6" fillId="2" borderId="18" xfId="4" applyNumberFormat="1" applyFont="1" applyFill="1" applyBorder="1" applyAlignment="1">
      <alignment horizontal="center" vertical="center"/>
    </xf>
    <xf numFmtId="169" fontId="6" fillId="2" borderId="18" xfId="4" applyFont="1" applyFill="1" applyBorder="1" applyAlignment="1">
      <alignment horizontal="justify" vertical="center"/>
    </xf>
    <xf numFmtId="49" fontId="5" fillId="0" borderId="18" xfId="4" applyNumberFormat="1" applyFont="1" applyFill="1" applyBorder="1" applyAlignment="1">
      <alignment horizontal="center" vertical="center"/>
    </xf>
    <xf numFmtId="10" fontId="6" fillId="2" borderId="18" xfId="4" applyNumberFormat="1" applyFont="1" applyFill="1" applyBorder="1" applyAlignment="1">
      <alignment horizontal="center" vertical="center"/>
    </xf>
    <xf numFmtId="169" fontId="6" fillId="2" borderId="17" xfId="4" applyFont="1" applyFill="1" applyBorder="1" applyAlignment="1">
      <alignment horizontal="center" vertical="center" wrapText="1"/>
    </xf>
    <xf numFmtId="169" fontId="6" fillId="2" borderId="45" xfId="4" applyFont="1" applyFill="1" applyBorder="1" applyAlignment="1">
      <alignment horizontal="justify" vertical="center" wrapText="1"/>
    </xf>
    <xf numFmtId="169" fontId="6" fillId="2" borderId="18" xfId="4" applyFont="1" applyFill="1" applyBorder="1" applyAlignment="1">
      <alignment horizontal="center" vertical="center"/>
    </xf>
    <xf numFmtId="3" fontId="6" fillId="0" borderId="10" xfId="4" applyNumberFormat="1" applyFont="1" applyFill="1" applyBorder="1" applyAlignment="1">
      <alignment horizontal="center"/>
    </xf>
    <xf numFmtId="3" fontId="6" fillId="0" borderId="16" xfId="4" applyNumberFormat="1" applyFont="1" applyFill="1" applyBorder="1" applyAlignment="1">
      <alignment horizontal="center"/>
    </xf>
    <xf numFmtId="3" fontId="6" fillId="0" borderId="18" xfId="4" applyNumberFormat="1" applyFont="1" applyFill="1" applyBorder="1" applyAlignment="1">
      <alignment horizontal="center"/>
    </xf>
    <xf numFmtId="3" fontId="6" fillId="0" borderId="10" xfId="4" applyNumberFormat="1" applyFont="1" applyBorder="1" applyAlignment="1">
      <alignment horizontal="center"/>
    </xf>
    <xf numFmtId="3" fontId="6" fillId="0" borderId="16" xfId="4" applyNumberFormat="1" applyFont="1" applyBorder="1" applyAlignment="1">
      <alignment horizontal="center"/>
    </xf>
    <xf numFmtId="3" fontId="6" fillId="0" borderId="18" xfId="4" applyNumberFormat="1" applyFont="1" applyBorder="1" applyAlignment="1">
      <alignment horizontal="center"/>
    </xf>
    <xf numFmtId="169" fontId="6" fillId="0" borderId="10" xfId="4" applyFont="1" applyBorder="1" applyAlignment="1">
      <alignment horizontal="center"/>
    </xf>
    <xf numFmtId="169" fontId="6" fillId="0" borderId="16" xfId="4" applyFont="1" applyBorder="1" applyAlignment="1">
      <alignment horizontal="center"/>
    </xf>
    <xf numFmtId="1" fontId="6" fillId="0" borderId="3" xfId="4" applyNumberFormat="1" applyFont="1" applyBorder="1" applyAlignment="1">
      <alignment horizontal="center" vertical="center"/>
    </xf>
    <xf numFmtId="169" fontId="6" fillId="0" borderId="3" xfId="4" applyFont="1" applyBorder="1" applyAlignment="1">
      <alignment horizontal="left" vertical="center" wrapText="1"/>
    </xf>
    <xf numFmtId="169" fontId="6" fillId="0" borderId="10" xfId="4" applyFont="1" applyFill="1" applyBorder="1" applyAlignment="1">
      <alignment horizontal="center"/>
    </xf>
    <xf numFmtId="169" fontId="6" fillId="0" borderId="16" xfId="4" applyFont="1" applyFill="1" applyBorder="1" applyAlignment="1">
      <alignment horizontal="center"/>
    </xf>
    <xf numFmtId="169" fontId="6" fillId="0" borderId="17" xfId="4" applyFont="1" applyFill="1" applyBorder="1" applyAlignment="1">
      <alignment horizontal="center"/>
    </xf>
    <xf numFmtId="49" fontId="6" fillId="0" borderId="10" xfId="4" applyNumberFormat="1" applyFont="1" applyFill="1" applyBorder="1" applyAlignment="1">
      <alignment horizontal="center" vertical="center" wrapText="1"/>
    </xf>
    <xf numFmtId="49" fontId="6" fillId="0" borderId="16" xfId="4" applyNumberFormat="1" applyFont="1" applyFill="1" applyBorder="1" applyAlignment="1">
      <alignment horizontal="center" vertical="center"/>
    </xf>
    <xf numFmtId="9" fontId="6" fillId="2" borderId="10" xfId="4" applyNumberFormat="1" applyFont="1" applyFill="1" applyBorder="1" applyAlignment="1">
      <alignment horizontal="center" vertical="center"/>
    </xf>
    <xf numFmtId="9" fontId="6" fillId="2" borderId="16" xfId="4" applyNumberFormat="1" applyFont="1" applyFill="1" applyBorder="1" applyAlignment="1">
      <alignment horizontal="center" vertical="center"/>
    </xf>
    <xf numFmtId="169" fontId="6" fillId="0" borderId="9" xfId="4" applyFont="1" applyBorder="1" applyAlignment="1">
      <alignment horizontal="center"/>
    </xf>
    <xf numFmtId="169" fontId="6" fillId="0" borderId="2" xfId="4" applyFont="1" applyBorder="1" applyAlignment="1">
      <alignment horizontal="center"/>
    </xf>
    <xf numFmtId="1" fontId="15" fillId="4" borderId="9" xfId="0" applyNumberFormat="1" applyFont="1" applyFill="1" applyBorder="1" applyAlignment="1">
      <alignment horizontal="center" vertical="center" wrapText="1"/>
    </xf>
    <xf numFmtId="1" fontId="15" fillId="4" borderId="2"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6" xfId="0" applyFont="1" applyFill="1" applyBorder="1" applyAlignment="1">
      <alignment horizontal="center" vertical="center" wrapText="1"/>
    </xf>
    <xf numFmtId="176" fontId="15" fillId="4" borderId="7" xfId="0" applyNumberFormat="1" applyFont="1" applyFill="1" applyBorder="1" applyAlignment="1">
      <alignment horizontal="center" vertical="center" wrapText="1"/>
    </xf>
    <xf numFmtId="176" fontId="15" fillId="4" borderId="1" xfId="0" applyNumberFormat="1" applyFont="1" applyFill="1" applyBorder="1" applyAlignment="1">
      <alignment horizontal="center" vertical="center" wrapText="1"/>
    </xf>
    <xf numFmtId="3" fontId="15" fillId="4" borderId="10" xfId="0" applyNumberFormat="1" applyFont="1" applyFill="1" applyBorder="1" applyAlignment="1">
      <alignment horizontal="center" vertical="center" wrapText="1"/>
    </xf>
    <xf numFmtId="3" fontId="15" fillId="4" borderId="16" xfId="0" applyNumberFormat="1" applyFont="1" applyFill="1" applyBorder="1" applyAlignment="1">
      <alignment horizontal="center" vertical="center" wrapText="1"/>
    </xf>
    <xf numFmtId="49" fontId="15" fillId="4" borderId="7"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8"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13" borderId="11" xfId="0" applyFont="1" applyFill="1" applyBorder="1" applyAlignment="1">
      <alignment horizontal="left" vertical="center" wrapText="1"/>
    </xf>
    <xf numFmtId="0" fontId="15" fillId="13" borderId="12"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187" fontId="8" fillId="2" borderId="10" xfId="0" applyNumberFormat="1" applyFont="1" applyFill="1" applyBorder="1" applyAlignment="1">
      <alignment horizontal="center" vertical="center" wrapText="1"/>
    </xf>
    <xf numFmtId="187" fontId="8" fillId="2" borderId="17" xfId="0" applyNumberFormat="1" applyFont="1" applyFill="1" applyBorder="1" applyAlignment="1">
      <alignment horizontal="center" vertical="center" wrapText="1"/>
    </xf>
    <xf numFmtId="0" fontId="8" fillId="2" borderId="17" xfId="0" applyFont="1" applyFill="1" applyBorder="1" applyAlignment="1">
      <alignment horizontal="justify" vertical="center" wrapText="1"/>
    </xf>
    <xf numFmtId="1" fontId="15" fillId="4" borderId="10" xfId="0" applyNumberFormat="1" applyFont="1" applyFill="1" applyBorder="1" applyAlignment="1">
      <alignment horizontal="center" vertical="center" wrapText="1"/>
    </xf>
    <xf numFmtId="1" fontId="15" fillId="4" borderId="16" xfId="0" applyNumberFormat="1" applyFont="1" applyFill="1" applyBorder="1" applyAlignment="1">
      <alignment horizontal="center" vertical="center" wrapText="1"/>
    </xf>
    <xf numFmtId="174" fontId="15" fillId="4" borderId="10" xfId="0" applyNumberFormat="1" applyFont="1" applyFill="1" applyBorder="1" applyAlignment="1">
      <alignment horizontal="center" vertical="center" wrapText="1"/>
    </xf>
    <xf numFmtId="174" fontId="15" fillId="4" borderId="16" xfId="0" applyNumberFormat="1" applyFont="1" applyFill="1" applyBorder="1" applyAlignment="1">
      <alignment horizontal="center" vertical="center" wrapText="1"/>
    </xf>
    <xf numFmtId="4" fontId="15" fillId="4" borderId="10" xfId="0" applyNumberFormat="1" applyFont="1" applyFill="1" applyBorder="1" applyAlignment="1">
      <alignment horizontal="center" vertical="center" wrapText="1"/>
    </xf>
    <xf numFmtId="4" fontId="15" fillId="4" borderId="16" xfId="0" applyNumberFormat="1" applyFont="1" applyFill="1" applyBorder="1" applyAlignment="1">
      <alignment horizontal="center" vertical="center" wrapText="1"/>
    </xf>
    <xf numFmtId="0" fontId="15" fillId="4" borderId="10" xfId="0" applyFont="1" applyFill="1" applyBorder="1" applyAlignment="1">
      <alignment horizontal="justify" vertical="center" wrapText="1"/>
    </xf>
    <xf numFmtId="0" fontId="15" fillId="4" borderId="16" xfId="0" applyFont="1" applyFill="1" applyBorder="1" applyAlignment="1">
      <alignment horizontal="justify" vertical="center" wrapText="1"/>
    </xf>
    <xf numFmtId="3" fontId="15" fillId="4" borderId="7" xfId="0"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0" fontId="15" fillId="4" borderId="10" xfId="0" applyFont="1" applyFill="1" applyBorder="1" applyAlignment="1">
      <alignment vertical="center" wrapText="1"/>
    </xf>
    <xf numFmtId="0" fontId="15" fillId="4" borderId="16" xfId="0" applyFont="1" applyFill="1" applyBorder="1" applyAlignment="1">
      <alignment vertical="center" wrapText="1"/>
    </xf>
    <xf numFmtId="187" fontId="8" fillId="2" borderId="16" xfId="0" applyNumberFormat="1" applyFont="1" applyFill="1" applyBorder="1" applyAlignment="1">
      <alignment horizontal="center" vertical="center" wrapText="1"/>
    </xf>
    <xf numFmtId="3" fontId="8" fillId="2" borderId="17"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9" fontId="8" fillId="2" borderId="17" xfId="0" applyNumberFormat="1" applyFont="1" applyFill="1" applyBorder="1" applyAlignment="1">
      <alignment horizontal="center" vertical="center" wrapText="1"/>
    </xf>
    <xf numFmtId="4" fontId="8" fillId="2" borderId="10" xfId="0" applyNumberFormat="1" applyFont="1" applyFill="1" applyBorder="1" applyAlignment="1">
      <alignment horizontal="right" vertical="center" wrapText="1"/>
    </xf>
    <xf numFmtId="4" fontId="8" fillId="2" borderId="17" xfId="0" applyNumberFormat="1" applyFont="1" applyFill="1" applyBorder="1" applyAlignment="1">
      <alignment horizontal="right" vertical="center" wrapText="1"/>
    </xf>
    <xf numFmtId="170" fontId="8" fillId="2" borderId="10" xfId="0" applyNumberFormat="1" applyFont="1" applyFill="1" applyBorder="1" applyAlignment="1">
      <alignment horizontal="center" vertical="center" wrapText="1"/>
    </xf>
    <xf numFmtId="170" fontId="8" fillId="2" borderId="17" xfId="0" applyNumberFormat="1" applyFont="1" applyFill="1" applyBorder="1" applyAlignment="1">
      <alignment horizontal="center" vertical="center" wrapText="1"/>
    </xf>
    <xf numFmtId="3" fontId="8" fillId="2" borderId="10" xfId="0" applyNumberFormat="1" applyFont="1" applyFill="1" applyBorder="1" applyAlignment="1">
      <alignment horizontal="left" vertical="center" wrapText="1"/>
    </xf>
    <xf numFmtId="3" fontId="8" fillId="2" borderId="17" xfId="0" applyNumberFormat="1" applyFont="1" applyFill="1" applyBorder="1" applyAlignment="1">
      <alignment horizontal="left" vertical="center" wrapText="1"/>
    </xf>
    <xf numFmtId="4" fontId="8" fillId="2" borderId="16" xfId="0" applyNumberFormat="1" applyFont="1" applyFill="1" applyBorder="1" applyAlignment="1">
      <alignment horizontal="right" vertical="center" wrapText="1"/>
    </xf>
    <xf numFmtId="3" fontId="8" fillId="2" borderId="16" xfId="0" applyNumberFormat="1" applyFont="1" applyFill="1" applyBorder="1" applyAlignment="1">
      <alignment horizontal="left" vertical="center" wrapText="1"/>
    </xf>
    <xf numFmtId="1" fontId="8" fillId="2" borderId="10" xfId="6" applyNumberFormat="1" applyFont="1" applyFill="1" applyBorder="1" applyAlignment="1">
      <alignment horizontal="center" vertical="center" wrapText="1"/>
    </xf>
    <xf numFmtId="1" fontId="8" fillId="2" borderId="17" xfId="6" applyNumberFormat="1" applyFont="1" applyFill="1" applyBorder="1" applyAlignment="1">
      <alignment horizontal="center" vertical="center" wrapText="1"/>
    </xf>
    <xf numFmtId="171" fontId="8" fillId="2" borderId="0" xfId="5" applyNumberFormat="1" applyFont="1" applyFill="1" applyBorder="1" applyAlignment="1">
      <alignment horizontal="center" vertical="center" wrapText="1"/>
    </xf>
    <xf numFmtId="170" fontId="8" fillId="2" borderId="16" xfId="0"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9" fontId="8" fillId="2" borderId="16" xfId="3" applyFont="1" applyFill="1" applyBorder="1" applyAlignment="1">
      <alignment horizontal="center" vertical="center" wrapText="1"/>
    </xf>
    <xf numFmtId="9" fontId="8" fillId="2" borderId="17" xfId="3"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0" fontId="15" fillId="2" borderId="0" xfId="0" applyFont="1" applyFill="1" applyAlignment="1">
      <alignment horizontal="center"/>
    </xf>
    <xf numFmtId="0" fontId="8" fillId="2" borderId="0" xfId="0" applyFont="1" applyFill="1" applyAlignment="1">
      <alignment horizontal="center"/>
    </xf>
    <xf numFmtId="0" fontId="2" fillId="4" borderId="7"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1" fontId="2" fillId="4" borderId="10" xfId="0" applyNumberFormat="1" applyFont="1" applyFill="1" applyBorder="1" applyAlignment="1" applyProtection="1">
      <alignment horizontal="center" vertical="center" wrapText="1"/>
    </xf>
    <xf numFmtId="1" fontId="2" fillId="4" borderId="16" xfId="0" applyNumberFormat="1" applyFont="1" applyFill="1" applyBorder="1" applyAlignment="1" applyProtection="1">
      <alignment horizontal="center" vertical="center" wrapText="1"/>
    </xf>
    <xf numFmtId="3" fontId="5" fillId="4" borderId="10" xfId="4" applyNumberFormat="1" applyFont="1" applyFill="1" applyBorder="1" applyAlignment="1" applyProtection="1">
      <alignment horizontal="center" vertical="center" wrapText="1"/>
    </xf>
    <xf numFmtId="3" fontId="5" fillId="4" borderId="16" xfId="4" applyNumberFormat="1" applyFont="1" applyFill="1" applyBorder="1" applyAlignment="1" applyProtection="1">
      <alignment horizontal="center" vertical="center" wrapText="1"/>
    </xf>
    <xf numFmtId="172" fontId="3" fillId="2" borderId="3"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justify" vertical="center" wrapText="1"/>
    </xf>
    <xf numFmtId="0" fontId="3" fillId="2" borderId="10"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49" fontId="3" fillId="2" borderId="16" xfId="0" applyNumberFormat="1" applyFont="1" applyFill="1" applyBorder="1" applyAlignment="1" applyProtection="1">
      <alignment horizontal="center" vertical="center" wrapText="1"/>
    </xf>
    <xf numFmtId="49" fontId="3" fillId="2" borderId="17" xfId="0" applyNumberFormat="1" applyFont="1" applyFill="1" applyBorder="1" applyAlignment="1" applyProtection="1">
      <alignment horizontal="center" vertical="center" wrapText="1"/>
    </xf>
    <xf numFmtId="0" fontId="2" fillId="6" borderId="7"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30" fillId="2" borderId="3" xfId="0" applyFont="1" applyFill="1" applyBorder="1" applyAlignment="1" applyProtection="1">
      <alignment horizontal="center" vertical="center" wrapText="1"/>
      <protection locked="0"/>
    </xf>
    <xf numFmtId="0" fontId="30" fillId="2" borderId="11"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172" fontId="2" fillId="13" borderId="3" xfId="0" applyNumberFormat="1" applyFont="1" applyFill="1" applyBorder="1" applyAlignment="1" applyProtection="1">
      <alignment horizontal="center" vertical="center" wrapText="1"/>
      <protection locked="0"/>
    </xf>
    <xf numFmtId="0" fontId="2" fillId="13" borderId="3" xfId="0" applyFont="1" applyFill="1" applyBorder="1" applyAlignment="1" applyProtection="1">
      <alignment horizontal="left" vertical="center" wrapText="1"/>
      <protection locked="0"/>
    </xf>
    <xf numFmtId="0" fontId="30" fillId="2" borderId="13" xfId="0" applyFont="1" applyFill="1" applyBorder="1" applyAlignment="1" applyProtection="1">
      <alignment horizontal="center" vertical="center" wrapText="1"/>
      <protection locked="0"/>
    </xf>
    <xf numFmtId="0" fontId="30" fillId="2" borderId="9" xfId="0" applyFont="1" applyFill="1" applyBorder="1" applyAlignment="1" applyProtection="1">
      <alignment horizontal="center" vertical="center" wrapText="1"/>
      <protection locked="0"/>
    </xf>
    <xf numFmtId="0" fontId="30" fillId="2" borderId="10" xfId="0" applyFont="1" applyFill="1" applyBorder="1" applyAlignment="1" applyProtection="1">
      <alignment horizontal="center" vertical="center" wrapText="1"/>
      <protection locked="0"/>
    </xf>
    <xf numFmtId="172" fontId="2" fillId="8" borderId="8" xfId="0" applyNumberFormat="1" applyFont="1" applyFill="1" applyBorder="1" applyAlignment="1" applyProtection="1">
      <alignment horizontal="center" vertical="center" wrapText="1"/>
      <protection locked="0"/>
    </xf>
    <xf numFmtId="172" fontId="2" fillId="8" borderId="5" xfId="0" applyNumberFormat="1" applyFont="1" applyFill="1" applyBorder="1" applyAlignment="1" applyProtection="1">
      <alignment horizontal="center" vertical="center" wrapText="1"/>
      <protection locked="0"/>
    </xf>
    <xf numFmtId="0" fontId="2" fillId="8" borderId="3" xfId="0" applyFont="1" applyFill="1" applyBorder="1" applyAlignment="1" applyProtection="1">
      <alignment horizontal="left" vertical="center" wrapText="1"/>
      <protection locked="0"/>
    </xf>
    <xf numFmtId="0" fontId="30" fillId="2" borderId="0"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9" fontId="3" fillId="0" borderId="3" xfId="3" applyFont="1" applyFill="1" applyBorder="1" applyAlignment="1" applyProtection="1">
      <alignment horizontal="center" vertical="center"/>
    </xf>
    <xf numFmtId="172" fontId="3" fillId="0" borderId="10" xfId="0" applyNumberFormat="1" applyFont="1" applyFill="1" applyBorder="1" applyAlignment="1" applyProtection="1">
      <alignment horizontal="center" vertical="center" wrapText="1"/>
    </xf>
    <xf numFmtId="172" fontId="3" fillId="0" borderId="16" xfId="0" applyNumberFormat="1" applyFont="1" applyFill="1" applyBorder="1" applyAlignment="1" applyProtection="1">
      <alignment horizontal="center" vertical="center" wrapText="1"/>
    </xf>
    <xf numFmtId="172" fontId="3" fillId="0" borderId="17"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justify" vertical="center" wrapText="1"/>
    </xf>
    <xf numFmtId="0" fontId="3" fillId="0" borderId="10"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3" fontId="3" fillId="2" borderId="10" xfId="0" applyNumberFormat="1" applyFont="1" applyFill="1" applyBorder="1" applyAlignment="1" applyProtection="1">
      <alignment horizontal="center" vertical="center" wrapText="1"/>
    </xf>
    <xf numFmtId="3" fontId="3" fillId="2" borderId="16" xfId="0" applyNumberFormat="1" applyFont="1" applyFill="1" applyBorder="1" applyAlignment="1" applyProtection="1">
      <alignment horizontal="center" vertical="center" wrapText="1"/>
    </xf>
    <xf numFmtId="3" fontId="3" fillId="2" borderId="17" xfId="0" applyNumberFormat="1" applyFont="1" applyFill="1" applyBorder="1" applyAlignment="1" applyProtection="1">
      <alignment horizontal="center" vertical="center" wrapText="1"/>
    </xf>
    <xf numFmtId="172" fontId="3" fillId="0" borderId="10" xfId="0" applyNumberFormat="1" applyFont="1" applyFill="1" applyBorder="1" applyAlignment="1" applyProtection="1">
      <alignment horizontal="right" vertical="center" wrapText="1"/>
    </xf>
    <xf numFmtId="172" fontId="3" fillId="0" borderId="16" xfId="0" applyNumberFormat="1" applyFont="1" applyFill="1" applyBorder="1" applyAlignment="1" applyProtection="1">
      <alignment horizontal="right" vertical="center" wrapText="1"/>
    </xf>
    <xf numFmtId="172" fontId="3" fillId="0" borderId="17" xfId="0" applyNumberFormat="1" applyFont="1" applyFill="1" applyBorder="1" applyAlignment="1" applyProtection="1">
      <alignment horizontal="right" vertical="center" wrapText="1"/>
    </xf>
    <xf numFmtId="170" fontId="2" fillId="4" borderId="7" xfId="0" applyNumberFormat="1" applyFont="1" applyFill="1" applyBorder="1" applyAlignment="1" applyProtection="1">
      <alignment horizontal="center" vertical="center" wrapText="1"/>
    </xf>
    <xf numFmtId="170" fontId="2" fillId="4" borderId="4" xfId="0" applyNumberFormat="1" applyFont="1" applyFill="1" applyBorder="1" applyAlignment="1" applyProtection="1">
      <alignment horizontal="center" vertical="center" wrapText="1"/>
    </xf>
    <xf numFmtId="14" fontId="3" fillId="2" borderId="10" xfId="0" applyNumberFormat="1" applyFont="1" applyFill="1" applyBorder="1" applyAlignment="1" applyProtection="1">
      <alignment horizontal="center" vertical="center" wrapText="1"/>
    </xf>
    <xf numFmtId="14" fontId="3" fillId="2" borderId="16" xfId="0" applyNumberFormat="1" applyFont="1" applyFill="1" applyBorder="1" applyAlignment="1" applyProtection="1">
      <alignment horizontal="center" vertical="center" wrapText="1"/>
    </xf>
    <xf numFmtId="14" fontId="3" fillId="2" borderId="17" xfId="0" applyNumberFormat="1" applyFont="1" applyFill="1" applyBorder="1" applyAlignment="1" applyProtection="1">
      <alignment horizontal="center" vertical="center" wrapText="1"/>
    </xf>
    <xf numFmtId="0" fontId="3" fillId="2" borderId="10" xfId="0" applyFont="1" applyFill="1" applyBorder="1" applyAlignment="1" applyProtection="1">
      <alignment horizontal="justify" vertical="center" wrapText="1"/>
      <protection locked="0"/>
    </xf>
    <xf numFmtId="0" fontId="3" fillId="2" borderId="16" xfId="0" applyFont="1" applyFill="1" applyBorder="1" applyAlignment="1" applyProtection="1">
      <alignment horizontal="justify" vertical="center" wrapText="1"/>
      <protection locked="0"/>
    </xf>
    <xf numFmtId="0" fontId="3" fillId="2" borderId="17"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172" fontId="3" fillId="2" borderId="17" xfId="0" applyNumberFormat="1" applyFont="1" applyFill="1" applyBorder="1" applyAlignment="1" applyProtection="1">
      <alignment horizontal="center" vertical="center"/>
    </xf>
    <xf numFmtId="172" fontId="3" fillId="2" borderId="3" xfId="0" applyNumberFormat="1" applyFont="1" applyFill="1" applyBorder="1" applyAlignment="1" applyProtection="1">
      <alignment horizontal="center" vertical="center"/>
    </xf>
    <xf numFmtId="0" fontId="3" fillId="2" borderId="17" xfId="0" applyFont="1" applyFill="1" applyBorder="1" applyAlignment="1" applyProtection="1">
      <alignment horizontal="justify" vertical="center" wrapText="1"/>
    </xf>
    <xf numFmtId="0" fontId="3" fillId="2" borderId="16" xfId="0" applyFont="1" applyFill="1" applyBorder="1" applyAlignment="1" applyProtection="1">
      <alignment horizontal="center" vertical="center"/>
    </xf>
    <xf numFmtId="189" fontId="3" fillId="2" borderId="17" xfId="0" applyNumberFormat="1" applyFont="1" applyFill="1" applyBorder="1" applyAlignment="1" applyProtection="1">
      <alignment horizontal="center" vertical="center"/>
    </xf>
    <xf numFmtId="189" fontId="3" fillId="2" borderId="3" xfId="0" applyNumberFormat="1" applyFont="1" applyFill="1" applyBorder="1" applyAlignment="1" applyProtection="1">
      <alignment horizontal="center" vertical="center"/>
    </xf>
    <xf numFmtId="172" fontId="3" fillId="2" borderId="10" xfId="0" applyNumberFormat="1" applyFont="1" applyFill="1" applyBorder="1" applyAlignment="1" applyProtection="1">
      <alignment horizontal="center" vertical="center"/>
    </xf>
    <xf numFmtId="0" fontId="3" fillId="2" borderId="10" xfId="0" applyFont="1" applyFill="1" applyBorder="1" applyAlignment="1" applyProtection="1">
      <alignment horizontal="justify" vertical="center" wrapText="1"/>
    </xf>
    <xf numFmtId="172" fontId="3" fillId="0" borderId="10" xfId="0" applyNumberFormat="1" applyFont="1" applyFill="1" applyBorder="1" applyAlignment="1" applyProtection="1">
      <alignment horizontal="center" vertical="center"/>
    </xf>
    <xf numFmtId="172" fontId="3" fillId="0" borderId="16" xfId="0" applyNumberFormat="1" applyFont="1" applyFill="1" applyBorder="1" applyAlignment="1" applyProtection="1">
      <alignment horizontal="center" vertical="center"/>
    </xf>
    <xf numFmtId="172" fontId="3"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justify" vertical="center" wrapText="1"/>
    </xf>
    <xf numFmtId="0" fontId="3" fillId="0" borderId="10" xfId="0" applyFont="1" applyFill="1" applyBorder="1" applyAlignment="1" applyProtection="1">
      <alignment horizontal="justify" vertical="center" wrapText="1"/>
    </xf>
    <xf numFmtId="0" fontId="3" fillId="0" borderId="3" xfId="0" applyFont="1" applyFill="1" applyBorder="1" applyAlignment="1" applyProtection="1">
      <alignment horizontal="left" vertical="center" wrapText="1"/>
    </xf>
    <xf numFmtId="9" fontId="3" fillId="0" borderId="10" xfId="3" applyFont="1" applyFill="1" applyBorder="1" applyAlignment="1" applyProtection="1">
      <alignment horizontal="center" vertical="center"/>
    </xf>
    <xf numFmtId="9" fontId="3" fillId="0" borderId="16" xfId="3" applyFont="1" applyFill="1" applyBorder="1" applyAlignment="1" applyProtection="1">
      <alignment horizontal="center" vertical="center"/>
    </xf>
    <xf numFmtId="9" fontId="3" fillId="0" borderId="17" xfId="3" applyFont="1" applyFill="1" applyBorder="1" applyAlignment="1" applyProtection="1">
      <alignment horizontal="center" vertical="center"/>
    </xf>
    <xf numFmtId="0" fontId="3" fillId="0" borderId="16" xfId="0" applyFont="1" applyFill="1" applyBorder="1" applyAlignment="1" applyProtection="1">
      <alignment horizontal="justify" vertical="center" wrapText="1"/>
    </xf>
    <xf numFmtId="170" fontId="3" fillId="0" borderId="16" xfId="0" applyNumberFormat="1" applyFont="1" applyBorder="1" applyAlignment="1" applyProtection="1">
      <alignment horizontal="justify" vertical="center" wrapText="1"/>
      <protection locked="0"/>
    </xf>
    <xf numFmtId="170" fontId="3" fillId="0" borderId="17" xfId="0" applyNumberFormat="1" applyFont="1" applyBorder="1" applyAlignment="1" applyProtection="1">
      <alignment horizontal="justify" vertical="center" wrapText="1"/>
      <protection locked="0"/>
    </xf>
    <xf numFmtId="172" fontId="3" fillId="0" borderId="3" xfId="0" applyNumberFormat="1" applyFont="1" applyFill="1" applyBorder="1" applyAlignment="1" applyProtection="1">
      <alignment horizontal="right" vertical="center"/>
    </xf>
    <xf numFmtId="172" fontId="3" fillId="0" borderId="10" xfId="0" applyNumberFormat="1" applyFont="1" applyFill="1" applyBorder="1" applyAlignment="1" applyProtection="1">
      <alignment horizontal="right" vertical="center"/>
    </xf>
    <xf numFmtId="172" fontId="3" fillId="0" borderId="16" xfId="0" applyNumberFormat="1" applyFont="1" applyFill="1" applyBorder="1" applyAlignment="1" applyProtection="1">
      <alignment horizontal="right" vertical="center"/>
    </xf>
    <xf numFmtId="172" fontId="3" fillId="0" borderId="17" xfId="0" applyNumberFormat="1" applyFont="1" applyFill="1" applyBorder="1" applyAlignment="1" applyProtection="1">
      <alignment horizontal="right" vertical="center"/>
    </xf>
    <xf numFmtId="0" fontId="3" fillId="0" borderId="10"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190" fontId="3" fillId="2" borderId="16" xfId="0" applyNumberFormat="1" applyFont="1" applyFill="1" applyBorder="1" applyAlignment="1" applyProtection="1">
      <alignment horizontal="center" vertical="center" wrapText="1"/>
    </xf>
    <xf numFmtId="190" fontId="3" fillId="2" borderId="17" xfId="0" applyNumberFormat="1" applyFont="1" applyFill="1" applyBorder="1" applyAlignment="1" applyProtection="1">
      <alignment horizontal="center" vertical="center" wrapText="1"/>
    </xf>
    <xf numFmtId="0" fontId="29" fillId="8" borderId="9" xfId="0" applyFont="1" applyFill="1" applyBorder="1" applyAlignment="1" applyProtection="1">
      <alignment horizontal="justify" vertical="center" wrapText="1"/>
      <protection locked="0"/>
    </xf>
    <xf numFmtId="0" fontId="29" fillId="8" borderId="6" xfId="0" applyFont="1" applyFill="1" applyBorder="1" applyAlignment="1" applyProtection="1">
      <alignment horizontal="justify" vertical="center" wrapText="1"/>
      <protection locked="0"/>
    </xf>
    <xf numFmtId="0" fontId="29" fillId="0" borderId="0" xfId="0" applyFont="1" applyBorder="1" applyAlignment="1" applyProtection="1">
      <alignment horizontal="center"/>
      <protection locked="0"/>
    </xf>
    <xf numFmtId="0" fontId="29" fillId="0" borderId="2" xfId="0" applyFont="1" applyBorder="1" applyAlignment="1" applyProtection="1">
      <alignment horizontal="center"/>
      <protection locked="0"/>
    </xf>
    <xf numFmtId="0" fontId="29" fillId="0" borderId="5" xfId="0" applyFont="1" applyBorder="1" applyAlignment="1" applyProtection="1">
      <alignment horizontal="center"/>
      <protection locked="0"/>
    </xf>
    <xf numFmtId="1" fontId="3" fillId="0" borderId="17" xfId="0" applyNumberFormat="1" applyFont="1" applyFill="1" applyBorder="1" applyAlignment="1" applyProtection="1">
      <alignment horizontal="center" vertical="center"/>
    </xf>
    <xf numFmtId="1" fontId="3" fillId="0" borderId="3" xfId="0" applyNumberFormat="1" applyFont="1" applyFill="1" applyBorder="1" applyAlignment="1" applyProtection="1">
      <alignment horizontal="center" vertical="center"/>
    </xf>
    <xf numFmtId="0" fontId="3" fillId="2" borderId="16" xfId="0" applyFont="1" applyFill="1" applyBorder="1" applyAlignment="1" applyProtection="1">
      <alignment horizontal="justify" vertical="center" wrapText="1"/>
    </xf>
    <xf numFmtId="3" fontId="3" fillId="0" borderId="16" xfId="0" applyNumberFormat="1" applyFont="1" applyFill="1" applyBorder="1" applyAlignment="1" applyProtection="1">
      <alignment horizontal="center" vertical="center"/>
    </xf>
    <xf numFmtId="3" fontId="3" fillId="0" borderId="17"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10" xfId="0" applyFont="1" applyBorder="1" applyAlignment="1" applyProtection="1">
      <alignment horizontal="justify" vertical="center" wrapText="1"/>
      <protection locked="0"/>
    </xf>
    <xf numFmtId="0" fontId="3" fillId="0" borderId="16" xfId="0" applyFont="1" applyBorder="1" applyAlignment="1" applyProtection="1">
      <alignment horizontal="justify" vertical="center" wrapText="1"/>
      <protection locked="0"/>
    </xf>
    <xf numFmtId="0" fontId="3" fillId="0" borderId="17" xfId="0" applyFont="1" applyBorder="1" applyAlignment="1" applyProtection="1">
      <alignment horizontal="justify" vertical="center" wrapText="1"/>
      <protection locked="0"/>
    </xf>
    <xf numFmtId="1" fontId="3" fillId="2" borderId="3" xfId="0" applyNumberFormat="1" applyFont="1" applyFill="1" applyBorder="1" applyAlignment="1" applyProtection="1">
      <alignment horizontal="center" vertical="center"/>
    </xf>
    <xf numFmtId="1" fontId="3" fillId="2" borderId="10" xfId="0" applyNumberFormat="1" applyFont="1" applyFill="1" applyBorder="1" applyAlignment="1" applyProtection="1">
      <alignment horizontal="center" vertical="center"/>
    </xf>
    <xf numFmtId="172" fontId="3" fillId="2" borderId="16" xfId="0" applyNumberFormat="1" applyFont="1" applyFill="1" applyBorder="1" applyAlignment="1" applyProtection="1">
      <alignment horizontal="center" vertical="center"/>
    </xf>
    <xf numFmtId="1" fontId="3" fillId="2" borderId="17" xfId="0" applyNumberFormat="1" applyFont="1" applyFill="1" applyBorder="1" applyAlignment="1" applyProtection="1">
      <alignment horizontal="center" vertical="center"/>
    </xf>
    <xf numFmtId="0" fontId="29" fillId="0" borderId="3" xfId="0" applyFont="1" applyBorder="1" applyAlignment="1" applyProtection="1">
      <alignment horizontal="center"/>
      <protection locked="0"/>
    </xf>
    <xf numFmtId="0" fontId="29" fillId="0" borderId="10" xfId="0" applyFont="1" applyBorder="1" applyAlignment="1" applyProtection="1">
      <alignment horizontal="center"/>
      <protection locked="0"/>
    </xf>
    <xf numFmtId="10" fontId="3" fillId="0" borderId="10" xfId="3" applyNumberFormat="1" applyFont="1" applyFill="1" applyBorder="1" applyAlignment="1" applyProtection="1">
      <alignment horizontal="center" vertical="center"/>
    </xf>
    <xf numFmtId="10" fontId="3" fillId="0" borderId="16" xfId="3" applyNumberFormat="1" applyFont="1" applyFill="1" applyBorder="1" applyAlignment="1" applyProtection="1">
      <alignment horizontal="center" vertical="center"/>
    </xf>
    <xf numFmtId="10" fontId="3" fillId="0" borderId="17" xfId="3" applyNumberFormat="1" applyFont="1" applyFill="1" applyBorder="1" applyAlignment="1" applyProtection="1">
      <alignment horizontal="center" vertical="center"/>
    </xf>
    <xf numFmtId="1" fontId="3" fillId="0" borderId="10" xfId="0" applyNumberFormat="1"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wrapText="1"/>
    </xf>
    <xf numFmtId="172" fontId="3" fillId="0" borderId="10" xfId="0" applyNumberFormat="1" applyFont="1" applyFill="1" applyBorder="1" applyAlignment="1" applyProtection="1">
      <alignment horizontal="justify" vertical="center" wrapText="1"/>
    </xf>
    <xf numFmtId="172" fontId="3" fillId="0" borderId="16" xfId="0" applyNumberFormat="1" applyFont="1" applyFill="1" applyBorder="1" applyAlignment="1" applyProtection="1">
      <alignment horizontal="justify" vertical="center" wrapText="1"/>
    </xf>
    <xf numFmtId="172" fontId="3" fillId="0" borderId="17" xfId="0" applyNumberFormat="1" applyFont="1" applyFill="1" applyBorder="1" applyAlignment="1" applyProtection="1">
      <alignment horizontal="justify" vertical="center" wrapText="1"/>
    </xf>
    <xf numFmtId="14" fontId="3" fillId="0" borderId="10" xfId="0" applyNumberFormat="1" applyFont="1" applyFill="1" applyBorder="1" applyAlignment="1" applyProtection="1">
      <alignment horizontal="center" vertical="center" wrapText="1"/>
    </xf>
    <xf numFmtId="14" fontId="3" fillId="0" borderId="16" xfId="0" applyNumberFormat="1" applyFont="1" applyFill="1" applyBorder="1" applyAlignment="1" applyProtection="1">
      <alignment horizontal="center" vertical="center" wrapText="1"/>
    </xf>
    <xf numFmtId="0" fontId="29" fillId="13" borderId="9" xfId="0" applyFont="1" applyFill="1" applyBorder="1" applyAlignment="1" applyProtection="1">
      <alignment horizontal="justify" vertical="center" wrapText="1"/>
      <protection locked="0"/>
    </xf>
    <xf numFmtId="0" fontId="29" fillId="13" borderId="6" xfId="0" applyFont="1" applyFill="1" applyBorder="1" applyAlignment="1" applyProtection="1">
      <alignment horizontal="justify" vertical="center" wrapText="1"/>
      <protection locked="0"/>
    </xf>
    <xf numFmtId="172" fontId="2" fillId="2" borderId="7" xfId="0" applyNumberFormat="1" applyFont="1" applyFill="1" applyBorder="1" applyAlignment="1" applyProtection="1">
      <alignment horizontal="center" vertical="center" wrapText="1"/>
      <protection locked="0"/>
    </xf>
    <xf numFmtId="172" fontId="2" fillId="2" borderId="0" xfId="0" applyNumberFormat="1" applyFont="1" applyFill="1" applyBorder="1" applyAlignment="1" applyProtection="1">
      <alignment horizontal="center" vertical="center" wrapText="1"/>
      <protection locked="0"/>
    </xf>
    <xf numFmtId="172" fontId="2" fillId="2" borderId="2" xfId="0" applyNumberFormat="1" applyFont="1" applyFill="1" applyBorder="1" applyAlignment="1" applyProtection="1">
      <alignment horizontal="center" vertical="center" wrapText="1"/>
      <protection locked="0"/>
    </xf>
    <xf numFmtId="172" fontId="2" fillId="2" borderId="1"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locked="0"/>
    </xf>
    <xf numFmtId="172" fontId="2" fillId="2" borderId="5" xfId="0" applyNumberFormat="1" applyFont="1" applyFill="1" applyBorder="1" applyAlignment="1" applyProtection="1">
      <alignment horizontal="center" vertical="center" wrapText="1"/>
      <protection locked="0"/>
    </xf>
    <xf numFmtId="172" fontId="2" fillId="2" borderId="6"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xf>
    <xf numFmtId="172" fontId="3" fillId="0" borderId="17" xfId="0" applyNumberFormat="1" applyFont="1" applyBorder="1" applyAlignment="1" applyProtection="1">
      <alignment horizontal="center" vertical="center"/>
    </xf>
    <xf numFmtId="172" fontId="3" fillId="0" borderId="3" xfId="0" applyNumberFormat="1" applyFont="1" applyBorder="1" applyAlignment="1" applyProtection="1">
      <alignment horizontal="center" vertical="center"/>
    </xf>
    <xf numFmtId="0" fontId="3" fillId="2" borderId="3" xfId="0" applyFont="1" applyFill="1" applyBorder="1" applyAlignment="1" applyProtection="1">
      <alignment horizontal="center" vertical="center" wrapText="1"/>
    </xf>
    <xf numFmtId="172" fontId="3" fillId="0" borderId="16" xfId="0" applyNumberFormat="1" applyFont="1" applyBorder="1" applyAlignment="1" applyProtection="1">
      <alignment horizontal="center" vertical="center"/>
    </xf>
    <xf numFmtId="14" fontId="3" fillId="0" borderId="3" xfId="0" applyNumberFormat="1" applyFont="1" applyBorder="1" applyAlignment="1" applyProtection="1">
      <alignment horizontal="center" vertical="center"/>
    </xf>
    <xf numFmtId="0" fontId="3" fillId="0" borderId="3" xfId="0" applyFont="1" applyFill="1" applyBorder="1" applyAlignment="1" applyProtection="1">
      <alignment horizontal="justify" vertical="center" wrapText="1"/>
      <protection locked="0"/>
    </xf>
    <xf numFmtId="9" fontId="3" fillId="2" borderId="10" xfId="3" applyNumberFormat="1" applyFont="1" applyFill="1" applyBorder="1" applyAlignment="1" applyProtection="1">
      <alignment horizontal="center" vertical="center"/>
    </xf>
    <xf numFmtId="9" fontId="3" fillId="2" borderId="17" xfId="3" applyNumberFormat="1" applyFont="1" applyFill="1" applyBorder="1" applyAlignment="1" applyProtection="1">
      <alignment horizontal="center" vertical="center"/>
    </xf>
    <xf numFmtId="9" fontId="3" fillId="2" borderId="16" xfId="3" applyNumberFormat="1" applyFont="1" applyFill="1" applyBorder="1" applyAlignment="1" applyProtection="1">
      <alignment horizontal="center" vertical="center"/>
    </xf>
    <xf numFmtId="172" fontId="2" fillId="8" borderId="3" xfId="0" applyNumberFormat="1" applyFont="1" applyFill="1" applyBorder="1" applyAlignment="1" applyProtection="1">
      <alignment horizontal="center" vertical="center" wrapText="1"/>
    </xf>
    <xf numFmtId="172" fontId="2" fillId="2" borderId="3" xfId="0" applyNumberFormat="1" applyFont="1" applyFill="1" applyBorder="1" applyAlignment="1" applyProtection="1">
      <alignment horizontal="center" vertical="center" wrapText="1"/>
      <protection locked="0"/>
    </xf>
    <xf numFmtId="172" fontId="2" fillId="2" borderId="10" xfId="0" applyNumberFormat="1" applyFont="1" applyFill="1" applyBorder="1" applyAlignment="1" applyProtection="1">
      <alignment horizontal="center" vertical="center" wrapText="1"/>
      <protection locked="0"/>
    </xf>
    <xf numFmtId="172" fontId="3" fillId="0" borderId="3" xfId="0" applyNumberFormat="1" applyFont="1" applyBorder="1" applyAlignment="1" applyProtection="1">
      <alignment horizontal="center" vertical="center" textRotation="91"/>
    </xf>
    <xf numFmtId="172" fontId="3" fillId="0" borderId="10" xfId="0" applyNumberFormat="1" applyFont="1" applyBorder="1" applyAlignment="1" applyProtection="1">
      <alignment horizontal="center" vertical="center" textRotation="91"/>
    </xf>
    <xf numFmtId="172" fontId="2" fillId="8" borderId="17" xfId="0" applyNumberFormat="1" applyFont="1" applyFill="1" applyBorder="1" applyAlignment="1" applyProtection="1">
      <alignment horizontal="center" vertical="center" wrapText="1"/>
    </xf>
    <xf numFmtId="172" fontId="2" fillId="8" borderId="10" xfId="0" applyNumberFormat="1" applyFont="1" applyFill="1" applyBorder="1" applyAlignment="1" applyProtection="1">
      <alignment horizontal="center" vertical="center" wrapText="1"/>
    </xf>
    <xf numFmtId="0" fontId="2" fillId="8" borderId="3" xfId="0" applyFont="1" applyFill="1" applyBorder="1" applyAlignment="1" applyProtection="1">
      <alignment horizontal="left" vertical="center" wrapText="1"/>
    </xf>
    <xf numFmtId="172" fontId="3" fillId="2" borderId="11" xfId="0" applyNumberFormat="1" applyFont="1" applyFill="1" applyBorder="1" applyAlignment="1" applyProtection="1">
      <alignment horizontal="center" vertical="center"/>
    </xf>
    <xf numFmtId="172" fontId="3" fillId="2" borderId="7" xfId="0" applyNumberFormat="1" applyFont="1" applyFill="1" applyBorder="1" applyAlignment="1" applyProtection="1">
      <alignment horizontal="center" vertical="center"/>
    </xf>
    <xf numFmtId="9" fontId="3" fillId="2" borderId="3" xfId="3" applyFont="1" applyFill="1" applyBorder="1" applyAlignment="1" applyProtection="1">
      <alignment horizontal="center" vertical="center"/>
    </xf>
    <xf numFmtId="9" fontId="3" fillId="2" borderId="10" xfId="3" applyFont="1" applyFill="1" applyBorder="1" applyAlignment="1" applyProtection="1">
      <alignment horizontal="center" vertical="center"/>
    </xf>
    <xf numFmtId="172" fontId="3" fillId="0" borderId="3" xfId="0" applyNumberFormat="1" applyFont="1" applyFill="1" applyBorder="1" applyAlignment="1" applyProtection="1">
      <alignment horizontal="center" vertical="center"/>
    </xf>
    <xf numFmtId="14" fontId="3" fillId="0" borderId="10" xfId="0" applyNumberFormat="1" applyFont="1" applyBorder="1" applyAlignment="1" applyProtection="1">
      <alignment horizontal="center" vertical="center"/>
    </xf>
    <xf numFmtId="14" fontId="3" fillId="0" borderId="16" xfId="0" applyNumberFormat="1" applyFont="1" applyBorder="1" applyAlignment="1" applyProtection="1">
      <alignment horizontal="center" vertical="center"/>
    </xf>
    <xf numFmtId="0" fontId="3" fillId="0" borderId="16" xfId="0" applyFont="1" applyFill="1" applyBorder="1" applyAlignment="1" applyProtection="1">
      <alignment horizontal="justify" vertical="center" wrapText="1"/>
      <protection locked="0"/>
    </xf>
    <xf numFmtId="14" fontId="3" fillId="0" borderId="3" xfId="0" applyNumberFormat="1" applyFont="1" applyBorder="1" applyAlignment="1" applyProtection="1">
      <alignment horizontal="center" vertical="center" textRotation="91"/>
    </xf>
    <xf numFmtId="14" fontId="3" fillId="0" borderId="10" xfId="0" applyNumberFormat="1" applyFont="1" applyBorder="1" applyAlignment="1" applyProtection="1">
      <alignment horizontal="center" vertical="center" textRotation="91"/>
    </xf>
    <xf numFmtId="0" fontId="3" fillId="0" borderId="10" xfId="0" applyFont="1" applyFill="1" applyBorder="1" applyAlignment="1" applyProtection="1">
      <alignment horizontal="justify" vertical="center" wrapText="1"/>
      <protection locked="0"/>
    </xf>
    <xf numFmtId="1" fontId="8" fillId="2" borderId="10" xfId="0" applyNumberFormat="1" applyFont="1" applyFill="1" applyBorder="1" applyAlignment="1" applyProtection="1">
      <alignment horizontal="center" vertical="center" wrapText="1"/>
      <protection locked="0"/>
    </xf>
    <xf numFmtId="1" fontId="8" fillId="2" borderId="16" xfId="0" applyNumberFormat="1" applyFont="1" applyFill="1" applyBorder="1" applyAlignment="1" applyProtection="1">
      <alignment horizontal="center" vertical="center" wrapText="1"/>
      <protection locked="0"/>
    </xf>
    <xf numFmtId="1" fontId="8" fillId="2" borderId="17" xfId="0" applyNumberFormat="1" applyFont="1" applyFill="1" applyBorder="1" applyAlignment="1" applyProtection="1">
      <alignment horizontal="center" vertical="center" wrapText="1"/>
      <protection locked="0"/>
    </xf>
    <xf numFmtId="3" fontId="8" fillId="2" borderId="10" xfId="0" applyNumberFormat="1" applyFont="1" applyFill="1" applyBorder="1" applyAlignment="1" applyProtection="1">
      <alignment horizontal="center" vertical="center"/>
      <protection locked="0"/>
    </xf>
    <xf numFmtId="3" fontId="8" fillId="2" borderId="16" xfId="0" applyNumberFormat="1" applyFont="1" applyFill="1" applyBorder="1" applyAlignment="1" applyProtection="1">
      <alignment horizontal="center" vertical="center"/>
      <protection locked="0"/>
    </xf>
    <xf numFmtId="3" fontId="8" fillId="2" borderId="17" xfId="0" applyNumberFormat="1" applyFont="1" applyFill="1" applyBorder="1" applyAlignment="1" applyProtection="1">
      <alignment horizontal="center" vertical="center"/>
      <protection locked="0"/>
    </xf>
    <xf numFmtId="175" fontId="8" fillId="2" borderId="10" xfId="0" applyNumberFormat="1" applyFont="1" applyFill="1" applyBorder="1" applyAlignment="1" applyProtection="1">
      <alignment horizontal="center" vertical="center"/>
      <protection locked="0"/>
    </xf>
    <xf numFmtId="175" fontId="8" fillId="2" borderId="16" xfId="0" applyNumberFormat="1" applyFont="1" applyFill="1" applyBorder="1" applyAlignment="1" applyProtection="1">
      <alignment horizontal="center" vertical="center"/>
      <protection locked="0"/>
    </xf>
    <xf numFmtId="175" fontId="8" fillId="2" borderId="17" xfId="0" applyNumberFormat="1" applyFont="1" applyFill="1" applyBorder="1" applyAlignment="1" applyProtection="1">
      <alignment horizontal="center" vertical="center"/>
      <protection locked="0"/>
    </xf>
    <xf numFmtId="1" fontId="8" fillId="2" borderId="10" xfId="0" applyNumberFormat="1" applyFont="1" applyFill="1" applyBorder="1" applyAlignment="1" applyProtection="1">
      <alignment horizontal="center" vertical="center"/>
      <protection locked="0"/>
    </xf>
    <xf numFmtId="1" fontId="8" fillId="2" borderId="16" xfId="0" applyNumberFormat="1" applyFont="1" applyFill="1" applyBorder="1" applyAlignment="1" applyProtection="1">
      <alignment horizontal="center" vertical="center"/>
      <protection locked="0"/>
    </xf>
    <xf numFmtId="1" fontId="8" fillId="2" borderId="17" xfId="0" applyNumberFormat="1" applyFont="1" applyFill="1" applyBorder="1" applyAlignment="1" applyProtection="1">
      <alignment horizontal="center" vertical="center"/>
      <protection locked="0"/>
    </xf>
    <xf numFmtId="0" fontId="15" fillId="4" borderId="7" xfId="0" applyFont="1" applyFill="1" applyBorder="1" applyAlignment="1">
      <alignment horizontal="justify" vertical="center" wrapText="1"/>
    </xf>
    <xf numFmtId="0" fontId="15" fillId="4" borderId="1" xfId="0" applyFont="1" applyFill="1" applyBorder="1" applyAlignment="1">
      <alignment horizontal="justify" vertical="center" wrapText="1"/>
    </xf>
    <xf numFmtId="0" fontId="15" fillId="4"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1" fontId="8" fillId="2" borderId="10" xfId="0" applyNumberFormat="1" applyFont="1" applyFill="1" applyBorder="1" applyAlignment="1">
      <alignment horizontal="center" vertical="center"/>
    </xf>
    <xf numFmtId="1" fontId="8" fillId="2" borderId="16" xfId="0" applyNumberFormat="1" applyFont="1" applyFill="1" applyBorder="1" applyAlignment="1">
      <alignment horizontal="center" vertical="center"/>
    </xf>
    <xf numFmtId="1" fontId="8" fillId="2" borderId="17" xfId="0" applyNumberFormat="1" applyFont="1" applyFill="1" applyBorder="1" applyAlignment="1">
      <alignment horizontal="center" vertical="center"/>
    </xf>
    <xf numFmtId="9" fontId="8" fillId="2" borderId="10" xfId="3" applyFont="1" applyFill="1" applyBorder="1" applyAlignment="1">
      <alignment horizontal="center" vertical="center"/>
    </xf>
    <xf numFmtId="9" fontId="8" fillId="2" borderId="16" xfId="3" applyFont="1" applyFill="1" applyBorder="1" applyAlignment="1">
      <alignment horizontal="center" vertical="center"/>
    </xf>
    <xf numFmtId="9" fontId="8" fillId="2" borderId="17" xfId="3" applyFont="1" applyFill="1" applyBorder="1" applyAlignment="1">
      <alignment horizontal="center" vertical="center"/>
    </xf>
    <xf numFmtId="3" fontId="8" fillId="2" borderId="10" xfId="0" applyNumberFormat="1" applyFont="1" applyFill="1" applyBorder="1" applyAlignment="1">
      <alignment vertical="center"/>
    </xf>
    <xf numFmtId="3" fontId="8" fillId="2" borderId="16" xfId="0" applyNumberFormat="1" applyFont="1" applyFill="1" applyBorder="1" applyAlignment="1">
      <alignment vertical="center"/>
    </xf>
    <xf numFmtId="3" fontId="8" fillId="2" borderId="17" xfId="0" applyNumberFormat="1" applyFont="1" applyFill="1" applyBorder="1" applyAlignment="1">
      <alignment vertical="center"/>
    </xf>
    <xf numFmtId="0" fontId="15" fillId="4" borderId="4" xfId="0" applyFont="1" applyFill="1" applyBorder="1" applyAlignment="1">
      <alignment horizontal="center" vertical="center" wrapText="1"/>
    </xf>
    <xf numFmtId="174" fontId="15" fillId="4" borderId="7" xfId="0" applyNumberFormat="1" applyFont="1" applyFill="1" applyBorder="1" applyAlignment="1">
      <alignment horizontal="center" vertical="center" wrapText="1"/>
    </xf>
    <xf numFmtId="174" fontId="15" fillId="4" borderId="1" xfId="0" applyNumberFormat="1" applyFont="1" applyFill="1" applyBorder="1" applyAlignment="1">
      <alignment horizontal="center" vertical="center" wrapText="1"/>
    </xf>
    <xf numFmtId="3" fontId="15" fillId="4" borderId="7" xfId="0" applyNumberFormat="1" applyFont="1" applyFill="1" applyBorder="1" applyAlignment="1">
      <alignment vertical="center" wrapText="1"/>
    </xf>
    <xf numFmtId="3" fontId="15" fillId="4" borderId="1" xfId="0" applyNumberFormat="1" applyFont="1" applyFill="1" applyBorder="1" applyAlignment="1">
      <alignment vertical="center" wrapText="1"/>
    </xf>
    <xf numFmtId="176" fontId="15" fillId="4" borderId="3" xfId="0" applyNumberFormat="1" applyFont="1" applyFill="1" applyBorder="1" applyAlignment="1">
      <alignment horizontal="center" vertical="center" wrapText="1"/>
    </xf>
    <xf numFmtId="3" fontId="15" fillId="4" borderId="10" xfId="0" applyNumberFormat="1" applyFont="1" applyFill="1" applyBorder="1" applyAlignment="1">
      <alignment horizontal="justify" vertical="center" wrapText="1"/>
    </xf>
    <xf numFmtId="3" fontId="15" fillId="4" borderId="16" xfId="0" applyNumberFormat="1" applyFont="1" applyFill="1" applyBorder="1" applyAlignment="1">
      <alignment horizontal="justify" vertical="center" wrapText="1"/>
    </xf>
    <xf numFmtId="49" fontId="15" fillId="4"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1" fontId="8" fillId="2" borderId="16" xfId="0" applyNumberFormat="1" applyFont="1" applyFill="1" applyBorder="1" applyAlignment="1">
      <alignment horizontal="center" vertical="center" wrapText="1"/>
    </xf>
    <xf numFmtId="3" fontId="19" fillId="2" borderId="10" xfId="13" applyNumberFormat="1" applyFont="1" applyFill="1" applyBorder="1" applyAlignment="1">
      <alignment vertical="center" wrapText="1"/>
    </xf>
    <xf numFmtId="3" fontId="19" fillId="2" borderId="16" xfId="13" applyNumberFormat="1" applyFont="1" applyFill="1" applyBorder="1" applyAlignment="1">
      <alignment vertical="center" wrapText="1"/>
    </xf>
    <xf numFmtId="3" fontId="19" fillId="2" borderId="17" xfId="13" applyNumberFormat="1" applyFont="1" applyFill="1" applyBorder="1" applyAlignment="1">
      <alignment vertical="center" wrapText="1"/>
    </xf>
    <xf numFmtId="3" fontId="8" fillId="2" borderId="10" xfId="0" applyNumberFormat="1" applyFont="1" applyFill="1" applyBorder="1" applyAlignment="1">
      <alignment horizontal="justify" vertical="center" wrapText="1"/>
    </xf>
    <xf numFmtId="3" fontId="8" fillId="2" borderId="16" xfId="0" applyNumberFormat="1" applyFont="1" applyFill="1" applyBorder="1" applyAlignment="1">
      <alignment horizontal="justify" vertical="center" wrapText="1"/>
    </xf>
    <xf numFmtId="3" fontId="8" fillId="2" borderId="17" xfId="0" applyNumberFormat="1" applyFont="1" applyFill="1" applyBorder="1" applyAlignment="1">
      <alignment horizontal="justify" vertical="center" wrapText="1"/>
    </xf>
    <xf numFmtId="175" fontId="15" fillId="4" borderId="3"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176" fontId="8" fillId="2" borderId="10" xfId="0" applyNumberFormat="1" applyFont="1" applyFill="1" applyBorder="1" applyAlignment="1">
      <alignment horizontal="center" vertical="center" wrapText="1"/>
    </xf>
    <xf numFmtId="176" fontId="8" fillId="2" borderId="16" xfId="0" applyNumberFormat="1" applyFont="1" applyFill="1" applyBorder="1" applyAlignment="1">
      <alignment horizontal="center" vertical="center" wrapText="1"/>
    </xf>
    <xf numFmtId="176" fontId="8" fillId="2" borderId="17" xfId="0" applyNumberFormat="1"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3" fontId="8" fillId="2" borderId="10" xfId="5" applyNumberFormat="1" applyFont="1" applyFill="1" applyBorder="1" applyAlignment="1">
      <alignment vertical="center"/>
    </xf>
    <xf numFmtId="3" fontId="8" fillId="2" borderId="17" xfId="5" applyNumberFormat="1" applyFont="1" applyFill="1" applyBorder="1" applyAlignment="1">
      <alignment vertical="center"/>
    </xf>
    <xf numFmtId="0" fontId="0" fillId="0" borderId="3" xfId="0" applyBorder="1" applyAlignment="1">
      <alignment horizontal="center" vertical="center" wrapText="1"/>
    </xf>
    <xf numFmtId="3" fontId="8" fillId="2" borderId="10" xfId="0" applyNumberFormat="1" applyFont="1" applyFill="1" applyBorder="1" applyAlignment="1">
      <alignment vertical="center" wrapText="1"/>
    </xf>
    <xf numFmtId="3" fontId="8" fillId="2" borderId="16" xfId="0" applyNumberFormat="1" applyFont="1" applyFill="1" applyBorder="1" applyAlignment="1">
      <alignment vertical="center" wrapText="1"/>
    </xf>
    <xf numFmtId="3" fontId="8" fillId="2" borderId="17" xfId="0" applyNumberFormat="1" applyFont="1" applyFill="1" applyBorder="1" applyAlignment="1">
      <alignment vertical="center" wrapText="1"/>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1" fontId="8" fillId="2" borderId="7"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8" fillId="2" borderId="4"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16" xfId="0" applyNumberFormat="1" applyFont="1" applyFill="1" applyBorder="1" applyAlignment="1">
      <alignment horizontal="center" vertical="center"/>
    </xf>
    <xf numFmtId="176" fontId="8" fillId="2" borderId="17" xfId="0" applyNumberFormat="1" applyFont="1" applyFill="1" applyBorder="1" applyAlignment="1">
      <alignment horizontal="center" vertical="center"/>
    </xf>
    <xf numFmtId="3" fontId="8" fillId="2" borderId="10" xfId="0" applyNumberFormat="1" applyFont="1" applyFill="1" applyBorder="1" applyAlignment="1" applyProtection="1">
      <alignment horizontal="center" vertical="center" wrapText="1"/>
      <protection locked="0"/>
    </xf>
    <xf numFmtId="3" fontId="8" fillId="2" borderId="16" xfId="0" applyNumberFormat="1" applyFont="1" applyFill="1" applyBorder="1" applyAlignment="1" applyProtection="1">
      <alignment horizontal="center" vertical="center" wrapText="1"/>
      <protection locked="0"/>
    </xf>
    <xf numFmtId="3" fontId="8" fillId="2" borderId="17" xfId="0" applyNumberFormat="1" applyFont="1" applyFill="1" applyBorder="1" applyAlignment="1" applyProtection="1">
      <alignment horizontal="center" vertical="center" wrapText="1"/>
      <protection locked="0"/>
    </xf>
    <xf numFmtId="14" fontId="8" fillId="2" borderId="10" xfId="0" applyNumberFormat="1" applyFont="1" applyFill="1" applyBorder="1" applyAlignment="1">
      <alignment horizontal="center" vertical="center"/>
    </xf>
    <xf numFmtId="14" fontId="8" fillId="2" borderId="16" xfId="0" applyNumberFormat="1" applyFont="1" applyFill="1" applyBorder="1" applyAlignment="1">
      <alignment horizontal="center" vertical="center"/>
    </xf>
    <xf numFmtId="14" fontId="8" fillId="2" borderId="17" xfId="0" applyNumberFormat="1" applyFont="1" applyFill="1" applyBorder="1" applyAlignment="1">
      <alignment horizontal="center" vertical="center"/>
    </xf>
    <xf numFmtId="175" fontId="8" fillId="2" borderId="10" xfId="0" applyNumberFormat="1" applyFont="1" applyFill="1" applyBorder="1" applyAlignment="1">
      <alignment horizontal="center" vertical="center" wrapText="1"/>
    </xf>
    <xf numFmtId="175" fontId="8" fillId="2" borderId="16" xfId="0" applyNumberFormat="1" applyFont="1" applyFill="1" applyBorder="1" applyAlignment="1">
      <alignment horizontal="center" vertical="center" wrapText="1"/>
    </xf>
    <xf numFmtId="175" fontId="8" fillId="2" borderId="17"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7"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8" fillId="2" borderId="11"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9" fontId="8" fillId="0" borderId="10" xfId="3" applyFont="1" applyFill="1" applyBorder="1" applyAlignment="1">
      <alignment horizontal="center" vertical="center"/>
    </xf>
    <xf numFmtId="9" fontId="8" fillId="0" borderId="16" xfId="3" applyFont="1" applyFill="1" applyBorder="1" applyAlignment="1">
      <alignment horizontal="center" vertical="center"/>
    </xf>
    <xf numFmtId="9" fontId="8" fillId="0" borderId="17" xfId="3" applyFont="1" applyFill="1" applyBorder="1" applyAlignment="1">
      <alignment horizontal="center" vertical="center"/>
    </xf>
    <xf numFmtId="0" fontId="11" fillId="2" borderId="10" xfId="0" applyFont="1" applyFill="1" applyBorder="1" applyAlignment="1">
      <alignment horizontal="justify" vertical="center" wrapText="1"/>
    </xf>
    <xf numFmtId="0" fontId="11" fillId="2" borderId="16" xfId="0" applyFont="1" applyFill="1" applyBorder="1" applyAlignment="1">
      <alignment horizontal="justify" vertical="center" wrapText="1"/>
    </xf>
    <xf numFmtId="0" fontId="11" fillId="2" borderId="17" xfId="0" applyFont="1" applyFill="1" applyBorder="1" applyAlignment="1">
      <alignment horizontal="justify" vertical="center" wrapText="1"/>
    </xf>
    <xf numFmtId="14" fontId="8" fillId="2" borderId="3"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7"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15" fillId="2" borderId="0" xfId="0" applyFont="1" applyFill="1" applyAlignment="1">
      <alignment horizontal="left" vertical="center"/>
    </xf>
    <xf numFmtId="0" fontId="8" fillId="2" borderId="0" xfId="0" applyFont="1" applyFill="1" applyAlignment="1">
      <alignment horizontal="left"/>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8" fillId="0" borderId="7"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0" xfId="0" applyFont="1" applyBorder="1" applyAlignment="1">
      <alignment horizontal="justify" vertical="center" wrapText="1"/>
    </xf>
    <xf numFmtId="0" fontId="8" fillId="0" borderId="16" xfId="0" applyFont="1" applyBorder="1" applyAlignment="1">
      <alignment horizontal="justify" vertical="center" wrapText="1"/>
    </xf>
    <xf numFmtId="0" fontId="6" fillId="2" borderId="1" xfId="0" applyFont="1" applyFill="1" applyBorder="1" applyAlignment="1">
      <alignment horizontal="center" vertical="center" wrapText="1"/>
    </xf>
    <xf numFmtId="0" fontId="18" fillId="9" borderId="3" xfId="0" applyFont="1" applyFill="1" applyBorder="1" applyAlignment="1">
      <alignment horizontal="justify" vertical="center" wrapText="1"/>
    </xf>
    <xf numFmtId="0" fontId="18" fillId="9" borderId="10" xfId="0" applyFont="1" applyFill="1" applyBorder="1" applyAlignment="1">
      <alignment horizontal="justify" vertical="center" wrapText="1"/>
    </xf>
    <xf numFmtId="3" fontId="6" fillId="0" borderId="9" xfId="0"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wrapText="1"/>
    </xf>
    <xf numFmtId="176" fontId="6" fillId="2" borderId="10" xfId="0" applyNumberFormat="1" applyFont="1" applyFill="1" applyBorder="1" applyAlignment="1" applyProtection="1">
      <alignment horizontal="center" vertical="center" wrapText="1"/>
      <protection locked="0"/>
    </xf>
    <xf numFmtId="176" fontId="6" fillId="2" borderId="16" xfId="0" applyNumberFormat="1" applyFont="1" applyFill="1" applyBorder="1" applyAlignment="1" applyProtection="1">
      <alignment horizontal="center" vertical="center" wrapText="1"/>
      <protection locked="0"/>
    </xf>
    <xf numFmtId="172" fontId="6" fillId="2" borderId="10" xfId="12" applyNumberFormat="1" applyFont="1" applyFill="1" applyBorder="1" applyAlignment="1" applyProtection="1">
      <alignment horizontal="center" vertical="center" wrapText="1"/>
      <protection locked="0"/>
    </xf>
    <xf numFmtId="172" fontId="6" fillId="2" borderId="16" xfId="12" applyNumberFormat="1" applyFont="1" applyFill="1" applyBorder="1" applyAlignment="1" applyProtection="1">
      <alignment horizontal="center" vertical="center" wrapText="1"/>
      <protection locked="0"/>
    </xf>
    <xf numFmtId="3" fontId="6" fillId="2" borderId="16" xfId="0" applyNumberFormat="1" applyFont="1" applyFill="1" applyBorder="1" applyAlignment="1">
      <alignment horizontal="justify" vertical="center" wrapText="1"/>
    </xf>
    <xf numFmtId="3" fontId="6" fillId="2" borderId="10" xfId="0" applyNumberFormat="1" applyFont="1" applyFill="1" applyBorder="1" applyAlignment="1">
      <alignment vertical="center" wrapText="1"/>
    </xf>
    <xf numFmtId="3" fontId="6" fillId="2" borderId="16" xfId="0" applyNumberFormat="1" applyFont="1" applyFill="1" applyBorder="1" applyAlignment="1">
      <alignment vertical="center" wrapText="1"/>
    </xf>
    <xf numFmtId="0" fontId="6" fillId="2" borderId="7"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16" xfId="0" applyFont="1" applyFill="1" applyBorder="1" applyAlignment="1">
      <alignment horizontal="justify" vertical="center" wrapText="1"/>
    </xf>
    <xf numFmtId="9" fontId="6" fillId="2" borderId="16" xfId="3" applyFont="1" applyFill="1" applyBorder="1" applyAlignment="1">
      <alignment horizontal="center" vertical="center" wrapText="1"/>
    </xf>
    <xf numFmtId="176" fontId="6" fillId="2" borderId="17" xfId="0" applyNumberFormat="1" applyFont="1" applyFill="1" applyBorder="1" applyAlignment="1" applyProtection="1">
      <alignment horizontal="center" vertical="center" wrapText="1"/>
      <protection locked="0"/>
    </xf>
    <xf numFmtId="3" fontId="6" fillId="2" borderId="17" xfId="0" applyNumberFormat="1" applyFont="1" applyFill="1" applyBorder="1" applyAlignment="1">
      <alignment horizontal="justify" vertical="center" wrapText="1"/>
    </xf>
    <xf numFmtId="172" fontId="6" fillId="2" borderId="17" xfId="12" applyNumberFormat="1" applyFont="1" applyFill="1" applyBorder="1" applyAlignment="1" applyProtection="1">
      <alignment horizontal="center" vertical="center" wrapText="1"/>
      <protection locked="0"/>
    </xf>
    <xf numFmtId="9" fontId="6" fillId="2" borderId="17" xfId="3" applyFont="1" applyFill="1" applyBorder="1" applyAlignment="1">
      <alignment horizontal="center" vertical="center" wrapText="1"/>
    </xf>
    <xf numFmtId="3" fontId="6" fillId="2" borderId="17" xfId="0" applyNumberFormat="1" applyFont="1" applyFill="1" applyBorder="1" applyAlignment="1">
      <alignment vertical="center" wrapText="1"/>
    </xf>
    <xf numFmtId="3" fontId="6" fillId="2" borderId="16" xfId="0" applyNumberFormat="1" applyFont="1" applyFill="1" applyBorder="1" applyAlignment="1">
      <alignment horizontal="right" vertical="center" wrapText="1"/>
    </xf>
    <xf numFmtId="3" fontId="6" fillId="2" borderId="17" xfId="0" applyNumberFormat="1" applyFont="1" applyFill="1" applyBorder="1" applyAlignment="1">
      <alignment horizontal="right" vertical="center" wrapText="1"/>
    </xf>
    <xf numFmtId="0" fontId="6" fillId="2" borderId="10" xfId="0" applyFont="1" applyFill="1" applyBorder="1" applyAlignment="1">
      <alignment horizontal="justify" wrapText="1"/>
    </xf>
    <xf numFmtId="0" fontId="6" fillId="2" borderId="17" xfId="0" applyFont="1" applyFill="1" applyBorder="1" applyAlignment="1">
      <alignment horizontal="justify" wrapText="1"/>
    </xf>
    <xf numFmtId="3" fontId="6" fillId="2" borderId="10" xfId="0" applyNumberFormat="1" applyFont="1" applyFill="1" applyBorder="1" applyAlignment="1">
      <alignment horizontal="right" vertical="center" wrapText="1"/>
    </xf>
    <xf numFmtId="0" fontId="6" fillId="2" borderId="1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9" fontId="5" fillId="4" borderId="3" xfId="3" applyFont="1" applyFill="1" applyBorder="1" applyAlignment="1">
      <alignment horizontal="center" vertical="center" wrapText="1"/>
    </xf>
    <xf numFmtId="3" fontId="5" fillId="4" borderId="3" xfId="0" applyNumberFormat="1" applyFont="1" applyFill="1" applyBorder="1" applyAlignment="1">
      <alignment vertical="center" wrapText="1"/>
    </xf>
    <xf numFmtId="175" fontId="5" fillId="4" borderId="3"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76" fontId="5" fillId="4" borderId="7" xfId="0" applyNumberFormat="1" applyFont="1" applyFill="1" applyBorder="1" applyAlignment="1">
      <alignment horizontal="center" vertical="center" wrapText="1"/>
    </xf>
    <xf numFmtId="176" fontId="5" fillId="4" borderId="1"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3" fontId="5" fillId="4" borderId="16"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3" xfId="0" applyFont="1" applyFill="1" applyBorder="1" applyAlignment="1">
      <alignment horizontal="center" vertical="center"/>
    </xf>
    <xf numFmtId="176" fontId="5" fillId="4" borderId="3" xfId="0" applyNumberFormat="1" applyFont="1" applyFill="1" applyBorder="1" applyAlignment="1">
      <alignment horizontal="center" vertical="center" wrapText="1"/>
    </xf>
    <xf numFmtId="176" fontId="5" fillId="4" borderId="10" xfId="0" applyNumberFormat="1" applyFont="1" applyFill="1" applyBorder="1" applyAlignment="1">
      <alignment horizontal="center" vertical="center" wrapText="1"/>
    </xf>
    <xf numFmtId="0" fontId="5" fillId="4" borderId="3" xfId="0" applyFont="1" applyFill="1" applyBorder="1" applyAlignment="1">
      <alignment horizontal="justify" vertical="center" wrapText="1"/>
    </xf>
    <xf numFmtId="0" fontId="5" fillId="4" borderId="10"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6" fillId="2" borderId="10"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175" fontId="6" fillId="2" borderId="16" xfId="0" applyNumberFormat="1" applyFont="1" applyFill="1" applyBorder="1" applyAlignment="1">
      <alignment horizontal="center" vertical="center"/>
    </xf>
    <xf numFmtId="0" fontId="6" fillId="2" borderId="16" xfId="0" applyFont="1" applyFill="1" applyBorder="1" applyAlignment="1">
      <alignment horizontal="justify" vertical="center"/>
    </xf>
    <xf numFmtId="0" fontId="6" fillId="2" borderId="17" xfId="0" applyFont="1" applyFill="1" applyBorder="1" applyAlignment="1">
      <alignment horizontal="justify" vertical="center"/>
    </xf>
    <xf numFmtId="1" fontId="5" fillId="0" borderId="8" xfId="0" applyNumberFormat="1" applyFont="1" applyFill="1" applyBorder="1" applyAlignment="1">
      <alignment horizontal="justify" vertical="center"/>
    </xf>
    <xf numFmtId="1" fontId="5" fillId="0" borderId="0" xfId="0" applyNumberFormat="1" applyFont="1" applyFill="1" applyBorder="1" applyAlignment="1">
      <alignment horizontal="justify" vertical="center"/>
    </xf>
    <xf numFmtId="1" fontId="5" fillId="0" borderId="5" xfId="0" applyNumberFormat="1" applyFont="1" applyFill="1" applyBorder="1" applyAlignment="1">
      <alignment horizontal="justify" vertical="center"/>
    </xf>
    <xf numFmtId="0" fontId="5" fillId="10" borderId="11" xfId="0" applyFont="1" applyFill="1" applyBorder="1" applyAlignment="1">
      <alignment horizontal="left" vertical="center"/>
    </xf>
    <xf numFmtId="0" fontId="5" fillId="10" borderId="12" xfId="0" applyFont="1" applyFill="1" applyBorder="1" applyAlignment="1">
      <alignment horizontal="left" vertical="center"/>
    </xf>
    <xf numFmtId="0" fontId="5" fillId="2" borderId="8" xfId="0" applyFont="1" applyFill="1" applyBorder="1" applyAlignment="1">
      <alignment horizontal="justify" vertical="center"/>
    </xf>
    <xf numFmtId="0" fontId="5" fillId="2" borderId="9" xfId="0" applyFont="1" applyFill="1" applyBorder="1" applyAlignment="1">
      <alignment horizontal="justify" vertical="center"/>
    </xf>
    <xf numFmtId="0" fontId="5" fillId="2" borderId="5" xfId="0" applyFont="1" applyFill="1" applyBorder="1" applyAlignment="1">
      <alignment horizontal="justify" vertical="center"/>
    </xf>
    <xf numFmtId="0" fontId="5" fillId="2" borderId="6" xfId="0" applyFont="1" applyFill="1" applyBorder="1" applyAlignment="1">
      <alignment horizontal="justify" vertical="center"/>
    </xf>
    <xf numFmtId="0" fontId="5" fillId="8" borderId="12" xfId="0" applyFont="1" applyFill="1" applyBorder="1" applyAlignment="1">
      <alignment horizontal="justify" vertical="center"/>
    </xf>
    <xf numFmtId="0" fontId="5" fillId="8" borderId="12" xfId="0" applyFont="1" applyFill="1" applyBorder="1" applyAlignment="1">
      <alignment horizontal="left" vertical="center"/>
    </xf>
    <xf numFmtId="0" fontId="6" fillId="2" borderId="7" xfId="0" applyFont="1" applyFill="1" applyBorder="1" applyAlignment="1">
      <alignment horizontal="justify"/>
    </xf>
    <xf numFmtId="0" fontId="6" fillId="2" borderId="8" xfId="0" applyFont="1" applyFill="1" applyBorder="1" applyAlignment="1">
      <alignment horizontal="justify"/>
    </xf>
    <xf numFmtId="0" fontId="6" fillId="2" borderId="9" xfId="0" applyFont="1" applyFill="1" applyBorder="1" applyAlignment="1">
      <alignment horizontal="justify"/>
    </xf>
    <xf numFmtId="0" fontId="6" fillId="2" borderId="1" xfId="0" applyFont="1" applyFill="1" applyBorder="1" applyAlignment="1">
      <alignment horizontal="justify"/>
    </xf>
    <xf numFmtId="0" fontId="6" fillId="2" borderId="0" xfId="0" applyFont="1" applyFill="1" applyBorder="1" applyAlignment="1">
      <alignment horizontal="justify"/>
    </xf>
    <xf numFmtId="0" fontId="6" fillId="2" borderId="2" xfId="0" applyFont="1" applyFill="1" applyBorder="1" applyAlignment="1">
      <alignment horizontal="justify"/>
    </xf>
    <xf numFmtId="0" fontId="6" fillId="2" borderId="4" xfId="0" applyFont="1" applyFill="1" applyBorder="1" applyAlignment="1">
      <alignment horizontal="justify"/>
    </xf>
    <xf numFmtId="0" fontId="6" fillId="2" borderId="5" xfId="0" applyFont="1" applyFill="1" applyBorder="1" applyAlignment="1">
      <alignment horizontal="justify"/>
    </xf>
    <xf numFmtId="0" fontId="6" fillId="2" borderId="6" xfId="0" applyFont="1" applyFill="1" applyBorder="1" applyAlignment="1">
      <alignment horizontal="justify"/>
    </xf>
    <xf numFmtId="0" fontId="6" fillId="2" borderId="16" xfId="0" applyFont="1" applyFill="1" applyBorder="1" applyAlignment="1">
      <alignment horizontal="center" vertical="center"/>
    </xf>
    <xf numFmtId="0" fontId="6" fillId="0" borderId="10" xfId="0" applyFont="1" applyFill="1" applyBorder="1" applyAlignment="1">
      <alignment horizontal="justify" vertical="center"/>
    </xf>
    <xf numFmtId="0" fontId="6" fillId="0" borderId="10"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5" fillId="2" borderId="0" xfId="0" applyFont="1" applyFill="1" applyBorder="1" applyAlignment="1">
      <alignment horizontal="justify" vertical="center"/>
    </xf>
    <xf numFmtId="0" fontId="5" fillId="2" borderId="2" xfId="0" applyFont="1" applyFill="1" applyBorder="1" applyAlignment="1">
      <alignment horizontal="justify" vertical="center"/>
    </xf>
    <xf numFmtId="3" fontId="6" fillId="0" borderId="10"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9" fontId="6" fillId="2" borderId="7" xfId="3" applyFont="1" applyFill="1" applyBorder="1" applyAlignment="1">
      <alignment horizontal="center" vertical="center"/>
    </xf>
    <xf numFmtId="9" fontId="6" fillId="2" borderId="4" xfId="3" applyFont="1" applyFill="1" applyBorder="1" applyAlignment="1">
      <alignment horizontal="center"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9" fontId="6" fillId="0" borderId="7" xfId="3" applyFont="1" applyFill="1" applyBorder="1" applyAlignment="1">
      <alignment horizontal="center" vertical="center"/>
    </xf>
    <xf numFmtId="9" fontId="6" fillId="0" borderId="4" xfId="3" applyFont="1" applyFill="1" applyBorder="1" applyAlignment="1">
      <alignment horizontal="center" vertical="center"/>
    </xf>
    <xf numFmtId="0" fontId="6" fillId="2" borderId="9" xfId="0" applyFont="1" applyFill="1" applyBorder="1" applyAlignment="1">
      <alignment horizontal="justify" vertical="center"/>
    </xf>
    <xf numFmtId="0" fontId="6" fillId="2" borderId="2" xfId="0" applyFont="1" applyFill="1" applyBorder="1" applyAlignment="1">
      <alignment horizontal="justify" vertical="center"/>
    </xf>
    <xf numFmtId="0" fontId="6" fillId="2" borderId="6" xfId="0" applyFont="1" applyFill="1" applyBorder="1" applyAlignment="1">
      <alignment horizontal="justify" vertical="center"/>
    </xf>
    <xf numFmtId="9" fontId="6" fillId="2" borderId="1" xfId="3" applyFont="1" applyFill="1" applyBorder="1" applyAlignment="1">
      <alignment horizontal="center" vertical="center"/>
    </xf>
    <xf numFmtId="0" fontId="6" fillId="2" borderId="3" xfId="0" applyNumberFormat="1" applyFont="1" applyFill="1" applyBorder="1" applyAlignment="1">
      <alignment horizontal="center" vertical="center"/>
    </xf>
    <xf numFmtId="175" fontId="3" fillId="2" borderId="3"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11" xfId="0" applyFont="1" applyFill="1" applyBorder="1" applyAlignment="1">
      <alignment horizontal="center" vertical="center"/>
    </xf>
    <xf numFmtId="14" fontId="6" fillId="2" borderId="10" xfId="0" applyNumberFormat="1" applyFont="1" applyFill="1" applyBorder="1" applyAlignment="1">
      <alignment horizontal="center" vertical="center"/>
    </xf>
    <xf numFmtId="14" fontId="6" fillId="2" borderId="17" xfId="0" applyNumberFormat="1" applyFont="1" applyFill="1" applyBorder="1" applyAlignment="1">
      <alignment horizontal="center" vertical="center"/>
    </xf>
    <xf numFmtId="4" fontId="6" fillId="2" borderId="3" xfId="0" applyNumberFormat="1" applyFont="1" applyFill="1" applyBorder="1" applyAlignment="1">
      <alignment horizontal="justify" vertical="center" wrapText="1"/>
    </xf>
    <xf numFmtId="0" fontId="6" fillId="2" borderId="13" xfId="0" applyFont="1" applyFill="1" applyBorder="1" applyAlignment="1">
      <alignment horizontal="center" vertical="center"/>
    </xf>
    <xf numFmtId="3" fontId="6" fillId="2" borderId="10" xfId="0" applyNumberFormat="1" applyFont="1" applyFill="1" applyBorder="1" applyAlignment="1">
      <alignment horizontal="justify" vertical="center"/>
    </xf>
    <xf numFmtId="3" fontId="6" fillId="2" borderId="17" xfId="0" applyNumberFormat="1" applyFont="1" applyFill="1" applyBorder="1" applyAlignment="1">
      <alignment horizontal="justify" vertical="center"/>
    </xf>
    <xf numFmtId="3" fontId="6" fillId="2" borderId="3" xfId="0" applyNumberFormat="1" applyFont="1" applyFill="1" applyBorder="1" applyAlignment="1">
      <alignment horizontal="justify" vertical="center"/>
    </xf>
    <xf numFmtId="3" fontId="6" fillId="0" borderId="7"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6" fillId="0" borderId="10" xfId="0" applyFont="1" applyBorder="1" applyAlignment="1">
      <alignment horizontal="justify" vertical="center"/>
    </xf>
    <xf numFmtId="0" fontId="6" fillId="0" borderId="17" xfId="0" applyFont="1" applyBorder="1" applyAlignment="1">
      <alignment horizontal="justify" vertical="center"/>
    </xf>
    <xf numFmtId="0" fontId="5" fillId="2" borderId="7" xfId="0" applyFont="1" applyFill="1" applyBorder="1" applyAlignment="1">
      <alignment horizontal="justify" vertical="center"/>
    </xf>
    <xf numFmtId="0" fontId="5" fillId="2" borderId="1" xfId="0" applyFont="1" applyFill="1" applyBorder="1" applyAlignment="1">
      <alignment horizontal="justify" vertical="center"/>
    </xf>
    <xf numFmtId="0" fontId="5" fillId="2" borderId="4" xfId="0" applyFont="1" applyFill="1" applyBorder="1" applyAlignment="1">
      <alignment horizontal="justify"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3" fontId="6" fillId="0" borderId="3"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justify" vertical="center"/>
    </xf>
    <xf numFmtId="9" fontId="6" fillId="0" borderId="1" xfId="3" applyFont="1" applyFill="1" applyBorder="1" applyAlignment="1">
      <alignment horizontal="center" vertical="center"/>
    </xf>
    <xf numFmtId="175" fontId="6" fillId="0" borderId="16" xfId="0" applyNumberFormat="1" applyFont="1" applyFill="1" applyBorder="1" applyAlignment="1">
      <alignment horizontal="center" vertical="center"/>
    </xf>
    <xf numFmtId="0" fontId="6" fillId="0" borderId="9" xfId="0" applyFont="1" applyFill="1" applyBorder="1" applyAlignment="1">
      <alignment horizontal="justify"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7" xfId="0" applyFont="1" applyFill="1" applyBorder="1" applyAlignment="1">
      <alignment horizontal="justify"/>
    </xf>
    <xf numFmtId="0" fontId="6" fillId="0" borderId="8" xfId="0" applyFont="1" applyFill="1" applyBorder="1" applyAlignment="1">
      <alignment horizontal="justify"/>
    </xf>
    <xf numFmtId="0" fontId="6" fillId="0" borderId="9" xfId="0" applyFont="1" applyFill="1" applyBorder="1" applyAlignment="1">
      <alignment horizontal="justify"/>
    </xf>
    <xf numFmtId="0" fontId="6" fillId="0" borderId="1" xfId="0" applyFont="1" applyFill="1" applyBorder="1" applyAlignment="1">
      <alignment horizontal="justify"/>
    </xf>
    <xf numFmtId="0" fontId="6" fillId="0" borderId="0" xfId="0" applyFont="1" applyFill="1" applyBorder="1" applyAlignment="1">
      <alignment horizontal="justify"/>
    </xf>
    <xf numFmtId="0" fontId="6" fillId="0" borderId="2" xfId="0" applyFont="1" applyFill="1" applyBorder="1" applyAlignment="1">
      <alignment horizontal="justify"/>
    </xf>
    <xf numFmtId="0" fontId="6" fillId="0" borderId="4" xfId="0" applyFont="1" applyFill="1" applyBorder="1" applyAlignment="1">
      <alignment horizontal="justify"/>
    </xf>
    <xf numFmtId="0" fontId="6" fillId="0" borderId="5" xfId="0" applyFont="1" applyFill="1" applyBorder="1" applyAlignment="1">
      <alignment horizontal="justify"/>
    </xf>
    <xf numFmtId="0" fontId="6" fillId="0" borderId="6" xfId="0" applyFont="1" applyFill="1" applyBorder="1" applyAlignment="1">
      <alignment horizontal="justify"/>
    </xf>
    <xf numFmtId="0" fontId="5" fillId="0" borderId="7" xfId="0" applyFont="1" applyFill="1" applyBorder="1" applyAlignment="1">
      <alignment horizontal="justify" vertical="center"/>
    </xf>
    <xf numFmtId="0" fontId="5" fillId="0" borderId="8" xfId="0" applyFont="1" applyFill="1" applyBorder="1" applyAlignment="1">
      <alignment horizontal="justify" vertical="center"/>
    </xf>
    <xf numFmtId="0" fontId="5" fillId="0" borderId="9"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0" xfId="0" applyFont="1" applyFill="1" applyBorder="1" applyAlignment="1">
      <alignment horizontal="justify" vertical="center"/>
    </xf>
    <xf numFmtId="0" fontId="5" fillId="0" borderId="2"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5" xfId="0" applyFont="1" applyFill="1" applyBorder="1" applyAlignment="1">
      <alignment horizontal="justify" vertical="center"/>
    </xf>
    <xf numFmtId="0" fontId="5" fillId="0" borderId="6" xfId="0" applyFont="1" applyFill="1" applyBorder="1" applyAlignment="1">
      <alignment horizontal="justify" vertical="center"/>
    </xf>
    <xf numFmtId="0" fontId="6" fillId="2" borderId="16" xfId="0" applyFont="1" applyFill="1" applyBorder="1" applyAlignment="1">
      <alignment horizontal="center"/>
    </xf>
    <xf numFmtId="3" fontId="6" fillId="2" borderId="10"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3" fontId="6" fillId="2" borderId="17" xfId="0" applyNumberFormat="1" applyFont="1" applyFill="1" applyBorder="1" applyAlignment="1">
      <alignment horizontal="center" vertical="center"/>
    </xf>
    <xf numFmtId="1" fontId="5" fillId="2" borderId="11" xfId="0" applyNumberFormat="1" applyFont="1" applyFill="1" applyBorder="1" applyAlignment="1">
      <alignment horizontal="justify" vertical="center"/>
    </xf>
    <xf numFmtId="1" fontId="5" fillId="2" borderId="12" xfId="0" applyNumberFormat="1" applyFont="1" applyFill="1" applyBorder="1" applyAlignment="1">
      <alignment horizontal="justify" vertical="center"/>
    </xf>
    <xf numFmtId="1" fontId="5" fillId="2" borderId="13" xfId="0" applyNumberFormat="1" applyFont="1" applyFill="1" applyBorder="1" applyAlignment="1">
      <alignment horizontal="justify" vertical="center"/>
    </xf>
    <xf numFmtId="0" fontId="5" fillId="8" borderId="11" xfId="0" applyFont="1" applyFill="1" applyBorder="1" applyAlignment="1">
      <alignment horizontal="left" vertical="center"/>
    </xf>
    <xf numFmtId="1" fontId="6" fillId="2" borderId="7" xfId="0" applyNumberFormat="1" applyFont="1" applyFill="1" applyBorder="1" applyAlignment="1">
      <alignment horizontal="justify" vertical="center"/>
    </xf>
    <xf numFmtId="1" fontId="6" fillId="2" borderId="8" xfId="0" applyNumberFormat="1" applyFont="1" applyFill="1" applyBorder="1" applyAlignment="1">
      <alignment horizontal="justify" vertical="center"/>
    </xf>
    <xf numFmtId="1" fontId="6" fillId="2" borderId="9" xfId="0" applyNumberFormat="1" applyFont="1" applyFill="1" applyBorder="1" applyAlignment="1">
      <alignment horizontal="justify" vertical="center"/>
    </xf>
    <xf numFmtId="0" fontId="6" fillId="2" borderId="11"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1" fontId="6" fillId="2" borderId="10" xfId="0" applyNumberFormat="1" applyFont="1" applyFill="1" applyBorder="1" applyAlignment="1">
      <alignment horizontal="center" vertical="center" textRotation="180"/>
    </xf>
    <xf numFmtId="1" fontId="6" fillId="2" borderId="16" xfId="0" applyNumberFormat="1" applyFont="1" applyFill="1" applyBorder="1" applyAlignment="1">
      <alignment horizontal="center" vertical="center" textRotation="180"/>
    </xf>
    <xf numFmtId="1" fontId="6" fillId="2" borderId="17" xfId="0" applyNumberFormat="1" applyFont="1" applyFill="1" applyBorder="1" applyAlignment="1">
      <alignment horizontal="center" vertical="center" textRotation="180"/>
    </xf>
    <xf numFmtId="9" fontId="6" fillId="2" borderId="16" xfId="3" applyFont="1" applyFill="1" applyBorder="1" applyAlignment="1">
      <alignment horizontal="center" vertical="center"/>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1" fontId="6" fillId="2" borderId="1" xfId="0" applyNumberFormat="1" applyFont="1" applyFill="1" applyBorder="1" applyAlignment="1">
      <alignment horizontal="justify" vertical="center"/>
    </xf>
    <xf numFmtId="1" fontId="6" fillId="2" borderId="0" xfId="0" applyNumberFormat="1" applyFont="1" applyFill="1" applyBorder="1" applyAlignment="1">
      <alignment horizontal="justify" vertical="center"/>
    </xf>
    <xf numFmtId="1" fontId="6" fillId="2" borderId="2" xfId="0" applyNumberFormat="1" applyFont="1" applyFill="1" applyBorder="1" applyAlignment="1">
      <alignment horizontal="justify" vertical="center"/>
    </xf>
    <xf numFmtId="1" fontId="6" fillId="2" borderId="4" xfId="0" applyNumberFormat="1" applyFont="1" applyFill="1" applyBorder="1" applyAlignment="1">
      <alignment horizontal="justify" vertical="center"/>
    </xf>
    <xf numFmtId="1" fontId="6" fillId="2" borderId="5" xfId="0" applyNumberFormat="1" applyFont="1" applyFill="1" applyBorder="1" applyAlignment="1">
      <alignment horizontal="justify" vertical="center"/>
    </xf>
    <xf numFmtId="1" fontId="6" fillId="2" borderId="6" xfId="0" applyNumberFormat="1" applyFont="1" applyFill="1" applyBorder="1" applyAlignment="1">
      <alignment horizontal="justify" vertical="center"/>
    </xf>
    <xf numFmtId="0" fontId="6" fillId="2" borderId="7" xfId="0" applyFont="1" applyFill="1" applyBorder="1" applyAlignment="1">
      <alignment horizontal="justify" vertical="center"/>
    </xf>
    <xf numFmtId="0" fontId="6" fillId="2" borderId="8" xfId="0" applyFont="1" applyFill="1" applyBorder="1" applyAlignment="1">
      <alignment horizontal="justify" vertical="center"/>
    </xf>
    <xf numFmtId="0" fontId="6" fillId="2" borderId="1"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4" xfId="0" applyFont="1" applyFill="1" applyBorder="1" applyAlignment="1">
      <alignment horizontal="justify" vertical="center"/>
    </xf>
    <xf numFmtId="0" fontId="6" fillId="2" borderId="5" xfId="0" applyFont="1" applyFill="1" applyBorder="1" applyAlignment="1">
      <alignment horizontal="justify" vertical="center"/>
    </xf>
    <xf numFmtId="3" fontId="6" fillId="0" borderId="16" xfId="0" applyNumberFormat="1" applyFont="1" applyFill="1" applyBorder="1" applyAlignment="1">
      <alignment horizontal="center" vertical="center"/>
    </xf>
    <xf numFmtId="195" fontId="6" fillId="2" borderId="10" xfId="0" applyNumberFormat="1" applyFont="1" applyFill="1" applyBorder="1" applyAlignment="1">
      <alignment horizontal="center" vertical="center"/>
    </xf>
    <xf numFmtId="195" fontId="6" fillId="2" borderId="16" xfId="0" applyNumberFormat="1" applyFont="1" applyFill="1" applyBorder="1" applyAlignment="1">
      <alignment horizontal="center" vertical="center"/>
    </xf>
    <xf numFmtId="195" fontId="6" fillId="2" borderId="17" xfId="0" applyNumberFormat="1" applyFont="1" applyFill="1" applyBorder="1" applyAlignment="1">
      <alignment horizontal="center" vertical="center"/>
    </xf>
    <xf numFmtId="0" fontId="6" fillId="2" borderId="10" xfId="0" applyNumberFormat="1" applyFont="1" applyFill="1" applyBorder="1" applyAlignment="1">
      <alignment horizontal="justify" vertical="center"/>
    </xf>
    <xf numFmtId="0" fontId="6" fillId="2" borderId="16" xfId="0" applyNumberFormat="1" applyFont="1" applyFill="1" applyBorder="1" applyAlignment="1">
      <alignment horizontal="justify" vertical="center"/>
    </xf>
    <xf numFmtId="0" fontId="6" fillId="2" borderId="17" xfId="0" applyNumberFormat="1" applyFont="1" applyFill="1" applyBorder="1" applyAlignment="1">
      <alignment horizontal="justify" vertical="center"/>
    </xf>
    <xf numFmtId="0" fontId="6" fillId="2" borderId="10" xfId="0" applyNumberFormat="1" applyFont="1" applyFill="1" applyBorder="1" applyAlignment="1">
      <alignment horizontal="left" vertical="center" wrapText="1"/>
    </xf>
    <xf numFmtId="0" fontId="6" fillId="2" borderId="16" xfId="0" applyNumberFormat="1" applyFont="1" applyFill="1" applyBorder="1" applyAlignment="1">
      <alignment horizontal="left" vertical="center" wrapText="1"/>
    </xf>
    <xf numFmtId="0" fontId="6" fillId="2" borderId="17" xfId="0" applyNumberFormat="1" applyFont="1" applyFill="1" applyBorder="1" applyAlignment="1">
      <alignment horizontal="left" vertical="center" wrapText="1"/>
    </xf>
    <xf numFmtId="0" fontId="6" fillId="0" borderId="10" xfId="0" applyNumberFormat="1" applyFont="1" applyFill="1" applyBorder="1" applyAlignment="1">
      <alignment horizontal="justify" vertical="center"/>
    </xf>
    <xf numFmtId="0" fontId="6" fillId="0" borderId="16" xfId="0" applyNumberFormat="1" applyFont="1" applyFill="1" applyBorder="1" applyAlignment="1">
      <alignment horizontal="justify" vertical="center"/>
    </xf>
    <xf numFmtId="0" fontId="6" fillId="0" borderId="17" xfId="0" applyNumberFormat="1" applyFont="1" applyFill="1" applyBorder="1" applyAlignment="1">
      <alignment horizontal="justify" vertical="center"/>
    </xf>
    <xf numFmtId="0" fontId="2" fillId="4" borderId="48"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1" xfId="0" applyFont="1" applyBorder="1" applyAlignment="1">
      <alignment horizontal="center" vertical="center"/>
    </xf>
    <xf numFmtId="0" fontId="33" fillId="0" borderId="4" xfId="0" applyFont="1" applyBorder="1" applyAlignment="1">
      <alignment horizontal="center" vertical="center"/>
    </xf>
    <xf numFmtId="3" fontId="5" fillId="4" borderId="41" xfId="14" applyNumberFormat="1" applyFont="1" applyFill="1" applyBorder="1" applyAlignment="1">
      <alignment horizontal="center" vertical="center" wrapText="1"/>
    </xf>
    <xf numFmtId="175" fontId="8" fillId="2" borderId="17" xfId="0" applyNumberFormat="1" applyFont="1" applyFill="1" applyBorder="1" applyAlignment="1">
      <alignment horizontal="center" vertical="center"/>
    </xf>
    <xf numFmtId="175" fontId="8" fillId="2" borderId="3" xfId="0" applyNumberFormat="1" applyFont="1" applyFill="1" applyBorder="1" applyAlignment="1">
      <alignment horizontal="center" vertical="center"/>
    </xf>
    <xf numFmtId="0" fontId="19" fillId="2" borderId="16" xfId="0" applyFont="1" applyFill="1" applyBorder="1" applyAlignment="1">
      <alignment horizontal="justify" vertical="center" wrapText="1"/>
    </xf>
    <xf numFmtId="0" fontId="19" fillId="2" borderId="17" xfId="0" applyFont="1" applyFill="1" applyBorder="1" applyAlignment="1">
      <alignment horizontal="justify" vertical="center" wrapText="1"/>
    </xf>
    <xf numFmtId="175" fontId="8" fillId="0" borderId="10" xfId="15" applyNumberFormat="1" applyFont="1" applyFill="1" applyBorder="1" applyAlignment="1">
      <alignment horizontal="center" vertical="center" wrapText="1"/>
    </xf>
    <xf numFmtId="175" fontId="8" fillId="0" borderId="17" xfId="15" applyNumberFormat="1" applyFont="1" applyFill="1" applyBorder="1" applyAlignment="1">
      <alignment horizontal="center" vertical="center" wrapText="1"/>
    </xf>
    <xf numFmtId="194" fontId="8" fillId="0" borderId="16" xfId="0" applyNumberFormat="1" applyFont="1" applyBorder="1" applyAlignment="1">
      <alignment horizontal="center" vertical="center"/>
    </xf>
    <xf numFmtId="194" fontId="8" fillId="0" borderId="17" xfId="0" applyNumberFormat="1" applyFont="1" applyBorder="1" applyAlignment="1">
      <alignment horizontal="center" vertical="center"/>
    </xf>
    <xf numFmtId="170" fontId="2" fillId="4" borderId="1"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2" borderId="3" xfId="0" applyFont="1" applyFill="1" applyBorder="1" applyAlignment="1">
      <alignment horizontal="justify" vertical="center" wrapText="1"/>
    </xf>
    <xf numFmtId="0" fontId="8" fillId="2" borderId="3" xfId="0" applyFont="1" applyFill="1" applyBorder="1" applyAlignment="1">
      <alignment horizontal="justify" vertical="center" wrapText="1"/>
    </xf>
    <xf numFmtId="192" fontId="8" fillId="0" borderId="10" xfId="0" applyNumberFormat="1" applyFont="1" applyBorder="1" applyAlignment="1">
      <alignment horizontal="center" vertical="center" wrapText="1"/>
    </xf>
    <xf numFmtId="192" fontId="8" fillId="0" borderId="16" xfId="0" applyNumberFormat="1" applyFont="1" applyBorder="1" applyAlignment="1">
      <alignment horizontal="center" vertical="center" wrapText="1"/>
    </xf>
    <xf numFmtId="192" fontId="8" fillId="0" borderId="17" xfId="0" applyNumberFormat="1" applyFont="1" applyBorder="1" applyAlignment="1">
      <alignment horizontal="center" vertical="center" wrapText="1"/>
    </xf>
    <xf numFmtId="14" fontId="11" fillId="0" borderId="17"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11" fillId="0" borderId="2" xfId="0" applyFont="1" applyFill="1" applyBorder="1" applyAlignment="1">
      <alignment horizontal="center" vertical="center" wrapText="1"/>
    </xf>
    <xf numFmtId="0" fontId="19" fillId="0" borderId="16" xfId="0" applyFont="1" applyFill="1" applyBorder="1" applyAlignment="1">
      <alignment horizontal="justify" vertical="center" wrapText="1"/>
    </xf>
    <xf numFmtId="1" fontId="11" fillId="2" borderId="17" xfId="9" applyNumberFormat="1" applyFont="1" applyFill="1" applyBorder="1" applyAlignment="1">
      <alignment horizontal="center" vertical="center" wrapText="1"/>
    </xf>
    <xf numFmtId="1" fontId="11" fillId="2" borderId="3" xfId="9" applyNumberFormat="1" applyFont="1" applyFill="1" applyBorder="1" applyAlignment="1">
      <alignment horizontal="center" vertical="center" wrapText="1"/>
    </xf>
    <xf numFmtId="191" fontId="8" fillId="0" borderId="10" xfId="0" applyNumberFormat="1" applyFont="1" applyBorder="1" applyAlignment="1">
      <alignment horizontal="center" vertical="center" wrapText="1"/>
    </xf>
    <xf numFmtId="191" fontId="8" fillId="0" borderId="16"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19" fillId="2" borderId="10" xfId="0" applyFont="1" applyFill="1" applyBorder="1" applyAlignment="1">
      <alignment horizontal="justify" vertical="center" wrapText="1"/>
    </xf>
    <xf numFmtId="14" fontId="11" fillId="0" borderId="17" xfId="0" applyNumberFormat="1" applyFont="1" applyBorder="1" applyAlignment="1">
      <alignment horizontal="center" vertical="center"/>
    </xf>
    <xf numFmtId="14" fontId="11" fillId="0" borderId="3" xfId="0" applyNumberFormat="1" applyFont="1" applyBorder="1" applyAlignment="1">
      <alignment horizontal="center" vertical="center"/>
    </xf>
    <xf numFmtId="0" fontId="8" fillId="0" borderId="24" xfId="0" applyFont="1" applyBorder="1" applyAlignment="1">
      <alignment horizontal="center" vertical="center" wrapText="1"/>
    </xf>
    <xf numFmtId="192" fontId="8" fillId="2" borderId="16" xfId="0" applyNumberFormat="1" applyFont="1" applyFill="1" applyBorder="1" applyAlignment="1">
      <alignment horizontal="center" vertical="center" wrapText="1"/>
    </xf>
    <xf numFmtId="0" fontId="8" fillId="0" borderId="16" xfId="0" applyFont="1" applyBorder="1" applyAlignment="1">
      <alignment horizontal="center" vertical="center"/>
    </xf>
    <xf numFmtId="0" fontId="11" fillId="0" borderId="3" xfId="0" applyFont="1" applyBorder="1" applyAlignment="1">
      <alignment horizontal="center" vertical="center"/>
    </xf>
    <xf numFmtId="0" fontId="19" fillId="0" borderId="17" xfId="0" applyFont="1" applyFill="1" applyBorder="1" applyAlignment="1">
      <alignment horizontal="justify" vertical="center" wrapText="1"/>
    </xf>
    <xf numFmtId="0" fontId="8" fillId="2" borderId="10"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17" xfId="0" applyNumberFormat="1" applyFont="1" applyFill="1" applyBorder="1" applyAlignment="1">
      <alignment horizontal="center" vertical="center" wrapText="1"/>
    </xf>
    <xf numFmtId="192" fontId="8" fillId="2" borderId="10" xfId="0" applyNumberFormat="1" applyFont="1" applyFill="1" applyBorder="1" applyAlignment="1">
      <alignment horizontal="center" vertical="center" wrapText="1"/>
    </xf>
    <xf numFmtId="192" fontId="8" fillId="2" borderId="17" xfId="0" applyNumberFormat="1" applyFont="1" applyFill="1" applyBorder="1" applyAlignment="1">
      <alignment horizontal="center" vertical="center" wrapText="1"/>
    </xf>
    <xf numFmtId="175" fontId="8" fillId="2" borderId="10" xfId="0" applyNumberFormat="1" applyFont="1" applyFill="1" applyBorder="1" applyAlignment="1">
      <alignment horizontal="center" vertical="center"/>
    </xf>
    <xf numFmtId="175" fontId="8" fillId="2" borderId="16" xfId="0" applyNumberFormat="1" applyFont="1" applyFill="1" applyBorder="1" applyAlignment="1">
      <alignment horizontal="center" vertical="center"/>
    </xf>
    <xf numFmtId="0" fontId="19" fillId="0" borderId="13" xfId="0" applyFont="1" applyFill="1" applyBorder="1" applyAlignment="1">
      <alignment horizontal="center" vertical="center" wrapText="1"/>
    </xf>
    <xf numFmtId="0" fontId="19" fillId="3" borderId="3" xfId="0" applyFont="1" applyFill="1" applyBorder="1" applyAlignment="1">
      <alignment horizontal="justify" vertical="center" wrapText="1"/>
    </xf>
    <xf numFmtId="192" fontId="8" fillId="2" borderId="10" xfId="15" applyNumberFormat="1" applyFont="1" applyFill="1" applyBorder="1" applyAlignment="1">
      <alignment horizontal="center" vertical="center"/>
    </xf>
    <xf numFmtId="192" fontId="8" fillId="2" borderId="16" xfId="15" applyNumberFormat="1" applyFont="1" applyFill="1" applyBorder="1" applyAlignment="1">
      <alignment horizontal="center" vertical="center"/>
    </xf>
    <xf numFmtId="192" fontId="8" fillId="2" borderId="17" xfId="15" applyNumberFormat="1" applyFont="1" applyFill="1" applyBorder="1" applyAlignment="1">
      <alignment horizontal="center" vertical="center"/>
    </xf>
    <xf numFmtId="175" fontId="11" fillId="0" borderId="17" xfId="0" applyNumberFormat="1" applyFont="1" applyFill="1" applyBorder="1" applyAlignment="1">
      <alignment horizontal="center" vertical="center"/>
    </xf>
    <xf numFmtId="175" fontId="11" fillId="0" borderId="3"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49" fontId="8" fillId="0" borderId="10" xfId="0" applyNumberFormat="1" applyFont="1" applyBorder="1" applyAlignment="1">
      <alignment horizontal="justify" vertical="center" wrapText="1"/>
    </xf>
    <xf numFmtId="49" fontId="8" fillId="0" borderId="17" xfId="0" applyNumberFormat="1" applyFont="1" applyBorder="1" applyAlignment="1">
      <alignment horizontal="justify" vertical="center" wrapText="1"/>
    </xf>
    <xf numFmtId="14" fontId="11" fillId="0" borderId="7"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0" borderId="10" xfId="0" applyNumberFormat="1" applyFont="1" applyBorder="1" applyAlignment="1">
      <alignment horizontal="center" vertical="center"/>
    </xf>
    <xf numFmtId="14" fontId="11" fillId="0" borderId="16" xfId="0" applyNumberFormat="1" applyFont="1" applyBorder="1" applyAlignment="1">
      <alignment horizontal="center" vertical="center"/>
    </xf>
    <xf numFmtId="43" fontId="11" fillId="2" borderId="10" xfId="5" applyFont="1" applyFill="1" applyBorder="1" applyAlignment="1">
      <alignment horizontal="justify" vertical="center" wrapText="1"/>
    </xf>
    <xf numFmtId="43" fontId="11" fillId="2" borderId="16" xfId="5" applyFont="1" applyFill="1" applyBorder="1" applyAlignment="1">
      <alignment horizontal="justify" vertical="center" wrapText="1"/>
    </xf>
    <xf numFmtId="43" fontId="11" fillId="2" borderId="17" xfId="5" applyFont="1" applyFill="1" applyBorder="1" applyAlignment="1">
      <alignment horizontal="justify" vertical="center" wrapText="1"/>
    </xf>
    <xf numFmtId="175" fontId="8" fillId="0" borderId="10" xfId="0" applyNumberFormat="1" applyFont="1" applyFill="1" applyBorder="1" applyAlignment="1">
      <alignment horizontal="center" vertical="center"/>
    </xf>
    <xf numFmtId="175"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184" fontId="8" fillId="0" borderId="10" xfId="0" applyNumberFormat="1" applyFont="1" applyFill="1" applyBorder="1" applyAlignment="1">
      <alignment horizontal="center" vertical="center"/>
    </xf>
    <xf numFmtId="184" fontId="8" fillId="0" borderId="17" xfId="0" applyNumberFormat="1" applyFont="1" applyFill="1" applyBorder="1" applyAlignment="1">
      <alignment horizontal="center" vertical="center"/>
    </xf>
    <xf numFmtId="0" fontId="8" fillId="0" borderId="10" xfId="0" applyFont="1" applyBorder="1" applyAlignment="1">
      <alignment horizontal="center" vertical="center"/>
    </xf>
    <xf numFmtId="9" fontId="8" fillId="2" borderId="3" xfId="3"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191" fontId="8" fillId="0" borderId="17" xfId="0" applyNumberFormat="1" applyFont="1" applyBorder="1" applyAlignment="1">
      <alignment horizontal="center" vertical="center" wrapText="1"/>
    </xf>
    <xf numFmtId="0" fontId="19" fillId="3" borderId="10" xfId="0" applyFont="1" applyFill="1" applyBorder="1" applyAlignment="1">
      <alignment horizontal="justify" vertical="center" wrapText="1"/>
    </xf>
    <xf numFmtId="0" fontId="19" fillId="3" borderId="17" xfId="0" applyFont="1" applyFill="1" applyBorder="1" applyAlignment="1">
      <alignment horizontal="justify" vertical="center" wrapText="1"/>
    </xf>
    <xf numFmtId="1" fontId="8" fillId="2" borderId="3" xfId="16" applyNumberFormat="1" applyFont="1" applyFill="1" applyBorder="1" applyAlignment="1">
      <alignment horizontal="center" vertical="center" wrapText="1"/>
    </xf>
    <xf numFmtId="0" fontId="8" fillId="0" borderId="3" xfId="0" applyFont="1" applyBorder="1" applyAlignment="1">
      <alignment horizontal="center" vertical="center"/>
    </xf>
    <xf numFmtId="0" fontId="19" fillId="0" borderId="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1" fillId="0" borderId="3" xfId="17" applyNumberFormat="1" applyFont="1" applyFill="1" applyBorder="1" applyAlignment="1">
      <alignment horizontal="justify" vertical="center" wrapText="1"/>
    </xf>
    <xf numFmtId="0" fontId="11" fillId="0" borderId="10" xfId="17" applyNumberFormat="1" applyFont="1" applyFill="1" applyBorder="1" applyAlignment="1">
      <alignment horizontal="justify" vertical="center" wrapText="1"/>
    </xf>
    <xf numFmtId="0" fontId="11" fillId="0" borderId="16" xfId="17" applyNumberFormat="1" applyFont="1" applyFill="1" applyBorder="1" applyAlignment="1">
      <alignment horizontal="justify" vertical="center" wrapText="1"/>
    </xf>
    <xf numFmtId="0" fontId="11" fillId="0" borderId="17" xfId="17" applyNumberFormat="1" applyFont="1" applyFill="1" applyBorder="1" applyAlignment="1">
      <alignment horizontal="justify" vertical="center" wrapText="1"/>
    </xf>
    <xf numFmtId="1" fontId="8" fillId="2" borderId="3" xfId="0" applyNumberFormat="1" applyFont="1" applyFill="1" applyBorder="1" applyAlignment="1">
      <alignment horizontal="center" vertical="center" wrapText="1"/>
    </xf>
    <xf numFmtId="1" fontId="8" fillId="2" borderId="3" xfId="9"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3" fontId="8" fillId="0" borderId="10"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16" xfId="0" applyNumberFormat="1" applyFont="1" applyBorder="1" applyAlignment="1">
      <alignment horizontal="center" vertical="center"/>
    </xf>
    <xf numFmtId="3" fontId="15" fillId="0" borderId="17" xfId="0" applyNumberFormat="1" applyFont="1" applyBorder="1" applyAlignment="1">
      <alignment horizontal="center" vertical="center"/>
    </xf>
    <xf numFmtId="195" fontId="8" fillId="0" borderId="3" xfId="3" applyNumberFormat="1" applyFont="1" applyFill="1" applyBorder="1" applyAlignment="1">
      <alignment horizontal="center" vertical="center"/>
    </xf>
    <xf numFmtId="175" fontId="8" fillId="0" borderId="16" xfId="0" applyNumberFormat="1" applyFont="1" applyFill="1" applyBorder="1" applyAlignment="1">
      <alignment horizontal="center" vertical="center"/>
    </xf>
    <xf numFmtId="175" fontId="8" fillId="0" borderId="18"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wrapText="1"/>
    </xf>
    <xf numFmtId="1" fontId="19" fillId="0" borderId="16"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5" fillId="0" borderId="0" xfId="0" applyNumberFormat="1" applyFont="1" applyAlignment="1">
      <alignment horizontal="center" wrapText="1"/>
    </xf>
    <xf numFmtId="0" fontId="8" fillId="0" borderId="0" xfId="0" applyFont="1" applyAlignment="1">
      <alignment horizontal="left"/>
    </xf>
    <xf numFmtId="0" fontId="8" fillId="0" borderId="0" xfId="0" applyNumberFormat="1" applyFont="1" applyAlignment="1">
      <alignment horizontal="center" wrapText="1"/>
    </xf>
    <xf numFmtId="0" fontId="8" fillId="0" borderId="16" xfId="0" applyFont="1" applyFill="1" applyBorder="1" applyAlignment="1">
      <alignment horizontal="center" vertical="center"/>
    </xf>
    <xf numFmtId="0" fontId="19" fillId="0" borderId="18" xfId="0" applyFont="1" applyFill="1" applyBorder="1" applyAlignment="1">
      <alignment horizontal="center" vertical="center" wrapText="1"/>
    </xf>
    <xf numFmtId="192" fontId="8" fillId="0" borderId="16" xfId="0" applyNumberFormat="1"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170" fontId="17" fillId="4" borderId="7" xfId="0" applyNumberFormat="1" applyFont="1" applyFill="1" applyBorder="1" applyAlignment="1">
      <alignment horizontal="center" vertical="center" wrapText="1"/>
    </xf>
    <xf numFmtId="170" fontId="17" fillId="4" borderId="4" xfId="0" applyNumberFormat="1" applyFont="1" applyFill="1" applyBorder="1" applyAlignment="1">
      <alignment horizontal="center" vertical="center" wrapText="1"/>
    </xf>
    <xf numFmtId="3" fontId="17" fillId="4" borderId="10" xfId="0" applyNumberFormat="1" applyFont="1" applyFill="1" applyBorder="1" applyAlignment="1">
      <alignment horizontal="center" vertical="center" wrapText="1"/>
    </xf>
    <xf numFmtId="3" fontId="17" fillId="4" borderId="16" xfId="0" applyNumberFormat="1" applyFont="1" applyFill="1" applyBorder="1" applyAlignment="1">
      <alignment horizontal="center" vertical="center" wrapText="1"/>
    </xf>
    <xf numFmtId="0" fontId="11" fillId="0" borderId="10"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2" fontId="11" fillId="0" borderId="1" xfId="0" applyNumberFormat="1" applyFont="1" applyBorder="1" applyAlignment="1">
      <alignment horizontal="center" vertical="center"/>
    </xf>
    <xf numFmtId="2"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2" fontId="11" fillId="0" borderId="7" xfId="0" applyNumberFormat="1" applyFont="1" applyBorder="1" applyAlignment="1">
      <alignment horizontal="center" vertical="center"/>
    </xf>
    <xf numFmtId="0" fontId="11" fillId="0" borderId="9" xfId="0" applyFont="1" applyBorder="1" applyAlignment="1">
      <alignment horizontal="center" vertical="center" wrapText="1"/>
    </xf>
    <xf numFmtId="2" fontId="38" fillId="14" borderId="10" xfId="0" applyNumberFormat="1" applyFont="1" applyFill="1" applyBorder="1" applyAlignment="1">
      <alignment horizontal="center" vertical="center" wrapText="1"/>
    </xf>
    <xf numFmtId="2" fontId="38" fillId="14" borderId="16" xfId="0" applyNumberFormat="1" applyFont="1" applyFill="1" applyBorder="1" applyAlignment="1">
      <alignment horizontal="center" vertical="center" wrapText="1"/>
    </xf>
    <xf numFmtId="2" fontId="38" fillId="14" borderId="17" xfId="0" applyNumberFormat="1" applyFont="1" applyFill="1" applyBorder="1" applyAlignment="1">
      <alignment horizontal="center" vertical="center" wrapText="1"/>
    </xf>
    <xf numFmtId="2" fontId="11" fillId="0" borderId="10"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171" fontId="11" fillId="0" borderId="10" xfId="10" applyNumberFormat="1" applyFont="1" applyFill="1" applyBorder="1" applyAlignment="1">
      <alignment horizontal="right" vertical="center"/>
    </xf>
    <xf numFmtId="171" fontId="11" fillId="0" borderId="16" xfId="10" applyNumberFormat="1" applyFont="1" applyFill="1" applyBorder="1" applyAlignment="1">
      <alignment horizontal="right" vertical="center"/>
    </xf>
    <xf numFmtId="171" fontId="11" fillId="0" borderId="17" xfId="10" applyNumberFormat="1" applyFont="1" applyFill="1" applyBorder="1" applyAlignment="1">
      <alignment horizontal="right" vertical="center"/>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2" fontId="38" fillId="14" borderId="10" xfId="0" applyNumberFormat="1" applyFont="1" applyFill="1" applyBorder="1" applyAlignment="1">
      <alignment horizontal="center" vertical="center"/>
    </xf>
    <xf numFmtId="2" fontId="38" fillId="14" borderId="16" xfId="0" applyNumberFormat="1" applyFont="1" applyFill="1" applyBorder="1" applyAlignment="1">
      <alignment horizontal="center" vertical="center"/>
    </xf>
    <xf numFmtId="2" fontId="38" fillId="14" borderId="17" xfId="0" applyNumberFormat="1" applyFont="1" applyFill="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3" fontId="17" fillId="2" borderId="8" xfId="0" applyNumberFormat="1" applyFont="1" applyFill="1" applyBorder="1" applyAlignment="1">
      <alignment horizontal="center" vertical="center"/>
    </xf>
    <xf numFmtId="0" fontId="11" fillId="0" borderId="0" xfId="0" applyFont="1" applyAlignment="1">
      <alignment horizontal="center"/>
    </xf>
    <xf numFmtId="14" fontId="11" fillId="0" borderId="10" xfId="0" applyNumberFormat="1" applyFont="1" applyBorder="1" applyAlignment="1" applyProtection="1">
      <alignment horizontal="center" vertical="center"/>
    </xf>
    <xf numFmtId="14" fontId="11" fillId="0" borderId="16" xfId="0" applyNumberFormat="1" applyFont="1" applyBorder="1" applyAlignment="1" applyProtection="1">
      <alignment horizontal="center" vertical="center"/>
    </xf>
    <xf numFmtId="14" fontId="11" fillId="0" borderId="17" xfId="0" applyNumberFormat="1" applyFont="1" applyBorder="1" applyAlignment="1" applyProtection="1">
      <alignment horizontal="center" vertical="center"/>
    </xf>
    <xf numFmtId="0" fontId="5" fillId="4" borderId="9" xfId="18" applyFont="1" applyFill="1" applyBorder="1" applyAlignment="1">
      <alignment horizontal="center" vertical="center" wrapText="1"/>
    </xf>
    <xf numFmtId="0" fontId="5" fillId="4" borderId="2" xfId="18" applyFont="1" applyFill="1" applyBorder="1" applyAlignment="1">
      <alignment horizontal="center" vertical="center" wrapText="1"/>
    </xf>
    <xf numFmtId="0" fontId="5" fillId="4" borderId="6" xfId="18" applyFont="1" applyFill="1" applyBorder="1" applyAlignment="1">
      <alignment horizontal="center" vertical="center" wrapText="1"/>
    </xf>
    <xf numFmtId="0" fontId="5" fillId="4" borderId="7" xfId="18" applyFont="1" applyFill="1" applyBorder="1" applyAlignment="1">
      <alignment horizontal="center" vertical="center" wrapText="1"/>
    </xf>
    <xf numFmtId="0" fontId="5" fillId="4" borderId="1" xfId="18" applyFont="1" applyFill="1" applyBorder="1" applyAlignment="1">
      <alignment horizontal="center" vertical="center" wrapText="1"/>
    </xf>
    <xf numFmtId="0" fontId="5" fillId="4" borderId="4" xfId="18" applyFont="1" applyFill="1" applyBorder="1" applyAlignment="1">
      <alignment horizontal="center" vertical="center" wrapText="1"/>
    </xf>
    <xf numFmtId="170" fontId="5" fillId="4" borderId="7" xfId="18" applyNumberFormat="1" applyFont="1" applyFill="1" applyBorder="1" applyAlignment="1">
      <alignment horizontal="center" vertical="center" wrapText="1"/>
    </xf>
    <xf numFmtId="170" fontId="5" fillId="4" borderId="1" xfId="18" applyNumberFormat="1" applyFont="1" applyFill="1" applyBorder="1" applyAlignment="1">
      <alignment horizontal="center" vertical="center" wrapText="1"/>
    </xf>
    <xf numFmtId="3" fontId="5" fillId="4" borderId="3" xfId="18" applyNumberFormat="1" applyFont="1" applyFill="1" applyBorder="1" applyAlignment="1">
      <alignment horizontal="center" vertical="center" wrapText="1"/>
    </xf>
    <xf numFmtId="0" fontId="5" fillId="4" borderId="10" xfId="18" applyFont="1" applyFill="1" applyBorder="1" applyAlignment="1">
      <alignment horizontal="center" vertical="center" wrapText="1"/>
    </xf>
    <xf numFmtId="0" fontId="5" fillId="4" borderId="16" xfId="18" applyFont="1" applyFill="1" applyBorder="1" applyAlignment="1">
      <alignment horizontal="center" vertical="center" wrapText="1"/>
    </xf>
    <xf numFmtId="0" fontId="5" fillId="4" borderId="17" xfId="18" applyFont="1" applyFill="1" applyBorder="1" applyAlignment="1">
      <alignment horizontal="center" vertical="center" wrapText="1"/>
    </xf>
    <xf numFmtId="0" fontId="5" fillId="4" borderId="3" xfId="18" applyFont="1" applyFill="1" applyBorder="1" applyAlignment="1">
      <alignment horizontal="center" vertical="center" wrapText="1"/>
    </xf>
    <xf numFmtId="171" fontId="5" fillId="5" borderId="11" xfId="10" applyNumberFormat="1" applyFont="1" applyFill="1" applyBorder="1" applyAlignment="1">
      <alignment horizontal="center" vertical="center"/>
    </xf>
    <xf numFmtId="171" fontId="5" fillId="5" borderId="12" xfId="10" applyNumberFormat="1" applyFont="1" applyFill="1" applyBorder="1" applyAlignment="1">
      <alignment horizontal="center" vertical="center"/>
    </xf>
    <xf numFmtId="0" fontId="6" fillId="0" borderId="7" xfId="18" applyFont="1" applyFill="1" applyBorder="1" applyAlignment="1">
      <alignment horizontal="center"/>
    </xf>
    <xf numFmtId="0" fontId="6" fillId="0" borderId="8" xfId="18" applyFont="1" applyFill="1" applyBorder="1" applyAlignment="1">
      <alignment horizontal="center"/>
    </xf>
    <xf numFmtId="0" fontId="6" fillId="0" borderId="9" xfId="18" applyFont="1" applyFill="1" applyBorder="1" applyAlignment="1">
      <alignment horizontal="center"/>
    </xf>
    <xf numFmtId="0" fontId="6" fillId="2" borderId="10" xfId="18" applyFont="1" applyFill="1" applyBorder="1" applyAlignment="1">
      <alignment horizontal="center" vertical="center" wrapText="1"/>
    </xf>
    <xf numFmtId="0" fontId="6" fillId="2" borderId="16" xfId="18" applyFont="1" applyFill="1" applyBorder="1" applyAlignment="1">
      <alignment horizontal="center" vertical="center" wrapText="1"/>
    </xf>
    <xf numFmtId="0" fontId="6" fillId="2" borderId="17" xfId="18" applyFont="1" applyFill="1" applyBorder="1" applyAlignment="1">
      <alignment horizontal="center" vertical="center" wrapText="1"/>
    </xf>
    <xf numFmtId="0" fontId="6" fillId="2" borderId="10" xfId="18" applyFont="1" applyFill="1" applyBorder="1" applyAlignment="1">
      <alignment horizontal="justify" vertical="center" wrapText="1"/>
    </xf>
    <xf numFmtId="0" fontId="6" fillId="2" borderId="16" xfId="18" applyFont="1" applyFill="1" applyBorder="1" applyAlignment="1">
      <alignment horizontal="justify" vertical="center" wrapText="1"/>
    </xf>
    <xf numFmtId="0" fontId="6" fillId="2" borderId="17" xfId="18" applyFont="1" applyFill="1" applyBorder="1" applyAlignment="1">
      <alignment horizontal="justify" vertical="center" wrapText="1"/>
    </xf>
    <xf numFmtId="164" fontId="35" fillId="2" borderId="10" xfId="18" applyNumberFormat="1" applyFont="1" applyFill="1" applyBorder="1" applyAlignment="1">
      <alignment horizontal="center" vertical="center" wrapText="1"/>
    </xf>
    <xf numFmtId="164" fontId="35" fillId="2" borderId="16" xfId="18" applyNumberFormat="1" applyFont="1" applyFill="1" applyBorder="1" applyAlignment="1">
      <alignment horizontal="center" vertical="center" wrapText="1"/>
    </xf>
    <xf numFmtId="164" fontId="35" fillId="2" borderId="17" xfId="18" applyNumberFormat="1" applyFont="1" applyFill="1" applyBorder="1" applyAlignment="1">
      <alignment horizontal="center" vertical="center" wrapText="1"/>
    </xf>
    <xf numFmtId="1" fontId="6" fillId="2" borderId="10" xfId="18" applyNumberFormat="1" applyFont="1" applyFill="1" applyBorder="1" applyAlignment="1">
      <alignment horizontal="center" vertical="center" wrapText="1"/>
    </xf>
    <xf numFmtId="1" fontId="6" fillId="2" borderId="16" xfId="18" applyNumberFormat="1" applyFont="1" applyFill="1" applyBorder="1" applyAlignment="1">
      <alignment horizontal="center" vertical="center" wrapText="1"/>
    </xf>
    <xf numFmtId="1" fontId="6" fillId="2" borderId="17" xfId="18" applyNumberFormat="1" applyFont="1" applyFill="1" applyBorder="1" applyAlignment="1">
      <alignment horizontal="center" vertical="center" wrapText="1"/>
    </xf>
    <xf numFmtId="0" fontId="5" fillId="4" borderId="7" xfId="18" applyFont="1" applyFill="1" applyBorder="1" applyAlignment="1">
      <alignment horizontal="justify" vertical="center" wrapText="1"/>
    </xf>
    <xf numFmtId="0" fontId="5" fillId="4" borderId="1" xfId="18" applyFont="1" applyFill="1" applyBorder="1" applyAlignment="1">
      <alignment horizontal="justify" vertical="center" wrapText="1"/>
    </xf>
    <xf numFmtId="0" fontId="5" fillId="4" borderId="4" xfId="18" applyFont="1" applyFill="1" applyBorder="1" applyAlignment="1">
      <alignment horizontal="justify" vertical="center" wrapText="1"/>
    </xf>
    <xf numFmtId="0" fontId="6" fillId="2" borderId="3" xfId="18" applyFont="1" applyFill="1" applyBorder="1" applyAlignment="1">
      <alignment horizontal="center" vertical="center" wrapText="1"/>
    </xf>
    <xf numFmtId="170" fontId="9" fillId="2" borderId="10" xfId="18" applyNumberFormat="1" applyFont="1" applyFill="1" applyBorder="1" applyAlignment="1">
      <alignment horizontal="center" vertical="center" wrapText="1"/>
    </xf>
    <xf numFmtId="170" fontId="9" fillId="2" borderId="16" xfId="18" applyNumberFormat="1" applyFont="1" applyFill="1" applyBorder="1" applyAlignment="1">
      <alignment horizontal="center" vertical="center" wrapText="1"/>
    </xf>
    <xf numFmtId="170" fontId="9" fillId="2" borderId="17" xfId="18" applyNumberFormat="1" applyFont="1" applyFill="1" applyBorder="1" applyAlignment="1">
      <alignment horizontal="center" vertical="center" wrapText="1"/>
    </xf>
    <xf numFmtId="3" fontId="9" fillId="2" borderId="10" xfId="18" applyNumberFormat="1" applyFont="1" applyFill="1" applyBorder="1" applyAlignment="1">
      <alignment horizontal="center" vertical="center" wrapText="1"/>
    </xf>
    <xf numFmtId="3" fontId="9" fillId="2" borderId="16" xfId="18" applyNumberFormat="1" applyFont="1" applyFill="1" applyBorder="1" applyAlignment="1">
      <alignment horizontal="center" vertical="center" wrapText="1"/>
    </xf>
    <xf numFmtId="3" fontId="9" fillId="2" borderId="17" xfId="18" applyNumberFormat="1" applyFont="1" applyFill="1" applyBorder="1" applyAlignment="1">
      <alignment horizontal="center" vertical="center" wrapText="1"/>
    </xf>
    <xf numFmtId="171" fontId="9" fillId="0" borderId="10" xfId="10" applyNumberFormat="1" applyFont="1" applyFill="1" applyBorder="1" applyAlignment="1">
      <alignment horizontal="center" vertical="center" wrapText="1"/>
    </xf>
    <xf numFmtId="171" fontId="9" fillId="0" borderId="16" xfId="10" applyNumberFormat="1" applyFont="1" applyFill="1" applyBorder="1" applyAlignment="1">
      <alignment horizontal="center" vertical="center" wrapText="1"/>
    </xf>
    <xf numFmtId="171" fontId="9" fillId="0" borderId="17" xfId="10" applyNumberFormat="1" applyFont="1" applyFill="1" applyBorder="1" applyAlignment="1">
      <alignment horizontal="center" vertical="center" wrapText="1"/>
    </xf>
    <xf numFmtId="0" fontId="9" fillId="2" borderId="10" xfId="10" applyNumberFormat="1" applyFont="1" applyFill="1" applyBorder="1" applyAlignment="1">
      <alignment horizontal="center" vertical="center" wrapText="1"/>
    </xf>
    <xf numFmtId="0" fontId="9" fillId="2" borderId="16" xfId="10" applyNumberFormat="1" applyFont="1" applyFill="1" applyBorder="1" applyAlignment="1">
      <alignment horizontal="center" vertical="center" wrapText="1"/>
    </xf>
    <xf numFmtId="0" fontId="9" fillId="2" borderId="17" xfId="10" applyNumberFormat="1" applyFont="1" applyFill="1" applyBorder="1" applyAlignment="1">
      <alignment horizontal="center" vertical="center" wrapText="1"/>
    </xf>
    <xf numFmtId="9" fontId="6" fillId="2" borderId="10" xfId="3" applyNumberFormat="1" applyFont="1" applyFill="1" applyBorder="1" applyAlignment="1">
      <alignment horizontal="center" vertical="center" wrapText="1"/>
    </xf>
    <xf numFmtId="9" fontId="6" fillId="2" borderId="17" xfId="3" applyNumberFormat="1" applyFont="1" applyFill="1" applyBorder="1" applyAlignment="1">
      <alignment horizontal="center" vertical="center" wrapText="1"/>
    </xf>
    <xf numFmtId="0" fontId="9" fillId="0" borderId="3" xfId="18" applyFont="1" applyFill="1" applyBorder="1" applyAlignment="1">
      <alignment horizontal="center" vertical="center"/>
    </xf>
    <xf numFmtId="0" fontId="41" fillId="0" borderId="3" xfId="0" applyFont="1" applyFill="1" applyBorder="1" applyAlignment="1">
      <alignment horizontal="center" vertical="center"/>
    </xf>
    <xf numFmtId="42" fontId="35" fillId="2" borderId="10" xfId="2" applyFont="1" applyFill="1" applyBorder="1" applyAlignment="1">
      <alignment horizontal="center" vertical="center" wrapText="1"/>
    </xf>
    <xf numFmtId="42" fontId="35" fillId="2" borderId="16" xfId="2" applyFont="1" applyFill="1" applyBorder="1" applyAlignment="1">
      <alignment horizontal="center" vertical="center" wrapText="1"/>
    </xf>
    <xf numFmtId="42" fontId="35" fillId="2" borderId="17" xfId="2" applyFont="1" applyFill="1" applyBorder="1" applyAlignment="1">
      <alignment horizontal="center" vertical="center" wrapText="1"/>
    </xf>
    <xf numFmtId="0" fontId="9" fillId="0" borderId="7" xfId="18" applyFont="1" applyFill="1" applyBorder="1" applyAlignment="1">
      <alignment horizontal="center" vertical="center"/>
    </xf>
    <xf numFmtId="0" fontId="9" fillId="0" borderId="1" xfId="18" applyFont="1" applyFill="1" applyBorder="1" applyAlignment="1">
      <alignment horizontal="center" vertical="center"/>
    </xf>
    <xf numFmtId="0" fontId="9" fillId="0" borderId="4" xfId="18" applyFont="1" applyFill="1" applyBorder="1" applyAlignment="1">
      <alignment horizontal="center" vertical="center"/>
    </xf>
    <xf numFmtId="0" fontId="22" fillId="0" borderId="10" xfId="10" applyNumberFormat="1" applyFont="1" applyFill="1" applyBorder="1" applyAlignment="1">
      <alignment horizontal="center" vertical="center" wrapText="1"/>
    </xf>
    <xf numFmtId="0" fontId="22" fillId="0" borderId="16" xfId="10" applyNumberFormat="1" applyFont="1" applyFill="1" applyBorder="1" applyAlignment="1">
      <alignment horizontal="center" vertical="center" wrapText="1"/>
    </xf>
    <xf numFmtId="0" fontId="22" fillId="0" borderId="17" xfId="10" applyNumberFormat="1" applyFont="1" applyFill="1" applyBorder="1" applyAlignment="1">
      <alignment horizontal="center" vertical="center" wrapText="1"/>
    </xf>
    <xf numFmtId="0" fontId="9" fillId="0" borderId="10" xfId="10" applyNumberFormat="1" applyFont="1" applyFill="1" applyBorder="1" applyAlignment="1">
      <alignment horizontal="center" vertical="center" wrapText="1"/>
    </xf>
    <xf numFmtId="0" fontId="9" fillId="0" borderId="16" xfId="10" applyNumberFormat="1" applyFont="1" applyFill="1" applyBorder="1" applyAlignment="1">
      <alignment horizontal="center" vertical="center" wrapText="1"/>
    </xf>
    <xf numFmtId="0" fontId="9" fillId="0" borderId="17" xfId="10" applyNumberFormat="1" applyFont="1" applyFill="1" applyBorder="1" applyAlignment="1">
      <alignment horizontal="center" vertical="center" wrapText="1"/>
    </xf>
    <xf numFmtId="1" fontId="9" fillId="2" borderId="10" xfId="18" applyNumberFormat="1" applyFont="1" applyFill="1" applyBorder="1" applyAlignment="1">
      <alignment horizontal="center" vertical="center" wrapText="1"/>
    </xf>
    <xf numFmtId="1" fontId="9" fillId="2" borderId="16" xfId="18" applyNumberFormat="1" applyFont="1" applyFill="1" applyBorder="1" applyAlignment="1">
      <alignment horizontal="center" vertical="center" wrapText="1"/>
    </xf>
    <xf numFmtId="1" fontId="9" fillId="2" borderId="17" xfId="18" applyNumberFormat="1" applyFont="1" applyFill="1" applyBorder="1" applyAlignment="1">
      <alignment horizontal="center" vertical="center" wrapText="1"/>
    </xf>
    <xf numFmtId="0" fontId="9" fillId="2" borderId="10" xfId="18" applyFont="1" applyFill="1" applyBorder="1" applyAlignment="1">
      <alignment horizontal="center" vertical="center" wrapText="1"/>
    </xf>
    <xf numFmtId="0" fontId="9" fillId="2" borderId="16" xfId="18" applyFont="1" applyFill="1" applyBorder="1" applyAlignment="1">
      <alignment horizontal="center" vertical="center" wrapText="1"/>
    </xf>
    <xf numFmtId="0" fontId="9" fillId="2" borderId="17" xfId="18" applyFont="1" applyFill="1" applyBorder="1" applyAlignment="1">
      <alignment horizontal="center" vertical="center" wrapText="1"/>
    </xf>
    <xf numFmtId="37" fontId="22" fillId="0" borderId="10" xfId="10" applyNumberFormat="1" applyFont="1" applyFill="1" applyBorder="1" applyAlignment="1">
      <alignment horizontal="center" vertical="center" wrapText="1"/>
    </xf>
    <xf numFmtId="37" fontId="22" fillId="0" borderId="16" xfId="10" applyNumberFormat="1" applyFont="1" applyFill="1" applyBorder="1" applyAlignment="1">
      <alignment horizontal="center" vertical="center" wrapText="1"/>
    </xf>
    <xf numFmtId="37" fontId="22" fillId="0" borderId="17" xfId="10" applyNumberFormat="1" applyFont="1" applyFill="1" applyBorder="1" applyAlignment="1">
      <alignment horizontal="center" vertical="center" wrapText="1"/>
    </xf>
    <xf numFmtId="0" fontId="3" fillId="2" borderId="10" xfId="18" applyFont="1" applyFill="1" applyBorder="1" applyAlignment="1">
      <alignment horizontal="center" vertical="center" wrapText="1"/>
    </xf>
    <xf numFmtId="0" fontId="3" fillId="2" borderId="16" xfId="18" applyFont="1" applyFill="1" applyBorder="1" applyAlignment="1">
      <alignment horizontal="center" vertical="center" wrapText="1"/>
    </xf>
    <xf numFmtId="0" fontId="3" fillId="2" borderId="17" xfId="18" applyFont="1" applyFill="1" applyBorder="1" applyAlignment="1">
      <alignment horizontal="center" vertical="center" wrapText="1"/>
    </xf>
    <xf numFmtId="0" fontId="3" fillId="2" borderId="10" xfId="18" applyFont="1" applyFill="1" applyBorder="1" applyAlignment="1">
      <alignment horizontal="justify" vertical="center" wrapText="1"/>
    </xf>
    <xf numFmtId="0" fontId="3" fillId="2" borderId="16" xfId="18" applyFont="1" applyFill="1" applyBorder="1" applyAlignment="1">
      <alignment horizontal="justify" vertical="center" wrapText="1"/>
    </xf>
    <xf numFmtId="0" fontId="3" fillId="2" borderId="17" xfId="18" applyFont="1" applyFill="1" applyBorder="1" applyAlignment="1">
      <alignment horizontal="justify" vertical="center" wrapText="1"/>
    </xf>
    <xf numFmtId="9" fontId="3" fillId="2" borderId="10" xfId="3" applyFont="1" applyFill="1" applyBorder="1" applyAlignment="1">
      <alignment horizontal="center" vertical="center" wrapText="1"/>
    </xf>
    <xf numFmtId="9" fontId="3" fillId="2" borderId="17" xfId="3" applyFont="1" applyFill="1" applyBorder="1" applyAlignment="1">
      <alignment horizontal="center" vertical="center" wrapText="1"/>
    </xf>
    <xf numFmtId="37" fontId="9" fillId="0" borderId="10" xfId="10" applyNumberFormat="1" applyFont="1" applyFill="1" applyBorder="1" applyAlignment="1">
      <alignment horizontal="center" vertical="center" wrapText="1"/>
    </xf>
    <xf numFmtId="37" fontId="9" fillId="0" borderId="16" xfId="10" applyNumberFormat="1" applyFont="1" applyFill="1" applyBorder="1" applyAlignment="1">
      <alignment horizontal="center" vertical="center" wrapText="1"/>
    </xf>
    <xf numFmtId="37" fontId="9" fillId="0" borderId="17" xfId="10" applyNumberFormat="1" applyFont="1" applyFill="1" applyBorder="1" applyAlignment="1">
      <alignment horizontal="center" vertical="center" wrapText="1"/>
    </xf>
    <xf numFmtId="1" fontId="22" fillId="2" borderId="10" xfId="18" applyNumberFormat="1" applyFont="1" applyFill="1" applyBorder="1" applyAlignment="1">
      <alignment horizontal="center" vertical="center" wrapText="1"/>
    </xf>
    <xf numFmtId="1" fontId="22" fillId="2" borderId="16" xfId="18" applyNumberFormat="1" applyFont="1" applyFill="1" applyBorder="1" applyAlignment="1">
      <alignment horizontal="center" vertical="center" wrapText="1"/>
    </xf>
    <xf numFmtId="1" fontId="22" fillId="2" borderId="17" xfId="18" applyNumberFormat="1" applyFont="1" applyFill="1" applyBorder="1" applyAlignment="1">
      <alignment horizontal="center" vertical="center" wrapText="1"/>
    </xf>
    <xf numFmtId="0" fontId="22" fillId="2" borderId="10" xfId="18" applyFont="1" applyFill="1" applyBorder="1" applyAlignment="1">
      <alignment horizontal="center" vertical="center" wrapText="1"/>
    </xf>
    <xf numFmtId="0" fontId="22" fillId="2" borderId="16" xfId="18" applyFont="1" applyFill="1" applyBorder="1" applyAlignment="1">
      <alignment horizontal="center" vertical="center" wrapText="1"/>
    </xf>
    <xf numFmtId="0" fontId="22" fillId="2" borderId="17" xfId="18" applyFont="1" applyFill="1" applyBorder="1" applyAlignment="1">
      <alignment horizontal="center" vertical="center" wrapText="1"/>
    </xf>
    <xf numFmtId="9" fontId="3" fillId="2" borderId="16" xfId="3" applyFont="1" applyFill="1" applyBorder="1" applyAlignment="1">
      <alignment horizontal="center" vertical="center" wrapText="1"/>
    </xf>
    <xf numFmtId="42" fontId="42" fillId="2" borderId="10" xfId="2" applyFont="1" applyFill="1" applyBorder="1" applyAlignment="1">
      <alignment horizontal="center" vertical="center" wrapText="1"/>
    </xf>
    <xf numFmtId="42" fontId="42" fillId="2" borderId="16" xfId="2" applyFont="1" applyFill="1" applyBorder="1" applyAlignment="1">
      <alignment horizontal="center" vertical="center" wrapText="1"/>
    </xf>
    <xf numFmtId="42" fontId="42" fillId="2" borderId="17" xfId="2" applyFont="1" applyFill="1" applyBorder="1" applyAlignment="1">
      <alignment horizontal="center" vertical="center" wrapText="1"/>
    </xf>
    <xf numFmtId="3" fontId="22" fillId="2" borderId="10" xfId="18" applyNumberFormat="1" applyFont="1" applyFill="1" applyBorder="1" applyAlignment="1">
      <alignment horizontal="center" vertical="center" wrapText="1"/>
    </xf>
    <xf numFmtId="3" fontId="22" fillId="2" borderId="16" xfId="18" applyNumberFormat="1" applyFont="1" applyFill="1" applyBorder="1" applyAlignment="1">
      <alignment horizontal="center" vertical="center" wrapText="1"/>
    </xf>
    <xf numFmtId="3" fontId="22" fillId="2" borderId="17" xfId="18" applyNumberFormat="1" applyFont="1" applyFill="1" applyBorder="1" applyAlignment="1">
      <alignment horizontal="center" vertical="center" wrapText="1"/>
    </xf>
    <xf numFmtId="170" fontId="22" fillId="2" borderId="10" xfId="18" applyNumberFormat="1" applyFont="1" applyFill="1" applyBorder="1" applyAlignment="1">
      <alignment horizontal="center" vertical="center" wrapText="1"/>
    </xf>
    <xf numFmtId="170" fontId="22" fillId="2" borderId="16" xfId="18" applyNumberFormat="1" applyFont="1" applyFill="1" applyBorder="1" applyAlignment="1">
      <alignment horizontal="center" vertical="center" wrapText="1"/>
    </xf>
    <xf numFmtId="170" fontId="22" fillId="2" borderId="17" xfId="18" applyNumberFormat="1" applyFont="1" applyFill="1" applyBorder="1" applyAlignment="1">
      <alignment horizontal="center" vertical="center" wrapText="1"/>
    </xf>
    <xf numFmtId="171" fontId="22" fillId="0" borderId="10" xfId="10" applyNumberFormat="1" applyFont="1" applyFill="1" applyBorder="1" applyAlignment="1">
      <alignment vertical="center" wrapText="1"/>
    </xf>
    <xf numFmtId="171" fontId="22" fillId="0" borderId="16" xfId="10" applyNumberFormat="1" applyFont="1" applyFill="1" applyBorder="1" applyAlignment="1">
      <alignment vertical="center" wrapText="1"/>
    </xf>
    <xf numFmtId="171" fontId="22" fillId="0" borderId="17" xfId="10" applyNumberFormat="1" applyFont="1" applyFill="1" applyBorder="1" applyAlignment="1">
      <alignment vertical="center" wrapText="1"/>
    </xf>
    <xf numFmtId="42" fontId="35" fillId="0" borderId="10" xfId="2" applyFont="1" applyFill="1" applyBorder="1" applyAlignment="1">
      <alignment horizontal="center" vertical="center" wrapText="1"/>
    </xf>
    <xf numFmtId="42" fontId="35" fillId="0" borderId="16" xfId="2" applyFont="1" applyFill="1" applyBorder="1" applyAlignment="1">
      <alignment horizontal="center" vertical="center" wrapText="1"/>
    </xf>
    <xf numFmtId="0" fontId="6" fillId="0" borderId="10" xfId="18" applyFont="1" applyFill="1" applyBorder="1" applyAlignment="1">
      <alignment horizontal="justify" vertical="center" wrapText="1"/>
    </xf>
    <xf numFmtId="0" fontId="6" fillId="0" borderId="16" xfId="18" applyFont="1" applyFill="1" applyBorder="1" applyAlignment="1">
      <alignment horizontal="justify" vertical="center" wrapText="1"/>
    </xf>
    <xf numFmtId="0" fontId="6" fillId="0" borderId="10" xfId="18" applyFont="1" applyFill="1" applyBorder="1" applyAlignment="1">
      <alignment horizontal="center" vertical="center" wrapText="1"/>
    </xf>
    <xf numFmtId="0" fontId="6" fillId="0" borderId="16" xfId="18" applyFont="1" applyFill="1" applyBorder="1" applyAlignment="1">
      <alignment horizontal="center" vertical="center" wrapText="1"/>
    </xf>
    <xf numFmtId="0" fontId="6" fillId="0" borderId="17" xfId="18" applyFont="1" applyFill="1" applyBorder="1" applyAlignment="1">
      <alignment horizontal="center" vertical="center" wrapText="1"/>
    </xf>
    <xf numFmtId="0" fontId="6" fillId="0" borderId="17" xfId="18" applyFont="1" applyFill="1" applyBorder="1" applyAlignment="1">
      <alignment horizontal="justify" vertical="center" wrapText="1"/>
    </xf>
    <xf numFmtId="42" fontId="35" fillId="0" borderId="17" xfId="2" applyFont="1" applyFill="1" applyBorder="1" applyAlignment="1">
      <alignment horizontal="center" vertical="center" wrapText="1"/>
    </xf>
    <xf numFmtId="170" fontId="9" fillId="0" borderId="10" xfId="18" applyNumberFormat="1" applyFont="1" applyFill="1" applyBorder="1" applyAlignment="1">
      <alignment horizontal="center" vertical="center" wrapText="1"/>
    </xf>
    <xf numFmtId="170" fontId="9" fillId="0" borderId="16" xfId="18" applyNumberFormat="1" applyFont="1" applyFill="1" applyBorder="1" applyAlignment="1">
      <alignment horizontal="center" vertical="center" wrapText="1"/>
    </xf>
    <xf numFmtId="3" fontId="9" fillId="0" borderId="10" xfId="18" applyNumberFormat="1" applyFont="1" applyFill="1" applyBorder="1" applyAlignment="1">
      <alignment horizontal="center" vertical="center" wrapText="1"/>
    </xf>
    <xf numFmtId="3" fontId="9" fillId="0" borderId="16" xfId="18" applyNumberFormat="1" applyFont="1" applyFill="1" applyBorder="1" applyAlignment="1">
      <alignment horizontal="center" vertical="center" wrapText="1"/>
    </xf>
    <xf numFmtId="170" fontId="9" fillId="0" borderId="3" xfId="18" applyNumberFormat="1" applyFont="1" applyFill="1" applyBorder="1" applyAlignment="1">
      <alignment horizontal="center" vertical="center" wrapText="1"/>
    </xf>
    <xf numFmtId="3" fontId="9" fillId="0" borderId="3" xfId="18" applyNumberFormat="1" applyFont="1" applyFill="1" applyBorder="1" applyAlignment="1">
      <alignment horizontal="center" vertical="center" wrapText="1"/>
    </xf>
    <xf numFmtId="171" fontId="9" fillId="0" borderId="10" xfId="10" applyNumberFormat="1" applyFont="1" applyFill="1" applyBorder="1" applyAlignment="1">
      <alignment vertical="center" wrapText="1"/>
    </xf>
    <xf numFmtId="171" fontId="9" fillId="0" borderId="16" xfId="10" applyNumberFormat="1" applyFont="1" applyFill="1" applyBorder="1" applyAlignment="1">
      <alignment vertical="center" wrapText="1"/>
    </xf>
    <xf numFmtId="171" fontId="9" fillId="0" borderId="17" xfId="10" applyNumberFormat="1" applyFont="1" applyFill="1" applyBorder="1" applyAlignment="1">
      <alignment vertical="center" wrapText="1"/>
    </xf>
    <xf numFmtId="173" fontId="9" fillId="2" borderId="10" xfId="18" applyNumberFormat="1" applyFont="1" applyFill="1" applyBorder="1" applyAlignment="1">
      <alignment horizontal="center" vertical="center" wrapText="1"/>
    </xf>
    <xf numFmtId="173" fontId="9" fillId="2" borderId="16" xfId="18" applyNumberFormat="1" applyFont="1" applyFill="1" applyBorder="1" applyAlignment="1">
      <alignment horizontal="center" vertical="center" wrapText="1"/>
    </xf>
    <xf numFmtId="173" fontId="9" fillId="2" borderId="17" xfId="18" applyNumberFormat="1" applyFont="1" applyFill="1" applyBorder="1" applyAlignment="1">
      <alignment horizontal="center" vertical="center" wrapText="1"/>
    </xf>
    <xf numFmtId="49" fontId="6" fillId="0" borderId="0" xfId="21" applyNumberFormat="1" applyFont="1" applyFill="1" applyBorder="1" applyAlignment="1">
      <alignment horizontal="center" vertical="center" wrapText="1"/>
    </xf>
    <xf numFmtId="0" fontId="6" fillId="2" borderId="10" xfId="18" applyFont="1" applyFill="1" applyBorder="1" applyAlignment="1">
      <alignment horizontal="left" vertical="center" wrapText="1"/>
    </xf>
    <xf numFmtId="0" fontId="6" fillId="2" borderId="16" xfId="18" applyFont="1" applyFill="1" applyBorder="1" applyAlignment="1">
      <alignment horizontal="left" vertical="center" wrapText="1"/>
    </xf>
    <xf numFmtId="0" fontId="6" fillId="2" borderId="17" xfId="18" applyFont="1" applyFill="1" applyBorder="1" applyAlignment="1">
      <alignment horizontal="left" vertical="center" wrapText="1"/>
    </xf>
    <xf numFmtId="0" fontId="9" fillId="0" borderId="10" xfId="10" applyNumberFormat="1" applyFont="1" applyFill="1" applyBorder="1" applyAlignment="1">
      <alignment horizontal="center" vertical="center" textRotation="91" wrapText="1"/>
    </xf>
    <xf numFmtId="0" fontId="9" fillId="0" borderId="16" xfId="10" applyNumberFormat="1" applyFont="1" applyFill="1" applyBorder="1" applyAlignment="1">
      <alignment horizontal="center" vertical="center" textRotation="91" wrapText="1"/>
    </xf>
    <xf numFmtId="0" fontId="9" fillId="0" borderId="17" xfId="10" applyNumberFormat="1" applyFont="1" applyFill="1" applyBorder="1" applyAlignment="1">
      <alignment horizontal="center" vertical="center" textRotation="91" wrapText="1"/>
    </xf>
    <xf numFmtId="170" fontId="9" fillId="2" borderId="3" xfId="18" applyNumberFormat="1" applyFont="1" applyFill="1" applyBorder="1" applyAlignment="1">
      <alignment horizontal="center" vertical="center" wrapText="1"/>
    </xf>
    <xf numFmtId="3" fontId="9" fillId="2" borderId="3" xfId="18" applyNumberFormat="1" applyFont="1" applyFill="1" applyBorder="1" applyAlignment="1">
      <alignment horizontal="center" vertical="center" wrapText="1"/>
    </xf>
    <xf numFmtId="49" fontId="6" fillId="0" borderId="10" xfId="21" applyNumberFormat="1" applyFont="1" applyFill="1" applyBorder="1" applyAlignment="1">
      <alignment horizontal="justify" vertical="center" wrapText="1"/>
    </xf>
    <xf numFmtId="49" fontId="6" fillId="0" borderId="17" xfId="21" applyNumberFormat="1" applyFont="1" applyFill="1" applyBorder="1" applyAlignment="1">
      <alignment horizontal="justify" vertical="center" wrapText="1"/>
    </xf>
    <xf numFmtId="0" fontId="5" fillId="0" borderId="8" xfId="18" applyFont="1" applyFill="1" applyBorder="1" applyAlignment="1">
      <alignment horizontal="center" vertical="center" wrapText="1"/>
    </xf>
    <xf numFmtId="0" fontId="5" fillId="0" borderId="9" xfId="18" applyFont="1" applyFill="1" applyBorder="1" applyAlignment="1">
      <alignment horizontal="center" vertical="center" wrapText="1"/>
    </xf>
    <xf numFmtId="0" fontId="5" fillId="0" borderId="0" xfId="18" applyFont="1" applyFill="1" applyBorder="1" applyAlignment="1">
      <alignment horizontal="center" vertical="center" wrapText="1"/>
    </xf>
    <xf numFmtId="0" fontId="5" fillId="0" borderId="2" xfId="18" applyFont="1" applyFill="1" applyBorder="1" applyAlignment="1">
      <alignment horizontal="center" vertical="center" wrapText="1"/>
    </xf>
    <xf numFmtId="0" fontId="5" fillId="0" borderId="5" xfId="18" applyFont="1" applyFill="1" applyBorder="1" applyAlignment="1">
      <alignment horizontal="center" vertical="center" wrapText="1"/>
    </xf>
    <xf numFmtId="0" fontId="5" fillId="0" borderId="6" xfId="18" applyFont="1" applyFill="1" applyBorder="1" applyAlignment="1">
      <alignment horizontal="center" vertical="center" wrapText="1"/>
    </xf>
    <xf numFmtId="0" fontId="6" fillId="2" borderId="3" xfId="18" applyFont="1" applyFill="1" applyBorder="1" applyAlignment="1">
      <alignment horizontal="justify" vertical="center" wrapText="1"/>
    </xf>
    <xf numFmtId="42" fontId="35" fillId="2" borderId="3" xfId="2" applyNumberFormat="1" applyFont="1" applyFill="1" applyBorder="1" applyAlignment="1">
      <alignment horizontal="center" vertical="center" wrapText="1"/>
    </xf>
    <xf numFmtId="164" fontId="22" fillId="0" borderId="3" xfId="20" applyFont="1" applyFill="1" applyBorder="1" applyAlignment="1">
      <alignment horizontal="center" vertical="center" wrapText="1"/>
    </xf>
    <xf numFmtId="37" fontId="35" fillId="2" borderId="10" xfId="2" applyNumberFormat="1" applyFont="1" applyFill="1" applyBorder="1" applyAlignment="1">
      <alignment horizontal="center" vertical="center" wrapText="1"/>
    </xf>
    <xf numFmtId="37" fontId="35" fillId="2" borderId="16" xfId="2" applyNumberFormat="1" applyFont="1" applyFill="1" applyBorder="1" applyAlignment="1">
      <alignment horizontal="center" vertical="center" wrapText="1"/>
    </xf>
    <xf numFmtId="0" fontId="6" fillId="0" borderId="10" xfId="18" applyFont="1" applyFill="1" applyBorder="1" applyAlignment="1">
      <alignment horizontal="center" vertical="center"/>
    </xf>
    <xf numFmtId="0" fontId="6" fillId="0" borderId="17" xfId="18" applyFont="1" applyFill="1" applyBorder="1" applyAlignment="1">
      <alignment horizontal="center" vertical="center"/>
    </xf>
    <xf numFmtId="0" fontId="6" fillId="2" borderId="10" xfId="18" applyFont="1" applyFill="1" applyBorder="1" applyAlignment="1">
      <alignment horizontal="center" vertical="center"/>
    </xf>
    <xf numFmtId="0" fontId="6" fillId="2" borderId="16" xfId="18" applyFont="1" applyFill="1" applyBorder="1" applyAlignment="1">
      <alignment horizontal="center" vertical="center"/>
    </xf>
    <xf numFmtId="42" fontId="35" fillId="2" borderId="10" xfId="2" applyNumberFormat="1" applyFont="1" applyFill="1" applyBorder="1" applyAlignment="1">
      <alignment horizontal="center" vertical="center" wrapText="1"/>
    </xf>
    <xf numFmtId="42" fontId="35" fillId="2" borderId="16" xfId="2" applyNumberFormat="1" applyFont="1" applyFill="1" applyBorder="1" applyAlignment="1">
      <alignment horizontal="center" vertical="center" wrapText="1"/>
    </xf>
    <xf numFmtId="10" fontId="6" fillId="2" borderId="10" xfId="3" applyNumberFormat="1" applyFont="1" applyFill="1" applyBorder="1" applyAlignment="1">
      <alignment horizontal="center" vertical="center" wrapText="1"/>
    </xf>
    <xf numFmtId="10" fontId="6" fillId="2" borderId="17" xfId="3" applyNumberFormat="1" applyFont="1" applyFill="1" applyBorder="1" applyAlignment="1">
      <alignment horizontal="center" vertical="center" wrapText="1"/>
    </xf>
    <xf numFmtId="0" fontId="9" fillId="0" borderId="3" xfId="10" applyNumberFormat="1" applyFont="1" applyFill="1" applyBorder="1" applyAlignment="1">
      <alignment horizontal="center" vertical="center" wrapText="1"/>
    </xf>
    <xf numFmtId="171" fontId="5" fillId="15" borderId="12" xfId="10" applyNumberFormat="1" applyFont="1" applyFill="1" applyBorder="1" applyAlignment="1">
      <alignment horizontal="center" vertical="center" textRotation="180" wrapText="1"/>
    </xf>
    <xf numFmtId="0" fontId="6" fillId="2" borderId="3" xfId="18" quotePrefix="1" applyFont="1" applyFill="1" applyBorder="1" applyAlignment="1">
      <alignment horizontal="left" vertical="center" wrapText="1"/>
    </xf>
    <xf numFmtId="164" fontId="22" fillId="0" borderId="10" xfId="20" applyFont="1" applyFill="1" applyBorder="1" applyAlignment="1">
      <alignment horizontal="center" vertical="center" wrapText="1"/>
    </xf>
    <xf numFmtId="164" fontId="22" fillId="0" borderId="17" xfId="20" applyFont="1" applyFill="1" applyBorder="1" applyAlignment="1">
      <alignment horizontal="center" vertical="center" wrapText="1"/>
    </xf>
    <xf numFmtId="0" fontId="6" fillId="2" borderId="3" xfId="18" applyFont="1" applyFill="1" applyBorder="1" applyAlignment="1">
      <alignment horizontal="left" vertical="center" wrapText="1"/>
    </xf>
    <xf numFmtId="171" fontId="5" fillId="15" borderId="11" xfId="10" applyNumberFormat="1" applyFont="1" applyFill="1" applyBorder="1" applyAlignment="1">
      <alignment horizontal="center" vertical="center" textRotation="180" wrapText="1"/>
    </xf>
    <xf numFmtId="171" fontId="5" fillId="15" borderId="13" xfId="10" applyNumberFormat="1" applyFont="1" applyFill="1" applyBorder="1" applyAlignment="1">
      <alignment horizontal="center" vertical="center" textRotation="180" wrapText="1"/>
    </xf>
    <xf numFmtId="1" fontId="6" fillId="2" borderId="10" xfId="18" quotePrefix="1" applyNumberFormat="1" applyFont="1" applyFill="1" applyBorder="1" applyAlignment="1">
      <alignment horizontal="center" vertical="center" wrapText="1"/>
    </xf>
    <xf numFmtId="1" fontId="6" fillId="2" borderId="16" xfId="18" quotePrefix="1" applyNumberFormat="1" applyFont="1" applyFill="1" applyBorder="1" applyAlignment="1">
      <alignment horizontal="center" vertical="center" wrapText="1"/>
    </xf>
    <xf numFmtId="1" fontId="6" fillId="2" borderId="17" xfId="18" quotePrefix="1" applyNumberFormat="1" applyFont="1" applyFill="1" applyBorder="1" applyAlignment="1">
      <alignment horizontal="center" vertical="center" wrapText="1"/>
    </xf>
    <xf numFmtId="0" fontId="22" fillId="0" borderId="3" xfId="10" applyNumberFormat="1" applyFont="1" applyFill="1" applyBorder="1" applyAlignment="1">
      <alignment horizontal="center" vertical="center" wrapText="1"/>
    </xf>
    <xf numFmtId="1" fontId="6" fillId="2" borderId="3" xfId="18" applyNumberFormat="1" applyFont="1" applyFill="1" applyBorder="1" applyAlignment="1">
      <alignment horizontal="center" vertical="center" wrapText="1"/>
    </xf>
    <xf numFmtId="0" fontId="6" fillId="2" borderId="8" xfId="18" applyFont="1" applyFill="1" applyBorder="1" applyAlignment="1">
      <alignment horizontal="center" vertical="center" wrapText="1"/>
    </xf>
    <xf numFmtId="0" fontId="6" fillId="2" borderId="0" xfId="18" applyFont="1" applyFill="1" applyBorder="1" applyAlignment="1">
      <alignment horizontal="center" vertical="center" wrapText="1"/>
    </xf>
    <xf numFmtId="42" fontId="35" fillId="0" borderId="3" xfId="2" applyFont="1" applyFill="1" applyBorder="1" applyAlignment="1">
      <alignment horizontal="center" vertical="center" wrapText="1"/>
    </xf>
    <xf numFmtId="0" fontId="6" fillId="0" borderId="3" xfId="18" applyFont="1" applyFill="1" applyBorder="1" applyAlignment="1">
      <alignment horizontal="justify" vertical="center" wrapText="1"/>
    </xf>
    <xf numFmtId="3" fontId="9" fillId="2" borderId="3" xfId="18" applyNumberFormat="1" applyFont="1" applyFill="1" applyBorder="1" applyAlignment="1">
      <alignment horizontal="justify" vertical="center" wrapText="1"/>
    </xf>
    <xf numFmtId="1" fontId="6" fillId="2" borderId="10" xfId="18" applyNumberFormat="1" applyFont="1" applyFill="1" applyBorder="1" applyAlignment="1">
      <alignment horizontal="center" vertical="center"/>
    </xf>
    <xf numFmtId="1" fontId="6" fillId="2" borderId="16" xfId="18" applyNumberFormat="1" applyFont="1" applyFill="1" applyBorder="1" applyAlignment="1">
      <alignment horizontal="center" vertical="center"/>
    </xf>
    <xf numFmtId="1" fontId="6" fillId="2" borderId="17" xfId="18" applyNumberFormat="1" applyFont="1" applyFill="1" applyBorder="1" applyAlignment="1">
      <alignment horizontal="center" vertical="center"/>
    </xf>
    <xf numFmtId="14" fontId="22" fillId="0" borderId="3" xfId="10" applyNumberFormat="1" applyFont="1" applyFill="1" applyBorder="1" applyAlignment="1">
      <alignment horizontal="center" vertical="center" wrapText="1"/>
    </xf>
    <xf numFmtId="0" fontId="15" fillId="0" borderId="0" xfId="0" applyFont="1" applyFill="1" applyBorder="1" applyAlignment="1">
      <alignment horizontal="center"/>
    </xf>
    <xf numFmtId="0" fontId="6" fillId="0" borderId="8" xfId="18" applyFont="1" applyBorder="1" applyAlignment="1">
      <alignment horizontal="center"/>
    </xf>
    <xf numFmtId="44" fontId="35" fillId="15" borderId="3" xfId="1" applyFont="1" applyFill="1" applyBorder="1" applyAlignment="1">
      <alignment horizontal="center" vertical="center"/>
    </xf>
    <xf numFmtId="1" fontId="5" fillId="4" borderId="9"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3" fontId="5" fillId="4" borderId="17"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10" xfId="0" applyFont="1" applyFill="1" applyBorder="1" applyAlignment="1">
      <alignment horizontal="justify" vertical="center" wrapText="1"/>
    </xf>
    <xf numFmtId="0" fontId="5" fillId="4" borderId="16" xfId="0" applyFont="1" applyFill="1" applyBorder="1" applyAlignment="1">
      <alignment horizontal="justify" vertical="center" wrapText="1"/>
    </xf>
    <xf numFmtId="0" fontId="5" fillId="4" borderId="17" xfId="0" applyFont="1" applyFill="1" applyBorder="1" applyAlignment="1">
      <alignment horizontal="justify" vertical="center" wrapText="1"/>
    </xf>
    <xf numFmtId="4" fontId="5" fillId="4" borderId="3" xfId="0" applyNumberFormat="1" applyFont="1" applyFill="1" applyBorder="1" applyAlignment="1">
      <alignment horizontal="right" vertical="center" wrapText="1"/>
    </xf>
    <xf numFmtId="9" fontId="5" fillId="4" borderId="7" xfId="3" applyFont="1" applyFill="1" applyBorder="1" applyAlignment="1">
      <alignment horizontal="center" vertical="center" wrapText="1"/>
    </xf>
    <xf numFmtId="9" fontId="5" fillId="4" borderId="1" xfId="3" applyFont="1" applyFill="1" applyBorder="1" applyAlignment="1">
      <alignment horizontal="center" vertical="center" wrapText="1"/>
    </xf>
    <xf numFmtId="9" fontId="5" fillId="4" borderId="4" xfId="3" applyFont="1" applyFill="1" applyBorder="1" applyAlignment="1">
      <alignment horizontal="center" vertical="center" wrapText="1"/>
    </xf>
    <xf numFmtId="4" fontId="5" fillId="4" borderId="7"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center" wrapText="1"/>
    </xf>
    <xf numFmtId="4" fontId="5" fillId="4" borderId="4" xfId="0" applyNumberFormat="1" applyFont="1" applyFill="1" applyBorder="1" applyAlignment="1">
      <alignment horizontal="right" vertical="center" wrapText="1"/>
    </xf>
    <xf numFmtId="3" fontId="5" fillId="4" borderId="7"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5" fillId="4" borderId="13"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4" fontId="6" fillId="2" borderId="10" xfId="2" applyNumberFormat="1" applyFont="1" applyFill="1" applyBorder="1" applyAlignment="1">
      <alignment horizontal="right" vertical="center" wrapText="1"/>
    </xf>
    <xf numFmtId="4" fontId="6" fillId="2" borderId="16" xfId="2" applyNumberFormat="1" applyFont="1" applyFill="1" applyBorder="1" applyAlignment="1">
      <alignment horizontal="right" vertical="center" wrapText="1"/>
    </xf>
    <xf numFmtId="4" fontId="6" fillId="2" borderId="17" xfId="2" applyNumberFormat="1" applyFont="1" applyFill="1" applyBorder="1" applyAlignment="1">
      <alignment horizontal="right" vertical="center" wrapText="1"/>
    </xf>
    <xf numFmtId="176" fontId="5" fillId="4" borderId="16" xfId="0" applyNumberFormat="1" applyFont="1" applyFill="1" applyBorder="1" applyAlignment="1">
      <alignment horizontal="center" vertical="center" wrapText="1"/>
    </xf>
    <xf numFmtId="176" fontId="5" fillId="4" borderId="17" xfId="0" applyNumberFormat="1" applyFont="1" applyFill="1" applyBorder="1" applyAlignment="1">
      <alignment horizontal="center" vertical="center" wrapText="1"/>
    </xf>
    <xf numFmtId="165" fontId="6" fillId="2" borderId="10" xfId="6" applyFont="1" applyFill="1" applyBorder="1" applyAlignment="1">
      <alignment horizontal="center" vertical="center" wrapText="1"/>
    </xf>
    <xf numFmtId="165" fontId="6" fillId="2" borderId="16" xfId="6" applyFont="1" applyFill="1" applyBorder="1" applyAlignment="1">
      <alignment horizontal="center" vertical="center" wrapText="1"/>
    </xf>
    <xf numFmtId="165" fontId="6" fillId="2" borderId="17" xfId="6" applyFont="1" applyFill="1" applyBorder="1" applyAlignment="1">
      <alignment horizontal="center" vertical="center" wrapText="1"/>
    </xf>
    <xf numFmtId="1" fontId="26" fillId="2" borderId="10" xfId="0" applyNumberFormat="1" applyFont="1" applyFill="1" applyBorder="1" applyAlignment="1">
      <alignment horizontal="center" vertical="center" wrapText="1"/>
    </xf>
    <xf numFmtId="1" fontId="26" fillId="2" borderId="16" xfId="0" applyNumberFormat="1" applyFont="1" applyFill="1" applyBorder="1" applyAlignment="1">
      <alignment horizontal="center" vertical="center" wrapText="1"/>
    </xf>
    <xf numFmtId="1" fontId="26" fillId="2" borderId="17" xfId="0" applyNumberFormat="1" applyFont="1" applyFill="1" applyBorder="1" applyAlignment="1">
      <alignment horizontal="center" vertical="center" wrapText="1"/>
    </xf>
    <xf numFmtId="0" fontId="43" fillId="0" borderId="3" xfId="0" applyFont="1" applyFill="1" applyBorder="1" applyAlignment="1">
      <alignment horizontal="justify" vertical="center" wrapText="1"/>
    </xf>
    <xf numFmtId="165" fontId="6" fillId="2" borderId="10" xfId="6" applyFont="1" applyFill="1" applyBorder="1" applyAlignment="1">
      <alignment horizontal="justify" vertical="center" wrapText="1"/>
    </xf>
    <xf numFmtId="165" fontId="6" fillId="2" borderId="16" xfId="6" applyFont="1" applyFill="1" applyBorder="1" applyAlignment="1">
      <alignment horizontal="justify" vertical="center" wrapText="1"/>
    </xf>
    <xf numFmtId="165" fontId="6" fillId="2" borderId="17" xfId="6" applyFont="1" applyFill="1" applyBorder="1" applyAlignment="1">
      <alignment horizontal="justify" vertical="center" wrapText="1"/>
    </xf>
    <xf numFmtId="1" fontId="6" fillId="2" borderId="10" xfId="0" applyNumberFormat="1" applyFont="1" applyFill="1" applyBorder="1" applyAlignment="1">
      <alignment horizontal="justify" vertical="center" wrapText="1"/>
    </xf>
    <xf numFmtId="1" fontId="6" fillId="2" borderId="16" xfId="0" applyNumberFormat="1" applyFont="1" applyFill="1" applyBorder="1" applyAlignment="1">
      <alignment horizontal="justify" vertical="center" wrapText="1"/>
    </xf>
    <xf numFmtId="1" fontId="6" fillId="2" borderId="17" xfId="0" applyNumberFormat="1" applyFont="1" applyFill="1" applyBorder="1" applyAlignment="1">
      <alignment horizontal="justify" vertical="center" wrapText="1"/>
    </xf>
    <xf numFmtId="0" fontId="5" fillId="2" borderId="3"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14" fontId="6" fillId="2" borderId="16" xfId="0" applyNumberFormat="1" applyFont="1" applyFill="1" applyBorder="1" applyAlignment="1">
      <alignment horizontal="center" vertical="center" wrapText="1"/>
    </xf>
    <xf numFmtId="14" fontId="6" fillId="2" borderId="17" xfId="0" applyNumberFormat="1" applyFont="1" applyFill="1" applyBorder="1" applyAlignment="1">
      <alignment horizontal="center" vertical="center" wrapText="1"/>
    </xf>
    <xf numFmtId="0" fontId="6" fillId="2" borderId="3" xfId="0" applyFont="1" applyFill="1" applyBorder="1" applyAlignment="1" applyProtection="1">
      <alignment horizontal="justify" vertical="center" wrapText="1"/>
      <protection locked="0"/>
    </xf>
    <xf numFmtId="4" fontId="6" fillId="2" borderId="3" xfId="2" applyNumberFormat="1" applyFont="1" applyFill="1" applyBorder="1" applyAlignment="1">
      <alignment horizontal="right" vertical="center" wrapText="1"/>
    </xf>
    <xf numFmtId="4" fontId="6" fillId="2" borderId="3" xfId="0" applyNumberFormat="1" applyFont="1" applyFill="1" applyBorder="1" applyAlignment="1">
      <alignment horizontal="right" vertical="center" wrapText="1"/>
    </xf>
    <xf numFmtId="1" fontId="6" fillId="2" borderId="3" xfId="0" applyNumberFormat="1" applyFont="1" applyFill="1" applyBorder="1" applyAlignment="1">
      <alignment horizontal="justify" vertical="center" wrapText="1"/>
    </xf>
    <xf numFmtId="0" fontId="6" fillId="2" borderId="1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4" fontId="6" fillId="2" borderId="10" xfId="0" applyNumberFormat="1" applyFont="1" applyFill="1" applyBorder="1" applyAlignment="1">
      <alignment horizontal="right" vertical="center" wrapText="1"/>
    </xf>
    <xf numFmtId="4" fontId="6" fillId="2" borderId="16" xfId="0" applyNumberFormat="1" applyFont="1" applyFill="1" applyBorder="1" applyAlignment="1">
      <alignment horizontal="right" vertical="center" wrapText="1"/>
    </xf>
    <xf numFmtId="4" fontId="6" fillId="2" borderId="17" xfId="0" applyNumberFormat="1" applyFont="1" applyFill="1" applyBorder="1" applyAlignment="1">
      <alignment horizontal="right" vertical="center" wrapText="1"/>
    </xf>
    <xf numFmtId="0" fontId="43" fillId="0" borderId="13"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9"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6" fillId="2" borderId="10" xfId="0" applyFont="1" applyFill="1" applyBorder="1" applyAlignment="1" applyProtection="1">
      <alignment horizontal="justify" vertical="center" wrapText="1"/>
      <protection locked="0"/>
    </xf>
    <xf numFmtId="0" fontId="6" fillId="2" borderId="16" xfId="0" applyFont="1" applyFill="1" applyBorder="1" applyAlignment="1" applyProtection="1">
      <alignment horizontal="justify" vertical="center" wrapText="1"/>
      <protection locked="0"/>
    </xf>
    <xf numFmtId="176" fontId="6" fillId="2" borderId="3" xfId="0" applyNumberFormat="1" applyFont="1" applyFill="1" applyBorder="1" applyAlignment="1">
      <alignment horizontal="justify" vertical="center" wrapText="1"/>
    </xf>
    <xf numFmtId="1" fontId="6" fillId="2" borderId="10" xfId="0" applyNumberFormat="1" applyFont="1" applyFill="1" applyBorder="1" applyAlignment="1" applyProtection="1">
      <alignment horizontal="center" vertical="center" wrapText="1"/>
      <protection locked="0"/>
    </xf>
    <xf numFmtId="1" fontId="6" fillId="2" borderId="17"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justify" vertical="center" wrapText="1"/>
    </xf>
    <xf numFmtId="4" fontId="6" fillId="2" borderId="11" xfId="0" applyNumberFormat="1" applyFont="1" applyFill="1" applyBorder="1" applyAlignment="1">
      <alignment horizontal="right" vertical="center" wrapText="1"/>
    </xf>
    <xf numFmtId="176" fontId="6" fillId="2" borderId="10" xfId="0" applyNumberFormat="1" applyFont="1" applyFill="1" applyBorder="1" applyAlignment="1">
      <alignment horizontal="justify" vertical="center" wrapText="1"/>
    </xf>
    <xf numFmtId="176" fontId="6" fillId="2" borderId="16" xfId="0" applyNumberFormat="1" applyFont="1" applyFill="1" applyBorder="1" applyAlignment="1">
      <alignment horizontal="justify" vertical="center" wrapText="1"/>
    </xf>
    <xf numFmtId="176" fontId="6" fillId="2" borderId="17" xfId="0" applyNumberFormat="1" applyFont="1" applyFill="1" applyBorder="1" applyAlignment="1">
      <alignment horizontal="justify" vertical="center" wrapText="1"/>
    </xf>
    <xf numFmtId="0" fontId="5" fillId="2" borderId="10" xfId="0" applyFont="1" applyFill="1" applyBorder="1" applyAlignment="1">
      <alignment horizontal="justify" vertical="center" wrapText="1"/>
    </xf>
    <xf numFmtId="176" fontId="6" fillId="2" borderId="16" xfId="0" applyNumberFormat="1" applyFont="1" applyFill="1" applyBorder="1" applyAlignment="1">
      <alignment horizontal="center" vertical="center" wrapText="1"/>
    </xf>
    <xf numFmtId="176" fontId="6" fillId="2" borderId="17" xfId="0" applyNumberFormat="1" applyFont="1" applyFill="1" applyBorder="1" applyAlignment="1">
      <alignment horizontal="center" vertical="center" wrapText="1"/>
    </xf>
    <xf numFmtId="1" fontId="6" fillId="2" borderId="3" xfId="0" applyNumberFormat="1" applyFont="1" applyFill="1" applyBorder="1" applyAlignment="1" applyProtection="1">
      <alignment horizontal="center" vertical="center" wrapText="1"/>
      <protection locked="0"/>
    </xf>
    <xf numFmtId="4" fontId="6" fillId="2" borderId="7" xfId="0" applyNumberFormat="1" applyFont="1" applyFill="1" applyBorder="1" applyAlignment="1">
      <alignment horizontal="right" vertical="center" wrapText="1"/>
    </xf>
    <xf numFmtId="0" fontId="43" fillId="0" borderId="9" xfId="0" applyFont="1" applyFill="1" applyBorder="1" applyAlignment="1">
      <alignment horizontal="justify" vertical="center" wrapText="1"/>
    </xf>
    <xf numFmtId="0" fontId="5" fillId="2" borderId="0" xfId="0" applyFont="1" applyFill="1" applyAlignment="1">
      <alignment horizontal="center" wrapText="1"/>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17" fillId="4" borderId="13" xfId="0" applyFont="1" applyFill="1" applyBorder="1" applyAlignment="1">
      <alignment horizontal="center" vertical="center"/>
    </xf>
    <xf numFmtId="0" fontId="11" fillId="17" borderId="3" xfId="0" applyFont="1" applyFill="1" applyBorder="1" applyAlignment="1">
      <alignment horizontal="center" wrapText="1"/>
    </xf>
    <xf numFmtId="0" fontId="2" fillId="6" borderId="11"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11" fillId="0" borderId="3" xfId="0" applyFont="1" applyFill="1" applyBorder="1" applyAlignment="1">
      <alignment horizontal="center" vertical="center"/>
    </xf>
    <xf numFmtId="9" fontId="11" fillId="0" borderId="10" xfId="3" applyFont="1" applyFill="1" applyBorder="1" applyAlignment="1">
      <alignment horizontal="center" vertical="center" wrapText="1"/>
    </xf>
    <xf numFmtId="9" fontId="11" fillId="0" borderId="17" xfId="3" applyFont="1" applyFill="1" applyBorder="1" applyAlignment="1">
      <alignment horizontal="center" vertical="center" wrapText="1"/>
    </xf>
    <xf numFmtId="198" fontId="11" fillId="0" borderId="10" xfId="0" applyNumberFormat="1" applyFont="1" applyFill="1" applyBorder="1" applyAlignment="1">
      <alignment horizontal="center" vertical="center" wrapText="1"/>
    </xf>
    <xf numFmtId="198" fontId="11" fillId="0" borderId="17" xfId="0" applyNumberFormat="1" applyFont="1" applyFill="1" applyBorder="1" applyAlignment="1">
      <alignment horizontal="center" vertical="center" wrapText="1"/>
    </xf>
    <xf numFmtId="195" fontId="11" fillId="0" borderId="10" xfId="3" applyNumberFormat="1" applyFont="1" applyFill="1" applyBorder="1" applyAlignment="1">
      <alignment horizontal="center" vertical="center" wrapText="1"/>
    </xf>
    <xf numFmtId="195" fontId="11" fillId="0" borderId="17" xfId="3" applyNumberFormat="1" applyFont="1" applyFill="1" applyBorder="1" applyAlignment="1">
      <alignment horizontal="center" vertical="center" wrapText="1"/>
    </xf>
    <xf numFmtId="0" fontId="2" fillId="13" borderId="11" xfId="0" applyFont="1" applyFill="1" applyBorder="1" applyAlignment="1">
      <alignment horizontal="left" vertical="center" wrapText="1"/>
    </xf>
    <xf numFmtId="0" fontId="2" fillId="13" borderId="12" xfId="0" applyFont="1" applyFill="1" applyBorder="1" applyAlignment="1">
      <alignment horizontal="left" vertical="center" wrapText="1"/>
    </xf>
    <xf numFmtId="0" fontId="2" fillId="13" borderId="13" xfId="0" applyFont="1" applyFill="1" applyBorder="1" applyAlignment="1">
      <alignment horizontal="left" vertical="center" wrapText="1"/>
    </xf>
    <xf numFmtId="0" fontId="2" fillId="8" borderId="3" xfId="0" applyFont="1" applyFill="1" applyBorder="1" applyAlignment="1">
      <alignment horizontal="left" vertical="center" wrapText="1"/>
    </xf>
    <xf numFmtId="0" fontId="17" fillId="8" borderId="3" xfId="0" applyFont="1" applyFill="1" applyBorder="1" applyAlignment="1">
      <alignment horizontal="left" vertical="center" wrapText="1"/>
    </xf>
    <xf numFmtId="49" fontId="11" fillId="2" borderId="10" xfId="0" applyNumberFormat="1" applyFont="1" applyFill="1" applyBorder="1" applyAlignment="1">
      <alignment horizontal="center" vertical="center"/>
    </xf>
    <xf numFmtId="49" fontId="11" fillId="2" borderId="16"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99" fontId="17" fillId="0" borderId="10" xfId="0" applyNumberFormat="1" applyFont="1" applyFill="1" applyBorder="1" applyAlignment="1">
      <alignment horizontal="center" vertical="center" wrapText="1"/>
    </xf>
    <xf numFmtId="199" fontId="17" fillId="0" borderId="17"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16" xfId="0" applyNumberFormat="1" applyFont="1" applyFill="1" applyBorder="1" applyAlignment="1">
      <alignment horizontal="center" vertical="center" wrapText="1"/>
    </xf>
    <xf numFmtId="0" fontId="21" fillId="5" borderId="11" xfId="0" applyFont="1" applyFill="1" applyBorder="1" applyAlignment="1">
      <alignment horizontal="center" vertical="center"/>
    </xf>
    <xf numFmtId="0" fontId="21" fillId="5" borderId="12" xfId="0" applyFont="1" applyFill="1" applyBorder="1" applyAlignment="1">
      <alignment horizontal="center" vertical="center"/>
    </xf>
    <xf numFmtId="200" fontId="11" fillId="0" borderId="10" xfId="0" applyNumberFormat="1" applyFont="1" applyFill="1" applyBorder="1" applyAlignment="1">
      <alignment horizontal="center" vertical="center" wrapText="1"/>
    </xf>
    <xf numFmtId="200" fontId="11" fillId="0" borderId="17" xfId="0" applyNumberFormat="1" applyFont="1" applyFill="1" applyBorder="1" applyAlignment="1">
      <alignment horizontal="center" vertical="center" wrapText="1"/>
    </xf>
    <xf numFmtId="195" fontId="11" fillId="0" borderId="16" xfId="3" applyNumberFormat="1" applyFont="1" applyFill="1" applyBorder="1" applyAlignment="1">
      <alignment horizontal="center" vertical="center" wrapText="1"/>
    </xf>
    <xf numFmtId="198" fontId="11" fillId="0" borderId="16"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3" fontId="2" fillId="4" borderId="17"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 xfId="0" applyFont="1" applyFill="1" applyBorder="1" applyAlignment="1">
      <alignment horizontal="center" vertical="center" wrapText="1"/>
    </xf>
    <xf numFmtId="172"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170" fontId="6" fillId="2" borderId="10" xfId="0" applyNumberFormat="1" applyFont="1" applyFill="1" applyBorder="1" applyAlignment="1">
      <alignment horizontal="center" vertical="center" wrapText="1"/>
    </xf>
    <xf numFmtId="170" fontId="6" fillId="2" borderId="16" xfId="0" applyNumberFormat="1" applyFont="1" applyFill="1" applyBorder="1" applyAlignment="1">
      <alignment horizontal="center" vertical="center" wrapText="1"/>
    </xf>
  </cellXfs>
  <cellStyles count="24">
    <cellStyle name="Excel Built-in Normal" xfId="11"/>
    <cellStyle name="Excel Built-in Normal 2" xfId="21"/>
    <cellStyle name="Millares [0] 2" xfId="6"/>
    <cellStyle name="Millares 2" xfId="5"/>
    <cellStyle name="Millares 2 4" xfId="19"/>
    <cellStyle name="Millares 3" xfId="10"/>
    <cellStyle name="Millares 3 2" xfId="12"/>
    <cellStyle name="Millares 4" xfId="7"/>
    <cellStyle name="Millares 5" xfId="13"/>
    <cellStyle name="Moneda" xfId="1" builtinId="4"/>
    <cellStyle name="Moneda [0]" xfId="2" builtinId="7"/>
    <cellStyle name="Moneda [0] 2" xfId="20"/>
    <cellStyle name="Moneda [0] 2 3" xfId="23"/>
    <cellStyle name="Moneda [0] 3" xfId="22"/>
    <cellStyle name="Moneda 2" xfId="8"/>
    <cellStyle name="Moneda 3" xfId="15"/>
    <cellStyle name="Normal" xfId="0" builtinId="0"/>
    <cellStyle name="Normal 2 2" xfId="17"/>
    <cellStyle name="Normal 2 2 2" xfId="4"/>
    <cellStyle name="Normal 2 2 2 2" xfId="14"/>
    <cellStyle name="Normal 7" xfId="18"/>
    <cellStyle name="Porcentaje" xfId="3" builtinId="5"/>
    <cellStyle name="Porcentaje 2" xfId="9"/>
    <cellStyle name="Porcentual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286986</xdr:colOff>
      <xdr:row>0</xdr:row>
      <xdr:rowOff>12371</xdr:rowOff>
    </xdr:from>
    <xdr:ext cx="959924" cy="1182584"/>
    <xdr:pic>
      <xdr:nvPicPr>
        <xdr:cNvPr id="2" name="Imagen 1" descr="C:\Users\AUXPLANEACION03\Desktop\Gobernacion_del_quindio.jpg">
          <a:extLst>
            <a:ext uri="{FF2B5EF4-FFF2-40B4-BE49-F238E27FC236}">
              <a16:creationId xmlns="" xmlns:a16="http://schemas.microsoft.com/office/drawing/2014/main" id="{3070CFF5-68B2-4646-B6ED-1ECF8D10B4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986" y="12371"/>
          <a:ext cx="959924" cy="1182584"/>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157843</xdr:colOff>
      <xdr:row>2</xdr:row>
      <xdr:rowOff>137558</xdr:rowOff>
    </xdr:to>
    <xdr:pic>
      <xdr:nvPicPr>
        <xdr:cNvPr id="5" name="Imagen 4"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3357"/>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14968</xdr:colOff>
      <xdr:row>2</xdr:row>
      <xdr:rowOff>141640</xdr:rowOff>
    </xdr:to>
    <xdr:pic>
      <xdr:nvPicPr>
        <xdr:cNvPr id="3" name="Imagen 2"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7439"/>
        </a:xfrm>
        <a:prstGeom prst="rect">
          <a:avLst/>
        </a:prstGeom>
        <a:noFill/>
        <a:ln>
          <a:noFill/>
        </a:ln>
      </xdr:spPr>
    </xdr:pic>
    <xdr:clientData/>
  </xdr:twoCellAnchor>
  <xdr:twoCellAnchor editAs="oneCell">
    <xdr:from>
      <xdr:col>0</xdr:col>
      <xdr:colOff>43089</xdr:colOff>
      <xdr:row>0</xdr:row>
      <xdr:rowOff>1</xdr:rowOff>
    </xdr:from>
    <xdr:to>
      <xdr:col>0</xdr:col>
      <xdr:colOff>883227</xdr:colOff>
      <xdr:row>3</xdr:row>
      <xdr:rowOff>51954</xdr:rowOff>
    </xdr:to>
    <xdr:pic>
      <xdr:nvPicPr>
        <xdr:cNvPr id="4" name="Imagen 3" descr="C:\Users\AUXPLANEACION03\Desktop\Gobernacion_del_quindio.jpg">
          <a:extLst>
            <a:ext uri="{FF2B5EF4-FFF2-40B4-BE49-F238E27FC236}">
              <a16:creationId xmlns="" xmlns:a16="http://schemas.microsoft.com/office/drawing/2014/main" id="{EE7435F7-E772-4323-8349-A2F8D45E4D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40138" cy="109104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186418</xdr:colOff>
      <xdr:row>2</xdr:row>
      <xdr:rowOff>141640</xdr:rowOff>
    </xdr:to>
    <xdr:pic>
      <xdr:nvPicPr>
        <xdr:cNvPr id="4" name="Imagen 3"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7439"/>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234043</xdr:colOff>
      <xdr:row>0</xdr:row>
      <xdr:rowOff>201385</xdr:rowOff>
    </xdr:from>
    <xdr:to>
      <xdr:col>1</xdr:col>
      <xdr:colOff>299357</xdr:colOff>
      <xdr:row>3</xdr:row>
      <xdr:rowOff>108856</xdr:rowOff>
    </xdr:to>
    <xdr:pic>
      <xdr:nvPicPr>
        <xdr:cNvPr id="2" name="Imagen 1" descr="C:\Users\AUXPLANEACION03\Desktop\Gobernacion_del_quindio.jpg">
          <a:extLst>
            <a:ext uri="{FF2B5EF4-FFF2-40B4-BE49-F238E27FC236}">
              <a16:creationId xmlns="" xmlns:a16="http://schemas.microsoft.com/office/drawing/2014/main" id="{6F6A107A-3AB2-4D86-BA20-63BE9555E0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043" y="201385"/>
          <a:ext cx="854528" cy="928007"/>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228600</xdr:colOff>
      <xdr:row>2</xdr:row>
      <xdr:rowOff>268061</xdr:rowOff>
    </xdr:to>
    <xdr:pic>
      <xdr:nvPicPr>
        <xdr:cNvPr id="2" name="Imagen 1" descr="C:\Users\AUXPLANEACION03\Desktop\Gobernacion_del_quindio.jpg">
          <a:extLst>
            <a:ext uri="{FF2B5EF4-FFF2-40B4-BE49-F238E27FC236}">
              <a16:creationId xmlns="" xmlns:a16="http://schemas.microsoft.com/office/drawing/2014/main" id="{E1F9AD54-BAFB-4725-BBAC-7317A1A5F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7715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276225</xdr:colOff>
      <xdr:row>2</xdr:row>
      <xdr:rowOff>306161</xdr:rowOff>
    </xdr:to>
    <xdr:pic>
      <xdr:nvPicPr>
        <xdr:cNvPr id="3" name="Imagen 2" descr="C:\Users\AUXPLANEACION03\Desktop\Gobernacion_del_quindio.jpg">
          <a:extLst>
            <a:ext uri="{FF2B5EF4-FFF2-40B4-BE49-F238E27FC236}">
              <a16:creationId xmlns="" xmlns:a16="http://schemas.microsoft.com/office/drawing/2014/main" id="{E1F9AD54-BAFB-4725-BBAC-7317A1A5F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771525" cy="953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2</xdr:row>
      <xdr:rowOff>148877</xdr:rowOff>
    </xdr:to>
    <xdr:pic>
      <xdr:nvPicPr>
        <xdr:cNvPr id="2" name="Imagen 1" descr="C:\Users\AUXPLANEACION03\Desktop\Gobernacion_del_quindio.jpg">
          <a:extLst>
            <a:ext uri="{FF2B5EF4-FFF2-40B4-BE49-F238E27FC236}">
              <a16:creationId xmlns="" xmlns:a16="http://schemas.microsoft.com/office/drawing/2014/main" id="{7BD5E6F3-62A7-4274-A17C-0FBE61AE4B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twoCellAnchor editAs="oneCell">
    <xdr:from>
      <xdr:col>2</xdr:col>
      <xdr:colOff>278675</xdr:colOff>
      <xdr:row>0</xdr:row>
      <xdr:rowOff>82550</xdr:rowOff>
    </xdr:from>
    <xdr:to>
      <xdr:col>2</xdr:col>
      <xdr:colOff>971550</xdr:colOff>
      <xdr:row>2</xdr:row>
      <xdr:rowOff>148877</xdr:rowOff>
    </xdr:to>
    <xdr:pic>
      <xdr:nvPicPr>
        <xdr:cNvPr id="3" name="Imagen 2" descr="C:\Users\AUXPLANEACION03\Desktop\Gobernacion_del_quindio.jpg">
          <a:extLst>
            <a:ext uri="{FF2B5EF4-FFF2-40B4-BE49-F238E27FC236}">
              <a16:creationId xmlns="" xmlns:a16="http://schemas.microsoft.com/office/drawing/2014/main" id="{73A76236-24D2-41F2-94DA-C89F28A62B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0</xdr:col>
      <xdr:colOff>917122</xdr:colOff>
      <xdr:row>1</xdr:row>
      <xdr:rowOff>274865</xdr:rowOff>
    </xdr:to>
    <xdr:pic>
      <xdr:nvPicPr>
        <xdr:cNvPr id="2" name="Imagen 1" descr="C:\Users\AUXPLANEACION03\Desktop\Gobernacion_del_quindio.jpg">
          <a:extLst>
            <a:ext uri="{FF2B5EF4-FFF2-40B4-BE49-F238E27FC236}">
              <a16:creationId xmlns="" xmlns:a16="http://schemas.microsoft.com/office/drawing/2014/main" id="{BF9B9E00-1130-4855-836C-5977AB56D6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627289"/>
        </a:xfrm>
        <a:prstGeom prst="rect">
          <a:avLst/>
        </a:prstGeom>
        <a:noFill/>
        <a:ln>
          <a:noFill/>
        </a:ln>
      </xdr:spPr>
    </xdr:pic>
    <xdr:clientData/>
  </xdr:twoCellAnchor>
  <xdr:twoCellAnchor editAs="oneCell">
    <xdr:from>
      <xdr:col>0</xdr:col>
      <xdr:colOff>43089</xdr:colOff>
      <xdr:row>0</xdr:row>
      <xdr:rowOff>0</xdr:rowOff>
    </xdr:from>
    <xdr:to>
      <xdr:col>0</xdr:col>
      <xdr:colOff>987136</xdr:colOff>
      <xdr:row>2</xdr:row>
      <xdr:rowOff>259772</xdr:rowOff>
    </xdr:to>
    <xdr:pic>
      <xdr:nvPicPr>
        <xdr:cNvPr id="3" name="Imagen 2" descr="C:\Users\AUXPLANEACION03\Desktop\Gobernacion_del_quindio.jpg">
          <a:extLst>
            <a:ext uri="{FF2B5EF4-FFF2-40B4-BE49-F238E27FC236}">
              <a16:creationId xmlns="" xmlns:a16="http://schemas.microsoft.com/office/drawing/2014/main" id="{3D6CA38A-19A7-4197-B083-057972D69D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0"/>
          <a:ext cx="944047" cy="95249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59872</xdr:colOff>
      <xdr:row>3</xdr:row>
      <xdr:rowOff>103415</xdr:rowOff>
    </xdr:to>
    <xdr:pic>
      <xdr:nvPicPr>
        <xdr:cNvPr id="3" name="Imagen 2" descr="C:\Users\AUXPLANEACION03\Desktop\Gobernacion_del_quindio.jpg">
          <a:extLst>
            <a:ext uri="{FF2B5EF4-FFF2-40B4-BE49-F238E27FC236}">
              <a16:creationId xmlns="" xmlns:a16="http://schemas.microsoft.com/office/drawing/2014/main" id="{BF9B9E00-1130-4855-836C-5977AB56D6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617764"/>
        </a:xfrm>
        <a:prstGeom prst="rect">
          <a:avLst/>
        </a:prstGeom>
        <a:noFill/>
        <a:ln>
          <a:noFill/>
        </a:ln>
      </xdr:spPr>
    </xdr:pic>
    <xdr:clientData/>
  </xdr:twoCellAnchor>
  <xdr:twoCellAnchor editAs="oneCell">
    <xdr:from>
      <xdr:col>0</xdr:col>
      <xdr:colOff>43089</xdr:colOff>
      <xdr:row>0</xdr:row>
      <xdr:rowOff>1</xdr:rowOff>
    </xdr:from>
    <xdr:to>
      <xdr:col>1</xdr:col>
      <xdr:colOff>59872</xdr:colOff>
      <xdr:row>3</xdr:row>
      <xdr:rowOff>103415</xdr:rowOff>
    </xdr:to>
    <xdr:pic>
      <xdr:nvPicPr>
        <xdr:cNvPr id="4" name="Imagen 3" descr="C:\Users\AUXPLANEACION03\Desktop\Gobernacion_del_quindio.jpg">
          <a:extLst>
            <a:ext uri="{FF2B5EF4-FFF2-40B4-BE49-F238E27FC236}">
              <a16:creationId xmlns="" xmlns:a16="http://schemas.microsoft.com/office/drawing/2014/main" id="{3D6CA38A-19A7-4197-B083-057972D69D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61776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40822</xdr:colOff>
      <xdr:row>2</xdr:row>
      <xdr:rowOff>117930</xdr:rowOff>
    </xdr:to>
    <xdr:pic>
      <xdr:nvPicPr>
        <xdr:cNvPr id="2" name="Imagen 1" descr="C:\Users\AUXPLANEACION03\Desktop\Gobernacion_del_quindio.jpg">
          <a:extLst>
            <a:ext uri="{FF2B5EF4-FFF2-40B4-BE49-F238E27FC236}">
              <a16:creationId xmlns="" xmlns:a16="http://schemas.microsoft.com/office/drawing/2014/main" id="{8DF19185-0336-4465-BAF8-5DDF2045A7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825954"/>
        </a:xfrm>
        <a:prstGeom prst="rect">
          <a:avLst/>
        </a:prstGeom>
        <a:noFill/>
        <a:ln>
          <a:noFill/>
        </a:ln>
      </xdr:spPr>
    </xdr:pic>
    <xdr:clientData/>
  </xdr:twoCellAnchor>
  <xdr:twoCellAnchor editAs="oneCell">
    <xdr:from>
      <xdr:col>0</xdr:col>
      <xdr:colOff>43089</xdr:colOff>
      <xdr:row>0</xdr:row>
      <xdr:rowOff>2</xdr:rowOff>
    </xdr:from>
    <xdr:to>
      <xdr:col>1</xdr:col>
      <xdr:colOff>95250</xdr:colOff>
      <xdr:row>3</xdr:row>
      <xdr:rowOff>79375</xdr:rowOff>
    </xdr:to>
    <xdr:pic>
      <xdr:nvPicPr>
        <xdr:cNvPr id="4" name="Imagen 3" descr="C:\Users\AUXPLANEACION03\Desktop\Gobernacion_del_quindio.jpg">
          <a:extLst>
            <a:ext uri="{FF2B5EF4-FFF2-40B4-BE49-F238E27FC236}">
              <a16:creationId xmlns="" xmlns:a16="http://schemas.microsoft.com/office/drawing/2014/main" id="{3D6CA38A-19A7-4197-B083-057972D69D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2"/>
          <a:ext cx="925286" cy="11271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2</xdr:col>
      <xdr:colOff>517072</xdr:colOff>
      <xdr:row>3</xdr:row>
      <xdr:rowOff>158751</xdr:rowOff>
    </xdr:to>
    <xdr:pic>
      <xdr:nvPicPr>
        <xdr:cNvPr id="2" name="Imagen 1" descr="C:\Users\AUXPLANEACION03\Desktop\Gobernacion_del_quindio.jpg">
          <a:extLst>
            <a:ext uri="{FF2B5EF4-FFF2-40B4-BE49-F238E27FC236}">
              <a16:creationId xmlns="" xmlns:a16="http://schemas.microsoft.com/office/drawing/2014/main" id="{89A4A112-A7FA-41AE-9F89-F5DDAEADE5C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886" y="95251"/>
          <a:ext cx="744311" cy="1085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639536</xdr:colOff>
      <xdr:row>0</xdr:row>
      <xdr:rowOff>149679</xdr:rowOff>
    </xdr:from>
    <xdr:ext cx="993321" cy="925286"/>
    <xdr:pic>
      <xdr:nvPicPr>
        <xdr:cNvPr id="2" name="Imagen 1" descr="C:\Users\AUXPLANEACION03\Desktop\Gobernacion_del_quindio.jpg">
          <a:extLst>
            <a:ext uri="{FF2B5EF4-FFF2-40B4-BE49-F238E27FC236}">
              <a16:creationId xmlns="" xmlns:a16="http://schemas.microsoft.com/office/drawing/2014/main" id="{CE88DC0C-365B-402C-A873-68C6D38327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536" y="149679"/>
          <a:ext cx="993321" cy="925286"/>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157843</xdr:colOff>
      <xdr:row>2</xdr:row>
      <xdr:rowOff>137558</xdr:rowOff>
    </xdr:to>
    <xdr:pic>
      <xdr:nvPicPr>
        <xdr:cNvPr id="2" name="Imagen 1"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54529"/>
        </a:xfrm>
        <a:prstGeom prst="rect">
          <a:avLst/>
        </a:prstGeom>
        <a:noFill/>
        <a:ln>
          <a:noFill/>
        </a:ln>
      </xdr:spPr>
    </xdr:pic>
    <xdr:clientData/>
  </xdr:twoCellAnchor>
  <xdr:twoCellAnchor editAs="oneCell">
    <xdr:from>
      <xdr:col>0</xdr:col>
      <xdr:colOff>43089</xdr:colOff>
      <xdr:row>0</xdr:row>
      <xdr:rowOff>1</xdr:rowOff>
    </xdr:from>
    <xdr:to>
      <xdr:col>1</xdr:col>
      <xdr:colOff>157843</xdr:colOff>
      <xdr:row>2</xdr:row>
      <xdr:rowOff>137558</xdr:rowOff>
    </xdr:to>
    <xdr:pic>
      <xdr:nvPicPr>
        <xdr:cNvPr id="3" name="Imagen 2" descr="C:\Users\AUXPLANEACION03\Desktop\Gobernacion_del_quindio.jpg">
          <a:extLst>
            <a:ext uri="{FF2B5EF4-FFF2-40B4-BE49-F238E27FC236}">
              <a16:creationId xmlns="" xmlns:a16="http://schemas.microsoft.com/office/drawing/2014/main" id="{EE7435F7-E772-4323-8349-A2F8D45E4D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54529"/>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43543</xdr:colOff>
      <xdr:row>2</xdr:row>
      <xdr:rowOff>141640</xdr:rowOff>
    </xdr:to>
    <xdr:pic>
      <xdr:nvPicPr>
        <xdr:cNvPr id="3" name="Imagen 2"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3357"/>
        </a:xfrm>
        <a:prstGeom prst="rect">
          <a:avLst/>
        </a:prstGeom>
        <a:noFill/>
        <a:ln>
          <a:noFill/>
        </a:ln>
      </xdr:spPr>
    </xdr:pic>
    <xdr:clientData/>
  </xdr:twoCellAnchor>
  <xdr:twoCellAnchor editAs="oneCell">
    <xdr:from>
      <xdr:col>0</xdr:col>
      <xdr:colOff>43089</xdr:colOff>
      <xdr:row>0</xdr:row>
      <xdr:rowOff>1</xdr:rowOff>
    </xdr:from>
    <xdr:to>
      <xdr:col>1</xdr:col>
      <xdr:colOff>43543</xdr:colOff>
      <xdr:row>2</xdr:row>
      <xdr:rowOff>141640</xdr:rowOff>
    </xdr:to>
    <xdr:pic>
      <xdr:nvPicPr>
        <xdr:cNvPr id="4" name="Imagen 3" descr="C:\Users\AUXPLANEACION03\Desktop\Gobernacion_del_quindio.jpg">
          <a:extLst>
            <a:ext uri="{FF2B5EF4-FFF2-40B4-BE49-F238E27FC236}">
              <a16:creationId xmlns="" xmlns:a16="http://schemas.microsoft.com/office/drawing/2014/main" id="{EE7435F7-E772-4323-8349-A2F8D45E4D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335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348343</xdr:colOff>
      <xdr:row>2</xdr:row>
      <xdr:rowOff>227365</xdr:rowOff>
    </xdr:to>
    <xdr:pic>
      <xdr:nvPicPr>
        <xdr:cNvPr id="4" name="Imagen 3"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743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STRUMENTOS%20JUNIO%202017/SEGUIMIENTO%20INSTRUMENTOS%20JUNIO%202017/SGTO%20SECRETARIAS%20JUNIO%202017/PLANEACION%20SGTO%20AL%20PDD%20A%2030%20JUNI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Ejecuci&#243;n%20del%20plan%20de%20acompa&#241;amiento%20social%20a%20los%20proyectos%20y%20obras%20de%20infraestructura/FORMATO%20POBLACION%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Actualizacion%20e%20implementacion%20del%20Plan%20ambiental%20para%20el%20sector%20de%20APSB/FORMATO%20POBLACION%20(ANEXO%208)PLAN%20AMBIENTAL%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Ejecuci&#243;n%20del%20plan%20de%20aseguramiento%20de%20la%20prestacion%20de%20servicios%20publicos/FORMATO%20POBLACION%20(ANEXO%208)%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UXPLANEACION12/Downloads/PDA%20KIKE/PROYECTOS%20-%20WILLIAM/proyectosPDA%202017/Formulacion%20y%20ejecucion%20de%20proyectos%20para%20la%20Gestion%20del%20Riesgo/FORMATO%20POBLACION%20(ANEXO%2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USUARIO/Desktop/POAI%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UXPLANEACION13/Downloads/POAI%20PROMOTORA%20MARZO%20-2017,%20n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sheetName val="INVERSION POR MUNICIPIOS"/>
      <sheetName val="GESTION DE RECURSOS"/>
      <sheetName val="PLAN DE ACCION"/>
      <sheetName val="SGTO PLAN DE ACCION "/>
      <sheetName val="rp planeacion"/>
    </sheetNames>
    <sheetDataSet>
      <sheetData sheetId="0">
        <row r="31">
          <cell r="F31">
            <v>1530000000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12718</v>
          </cell>
          <cell r="U8">
            <v>16897</v>
          </cell>
          <cell r="X8">
            <v>413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L8">
            <v>12718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7"/>
      <sheetName val="Gasto Público Social "/>
      <sheetName val="Gasto Público -Sectores "/>
    </sheetNames>
    <sheetDataSet>
      <sheetData sheetId="0" refreshError="1">
        <row r="271">
          <cell r="I271" t="str">
            <v xml:space="preserve">Implementar un (1)  Sistema de Gestión Ambiental Departamental SIGAD </v>
          </cell>
        </row>
        <row r="272">
          <cell r="I272" t="str">
            <v xml:space="preserve">Apoyar cuatro (4) planes de manejo de áreas protegidas del departamento </v>
          </cell>
        </row>
        <row r="273">
          <cell r="I273" t="str">
            <v xml:space="preserve">Apoyar el Plan Departamental  para la Gestión Integral de la Biodiversidad y sus Servicios Ecosistémicos PDGIB 2013-2024  </v>
          </cell>
        </row>
        <row r="274">
          <cell r="I274" t="str">
            <v>Diseñay ejecutar una poiica Departamental de uso racional de resiudos solidos y uso eficiente de energia</v>
          </cell>
        </row>
        <row r="275">
          <cell r="I275" t="str">
            <v xml:space="preserve">Desarrollar en (5) cinco de los sectores productivos del departamento, actividades de producción más limpia y Buenas  Prácticas Ambientales (BPA) </v>
          </cell>
        </row>
        <row r="276">
          <cell r="I276" t="str">
            <v xml:space="preserve">Apoyar a los doce (12) municipios en las acciones de control y vigilancia de la explotación minera en coordinación con la autoridad ambiental </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oai incial promotora"/>
      <sheetName val=" poai marzo 31 ajustes "/>
      <sheetName val=" poai marzo 31+R.Bce "/>
    </sheetNames>
    <sheetDataSet>
      <sheetData sheetId="0"/>
      <sheetData sheetId="1"/>
      <sheetData sheetId="2">
        <row r="7">
          <cell r="AP7">
            <v>214850780</v>
          </cell>
        </row>
        <row r="9">
          <cell r="AP9">
            <v>683908832</v>
          </cell>
        </row>
        <row r="10">
          <cell r="AP10">
            <v>683908833</v>
          </cell>
        </row>
        <row r="11">
          <cell r="AP11">
            <v>314767887</v>
          </cell>
        </row>
        <row r="12">
          <cell r="AP12">
            <v>698908834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
  <sheetViews>
    <sheetView showGridLines="0" tabSelected="1" zoomScale="55" zoomScaleNormal="55" workbookViewId="0">
      <selection activeCell="E10" sqref="E10:AM10"/>
    </sheetView>
  </sheetViews>
  <sheetFormatPr baseColWidth="10" defaultColWidth="11.42578125" defaultRowHeight="15" x14ac:dyDescent="0.2"/>
  <cols>
    <col min="1" max="1" width="13.42578125" style="36" bestFit="1" customWidth="1"/>
    <col min="2" max="2" width="20.140625" style="36" bestFit="1" customWidth="1"/>
    <col min="3" max="3" width="10.5703125" style="36" customWidth="1"/>
    <col min="4" max="4" width="13.42578125" style="36" bestFit="1" customWidth="1"/>
    <col min="5" max="5" width="11.85546875" style="36" customWidth="1"/>
    <col min="6" max="6" width="9" style="36" customWidth="1"/>
    <col min="7" max="7" width="13.42578125" style="36" bestFit="1" customWidth="1"/>
    <col min="8" max="8" width="18.42578125" style="36" customWidth="1"/>
    <col min="9" max="9" width="4.28515625" style="36" customWidth="1"/>
    <col min="10" max="10" width="13" style="36" customWidth="1"/>
    <col min="11" max="11" width="22.7109375" style="74" customWidth="1"/>
    <col min="12" max="12" width="14.140625" style="16" customWidth="1"/>
    <col min="13" max="13" width="9.5703125" style="16" customWidth="1"/>
    <col min="14" max="14" width="23.7109375" style="16" customWidth="1"/>
    <col min="15" max="15" width="9.140625" style="16" customWidth="1"/>
    <col min="16" max="16" width="21.42578125" style="74" customWidth="1"/>
    <col min="17" max="17" width="12.28515625" style="75" customWidth="1"/>
    <col min="18" max="18" width="27" style="76" customWidth="1"/>
    <col min="19" max="19" width="29.28515625" style="74" customWidth="1"/>
    <col min="20" max="20" width="24.85546875" style="77" customWidth="1"/>
    <col min="21" max="21" width="21.42578125" style="77" customWidth="1"/>
    <col min="22" max="22" width="25.42578125" style="78" customWidth="1"/>
    <col min="23" max="23" width="10.85546875" style="79" bestFit="1" customWidth="1"/>
    <col min="24" max="24" width="15.140625" style="80" customWidth="1"/>
    <col min="25" max="25" width="13" style="36" customWidth="1"/>
    <col min="26" max="26" width="9" style="36" customWidth="1"/>
    <col min="27" max="27" width="12.140625" style="36" customWidth="1"/>
    <col min="28" max="28" width="11.42578125" style="36" customWidth="1"/>
    <col min="29" max="29" width="12.42578125" style="36" customWidth="1"/>
    <col min="30" max="30" width="11.140625" style="36" customWidth="1"/>
    <col min="31" max="31" width="9.85546875" style="36" customWidth="1"/>
    <col min="32" max="32" width="8.140625" style="36" customWidth="1"/>
    <col min="33" max="34" width="7.28515625" style="36" customWidth="1"/>
    <col min="35" max="35" width="9.5703125" style="36" customWidth="1"/>
    <col min="36" max="36" width="9.140625" style="36" customWidth="1"/>
    <col min="37" max="37" width="15.7109375" style="81" customWidth="1"/>
    <col min="38" max="38" width="26.42578125" style="82" bestFit="1" customWidth="1"/>
    <col min="39" max="39" width="34.85546875" style="83" customWidth="1"/>
    <col min="40" max="40" width="16.7109375" style="36" customWidth="1"/>
    <col min="41" max="16384" width="11.42578125" style="36"/>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 customFormat="1" ht="47.25" customHeight="1" x14ac:dyDescent="0.2">
      <c r="A7" s="1856" t="s">
        <v>8</v>
      </c>
      <c r="B7" s="1858" t="s">
        <v>9</v>
      </c>
      <c r="C7" s="1859"/>
      <c r="D7" s="1856" t="s">
        <v>8</v>
      </c>
      <c r="E7" s="1858" t="s">
        <v>10</v>
      </c>
      <c r="F7" s="1859"/>
      <c r="G7" s="1856" t="s">
        <v>8</v>
      </c>
      <c r="H7" s="1858" t="s">
        <v>11</v>
      </c>
      <c r="I7" s="1859"/>
      <c r="J7" s="1856" t="s">
        <v>8</v>
      </c>
      <c r="K7" s="1862" t="s">
        <v>12</v>
      </c>
      <c r="L7" s="1856" t="s">
        <v>13</v>
      </c>
      <c r="M7" s="1858" t="s">
        <v>14</v>
      </c>
      <c r="N7" s="1856" t="s">
        <v>15</v>
      </c>
      <c r="O7" s="1867" t="s">
        <v>16</v>
      </c>
      <c r="P7" s="1862" t="s">
        <v>6</v>
      </c>
      <c r="Q7" s="1864" t="s">
        <v>17</v>
      </c>
      <c r="R7" s="1856" t="s">
        <v>18</v>
      </c>
      <c r="S7" s="1862" t="s">
        <v>19</v>
      </c>
      <c r="T7" s="1862" t="s">
        <v>20</v>
      </c>
      <c r="U7" s="1862" t="s">
        <v>21</v>
      </c>
      <c r="V7" s="1858" t="s">
        <v>18</v>
      </c>
      <c r="W7" s="1869" t="s">
        <v>8</v>
      </c>
      <c r="X7" s="1856" t="s">
        <v>22</v>
      </c>
      <c r="Y7" s="1891" t="s">
        <v>23</v>
      </c>
      <c r="Z7" s="1892"/>
      <c r="AA7" s="1892"/>
      <c r="AB7" s="1892"/>
      <c r="AC7" s="1892"/>
      <c r="AD7" s="1892"/>
      <c r="AE7" s="1891" t="s">
        <v>24</v>
      </c>
      <c r="AF7" s="1892"/>
      <c r="AG7" s="1892"/>
      <c r="AH7" s="1892"/>
      <c r="AI7" s="1892"/>
      <c r="AJ7" s="1892"/>
      <c r="AK7" s="1871" t="s">
        <v>25</v>
      </c>
      <c r="AL7" s="1871" t="s">
        <v>26</v>
      </c>
      <c r="AM7" s="1869" t="s">
        <v>27</v>
      </c>
    </row>
    <row r="8" spans="1:72" s="1" customFormat="1" ht="62.25" customHeight="1" x14ac:dyDescent="0.2">
      <c r="A8" s="1857"/>
      <c r="B8" s="1860"/>
      <c r="C8" s="1861"/>
      <c r="D8" s="1857"/>
      <c r="E8" s="1860"/>
      <c r="F8" s="1861"/>
      <c r="G8" s="1857"/>
      <c r="H8" s="1860"/>
      <c r="I8" s="1861"/>
      <c r="J8" s="1857"/>
      <c r="K8" s="1863"/>
      <c r="L8" s="1857"/>
      <c r="M8" s="1866"/>
      <c r="N8" s="1857"/>
      <c r="O8" s="1868"/>
      <c r="P8" s="1863"/>
      <c r="Q8" s="1865"/>
      <c r="R8" s="1857"/>
      <c r="S8" s="1863"/>
      <c r="T8" s="1863"/>
      <c r="U8" s="1863"/>
      <c r="V8" s="1866"/>
      <c r="W8" s="1870"/>
      <c r="X8" s="1857"/>
      <c r="Y8" s="1786" t="s">
        <v>28</v>
      </c>
      <c r="Z8" s="1786" t="s">
        <v>29</v>
      </c>
      <c r="AA8" s="1786" t="s">
        <v>30</v>
      </c>
      <c r="AB8" s="1786" t="s">
        <v>31</v>
      </c>
      <c r="AC8" s="1786" t="s">
        <v>32</v>
      </c>
      <c r="AD8" s="1786" t="s">
        <v>33</v>
      </c>
      <c r="AE8" s="1786" t="s">
        <v>34</v>
      </c>
      <c r="AF8" s="1786" t="s">
        <v>35</v>
      </c>
      <c r="AG8" s="1786" t="s">
        <v>36</v>
      </c>
      <c r="AH8" s="1786" t="s">
        <v>37</v>
      </c>
      <c r="AI8" s="1786" t="s">
        <v>38</v>
      </c>
      <c r="AJ8" s="1786" t="s">
        <v>39</v>
      </c>
      <c r="AK8" s="1872"/>
      <c r="AL8" s="1872"/>
      <c r="AM8" s="1870"/>
    </row>
    <row r="9" spans="1:72" s="13" customFormat="1" ht="28.5" customHeight="1" x14ac:dyDescent="0.2">
      <c r="A9" s="2">
        <v>5</v>
      </c>
      <c r="B9" s="3" t="s">
        <v>42</v>
      </c>
      <c r="C9" s="4"/>
      <c r="D9" s="3"/>
      <c r="E9" s="3"/>
      <c r="F9" s="3"/>
      <c r="G9" s="3"/>
      <c r="H9" s="3"/>
      <c r="I9" s="3"/>
      <c r="J9" s="3"/>
      <c r="K9" s="5"/>
      <c r="L9" s="3"/>
      <c r="M9" s="3"/>
      <c r="N9" s="3"/>
      <c r="O9" s="3"/>
      <c r="P9" s="5"/>
      <c r="Q9" s="6"/>
      <c r="R9" s="3"/>
      <c r="S9" s="5"/>
      <c r="T9" s="5"/>
      <c r="U9" s="5"/>
      <c r="V9" s="7"/>
      <c r="W9" s="8"/>
      <c r="X9" s="9"/>
      <c r="Y9" s="10"/>
      <c r="Z9" s="3"/>
      <c r="AA9" s="3"/>
      <c r="AB9" s="3"/>
      <c r="AC9" s="3"/>
      <c r="AD9" s="3"/>
      <c r="AE9" s="3"/>
      <c r="AF9" s="3"/>
      <c r="AG9" s="3"/>
      <c r="AH9" s="3"/>
      <c r="AI9" s="3"/>
      <c r="AJ9" s="3"/>
      <c r="AK9" s="3"/>
      <c r="AL9" s="10"/>
      <c r="AM9" s="10"/>
      <c r="AN9" s="12"/>
      <c r="AO9" s="12"/>
      <c r="AP9" s="12"/>
      <c r="AQ9" s="12"/>
      <c r="AR9" s="12"/>
    </row>
    <row r="10" spans="1:72" s="16" customFormat="1" ht="28.5" customHeight="1" x14ac:dyDescent="0.2">
      <c r="A10" s="14"/>
      <c r="B10" s="1896"/>
      <c r="C10" s="1897"/>
      <c r="D10" s="15">
        <v>28</v>
      </c>
      <c r="E10" s="1900" t="s">
        <v>43</v>
      </c>
      <c r="F10" s="1901"/>
      <c r="G10" s="1901"/>
      <c r="H10" s="1901"/>
      <c r="I10" s="1901"/>
      <c r="J10" s="1901"/>
      <c r="K10" s="1901"/>
      <c r="L10" s="1901"/>
      <c r="M10" s="1901"/>
      <c r="N10" s="1901"/>
      <c r="O10" s="1901"/>
      <c r="P10" s="1901"/>
      <c r="Q10" s="1901"/>
      <c r="R10" s="1901"/>
      <c r="S10" s="1901"/>
      <c r="T10" s="1901"/>
      <c r="U10" s="1901"/>
      <c r="V10" s="1901"/>
      <c r="W10" s="1901"/>
      <c r="X10" s="1901"/>
      <c r="Y10" s="1901"/>
      <c r="Z10" s="1901"/>
      <c r="AA10" s="1901"/>
      <c r="AB10" s="1901"/>
      <c r="AC10" s="1901"/>
      <c r="AD10" s="1901"/>
      <c r="AE10" s="1901"/>
      <c r="AF10" s="1901"/>
      <c r="AG10" s="1901"/>
      <c r="AH10" s="1901"/>
      <c r="AI10" s="1901"/>
      <c r="AJ10" s="1901"/>
      <c r="AK10" s="1901"/>
      <c r="AL10" s="1901"/>
      <c r="AM10" s="1902"/>
    </row>
    <row r="11" spans="1:72" s="16" customFormat="1" ht="28.5" customHeight="1" x14ac:dyDescent="0.2">
      <c r="A11" s="17"/>
      <c r="B11" s="1898"/>
      <c r="C11" s="1899"/>
      <c r="D11" s="1903"/>
      <c r="E11" s="1896"/>
      <c r="F11" s="1897"/>
      <c r="G11" s="18">
        <v>89</v>
      </c>
      <c r="H11" s="1905" t="s">
        <v>44</v>
      </c>
      <c r="I11" s="1906"/>
      <c r="J11" s="1906"/>
      <c r="K11" s="1906"/>
      <c r="L11" s="1906"/>
      <c r="M11" s="1906"/>
      <c r="N11" s="1906"/>
      <c r="O11" s="1906"/>
      <c r="P11" s="1906"/>
      <c r="Q11" s="1906"/>
      <c r="R11" s="1906"/>
      <c r="S11" s="1906"/>
      <c r="T11" s="1906"/>
      <c r="U11" s="1906"/>
      <c r="V11" s="1906"/>
      <c r="W11" s="1906"/>
      <c r="X11" s="1906"/>
      <c r="Y11" s="1906"/>
      <c r="Z11" s="1906"/>
      <c r="AA11" s="1906"/>
      <c r="AB11" s="1906"/>
      <c r="AC11" s="1906"/>
      <c r="AD11" s="1906"/>
      <c r="AE11" s="1906"/>
      <c r="AF11" s="1906"/>
      <c r="AG11" s="1906"/>
      <c r="AH11" s="1906"/>
      <c r="AI11" s="1906"/>
      <c r="AJ11" s="1906"/>
      <c r="AK11" s="1906"/>
      <c r="AL11" s="1906"/>
      <c r="AM11" s="1907"/>
    </row>
    <row r="12" spans="1:72" s="33" customFormat="1" ht="147" customHeight="1" x14ac:dyDescent="0.2">
      <c r="A12" s="19"/>
      <c r="B12" s="1898"/>
      <c r="C12" s="1899"/>
      <c r="D12" s="1904"/>
      <c r="E12" s="1898"/>
      <c r="F12" s="1899"/>
      <c r="G12" s="1903"/>
      <c r="H12" s="1896"/>
      <c r="I12" s="1897"/>
      <c r="J12" s="20">
        <v>282</v>
      </c>
      <c r="K12" s="21" t="s">
        <v>45</v>
      </c>
      <c r="L12" s="22" t="s">
        <v>16</v>
      </c>
      <c r="M12" s="22">
        <v>2</v>
      </c>
      <c r="N12" s="23" t="s">
        <v>46</v>
      </c>
      <c r="O12" s="20">
        <v>1</v>
      </c>
      <c r="P12" s="21" t="s">
        <v>47</v>
      </c>
      <c r="Q12" s="24">
        <f>V12/R12</f>
        <v>1</v>
      </c>
      <c r="R12" s="25">
        <v>39989034</v>
      </c>
      <c r="S12" s="26" t="s">
        <v>48</v>
      </c>
      <c r="T12" s="21" t="s">
        <v>49</v>
      </c>
      <c r="U12" s="21" t="s">
        <v>50</v>
      </c>
      <c r="V12" s="27">
        <v>39989034</v>
      </c>
      <c r="W12" s="28">
        <v>20</v>
      </c>
      <c r="X12" s="20" t="s">
        <v>51</v>
      </c>
      <c r="Y12" s="29">
        <v>64161</v>
      </c>
      <c r="Z12" s="29">
        <v>71953</v>
      </c>
      <c r="AA12" s="29">
        <v>27081</v>
      </c>
      <c r="AB12" s="29">
        <v>86191</v>
      </c>
      <c r="AC12" s="29">
        <v>238241</v>
      </c>
      <c r="AD12" s="29">
        <v>84106</v>
      </c>
      <c r="AE12" s="29">
        <v>12718</v>
      </c>
      <c r="AF12" s="29">
        <v>2145</v>
      </c>
      <c r="AG12" s="29">
        <v>0</v>
      </c>
      <c r="AH12" s="29">
        <v>309</v>
      </c>
      <c r="AI12" s="29">
        <v>16879</v>
      </c>
      <c r="AJ12" s="29">
        <v>84106</v>
      </c>
      <c r="AK12" s="31">
        <v>42736</v>
      </c>
      <c r="AL12" s="31">
        <v>43100</v>
      </c>
      <c r="AM12" s="32" t="s">
        <v>52</v>
      </c>
    </row>
    <row r="13" spans="1:72" ht="111.75" customHeight="1" x14ac:dyDescent="0.2">
      <c r="A13" s="17"/>
      <c r="B13" s="1898"/>
      <c r="C13" s="1899"/>
      <c r="D13" s="1904"/>
      <c r="E13" s="1898"/>
      <c r="F13" s="1899"/>
      <c r="G13" s="1904"/>
      <c r="H13" s="1898"/>
      <c r="I13" s="1899"/>
      <c r="J13" s="1908">
        <v>283</v>
      </c>
      <c r="K13" s="1877" t="s">
        <v>53</v>
      </c>
      <c r="L13" s="1876" t="s">
        <v>16</v>
      </c>
      <c r="M13" s="1876">
        <v>1</v>
      </c>
      <c r="N13" s="1876" t="s">
        <v>54</v>
      </c>
      <c r="O13" s="1876">
        <v>2</v>
      </c>
      <c r="P13" s="1877" t="s">
        <v>55</v>
      </c>
      <c r="Q13" s="1882">
        <f>(V13+V14+V15+V16+V17+V18)/R13</f>
        <v>1</v>
      </c>
      <c r="R13" s="1883">
        <v>48317341</v>
      </c>
      <c r="S13" s="1877" t="s">
        <v>56</v>
      </c>
      <c r="T13" s="1884" t="s">
        <v>57</v>
      </c>
      <c r="U13" s="34" t="s">
        <v>58</v>
      </c>
      <c r="V13" s="35">
        <f>25000000-25000000</f>
        <v>0</v>
      </c>
      <c r="W13" s="1886">
        <v>20</v>
      </c>
      <c r="X13" s="1873" t="s">
        <v>59</v>
      </c>
      <c r="Y13" s="1881"/>
      <c r="Z13" s="1881"/>
      <c r="AA13" s="1881"/>
      <c r="AB13" s="1881">
        <v>450</v>
      </c>
      <c r="AC13" s="1881">
        <v>500</v>
      </c>
      <c r="AD13" s="1881">
        <v>50</v>
      </c>
      <c r="AE13" s="1881">
        <v>30</v>
      </c>
      <c r="AF13" s="1881"/>
      <c r="AG13" s="1881"/>
      <c r="AH13" s="1881"/>
      <c r="AI13" s="1881">
        <v>20</v>
      </c>
      <c r="AJ13" s="1881"/>
      <c r="AK13" s="1878">
        <v>42736</v>
      </c>
      <c r="AL13" s="1878">
        <v>43100</v>
      </c>
      <c r="AM13" s="1909" t="s">
        <v>52</v>
      </c>
    </row>
    <row r="14" spans="1:72" ht="150.75" customHeight="1" x14ac:dyDescent="0.2">
      <c r="A14" s="17"/>
      <c r="B14" s="1898"/>
      <c r="C14" s="1899"/>
      <c r="D14" s="1904"/>
      <c r="E14" s="1898"/>
      <c r="F14" s="1899"/>
      <c r="G14" s="1904"/>
      <c r="H14" s="1898"/>
      <c r="I14" s="1899"/>
      <c r="J14" s="1908"/>
      <c r="K14" s="1877"/>
      <c r="L14" s="1876"/>
      <c r="M14" s="1876"/>
      <c r="N14" s="1876"/>
      <c r="O14" s="1876"/>
      <c r="P14" s="1877"/>
      <c r="Q14" s="1882"/>
      <c r="R14" s="1883"/>
      <c r="S14" s="1877"/>
      <c r="T14" s="1885"/>
      <c r="U14" s="34" t="s">
        <v>60</v>
      </c>
      <c r="V14" s="35">
        <v>39000000</v>
      </c>
      <c r="W14" s="1887"/>
      <c r="X14" s="1874"/>
      <c r="Y14" s="1881"/>
      <c r="Z14" s="1881"/>
      <c r="AA14" s="1881"/>
      <c r="AB14" s="1881"/>
      <c r="AC14" s="1881"/>
      <c r="AD14" s="1881"/>
      <c r="AE14" s="1881"/>
      <c r="AF14" s="1881"/>
      <c r="AG14" s="1881"/>
      <c r="AH14" s="1881"/>
      <c r="AI14" s="1881"/>
      <c r="AJ14" s="1881"/>
      <c r="AK14" s="1879"/>
      <c r="AL14" s="1879"/>
      <c r="AM14" s="1909"/>
    </row>
    <row r="15" spans="1:72" ht="97.5" customHeight="1" x14ac:dyDescent="0.2">
      <c r="A15" s="17"/>
      <c r="B15" s="1898"/>
      <c r="C15" s="1899"/>
      <c r="D15" s="1904"/>
      <c r="E15" s="1898"/>
      <c r="F15" s="1899"/>
      <c r="G15" s="1904"/>
      <c r="H15" s="1898"/>
      <c r="I15" s="1899"/>
      <c r="J15" s="1908"/>
      <c r="K15" s="1877"/>
      <c r="L15" s="1876"/>
      <c r="M15" s="1876"/>
      <c r="N15" s="1876"/>
      <c r="O15" s="1876"/>
      <c r="P15" s="1877"/>
      <c r="Q15" s="1882"/>
      <c r="R15" s="1883"/>
      <c r="S15" s="1877"/>
      <c r="T15" s="1884" t="s">
        <v>61</v>
      </c>
      <c r="U15" s="34" t="s">
        <v>62</v>
      </c>
      <c r="V15" s="27">
        <f>10000000-10000000</f>
        <v>0</v>
      </c>
      <c r="W15" s="1887"/>
      <c r="X15" s="1874"/>
      <c r="Y15" s="1881"/>
      <c r="Z15" s="1881"/>
      <c r="AA15" s="1881"/>
      <c r="AB15" s="1881">
        <v>100</v>
      </c>
      <c r="AC15" s="1881">
        <v>146</v>
      </c>
      <c r="AD15" s="1881">
        <v>20</v>
      </c>
      <c r="AE15" s="1881"/>
      <c r="AF15" s="1881"/>
      <c r="AG15" s="1881"/>
      <c r="AH15" s="1881"/>
      <c r="AI15" s="1881"/>
      <c r="AJ15" s="1881"/>
      <c r="AK15" s="1879"/>
      <c r="AL15" s="1879"/>
      <c r="AM15" s="1909"/>
    </row>
    <row r="16" spans="1:72" ht="96" customHeight="1" x14ac:dyDescent="0.2">
      <c r="A16" s="17"/>
      <c r="B16" s="1898"/>
      <c r="C16" s="1899"/>
      <c r="D16" s="1904"/>
      <c r="E16" s="1898"/>
      <c r="F16" s="1899"/>
      <c r="G16" s="1904"/>
      <c r="H16" s="1898"/>
      <c r="I16" s="1899"/>
      <c r="J16" s="1908"/>
      <c r="K16" s="1877"/>
      <c r="L16" s="1876"/>
      <c r="M16" s="1876"/>
      <c r="N16" s="1876"/>
      <c r="O16" s="1876"/>
      <c r="P16" s="1877"/>
      <c r="Q16" s="1882"/>
      <c r="R16" s="1883"/>
      <c r="S16" s="1877"/>
      <c r="T16" s="1885"/>
      <c r="U16" s="34" t="s">
        <v>63</v>
      </c>
      <c r="V16" s="27">
        <v>1817341</v>
      </c>
      <c r="W16" s="1887"/>
      <c r="X16" s="1874"/>
      <c r="Y16" s="1881"/>
      <c r="Z16" s="1881"/>
      <c r="AA16" s="1881"/>
      <c r="AB16" s="1881"/>
      <c r="AC16" s="1881"/>
      <c r="AD16" s="1881"/>
      <c r="AE16" s="1881"/>
      <c r="AF16" s="1881"/>
      <c r="AG16" s="1881"/>
      <c r="AH16" s="1881"/>
      <c r="AI16" s="1881"/>
      <c r="AJ16" s="1881"/>
      <c r="AK16" s="1879"/>
      <c r="AL16" s="1879"/>
      <c r="AM16" s="1909"/>
    </row>
    <row r="17" spans="1:62" ht="77.25" customHeight="1" x14ac:dyDescent="0.2">
      <c r="A17" s="17"/>
      <c r="B17" s="1898"/>
      <c r="C17" s="1899"/>
      <c r="D17" s="1904"/>
      <c r="E17" s="1898"/>
      <c r="F17" s="1899"/>
      <c r="G17" s="1904"/>
      <c r="H17" s="1898"/>
      <c r="I17" s="1899"/>
      <c r="J17" s="1908"/>
      <c r="K17" s="1877"/>
      <c r="L17" s="1876"/>
      <c r="M17" s="1876"/>
      <c r="N17" s="1876"/>
      <c r="O17" s="1876"/>
      <c r="P17" s="1877"/>
      <c r="Q17" s="1882"/>
      <c r="R17" s="1883"/>
      <c r="S17" s="1877"/>
      <c r="T17" s="1884" t="s">
        <v>64</v>
      </c>
      <c r="U17" s="34" t="s">
        <v>65</v>
      </c>
      <c r="V17" s="35">
        <f>13317341-13317341</f>
        <v>0</v>
      </c>
      <c r="W17" s="1887"/>
      <c r="X17" s="1874"/>
      <c r="Y17" s="1881"/>
      <c r="Z17" s="1881"/>
      <c r="AA17" s="1881"/>
      <c r="AB17" s="1881"/>
      <c r="AC17" s="1881"/>
      <c r="AD17" s="1881"/>
      <c r="AE17" s="1881"/>
      <c r="AF17" s="1881"/>
      <c r="AG17" s="1881"/>
      <c r="AH17" s="1881"/>
      <c r="AI17" s="1881"/>
      <c r="AJ17" s="1881"/>
      <c r="AK17" s="1879"/>
      <c r="AL17" s="1879"/>
      <c r="AM17" s="1909"/>
    </row>
    <row r="18" spans="1:62" ht="98.25" customHeight="1" x14ac:dyDescent="0.2">
      <c r="A18" s="17"/>
      <c r="B18" s="1898"/>
      <c r="C18" s="1899"/>
      <c r="D18" s="1904"/>
      <c r="E18" s="1898"/>
      <c r="F18" s="1899"/>
      <c r="G18" s="1904"/>
      <c r="H18" s="1898"/>
      <c r="I18" s="1899"/>
      <c r="J18" s="1908"/>
      <c r="K18" s="1877"/>
      <c r="L18" s="1876"/>
      <c r="M18" s="1876"/>
      <c r="N18" s="1876"/>
      <c r="O18" s="1876"/>
      <c r="P18" s="1877"/>
      <c r="Q18" s="1882"/>
      <c r="R18" s="1883"/>
      <c r="S18" s="1877"/>
      <c r="T18" s="1885"/>
      <c r="U18" s="34" t="s">
        <v>66</v>
      </c>
      <c r="V18" s="35">
        <v>7500000</v>
      </c>
      <c r="W18" s="1888"/>
      <c r="X18" s="1875"/>
      <c r="Y18" s="1881"/>
      <c r="Z18" s="1881"/>
      <c r="AA18" s="1881"/>
      <c r="AB18" s="1881">
        <v>70</v>
      </c>
      <c r="AC18" s="1881">
        <v>90</v>
      </c>
      <c r="AD18" s="1881">
        <v>10</v>
      </c>
      <c r="AE18" s="1881"/>
      <c r="AF18" s="1881"/>
      <c r="AG18" s="1881"/>
      <c r="AH18" s="1881"/>
      <c r="AI18" s="1881"/>
      <c r="AJ18" s="1881"/>
      <c r="AK18" s="1880"/>
      <c r="AL18" s="1880"/>
      <c r="AM18" s="1909"/>
    </row>
    <row r="19" spans="1:62" s="33" customFormat="1" ht="147" customHeight="1" x14ac:dyDescent="0.2">
      <c r="A19" s="19"/>
      <c r="B19" s="1898"/>
      <c r="C19" s="1899"/>
      <c r="D19" s="1904"/>
      <c r="E19" s="1898"/>
      <c r="F19" s="1899"/>
      <c r="G19" s="1904"/>
      <c r="H19" s="1898"/>
      <c r="I19" s="1899"/>
      <c r="J19" s="1889">
        <v>284</v>
      </c>
      <c r="K19" s="1877" t="s">
        <v>67</v>
      </c>
      <c r="L19" s="1889" t="s">
        <v>16</v>
      </c>
      <c r="M19" s="1889">
        <v>1</v>
      </c>
      <c r="N19" s="1890" t="s">
        <v>68</v>
      </c>
      <c r="O19" s="1889">
        <v>3</v>
      </c>
      <c r="P19" s="1877" t="s">
        <v>69</v>
      </c>
      <c r="Q19" s="1893">
        <f>V19/R19</f>
        <v>1</v>
      </c>
      <c r="R19" s="1894">
        <v>68295338</v>
      </c>
      <c r="S19" s="1877" t="s">
        <v>70</v>
      </c>
      <c r="T19" s="26" t="s">
        <v>48</v>
      </c>
      <c r="U19" s="1895" t="s">
        <v>71</v>
      </c>
      <c r="V19" s="1923">
        <v>68295338</v>
      </c>
      <c r="W19" s="1924">
        <v>20</v>
      </c>
      <c r="X19" s="1908" t="s">
        <v>51</v>
      </c>
      <c r="Y19" s="1916">
        <v>64161</v>
      </c>
      <c r="Z19" s="1916">
        <v>71953</v>
      </c>
      <c r="AA19" s="1916">
        <v>27081</v>
      </c>
      <c r="AB19" s="1916">
        <v>86191</v>
      </c>
      <c r="AC19" s="1916">
        <v>238241</v>
      </c>
      <c r="AD19" s="1916">
        <v>84106</v>
      </c>
      <c r="AE19" s="1916">
        <v>12718</v>
      </c>
      <c r="AF19" s="1916" t="s">
        <v>72</v>
      </c>
      <c r="AG19" s="1916">
        <v>0</v>
      </c>
      <c r="AH19" s="1916">
        <v>309</v>
      </c>
      <c r="AI19" s="1916">
        <v>16879</v>
      </c>
      <c r="AJ19" s="1916">
        <v>84106</v>
      </c>
      <c r="AK19" s="1878">
        <v>42736</v>
      </c>
      <c r="AL19" s="1878">
        <v>43100</v>
      </c>
      <c r="AM19" s="1909" t="s">
        <v>52</v>
      </c>
    </row>
    <row r="20" spans="1:62" s="33" customFormat="1" ht="179.25" customHeight="1" x14ac:dyDescent="0.2">
      <c r="A20" s="19"/>
      <c r="B20" s="1898"/>
      <c r="C20" s="1899"/>
      <c r="D20" s="1904"/>
      <c r="E20" s="1898"/>
      <c r="F20" s="1899"/>
      <c r="G20" s="1904"/>
      <c r="H20" s="1898"/>
      <c r="I20" s="1899"/>
      <c r="J20" s="1889"/>
      <c r="K20" s="1877"/>
      <c r="L20" s="1889"/>
      <c r="M20" s="1889"/>
      <c r="N20" s="1890"/>
      <c r="O20" s="1889"/>
      <c r="P20" s="1877"/>
      <c r="Q20" s="1893"/>
      <c r="R20" s="1894"/>
      <c r="S20" s="1877"/>
      <c r="T20" s="37" t="s">
        <v>73</v>
      </c>
      <c r="U20" s="1895"/>
      <c r="V20" s="1923"/>
      <c r="W20" s="1925"/>
      <c r="X20" s="1908"/>
      <c r="Y20" s="1916"/>
      <c r="Z20" s="1916"/>
      <c r="AA20" s="1916"/>
      <c r="AB20" s="1916"/>
      <c r="AC20" s="1916"/>
      <c r="AD20" s="1916"/>
      <c r="AE20" s="1916"/>
      <c r="AF20" s="1916"/>
      <c r="AG20" s="1916"/>
      <c r="AH20" s="1916"/>
      <c r="AI20" s="1916"/>
      <c r="AJ20" s="1916"/>
      <c r="AK20" s="1880"/>
      <c r="AL20" s="1880"/>
      <c r="AM20" s="1909"/>
    </row>
    <row r="21" spans="1:62" s="33" customFormat="1" ht="178.5" customHeight="1" x14ac:dyDescent="0.2">
      <c r="A21" s="19"/>
      <c r="B21" s="1898"/>
      <c r="C21" s="1899"/>
      <c r="D21" s="1904"/>
      <c r="E21" s="1898"/>
      <c r="F21" s="1899"/>
      <c r="G21" s="1904"/>
      <c r="H21" s="1898"/>
      <c r="I21" s="1899"/>
      <c r="J21" s="22">
        <v>285</v>
      </c>
      <c r="K21" s="21" t="s">
        <v>74</v>
      </c>
      <c r="L21" s="22" t="s">
        <v>16</v>
      </c>
      <c r="M21" s="22">
        <v>1</v>
      </c>
      <c r="N21" s="38" t="s">
        <v>75</v>
      </c>
      <c r="O21" s="20">
        <v>4</v>
      </c>
      <c r="P21" s="21" t="s">
        <v>76</v>
      </c>
      <c r="Q21" s="24">
        <f>V21/R21</f>
        <v>1</v>
      </c>
      <c r="R21" s="39">
        <v>60403055</v>
      </c>
      <c r="S21" s="21" t="s">
        <v>77</v>
      </c>
      <c r="T21" s="21" t="s">
        <v>78</v>
      </c>
      <c r="U21" s="40" t="s">
        <v>79</v>
      </c>
      <c r="V21" s="27">
        <v>60403055</v>
      </c>
      <c r="W21" s="28">
        <v>20</v>
      </c>
      <c r="X21" s="20" t="s">
        <v>51</v>
      </c>
      <c r="Y21" s="41">
        <v>64161</v>
      </c>
      <c r="Z21" s="41">
        <v>71953</v>
      </c>
      <c r="AA21" s="41">
        <v>27081</v>
      </c>
      <c r="AB21" s="41">
        <v>86191</v>
      </c>
      <c r="AC21" s="41">
        <v>238241</v>
      </c>
      <c r="AD21" s="41">
        <v>84106</v>
      </c>
      <c r="AE21" s="41">
        <v>12718</v>
      </c>
      <c r="AF21" s="41">
        <v>2145</v>
      </c>
      <c r="AG21" s="41">
        <v>0</v>
      </c>
      <c r="AH21" s="41">
        <v>309</v>
      </c>
      <c r="AI21" s="41">
        <v>16879</v>
      </c>
      <c r="AJ21" s="41">
        <v>84106</v>
      </c>
      <c r="AK21" s="31">
        <v>42736</v>
      </c>
      <c r="AL21" s="31">
        <v>43100</v>
      </c>
      <c r="AM21" s="32" t="s">
        <v>52</v>
      </c>
    </row>
    <row r="22" spans="1:62" ht="148.5" customHeight="1" x14ac:dyDescent="0.2">
      <c r="A22" s="42"/>
      <c r="B22" s="1898"/>
      <c r="C22" s="1899"/>
      <c r="D22" s="1904"/>
      <c r="E22" s="1898"/>
      <c r="F22" s="1899"/>
      <c r="G22" s="1904"/>
      <c r="H22" s="1898"/>
      <c r="I22" s="1899"/>
      <c r="J22" s="43">
        <v>280</v>
      </c>
      <c r="K22" s="21" t="s">
        <v>80</v>
      </c>
      <c r="L22" s="1876" t="s">
        <v>81</v>
      </c>
      <c r="M22" s="44">
        <v>1</v>
      </c>
      <c r="N22" s="1910" t="s">
        <v>82</v>
      </c>
      <c r="O22" s="1908">
        <v>5</v>
      </c>
      <c r="P22" s="1912" t="s">
        <v>83</v>
      </c>
      <c r="Q22" s="30">
        <f>+V22/R22</f>
        <v>3.6126372746951331E-2</v>
      </c>
      <c r="R22" s="1914">
        <f>SUM(V22:V26)</f>
        <v>1937642632.7192574</v>
      </c>
      <c r="S22" s="1912" t="s">
        <v>84</v>
      </c>
      <c r="T22" s="1912" t="s">
        <v>85</v>
      </c>
      <c r="U22" s="45" t="s">
        <v>86</v>
      </c>
      <c r="V22" s="35">
        <v>70000000</v>
      </c>
      <c r="W22" s="1917">
        <v>20</v>
      </c>
      <c r="X22" s="1919" t="s">
        <v>51</v>
      </c>
      <c r="Y22" s="1921">
        <v>64161</v>
      </c>
      <c r="Z22" s="1921" t="s">
        <v>87</v>
      </c>
      <c r="AA22" s="1921">
        <v>27081</v>
      </c>
      <c r="AB22" s="1921">
        <v>86191</v>
      </c>
      <c r="AC22" s="1921">
        <v>238241</v>
      </c>
      <c r="AD22" s="1921">
        <v>84106</v>
      </c>
      <c r="AE22" s="1921"/>
      <c r="AF22" s="1921"/>
      <c r="AG22" s="1921"/>
      <c r="AH22" s="1921"/>
      <c r="AI22" s="1921"/>
      <c r="AJ22" s="1921"/>
      <c r="AK22" s="1878">
        <v>42736</v>
      </c>
      <c r="AL22" s="1878">
        <v>43100</v>
      </c>
      <c r="AM22" s="1928" t="s">
        <v>52</v>
      </c>
    </row>
    <row r="23" spans="1:62" ht="86.25" customHeight="1" x14ac:dyDescent="0.2">
      <c r="A23" s="42"/>
      <c r="B23" s="1898"/>
      <c r="C23" s="1899"/>
      <c r="D23" s="1904"/>
      <c r="E23" s="1898"/>
      <c r="F23" s="1899"/>
      <c r="G23" s="1904"/>
      <c r="H23" s="1898"/>
      <c r="I23" s="1899"/>
      <c r="J23" s="43">
        <v>281</v>
      </c>
      <c r="K23" s="21" t="s">
        <v>88</v>
      </c>
      <c r="L23" s="1876"/>
      <c r="M23" s="44">
        <v>1</v>
      </c>
      <c r="N23" s="1911"/>
      <c r="O23" s="1908"/>
      <c r="P23" s="1913"/>
      <c r="Q23" s="30">
        <f>+V23/$R$22</f>
        <v>3.6126372746951331E-2</v>
      </c>
      <c r="R23" s="1915"/>
      <c r="S23" s="1913"/>
      <c r="T23" s="1913"/>
      <c r="U23" s="45" t="s">
        <v>89</v>
      </c>
      <c r="V23" s="35">
        <v>70000000</v>
      </c>
      <c r="W23" s="1918"/>
      <c r="X23" s="1920"/>
      <c r="Y23" s="1922"/>
      <c r="Z23" s="1922"/>
      <c r="AA23" s="1922"/>
      <c r="AB23" s="1922"/>
      <c r="AC23" s="1922"/>
      <c r="AD23" s="1922"/>
      <c r="AE23" s="1922"/>
      <c r="AF23" s="1922"/>
      <c r="AG23" s="1922"/>
      <c r="AH23" s="1922"/>
      <c r="AI23" s="1922"/>
      <c r="AJ23" s="1922"/>
      <c r="AK23" s="1879"/>
      <c r="AL23" s="1879"/>
      <c r="AM23" s="1929"/>
    </row>
    <row r="24" spans="1:62" ht="71.25" x14ac:dyDescent="0.2">
      <c r="A24" s="42"/>
      <c r="B24" s="1898"/>
      <c r="C24" s="1899"/>
      <c r="D24" s="1904"/>
      <c r="E24" s="1898"/>
      <c r="F24" s="1899"/>
      <c r="G24" s="1904"/>
      <c r="H24" s="1898"/>
      <c r="I24" s="1899"/>
      <c r="J24" s="43">
        <v>286</v>
      </c>
      <c r="K24" s="21" t="s">
        <v>90</v>
      </c>
      <c r="L24" s="1876"/>
      <c r="M24" s="44">
        <v>1</v>
      </c>
      <c r="N24" s="1930" t="s">
        <v>91</v>
      </c>
      <c r="O24" s="1908"/>
      <c r="P24" s="1913"/>
      <c r="Q24" s="30">
        <f>+V24/$R$22</f>
        <v>7.2252745493902662E-2</v>
      </c>
      <c r="R24" s="1915"/>
      <c r="S24" s="1913"/>
      <c r="T24" s="1913"/>
      <c r="U24" s="45" t="s">
        <v>92</v>
      </c>
      <c r="V24" s="35">
        <v>140000000</v>
      </c>
      <c r="W24" s="1931" t="s">
        <v>93</v>
      </c>
      <c r="X24" s="1932" t="s">
        <v>94</v>
      </c>
      <c r="Y24" s="1922"/>
      <c r="Z24" s="1922"/>
      <c r="AA24" s="1922"/>
      <c r="AB24" s="1922"/>
      <c r="AC24" s="1922"/>
      <c r="AD24" s="1922"/>
      <c r="AE24" s="1922"/>
      <c r="AF24" s="1922"/>
      <c r="AG24" s="1922"/>
      <c r="AH24" s="1922"/>
      <c r="AI24" s="1922"/>
      <c r="AJ24" s="1922"/>
      <c r="AK24" s="1879"/>
      <c r="AL24" s="1879"/>
      <c r="AM24" s="1929"/>
      <c r="AN24" s="33"/>
    </row>
    <row r="25" spans="1:62" s="33" customFormat="1" ht="101.25" customHeight="1" x14ac:dyDescent="0.2">
      <c r="A25" s="46"/>
      <c r="B25" s="1898"/>
      <c r="C25" s="1899"/>
      <c r="D25" s="1904"/>
      <c r="E25" s="1898"/>
      <c r="F25" s="1899"/>
      <c r="G25" s="1904"/>
      <c r="H25" s="1898"/>
      <c r="I25" s="1899"/>
      <c r="J25" s="20">
        <v>287</v>
      </c>
      <c r="K25" s="21" t="s">
        <v>95</v>
      </c>
      <c r="L25" s="1876"/>
      <c r="M25" s="47">
        <v>1</v>
      </c>
      <c r="N25" s="1930"/>
      <c r="O25" s="1908"/>
      <c r="P25" s="1913"/>
      <c r="Q25" s="48">
        <f>+V25/$R$22</f>
        <v>0.13296705407316811</v>
      </c>
      <c r="R25" s="1915"/>
      <c r="S25" s="1913"/>
      <c r="T25" s="1913"/>
      <c r="U25" s="21" t="s">
        <v>96</v>
      </c>
      <c r="V25" s="49">
        <f>57642632.7192573+100000000+100000000</f>
        <v>257642632.7192573</v>
      </c>
      <c r="W25" s="1931"/>
      <c r="X25" s="1932"/>
      <c r="Y25" s="1922"/>
      <c r="Z25" s="1922"/>
      <c r="AA25" s="1922"/>
      <c r="AB25" s="1922"/>
      <c r="AC25" s="1922"/>
      <c r="AD25" s="1922"/>
      <c r="AE25" s="1922"/>
      <c r="AF25" s="1922"/>
      <c r="AG25" s="1922"/>
      <c r="AH25" s="1922"/>
      <c r="AI25" s="1922"/>
      <c r="AJ25" s="1922"/>
      <c r="AK25" s="1879"/>
      <c r="AL25" s="1879"/>
      <c r="AM25" s="1929"/>
      <c r="AN25" s="1934"/>
    </row>
    <row r="26" spans="1:62" s="33" customFormat="1" ht="80.25" customHeight="1" thickBot="1" x14ac:dyDescent="0.25">
      <c r="A26" s="50"/>
      <c r="B26" s="1898"/>
      <c r="C26" s="1899"/>
      <c r="D26" s="1904"/>
      <c r="E26" s="1898"/>
      <c r="F26" s="1899"/>
      <c r="G26" s="1904"/>
      <c r="H26" s="1898"/>
      <c r="I26" s="1899"/>
      <c r="J26" s="51">
        <v>289</v>
      </c>
      <c r="K26" s="52" t="s">
        <v>97</v>
      </c>
      <c r="L26" s="1903"/>
      <c r="M26" s="53">
        <v>1</v>
      </c>
      <c r="N26" s="1930"/>
      <c r="O26" s="1873"/>
      <c r="P26" s="1913"/>
      <c r="Q26" s="54">
        <f>+V26/$R$22</f>
        <v>0.72252745493902659</v>
      </c>
      <c r="R26" s="1915"/>
      <c r="S26" s="1913"/>
      <c r="T26" s="1913"/>
      <c r="U26" s="52" t="s">
        <v>97</v>
      </c>
      <c r="V26" s="55">
        <f>1500000000-100000000</f>
        <v>1400000000</v>
      </c>
      <c r="W26" s="1931"/>
      <c r="X26" s="1933"/>
      <c r="Y26" s="1922"/>
      <c r="Z26" s="1922"/>
      <c r="AA26" s="1922"/>
      <c r="AB26" s="1922"/>
      <c r="AC26" s="1922"/>
      <c r="AD26" s="1922"/>
      <c r="AE26" s="1922"/>
      <c r="AF26" s="1922"/>
      <c r="AG26" s="1922"/>
      <c r="AH26" s="1922"/>
      <c r="AI26" s="1922"/>
      <c r="AJ26" s="1922"/>
      <c r="AK26" s="1879"/>
      <c r="AL26" s="1879"/>
      <c r="AM26" s="1929"/>
      <c r="AN26" s="1934"/>
    </row>
    <row r="27" spans="1:62" s="73" customFormat="1" ht="31.5" customHeight="1" thickBot="1" x14ac:dyDescent="0.3">
      <c r="A27" s="56"/>
      <c r="B27" s="57"/>
      <c r="C27" s="57"/>
      <c r="D27" s="57"/>
      <c r="E27" s="57"/>
      <c r="F27" s="57"/>
      <c r="G27" s="57"/>
      <c r="H27" s="57"/>
      <c r="I27" s="57"/>
      <c r="J27" s="57"/>
      <c r="K27" s="58"/>
      <c r="L27" s="59"/>
      <c r="M27" s="59"/>
      <c r="N27" s="60" t="s">
        <v>98</v>
      </c>
      <c r="O27" s="59"/>
      <c r="P27" s="58"/>
      <c r="Q27" s="61"/>
      <c r="R27" s="62">
        <f>SUM(R12:R26)</f>
        <v>2154647400.7192574</v>
      </c>
      <c r="S27" s="63"/>
      <c r="T27" s="64"/>
      <c r="U27" s="65"/>
      <c r="V27" s="66">
        <f>SUM(V12:V26)</f>
        <v>2154647400.7192574</v>
      </c>
      <c r="W27" s="67"/>
      <c r="X27" s="68"/>
      <c r="Y27" s="57"/>
      <c r="Z27" s="57"/>
      <c r="AA27" s="57"/>
      <c r="AB27" s="57"/>
      <c r="AC27" s="57"/>
      <c r="AD27" s="57"/>
      <c r="AE27" s="57"/>
      <c r="AF27" s="57"/>
      <c r="AG27" s="57"/>
      <c r="AH27" s="57"/>
      <c r="AI27" s="57"/>
      <c r="AJ27" s="57"/>
      <c r="AK27" s="69"/>
      <c r="AL27" s="70"/>
      <c r="AM27" s="71"/>
      <c r="AN27" s="72"/>
    </row>
    <row r="28" spans="1:62" x14ac:dyDescent="0.2">
      <c r="AN28" s="33"/>
    </row>
    <row r="29" spans="1:62" x14ac:dyDescent="0.2">
      <c r="AN29" s="33"/>
    </row>
    <row r="30" spans="1:62" x14ac:dyDescent="0.2">
      <c r="AN30" s="33"/>
    </row>
    <row r="31" spans="1:62" s="84" customFormat="1" ht="14.25" x14ac:dyDescent="0.2">
      <c r="K31" s="85"/>
      <c r="N31" s="86"/>
      <c r="P31" s="85"/>
      <c r="Q31" s="87"/>
      <c r="S31" s="85"/>
      <c r="T31" s="85"/>
      <c r="U31" s="85"/>
      <c r="V31" s="88"/>
      <c r="W31" s="89"/>
      <c r="X31" s="90"/>
      <c r="Y31" s="91"/>
      <c r="Z31" s="91"/>
      <c r="AD31" s="86"/>
      <c r="AF31" s="86"/>
      <c r="AH31" s="86"/>
      <c r="AJ31" s="86"/>
      <c r="AL31" s="86"/>
      <c r="AN31" s="92"/>
      <c r="AP31" s="86"/>
      <c r="AR31" s="86"/>
      <c r="AT31" s="86"/>
      <c r="AV31" s="86"/>
      <c r="AX31" s="86"/>
      <c r="AZ31" s="86"/>
      <c r="BG31" s="93"/>
      <c r="BH31" s="94"/>
      <c r="BI31" s="93"/>
      <c r="BJ31" s="94"/>
    </row>
    <row r="32" spans="1:62" s="84" customFormat="1" x14ac:dyDescent="0.2">
      <c r="K32" s="85"/>
      <c r="M32" s="1926" t="s">
        <v>99</v>
      </c>
      <c r="N32" s="1926"/>
      <c r="O32" s="1926"/>
      <c r="P32" s="1926"/>
      <c r="Q32" s="87"/>
      <c r="S32" s="85"/>
      <c r="T32" s="85"/>
      <c r="U32" s="85"/>
      <c r="V32" s="88"/>
      <c r="W32" s="89"/>
      <c r="X32" s="90"/>
      <c r="Y32" s="91"/>
      <c r="Z32" s="91"/>
      <c r="AD32" s="86"/>
      <c r="AF32" s="86"/>
      <c r="AH32" s="86"/>
      <c r="AJ32" s="86"/>
      <c r="AL32" s="86"/>
      <c r="AN32" s="86"/>
      <c r="AP32" s="86"/>
      <c r="AR32" s="86"/>
      <c r="AT32" s="86"/>
      <c r="AV32" s="86"/>
      <c r="AX32" s="86"/>
      <c r="AZ32" s="86"/>
      <c r="BG32" s="93"/>
      <c r="BH32" s="94"/>
      <c r="BI32" s="93"/>
      <c r="BJ32" s="94"/>
    </row>
    <row r="33" spans="11:62" s="84" customFormat="1" ht="14.25" x14ac:dyDescent="0.2">
      <c r="K33" s="85"/>
      <c r="M33" s="1927" t="s">
        <v>2</v>
      </c>
      <c r="N33" s="1927"/>
      <c r="O33" s="1927"/>
      <c r="P33" s="1927"/>
      <c r="Q33" s="87"/>
      <c r="S33" s="85"/>
      <c r="T33" s="85"/>
      <c r="U33" s="85"/>
      <c r="V33" s="88"/>
      <c r="W33" s="89"/>
      <c r="X33" s="90"/>
      <c r="Y33" s="91"/>
      <c r="Z33" s="91"/>
      <c r="AD33" s="86"/>
      <c r="AF33" s="86"/>
      <c r="AH33" s="86"/>
      <c r="AJ33" s="86"/>
      <c r="AL33" s="86"/>
      <c r="AN33" s="86"/>
      <c r="AP33" s="86"/>
      <c r="AR33" s="86"/>
      <c r="AT33" s="86"/>
      <c r="AV33" s="86"/>
      <c r="AX33" s="86"/>
      <c r="AZ33" s="86"/>
      <c r="BG33" s="93"/>
      <c r="BH33" s="94"/>
      <c r="BI33" s="93"/>
      <c r="BJ33" s="94"/>
    </row>
    <row r="34" spans="11:62" s="84" customFormat="1" ht="14.25" x14ac:dyDescent="0.2">
      <c r="K34" s="85"/>
      <c r="N34" s="86"/>
      <c r="P34" s="85"/>
      <c r="Q34" s="87"/>
      <c r="S34" s="85"/>
      <c r="T34" s="85"/>
      <c r="U34" s="85"/>
      <c r="V34" s="88"/>
      <c r="W34" s="89"/>
      <c r="X34" s="90"/>
      <c r="Y34" s="91"/>
      <c r="Z34" s="91"/>
      <c r="AD34" s="86"/>
      <c r="AF34" s="86"/>
      <c r="AH34" s="86"/>
      <c r="AJ34" s="86"/>
      <c r="AL34" s="86"/>
      <c r="AN34" s="86"/>
      <c r="AP34" s="86"/>
      <c r="AR34" s="86"/>
      <c r="AT34" s="86"/>
      <c r="AV34" s="86"/>
      <c r="AX34" s="86"/>
      <c r="AZ34" s="86"/>
      <c r="BG34" s="93"/>
      <c r="BH34" s="94"/>
      <c r="BI34" s="93"/>
      <c r="BJ34" s="94"/>
    </row>
    <row r="35" spans="11:62" s="84" customFormat="1" ht="14.25" x14ac:dyDescent="0.2">
      <c r="K35" s="85"/>
      <c r="N35" s="86"/>
      <c r="P35" s="85"/>
      <c r="Q35" s="87"/>
      <c r="S35" s="85"/>
      <c r="T35" s="85"/>
      <c r="U35" s="85"/>
      <c r="V35" s="88"/>
      <c r="W35" s="89"/>
      <c r="X35" s="90"/>
      <c r="Y35" s="91"/>
      <c r="Z35" s="91"/>
      <c r="AD35" s="86"/>
      <c r="AF35" s="86"/>
      <c r="AH35" s="86"/>
      <c r="AJ35" s="86"/>
      <c r="AL35" s="86"/>
      <c r="AN35" s="86"/>
      <c r="AP35" s="86"/>
      <c r="AR35" s="86"/>
      <c r="AT35" s="86"/>
      <c r="AV35" s="86"/>
      <c r="AX35" s="86"/>
      <c r="AZ35" s="86"/>
      <c r="BG35" s="93"/>
      <c r="BH35" s="94"/>
      <c r="BI35" s="93"/>
      <c r="BJ35" s="94"/>
    </row>
  </sheetData>
  <mergeCells count="126">
    <mergeCell ref="M32:P32"/>
    <mergeCell ref="M33:P33"/>
    <mergeCell ref="AM22:AM26"/>
    <mergeCell ref="N24:N26"/>
    <mergeCell ref="W24:W26"/>
    <mergeCell ref="X24:X26"/>
    <mergeCell ref="AN25:AN26"/>
    <mergeCell ref="AK22:AK26"/>
    <mergeCell ref="AL22:AL26"/>
    <mergeCell ref="AJ22:AJ26"/>
    <mergeCell ref="AG22:AG26"/>
    <mergeCell ref="AH22:AH26"/>
    <mergeCell ref="AL19:AL20"/>
    <mergeCell ref="AH19:AH20"/>
    <mergeCell ref="AC19:AC20"/>
    <mergeCell ref="AD19:AD20"/>
    <mergeCell ref="AE19:AE20"/>
    <mergeCell ref="Z19:Z20"/>
    <mergeCell ref="AA19:AA20"/>
    <mergeCell ref="AB19:AB20"/>
    <mergeCell ref="V19:V20"/>
    <mergeCell ref="W19:W20"/>
    <mergeCell ref="X19:X20"/>
    <mergeCell ref="Y19:Y20"/>
    <mergeCell ref="S22:S26"/>
    <mergeCell ref="AK19:AK20"/>
    <mergeCell ref="AI19:AI20"/>
    <mergeCell ref="AJ19:AJ20"/>
    <mergeCell ref="AF19:AF20"/>
    <mergeCell ref="AG19:AG20"/>
    <mergeCell ref="T22:T26"/>
    <mergeCell ref="W22:W23"/>
    <mergeCell ref="X22:X23"/>
    <mergeCell ref="Y22:Y26"/>
    <mergeCell ref="Z22:Z26"/>
    <mergeCell ref="AI22:AI26"/>
    <mergeCell ref="AD22:AD26"/>
    <mergeCell ref="AE22:AE26"/>
    <mergeCell ref="AF22:AF26"/>
    <mergeCell ref="AA22:AA26"/>
    <mergeCell ref="AB22:AB26"/>
    <mergeCell ref="AC22:AC26"/>
    <mergeCell ref="B10:C26"/>
    <mergeCell ref="E10:AM10"/>
    <mergeCell ref="D11:D26"/>
    <mergeCell ref="E11:F26"/>
    <mergeCell ref="H11:AM11"/>
    <mergeCell ref="G12:G26"/>
    <mergeCell ref="H12:I26"/>
    <mergeCell ref="J13:J18"/>
    <mergeCell ref="K13:K18"/>
    <mergeCell ref="AM13:AM18"/>
    <mergeCell ref="T15:T16"/>
    <mergeCell ref="T17:T18"/>
    <mergeCell ref="AH13:AH18"/>
    <mergeCell ref="AI13:AI18"/>
    <mergeCell ref="AJ13:AJ18"/>
    <mergeCell ref="AE13:AE18"/>
    <mergeCell ref="AF13:AF18"/>
    <mergeCell ref="AG13:AG18"/>
    <mergeCell ref="AM19:AM20"/>
    <mergeCell ref="L22:L26"/>
    <mergeCell ref="N22:N23"/>
    <mergeCell ref="O22:O26"/>
    <mergeCell ref="P22:P26"/>
    <mergeCell ref="R22:R26"/>
    <mergeCell ref="J19:J20"/>
    <mergeCell ref="K19:K20"/>
    <mergeCell ref="L19:L20"/>
    <mergeCell ref="M19:M20"/>
    <mergeCell ref="N19:N20"/>
    <mergeCell ref="X7:X8"/>
    <mergeCell ref="Y7:AD7"/>
    <mergeCell ref="AE7:AJ7"/>
    <mergeCell ref="O19:O20"/>
    <mergeCell ref="P19:P20"/>
    <mergeCell ref="Q19:Q20"/>
    <mergeCell ref="R19:R20"/>
    <mergeCell ref="S19:S20"/>
    <mergeCell ref="U19:U20"/>
    <mergeCell ref="AL7:AL8"/>
    <mergeCell ref="AM7:AM8"/>
    <mergeCell ref="X13:X18"/>
    <mergeCell ref="L13:L18"/>
    <mergeCell ref="M13:M18"/>
    <mergeCell ref="N13:N18"/>
    <mergeCell ref="O13:O18"/>
    <mergeCell ref="P13:P18"/>
    <mergeCell ref="AK7:AK8"/>
    <mergeCell ref="AK13:AK18"/>
    <mergeCell ref="AL13:AL18"/>
    <mergeCell ref="AC13:AC18"/>
    <mergeCell ref="AD13:AD18"/>
    <mergeCell ref="Y13:Y18"/>
    <mergeCell ref="Z13:Z18"/>
    <mergeCell ref="AA13:AA18"/>
    <mergeCell ref="Q13:Q18"/>
    <mergeCell ref="R13:R18"/>
    <mergeCell ref="S13:S18"/>
    <mergeCell ref="T13:T14"/>
    <mergeCell ref="W13:W18"/>
    <mergeCell ref="AB13:AB18"/>
    <mergeCell ref="A1:AK4"/>
    <mergeCell ref="A5:M6"/>
    <mergeCell ref="N5:AM5"/>
    <mergeCell ref="Y6:AJ6"/>
    <mergeCell ref="A7:A8"/>
    <mergeCell ref="B7:C8"/>
    <mergeCell ref="D7:D8"/>
    <mergeCell ref="E7:F8"/>
    <mergeCell ref="G7:G8"/>
    <mergeCell ref="H7:I8"/>
    <mergeCell ref="P7:P8"/>
    <mergeCell ref="Q7:Q8"/>
    <mergeCell ref="R7:R8"/>
    <mergeCell ref="S7:S8"/>
    <mergeCell ref="T7:T8"/>
    <mergeCell ref="U7:U8"/>
    <mergeCell ref="J7:J8"/>
    <mergeCell ref="K7:K8"/>
    <mergeCell ref="L7:L8"/>
    <mergeCell ref="M7:M8"/>
    <mergeCell ref="N7:N8"/>
    <mergeCell ref="O7:O8"/>
    <mergeCell ref="V7:V8"/>
    <mergeCell ref="W7:W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21"/>
  <sheetViews>
    <sheetView topLeftCell="N1" zoomScale="40" zoomScaleNormal="40" workbookViewId="0">
      <selection activeCell="AJ12" sqref="AJ12:AJ21"/>
    </sheetView>
  </sheetViews>
  <sheetFormatPr baseColWidth="10" defaultRowHeight="15" x14ac:dyDescent="0.25"/>
  <cols>
    <col min="11" max="11" width="13.42578125" customWidth="1"/>
    <col min="14" max="14" width="20.42578125" customWidth="1"/>
    <col min="16" max="16" width="25.28515625" customWidth="1"/>
    <col min="18" max="18" width="18.140625" customWidth="1"/>
    <col min="19" max="19" width="21.42578125" customWidth="1"/>
    <col min="20" max="20" width="27.7109375" customWidth="1"/>
    <col min="21" max="21" width="23.7109375" customWidth="1"/>
    <col min="22" max="22" width="21.28515625" customWidth="1"/>
    <col min="39" max="39" width="27.42578125" customWidth="1"/>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 customFormat="1" ht="41.25" customHeight="1" x14ac:dyDescent="0.2">
      <c r="A7" s="1856" t="s">
        <v>8</v>
      </c>
      <c r="B7" s="1858" t="s">
        <v>9</v>
      </c>
      <c r="C7" s="1859"/>
      <c r="D7" s="1856" t="s">
        <v>8</v>
      </c>
      <c r="E7" s="1858" t="s">
        <v>10</v>
      </c>
      <c r="F7" s="1859"/>
      <c r="G7" s="1856" t="s">
        <v>8</v>
      </c>
      <c r="H7" s="1858" t="s">
        <v>11</v>
      </c>
      <c r="I7" s="1859"/>
      <c r="J7" s="1856" t="s">
        <v>8</v>
      </c>
      <c r="K7" s="1856" t="s">
        <v>12</v>
      </c>
      <c r="L7" s="1856" t="s">
        <v>13</v>
      </c>
      <c r="M7" s="1858" t="s">
        <v>14</v>
      </c>
      <c r="N7" s="1856" t="s">
        <v>15</v>
      </c>
      <c r="O7" s="1867" t="s">
        <v>16</v>
      </c>
      <c r="P7" s="1856" t="s">
        <v>6</v>
      </c>
      <c r="Q7" s="1856" t="s">
        <v>17</v>
      </c>
      <c r="R7" s="1856" t="s">
        <v>18</v>
      </c>
      <c r="S7" s="1856" t="s">
        <v>19</v>
      </c>
      <c r="T7" s="1856" t="s">
        <v>20</v>
      </c>
      <c r="U7" s="1856" t="s">
        <v>21</v>
      </c>
      <c r="V7" s="1858" t="s">
        <v>18</v>
      </c>
      <c r="W7" s="1856" t="s">
        <v>8</v>
      </c>
      <c r="X7" s="1856" t="s">
        <v>22</v>
      </c>
      <c r="Y7" s="1891" t="s">
        <v>23</v>
      </c>
      <c r="Z7" s="1892"/>
      <c r="AA7" s="1892"/>
      <c r="AB7" s="1892"/>
      <c r="AC7" s="1892"/>
      <c r="AD7" s="1892"/>
      <c r="AE7" s="1891" t="s">
        <v>24</v>
      </c>
      <c r="AF7" s="1892"/>
      <c r="AG7" s="1892"/>
      <c r="AH7" s="1892"/>
      <c r="AI7" s="1892"/>
      <c r="AJ7" s="1892"/>
      <c r="AK7" s="1871" t="s">
        <v>25</v>
      </c>
      <c r="AL7" s="1871" t="s">
        <v>26</v>
      </c>
      <c r="AM7" s="1869" t="s">
        <v>27</v>
      </c>
    </row>
    <row r="8" spans="1:72" s="1" customFormat="1" ht="45" customHeight="1" x14ac:dyDescent="0.2">
      <c r="A8" s="1857"/>
      <c r="B8" s="1860"/>
      <c r="C8" s="1861"/>
      <c r="D8" s="1857"/>
      <c r="E8" s="1860"/>
      <c r="F8" s="1861"/>
      <c r="G8" s="1857"/>
      <c r="H8" s="1860"/>
      <c r="I8" s="1861"/>
      <c r="J8" s="1857"/>
      <c r="K8" s="1857"/>
      <c r="L8" s="1857"/>
      <c r="M8" s="1866"/>
      <c r="N8" s="1857"/>
      <c r="O8" s="1868"/>
      <c r="P8" s="1857"/>
      <c r="Q8" s="1857"/>
      <c r="R8" s="1857"/>
      <c r="S8" s="1857"/>
      <c r="T8" s="1857"/>
      <c r="U8" s="1857"/>
      <c r="V8" s="1866"/>
      <c r="W8" s="1857"/>
      <c r="X8" s="1857"/>
      <c r="Y8" s="1804" t="s">
        <v>269</v>
      </c>
      <c r="Z8" s="1804" t="s">
        <v>29</v>
      </c>
      <c r="AA8" s="1804" t="s">
        <v>30</v>
      </c>
      <c r="AB8" s="1804" t="s">
        <v>31</v>
      </c>
      <c r="AC8" s="1804" t="s">
        <v>32</v>
      </c>
      <c r="AD8" s="1804" t="s">
        <v>33</v>
      </c>
      <c r="AE8" s="1804" t="s">
        <v>34</v>
      </c>
      <c r="AF8" s="1804" t="s">
        <v>35</v>
      </c>
      <c r="AG8" s="1804" t="s">
        <v>36</v>
      </c>
      <c r="AH8" s="1804" t="s">
        <v>37</v>
      </c>
      <c r="AI8" s="1804" t="s">
        <v>38</v>
      </c>
      <c r="AJ8" s="1804" t="s">
        <v>39</v>
      </c>
      <c r="AK8" s="1872"/>
      <c r="AL8" s="1872"/>
      <c r="AM8" s="1870"/>
    </row>
    <row r="9" spans="1:72" x14ac:dyDescent="0.25">
      <c r="A9" s="1675">
        <v>3</v>
      </c>
      <c r="B9" s="1676"/>
      <c r="C9" s="1676" t="s">
        <v>1052</v>
      </c>
      <c r="D9" s="1676"/>
      <c r="E9" s="1676"/>
      <c r="F9" s="1676"/>
      <c r="G9" s="1676"/>
      <c r="H9" s="1676"/>
      <c r="I9" s="1676"/>
      <c r="J9" s="1676"/>
      <c r="K9" s="1676"/>
      <c r="L9" s="1676"/>
      <c r="M9" s="1676"/>
      <c r="N9" s="1676"/>
      <c r="O9" s="1676"/>
      <c r="P9" s="1676"/>
      <c r="Q9" s="1677"/>
      <c r="R9" s="1678"/>
      <c r="S9" s="1676"/>
      <c r="T9" s="1676"/>
      <c r="U9" s="1676"/>
      <c r="V9" s="1678"/>
      <c r="W9" s="1676"/>
      <c r="X9" s="1676"/>
      <c r="Y9" s="1676"/>
      <c r="Z9" s="1676"/>
      <c r="AA9" s="1676"/>
      <c r="AB9" s="1676"/>
      <c r="AC9" s="1676"/>
      <c r="AD9" s="1676"/>
      <c r="AE9" s="1676"/>
      <c r="AF9" s="1676"/>
      <c r="AG9" s="1676"/>
      <c r="AH9" s="1676"/>
      <c r="AI9" s="1676"/>
      <c r="AJ9" s="1679"/>
      <c r="AK9" s="1679"/>
      <c r="AL9" s="1680"/>
      <c r="AM9" s="1680"/>
    </row>
    <row r="10" spans="1:72" x14ac:dyDescent="0.25">
      <c r="A10" s="1681"/>
      <c r="B10" s="1682"/>
      <c r="C10" s="1682"/>
      <c r="D10" s="1683">
        <v>5</v>
      </c>
      <c r="E10" s="1684" t="s">
        <v>1737</v>
      </c>
      <c r="F10" s="1685"/>
      <c r="G10" s="1685"/>
      <c r="H10" s="1685"/>
      <c r="I10" s="1685"/>
      <c r="J10" s="1685"/>
      <c r="K10" s="1685"/>
      <c r="L10" s="1685"/>
      <c r="M10" s="1685"/>
      <c r="N10" s="1685"/>
      <c r="O10" s="1685"/>
      <c r="P10" s="1685"/>
      <c r="Q10" s="1686"/>
      <c r="R10" s="1687"/>
      <c r="S10" s="1685"/>
      <c r="T10" s="1685"/>
      <c r="U10" s="1685"/>
      <c r="V10" s="1687"/>
      <c r="W10" s="1685"/>
      <c r="X10" s="1685"/>
      <c r="Y10" s="1685"/>
      <c r="Z10" s="1685"/>
      <c r="AA10" s="1685"/>
      <c r="AB10" s="1685"/>
      <c r="AC10" s="1685"/>
      <c r="AD10" s="1685"/>
      <c r="AE10" s="1685"/>
      <c r="AF10" s="1685"/>
      <c r="AG10" s="1685"/>
      <c r="AH10" s="1685"/>
      <c r="AI10" s="1685"/>
      <c r="AJ10" s="1688"/>
      <c r="AK10" s="1688"/>
      <c r="AL10" s="1501"/>
      <c r="AM10" s="1501"/>
    </row>
    <row r="11" spans="1:72" x14ac:dyDescent="0.25">
      <c r="A11" s="1681"/>
      <c r="B11" s="1682"/>
      <c r="C11" s="1682"/>
      <c r="D11" s="1689"/>
      <c r="E11" s="1682"/>
      <c r="F11" s="1682"/>
      <c r="G11" s="1690">
        <v>16</v>
      </c>
      <c r="H11" s="1691" t="s">
        <v>1738</v>
      </c>
      <c r="I11" s="1691"/>
      <c r="J11" s="1691"/>
      <c r="K11" s="1691"/>
      <c r="L11" s="1691"/>
      <c r="M11" s="1691"/>
      <c r="N11" s="1691"/>
      <c r="O11" s="1691"/>
      <c r="P11" s="1691"/>
      <c r="Q11" s="1692"/>
      <c r="R11" s="1693"/>
      <c r="S11" s="1691"/>
      <c r="T11" s="1691"/>
      <c r="U11" s="1691"/>
      <c r="V11" s="1693"/>
      <c r="W11" s="1691"/>
      <c r="X11" s="1691"/>
      <c r="Y11" s="1691"/>
      <c r="Z11" s="1691"/>
      <c r="AA11" s="1691"/>
      <c r="AB11" s="1691"/>
      <c r="AC11" s="1691"/>
      <c r="AD11" s="1691"/>
      <c r="AE11" s="1691"/>
      <c r="AF11" s="1691"/>
      <c r="AG11" s="1691"/>
      <c r="AH11" s="1691"/>
      <c r="AI11" s="1691"/>
      <c r="AJ11" s="1695"/>
      <c r="AK11" s="1695"/>
      <c r="AL11" s="1696"/>
      <c r="AM11" s="1696"/>
    </row>
    <row r="12" spans="1:72" ht="25.5" customHeight="1" x14ac:dyDescent="0.25">
      <c r="A12" s="1697"/>
      <c r="B12" s="2962"/>
      <c r="C12" s="2870"/>
      <c r="D12" s="973"/>
      <c r="E12" s="2962"/>
      <c r="F12" s="2870"/>
      <c r="G12" s="973"/>
      <c r="H12" s="2962"/>
      <c r="I12" s="2870"/>
      <c r="J12" s="1973">
        <v>65</v>
      </c>
      <c r="K12" s="2044" t="s">
        <v>1739</v>
      </c>
      <c r="L12" s="2044" t="s">
        <v>1740</v>
      </c>
      <c r="M12" s="1973">
        <v>1</v>
      </c>
      <c r="N12" s="1673" t="s">
        <v>1741</v>
      </c>
      <c r="O12" s="1973">
        <v>84</v>
      </c>
      <c r="P12" s="2044" t="s">
        <v>1742</v>
      </c>
      <c r="Q12" s="2966">
        <f>SUM(V12:V15)/R12</f>
        <v>0.33261026920209136</v>
      </c>
      <c r="R12" s="1967">
        <f>SUM(V12:V21)</f>
        <v>16187350279.1</v>
      </c>
      <c r="S12" s="2044" t="s">
        <v>1743</v>
      </c>
      <c r="T12" s="2969" t="s">
        <v>1744</v>
      </c>
      <c r="U12" s="2975" t="s">
        <v>1745</v>
      </c>
      <c r="V12" s="1664">
        <f>1664858201+57429174</f>
        <v>1722287375</v>
      </c>
      <c r="W12" s="1667">
        <v>35</v>
      </c>
      <c r="X12" s="1659" t="s">
        <v>1746</v>
      </c>
      <c r="Y12" s="2947">
        <v>2732</v>
      </c>
      <c r="Z12" s="2947">
        <v>17360</v>
      </c>
      <c r="AA12" s="2947"/>
      <c r="AB12" s="2947">
        <v>21116</v>
      </c>
      <c r="AC12" s="2947">
        <v>4451</v>
      </c>
      <c r="AD12" s="2947">
        <v>56</v>
      </c>
      <c r="AE12" s="2947"/>
      <c r="AF12" s="2947"/>
      <c r="AG12" s="2947"/>
      <c r="AH12" s="2947"/>
      <c r="AI12" s="2947"/>
      <c r="AJ12" s="2947"/>
      <c r="AK12" s="1661">
        <v>42737</v>
      </c>
      <c r="AL12" s="1661">
        <v>43069</v>
      </c>
      <c r="AM12" s="2895" t="s">
        <v>1747</v>
      </c>
    </row>
    <row r="13" spans="1:72" ht="25.5" x14ac:dyDescent="0.25">
      <c r="A13" s="1697"/>
      <c r="B13" s="972"/>
      <c r="C13" s="1698"/>
      <c r="D13" s="973"/>
      <c r="E13" s="972"/>
      <c r="F13" s="1698"/>
      <c r="G13" s="973"/>
      <c r="H13" s="972"/>
      <c r="I13" s="1698"/>
      <c r="J13" s="2847"/>
      <c r="K13" s="2825"/>
      <c r="L13" s="2825"/>
      <c r="M13" s="2847"/>
      <c r="N13" s="301" t="s">
        <v>1748</v>
      </c>
      <c r="O13" s="2847"/>
      <c r="P13" s="2825"/>
      <c r="Q13" s="2967"/>
      <c r="R13" s="2824"/>
      <c r="S13" s="2825"/>
      <c r="T13" s="2970"/>
      <c r="U13" s="2976"/>
      <c r="V13" s="1664">
        <f>1600000000+156170826+1899529379</f>
        <v>3655700205</v>
      </c>
      <c r="W13" s="1670" t="s">
        <v>1749</v>
      </c>
      <c r="X13" s="1660" t="s">
        <v>51</v>
      </c>
      <c r="Y13" s="2948"/>
      <c r="Z13" s="2948"/>
      <c r="AA13" s="2948"/>
      <c r="AB13" s="2948"/>
      <c r="AC13" s="2948"/>
      <c r="AD13" s="2948"/>
      <c r="AE13" s="2948"/>
      <c r="AF13" s="2948"/>
      <c r="AG13" s="2948"/>
      <c r="AH13" s="2948"/>
      <c r="AI13" s="2948"/>
      <c r="AJ13" s="2948"/>
      <c r="AK13" s="1661"/>
      <c r="AL13" s="1661"/>
      <c r="AM13" s="2895"/>
    </row>
    <row r="14" spans="1:72" ht="25.5" x14ac:dyDescent="0.25">
      <c r="A14" s="1697"/>
      <c r="B14" s="972"/>
      <c r="C14" s="1698"/>
      <c r="D14" s="973"/>
      <c r="E14" s="972"/>
      <c r="F14" s="1698"/>
      <c r="G14" s="973"/>
      <c r="H14" s="972"/>
      <c r="I14" s="1698"/>
      <c r="J14" s="2847"/>
      <c r="K14" s="2825"/>
      <c r="L14" s="2825"/>
      <c r="M14" s="2847"/>
      <c r="N14" s="301" t="s">
        <v>1750</v>
      </c>
      <c r="O14" s="2847"/>
      <c r="P14" s="2825"/>
      <c r="Q14" s="2967"/>
      <c r="R14" s="2824"/>
      <c r="S14" s="2825"/>
      <c r="T14" s="2970"/>
      <c r="U14" s="2977"/>
      <c r="V14" s="1664">
        <f>2000000+4091354</f>
        <v>6091354</v>
      </c>
      <c r="W14" s="1667">
        <v>134</v>
      </c>
      <c r="X14" s="1660" t="s">
        <v>1751</v>
      </c>
      <c r="Y14" s="2948"/>
      <c r="Z14" s="2948"/>
      <c r="AA14" s="2948"/>
      <c r="AB14" s="2948"/>
      <c r="AC14" s="2948"/>
      <c r="AD14" s="2948"/>
      <c r="AE14" s="2948"/>
      <c r="AF14" s="2948"/>
      <c r="AG14" s="2948"/>
      <c r="AH14" s="2948"/>
      <c r="AI14" s="2948"/>
      <c r="AJ14" s="2948"/>
      <c r="AK14" s="1661">
        <v>42737</v>
      </c>
      <c r="AL14" s="1661">
        <v>43069</v>
      </c>
      <c r="AM14" s="2895"/>
    </row>
    <row r="15" spans="1:72" ht="25.5" x14ac:dyDescent="0.25">
      <c r="A15" s="1697"/>
      <c r="B15" s="972"/>
      <c r="C15" s="1698"/>
      <c r="D15" s="973"/>
      <c r="E15" s="972"/>
      <c r="F15" s="1698"/>
      <c r="G15" s="973"/>
      <c r="H15" s="972"/>
      <c r="I15" s="1698"/>
      <c r="J15" s="1971"/>
      <c r="K15" s="2826"/>
      <c r="L15" s="2826"/>
      <c r="M15" s="1971"/>
      <c r="N15" s="301" t="s">
        <v>1752</v>
      </c>
      <c r="O15" s="2847"/>
      <c r="P15" s="2825"/>
      <c r="Q15" s="2968"/>
      <c r="R15" s="2824"/>
      <c r="S15" s="2825"/>
      <c r="T15" s="2971"/>
      <c r="U15" s="1699" t="s">
        <v>1753</v>
      </c>
      <c r="V15" s="1664">
        <v>0</v>
      </c>
      <c r="W15" s="1670"/>
      <c r="X15" s="1660"/>
      <c r="Y15" s="2948"/>
      <c r="Z15" s="2948"/>
      <c r="AA15" s="2948"/>
      <c r="AB15" s="2948"/>
      <c r="AC15" s="2948"/>
      <c r="AD15" s="2948"/>
      <c r="AE15" s="2948"/>
      <c r="AF15" s="2948"/>
      <c r="AG15" s="2948"/>
      <c r="AH15" s="2948"/>
      <c r="AI15" s="2948"/>
      <c r="AJ15" s="2948"/>
      <c r="AK15" s="1661">
        <v>42751</v>
      </c>
      <c r="AL15" s="1661">
        <v>42780</v>
      </c>
      <c r="AM15" s="2895"/>
    </row>
    <row r="16" spans="1:72" ht="25.5" x14ac:dyDescent="0.25">
      <c r="A16" s="1697"/>
      <c r="B16" s="972"/>
      <c r="C16" s="1698"/>
      <c r="D16" s="973"/>
      <c r="E16" s="972"/>
      <c r="F16" s="1698"/>
      <c r="G16" s="973"/>
      <c r="H16" s="972"/>
      <c r="I16" s="1698"/>
      <c r="J16" s="1973">
        <v>66</v>
      </c>
      <c r="K16" s="2044" t="s">
        <v>1754</v>
      </c>
      <c r="L16" s="2044" t="s">
        <v>1740</v>
      </c>
      <c r="M16" s="1973">
        <v>1</v>
      </c>
      <c r="N16" s="301" t="s">
        <v>1755</v>
      </c>
      <c r="O16" s="2847"/>
      <c r="P16" s="2825"/>
      <c r="Q16" s="2966">
        <f>SUM(V16:V20)/R12</f>
        <v>0.60248720000159528</v>
      </c>
      <c r="R16" s="2824"/>
      <c r="S16" s="2825"/>
      <c r="T16" s="2969" t="s">
        <v>1756</v>
      </c>
      <c r="U16" s="2972" t="s">
        <v>1757</v>
      </c>
      <c r="V16" s="1665">
        <f>1383252490.1+756528870+301663299</f>
        <v>2441444659.0999999</v>
      </c>
      <c r="W16" s="1670" t="s">
        <v>1758</v>
      </c>
      <c r="X16" s="1659" t="s">
        <v>1746</v>
      </c>
      <c r="Y16" s="2948"/>
      <c r="Z16" s="2948"/>
      <c r="AA16" s="2948"/>
      <c r="AB16" s="2948"/>
      <c r="AC16" s="2948"/>
      <c r="AD16" s="2948"/>
      <c r="AE16" s="2948"/>
      <c r="AF16" s="2948"/>
      <c r="AG16" s="2948"/>
      <c r="AH16" s="2948"/>
      <c r="AI16" s="2948"/>
      <c r="AJ16" s="2948"/>
      <c r="AK16" s="1661">
        <v>42737</v>
      </c>
      <c r="AL16" s="1661">
        <v>43069</v>
      </c>
      <c r="AM16" s="2895"/>
    </row>
    <row r="17" spans="1:39" ht="25.5" x14ac:dyDescent="0.25">
      <c r="A17" s="1697"/>
      <c r="B17" s="972"/>
      <c r="C17" s="1698"/>
      <c r="D17" s="973"/>
      <c r="E17" s="972"/>
      <c r="F17" s="1698"/>
      <c r="G17" s="973"/>
      <c r="H17" s="972"/>
      <c r="I17" s="1698"/>
      <c r="J17" s="2847"/>
      <c r="K17" s="2825"/>
      <c r="L17" s="2825"/>
      <c r="M17" s="2847"/>
      <c r="N17" s="301" t="s">
        <v>1759</v>
      </c>
      <c r="O17" s="2847"/>
      <c r="P17" s="2825"/>
      <c r="Q17" s="2967"/>
      <c r="R17" s="2824"/>
      <c r="S17" s="2825"/>
      <c r="T17" s="2970"/>
      <c r="U17" s="2973"/>
      <c r="V17" s="1665">
        <f>6118086063+173021439+372763406+76101858</f>
        <v>6739972766</v>
      </c>
      <c r="W17" s="1670" t="s">
        <v>1760</v>
      </c>
      <c r="X17" s="1660" t="s">
        <v>1761</v>
      </c>
      <c r="Y17" s="2948"/>
      <c r="Z17" s="2948"/>
      <c r="AA17" s="2948"/>
      <c r="AB17" s="2948"/>
      <c r="AC17" s="2948"/>
      <c r="AD17" s="2948"/>
      <c r="AE17" s="2948"/>
      <c r="AF17" s="2948"/>
      <c r="AG17" s="2948"/>
      <c r="AH17" s="2948"/>
      <c r="AI17" s="2948"/>
      <c r="AJ17" s="2948"/>
      <c r="AK17" s="1661">
        <v>42737</v>
      </c>
      <c r="AL17" s="1661">
        <v>43069</v>
      </c>
      <c r="AM17" s="2895"/>
    </row>
    <row r="18" spans="1:39" ht="25.5" x14ac:dyDescent="0.25">
      <c r="A18" s="1697"/>
      <c r="B18" s="972"/>
      <c r="C18" s="1698"/>
      <c r="D18" s="973"/>
      <c r="E18" s="972"/>
      <c r="F18" s="1698"/>
      <c r="G18" s="973"/>
      <c r="H18" s="972"/>
      <c r="I18" s="1698"/>
      <c r="J18" s="2847"/>
      <c r="K18" s="2825"/>
      <c r="L18" s="2825"/>
      <c r="M18" s="2847"/>
      <c r="N18" s="301" t="s">
        <v>1762</v>
      </c>
      <c r="O18" s="2847"/>
      <c r="P18" s="2825"/>
      <c r="Q18" s="2967"/>
      <c r="R18" s="2824"/>
      <c r="S18" s="2825"/>
      <c r="T18" s="2970"/>
      <c r="U18" s="2973"/>
      <c r="V18" s="1664">
        <v>156361000</v>
      </c>
      <c r="W18" s="1670">
        <v>20</v>
      </c>
      <c r="X18" s="1659" t="s">
        <v>51</v>
      </c>
      <c r="Y18" s="2948"/>
      <c r="Z18" s="2948"/>
      <c r="AA18" s="2948"/>
      <c r="AB18" s="2948"/>
      <c r="AC18" s="2948"/>
      <c r="AD18" s="2948"/>
      <c r="AE18" s="2948"/>
      <c r="AF18" s="2948"/>
      <c r="AG18" s="2948"/>
      <c r="AH18" s="2948"/>
      <c r="AI18" s="2948"/>
      <c r="AJ18" s="2948"/>
      <c r="AK18" s="1661">
        <v>42737</v>
      </c>
      <c r="AL18" s="1661">
        <v>43069</v>
      </c>
      <c r="AM18" s="2895"/>
    </row>
    <row r="19" spans="1:39" ht="25.5" x14ac:dyDescent="0.25">
      <c r="A19" s="1697"/>
      <c r="B19" s="972"/>
      <c r="C19" s="1698"/>
      <c r="D19" s="973"/>
      <c r="E19" s="972"/>
      <c r="F19" s="1698"/>
      <c r="G19" s="973"/>
      <c r="H19" s="972"/>
      <c r="I19" s="1698"/>
      <c r="J19" s="2847"/>
      <c r="K19" s="2825"/>
      <c r="L19" s="2825"/>
      <c r="M19" s="2847"/>
      <c r="N19" s="301" t="s">
        <v>1763</v>
      </c>
      <c r="O19" s="2847"/>
      <c r="P19" s="2825"/>
      <c r="Q19" s="2967"/>
      <c r="R19" s="2824"/>
      <c r="S19" s="2825"/>
      <c r="T19" s="2970"/>
      <c r="U19" s="2974"/>
      <c r="V19" s="1665">
        <v>171253920</v>
      </c>
      <c r="W19" s="1670">
        <v>9</v>
      </c>
      <c r="X19" s="1659" t="s">
        <v>1764</v>
      </c>
      <c r="Y19" s="2948"/>
      <c r="Z19" s="2948"/>
      <c r="AA19" s="2948"/>
      <c r="AB19" s="2948"/>
      <c r="AC19" s="2948"/>
      <c r="AD19" s="2948"/>
      <c r="AE19" s="2948"/>
      <c r="AF19" s="2948"/>
      <c r="AG19" s="2948"/>
      <c r="AH19" s="2948"/>
      <c r="AI19" s="2948"/>
      <c r="AJ19" s="2948"/>
      <c r="AK19" s="1662"/>
      <c r="AL19" s="1662"/>
      <c r="AM19" s="2895"/>
    </row>
    <row r="20" spans="1:39" ht="25.5" x14ac:dyDescent="0.25">
      <c r="A20" s="1697"/>
      <c r="B20" s="972"/>
      <c r="C20" s="1698"/>
      <c r="D20" s="973"/>
      <c r="E20" s="972"/>
      <c r="F20" s="1698"/>
      <c r="G20" s="973"/>
      <c r="H20" s="972"/>
      <c r="I20" s="1698"/>
      <c r="J20" s="2847"/>
      <c r="K20" s="2826"/>
      <c r="L20" s="2826"/>
      <c r="M20" s="2847"/>
      <c r="N20" s="301" t="s">
        <v>1765</v>
      </c>
      <c r="O20" s="2847"/>
      <c r="P20" s="2825"/>
      <c r="Q20" s="2968"/>
      <c r="R20" s="2824"/>
      <c r="S20" s="2825"/>
      <c r="T20" s="2971"/>
      <c r="U20" s="1700" t="s">
        <v>1766</v>
      </c>
      <c r="V20" s="1665">
        <v>243639000</v>
      </c>
      <c r="W20" s="1670">
        <v>20</v>
      </c>
      <c r="X20" s="1659" t="s">
        <v>51</v>
      </c>
      <c r="Y20" s="2948"/>
      <c r="Z20" s="2948"/>
      <c r="AA20" s="2948"/>
      <c r="AB20" s="2948"/>
      <c r="AC20" s="2948"/>
      <c r="AD20" s="2948"/>
      <c r="AE20" s="2948"/>
      <c r="AF20" s="2948"/>
      <c r="AG20" s="2948"/>
      <c r="AH20" s="2948"/>
      <c r="AI20" s="2948"/>
      <c r="AJ20" s="2948"/>
      <c r="AK20" s="1662">
        <v>42751</v>
      </c>
      <c r="AL20" s="1662">
        <v>43055</v>
      </c>
      <c r="AM20" s="2895"/>
    </row>
    <row r="21" spans="1:39" ht="114.75" x14ac:dyDescent="0.25">
      <c r="A21" s="1697"/>
      <c r="B21" s="972"/>
      <c r="C21" s="1698"/>
      <c r="D21" s="973"/>
      <c r="E21" s="972"/>
      <c r="F21" s="1698"/>
      <c r="G21" s="973"/>
      <c r="H21" s="972"/>
      <c r="I21" s="1698"/>
      <c r="J21" s="1657">
        <v>67</v>
      </c>
      <c r="K21" s="1673" t="s">
        <v>1767</v>
      </c>
      <c r="L21" s="301" t="s">
        <v>1740</v>
      </c>
      <c r="M21" s="1657">
        <v>1</v>
      </c>
      <c r="N21" s="309" t="s">
        <v>1768</v>
      </c>
      <c r="O21" s="2847"/>
      <c r="P21" s="2826"/>
      <c r="Q21" s="1701">
        <f>SUM(V21)/R12</f>
        <v>6.490253079631339E-2</v>
      </c>
      <c r="R21" s="2824"/>
      <c r="S21" s="2825"/>
      <c r="T21" s="1702" t="s">
        <v>1769</v>
      </c>
      <c r="U21" s="1700" t="s">
        <v>1770</v>
      </c>
      <c r="V21" s="1665">
        <v>1050600000</v>
      </c>
      <c r="W21" s="1666">
        <v>35</v>
      </c>
      <c r="X21" s="1703" t="s">
        <v>1746</v>
      </c>
      <c r="Y21" s="2948"/>
      <c r="Z21" s="2948"/>
      <c r="AA21" s="2948"/>
      <c r="AB21" s="2948"/>
      <c r="AC21" s="2948"/>
      <c r="AD21" s="2948"/>
      <c r="AE21" s="2948"/>
      <c r="AF21" s="2948"/>
      <c r="AG21" s="2948"/>
      <c r="AH21" s="2948"/>
      <c r="AI21" s="2948"/>
      <c r="AJ21" s="2948"/>
      <c r="AK21" s="1662">
        <v>42737</v>
      </c>
      <c r="AL21" s="1662">
        <v>43069</v>
      </c>
      <c r="AM21" s="2895"/>
    </row>
    <row r="22" spans="1:39" x14ac:dyDescent="0.25">
      <c r="A22" s="2937"/>
      <c r="B22" s="2938"/>
      <c r="C22" s="2938"/>
      <c r="D22" s="2938"/>
      <c r="E22" s="2938"/>
      <c r="F22" s="2939"/>
      <c r="G22" s="1704">
        <v>17</v>
      </c>
      <c r="H22" s="2951" t="s">
        <v>1771</v>
      </c>
      <c r="I22" s="2952"/>
      <c r="J22" s="2952"/>
      <c r="K22" s="2952"/>
      <c r="L22" s="2952"/>
      <c r="M22" s="2952"/>
      <c r="N22" s="123"/>
      <c r="O22" s="123"/>
      <c r="P22" s="124"/>
      <c r="Q22" s="123"/>
      <c r="R22" s="123"/>
      <c r="S22" s="124"/>
      <c r="T22" s="124"/>
      <c r="U22" s="124"/>
      <c r="V22" s="127"/>
      <c r="W22" s="123"/>
      <c r="X22" s="127"/>
      <c r="Y22" s="123"/>
      <c r="Z22" s="123"/>
      <c r="AA22" s="123"/>
      <c r="AB22" s="123"/>
      <c r="AC22" s="123"/>
      <c r="AD22" s="123"/>
      <c r="AE22" s="123"/>
      <c r="AF22" s="123"/>
      <c r="AG22" s="123"/>
      <c r="AH22" s="123"/>
      <c r="AI22" s="123"/>
      <c r="AJ22" s="123"/>
      <c r="AK22" s="123"/>
      <c r="AL22" s="123"/>
      <c r="AM22" s="131"/>
    </row>
    <row r="23" spans="1:39" ht="165.75" x14ac:dyDescent="0.25">
      <c r="A23" s="2941"/>
      <c r="B23" s="2942"/>
      <c r="C23" s="2943"/>
      <c r="D23" s="2959"/>
      <c r="E23" s="2960"/>
      <c r="F23" s="2869"/>
      <c r="G23" s="2959"/>
      <c r="H23" s="2962"/>
      <c r="I23" s="2870"/>
      <c r="J23" s="1655">
        <v>68</v>
      </c>
      <c r="K23" s="309" t="s">
        <v>1772</v>
      </c>
      <c r="L23" s="309" t="s">
        <v>1740</v>
      </c>
      <c r="M23" s="218">
        <v>4500</v>
      </c>
      <c r="N23" s="1705"/>
      <c r="O23" s="2847">
        <v>86</v>
      </c>
      <c r="P23" s="2044" t="s">
        <v>1773</v>
      </c>
      <c r="Q23" s="1653">
        <f>+V23/$R$23</f>
        <v>8.0906148867313909E-3</v>
      </c>
      <c r="R23" s="1967">
        <f>SUM(V23:V33)</f>
        <v>1236000000</v>
      </c>
      <c r="S23" s="2044" t="s">
        <v>1774</v>
      </c>
      <c r="T23" s="309" t="s">
        <v>1775</v>
      </c>
      <c r="U23" s="1668" t="s">
        <v>1776</v>
      </c>
      <c r="V23" s="1663">
        <v>10000000</v>
      </c>
      <c r="W23" s="1658">
        <v>20</v>
      </c>
      <c r="X23" s="1660" t="s">
        <v>51</v>
      </c>
      <c r="Y23" s="2947">
        <v>2732</v>
      </c>
      <c r="Z23" s="2947">
        <v>17360</v>
      </c>
      <c r="AA23" s="2947"/>
      <c r="AB23" s="2947">
        <v>21116</v>
      </c>
      <c r="AC23" s="2947">
        <v>4451</v>
      </c>
      <c r="AD23" s="2947">
        <v>56</v>
      </c>
      <c r="AE23" s="2947"/>
      <c r="AF23" s="2947"/>
      <c r="AG23" s="2947"/>
      <c r="AH23" s="2947"/>
      <c r="AI23" s="2947"/>
      <c r="AJ23" s="2947"/>
      <c r="AK23" s="1661">
        <v>42751</v>
      </c>
      <c r="AL23" s="1661">
        <v>42780</v>
      </c>
      <c r="AM23" s="1706" t="s">
        <v>1777</v>
      </c>
    </row>
    <row r="24" spans="1:39" ht="140.25" x14ac:dyDescent="0.25">
      <c r="A24" s="2953"/>
      <c r="B24" s="2954"/>
      <c r="C24" s="2955"/>
      <c r="D24" s="2961"/>
      <c r="E24" s="2962"/>
      <c r="F24" s="2870"/>
      <c r="G24" s="2961"/>
      <c r="H24" s="2962"/>
      <c r="I24" s="2870"/>
      <c r="J24" s="1656">
        <v>69</v>
      </c>
      <c r="K24" s="1672" t="s">
        <v>1778</v>
      </c>
      <c r="L24" s="309" t="s">
        <v>1740</v>
      </c>
      <c r="M24" s="218">
        <v>1</v>
      </c>
      <c r="N24" s="1707"/>
      <c r="O24" s="2847"/>
      <c r="P24" s="2825"/>
      <c r="Q24" s="1653">
        <f>+V24/$R$23</f>
        <v>8.0906148867313909E-3</v>
      </c>
      <c r="R24" s="2824"/>
      <c r="S24" s="2825"/>
      <c r="T24" s="1672" t="s">
        <v>1779</v>
      </c>
      <c r="U24" s="1669" t="s">
        <v>1776</v>
      </c>
      <c r="V24" s="1663">
        <v>10000000</v>
      </c>
      <c r="W24" s="1674">
        <v>20</v>
      </c>
      <c r="X24" s="1703" t="s">
        <v>51</v>
      </c>
      <c r="Y24" s="2948"/>
      <c r="Z24" s="2948"/>
      <c r="AA24" s="2948"/>
      <c r="AB24" s="2948"/>
      <c r="AC24" s="2948"/>
      <c r="AD24" s="2948"/>
      <c r="AE24" s="2948"/>
      <c r="AF24" s="2948"/>
      <c r="AG24" s="2948"/>
      <c r="AH24" s="2948"/>
      <c r="AI24" s="2948"/>
      <c r="AJ24" s="2948"/>
      <c r="AK24" s="1661">
        <v>42751</v>
      </c>
      <c r="AL24" s="1661">
        <v>42780</v>
      </c>
      <c r="AM24" s="1706" t="s">
        <v>1777</v>
      </c>
    </row>
    <row r="25" spans="1:39" ht="89.25" customHeight="1" x14ac:dyDescent="0.25">
      <c r="A25" s="2953"/>
      <c r="B25" s="2954"/>
      <c r="C25" s="2955"/>
      <c r="D25" s="2961"/>
      <c r="E25" s="2962"/>
      <c r="F25" s="2870"/>
      <c r="G25" s="2961"/>
      <c r="H25" s="2962"/>
      <c r="I25" s="2870"/>
      <c r="J25" s="1973">
        <v>70</v>
      </c>
      <c r="K25" s="2044" t="s">
        <v>1780</v>
      </c>
      <c r="L25" s="2044" t="s">
        <v>1740</v>
      </c>
      <c r="M25" s="2854">
        <v>406</v>
      </c>
      <c r="N25" s="1707"/>
      <c r="O25" s="2847"/>
      <c r="P25" s="2825"/>
      <c r="Q25" s="1964">
        <f>(+V25+V26+V27)/$R$23</f>
        <v>1.6181229773462782E-2</v>
      </c>
      <c r="R25" s="2824"/>
      <c r="S25" s="2825"/>
      <c r="T25" s="2044" t="s">
        <v>1781</v>
      </c>
      <c r="U25" s="1669" t="s">
        <v>1782</v>
      </c>
      <c r="V25" s="2000">
        <v>20000000</v>
      </c>
      <c r="W25" s="1674">
        <v>20</v>
      </c>
      <c r="X25" s="1656" t="s">
        <v>51</v>
      </c>
      <c r="Y25" s="2948"/>
      <c r="Z25" s="2948"/>
      <c r="AA25" s="2948"/>
      <c r="AB25" s="2948"/>
      <c r="AC25" s="2948"/>
      <c r="AD25" s="2948"/>
      <c r="AE25" s="2948"/>
      <c r="AF25" s="2948"/>
      <c r="AG25" s="2948"/>
      <c r="AH25" s="2948"/>
      <c r="AI25" s="2948"/>
      <c r="AJ25" s="2948"/>
      <c r="AK25" s="1661">
        <v>42795</v>
      </c>
      <c r="AL25" s="1661">
        <v>42795</v>
      </c>
      <c r="AM25" s="1706" t="s">
        <v>1777</v>
      </c>
    </row>
    <row r="26" spans="1:39" ht="89.25" customHeight="1" x14ac:dyDescent="0.25">
      <c r="A26" s="2953"/>
      <c r="B26" s="2954"/>
      <c r="C26" s="2955"/>
      <c r="D26" s="2961"/>
      <c r="E26" s="2962"/>
      <c r="F26" s="2870"/>
      <c r="G26" s="2961"/>
      <c r="H26" s="2962"/>
      <c r="I26" s="2870"/>
      <c r="J26" s="2847"/>
      <c r="K26" s="2825"/>
      <c r="L26" s="2825"/>
      <c r="M26" s="2965"/>
      <c r="N26" s="1707"/>
      <c r="O26" s="2847"/>
      <c r="P26" s="2825"/>
      <c r="Q26" s="2950"/>
      <c r="R26" s="2824"/>
      <c r="S26" s="2825"/>
      <c r="T26" s="2825"/>
      <c r="U26" s="1669" t="s">
        <v>1783</v>
      </c>
      <c r="V26" s="2911"/>
      <c r="W26" s="1674">
        <v>20</v>
      </c>
      <c r="X26" s="1656" t="s">
        <v>51</v>
      </c>
      <c r="Y26" s="2948"/>
      <c r="Z26" s="2948"/>
      <c r="AA26" s="2948"/>
      <c r="AB26" s="2948"/>
      <c r="AC26" s="2948"/>
      <c r="AD26" s="2948"/>
      <c r="AE26" s="2948"/>
      <c r="AF26" s="2948"/>
      <c r="AG26" s="2948"/>
      <c r="AH26" s="2948"/>
      <c r="AI26" s="2948"/>
      <c r="AJ26" s="2948"/>
      <c r="AK26" s="1661">
        <v>42853</v>
      </c>
      <c r="AL26" s="1661">
        <v>42853</v>
      </c>
      <c r="AM26" s="1706" t="s">
        <v>1777</v>
      </c>
    </row>
    <row r="27" spans="1:39" ht="89.25" customHeight="1" x14ac:dyDescent="0.25">
      <c r="A27" s="2953"/>
      <c r="B27" s="2954"/>
      <c r="C27" s="2955"/>
      <c r="D27" s="2961"/>
      <c r="E27" s="2962"/>
      <c r="F27" s="2870"/>
      <c r="G27" s="2961"/>
      <c r="H27" s="2962"/>
      <c r="I27" s="2870"/>
      <c r="J27" s="1971"/>
      <c r="K27" s="2826"/>
      <c r="L27" s="2826"/>
      <c r="M27" s="2855"/>
      <c r="N27" s="301" t="s">
        <v>1784</v>
      </c>
      <c r="O27" s="2847"/>
      <c r="P27" s="2825"/>
      <c r="Q27" s="1962"/>
      <c r="R27" s="2824"/>
      <c r="S27" s="2825"/>
      <c r="T27" s="2826"/>
      <c r="U27" s="1669" t="s">
        <v>1753</v>
      </c>
      <c r="V27" s="1998"/>
      <c r="W27" s="1674">
        <v>20</v>
      </c>
      <c r="X27" s="1656" t="s">
        <v>51</v>
      </c>
      <c r="Y27" s="2948"/>
      <c r="Z27" s="2948"/>
      <c r="AA27" s="2948"/>
      <c r="AB27" s="2948"/>
      <c r="AC27" s="2948"/>
      <c r="AD27" s="2948"/>
      <c r="AE27" s="2948"/>
      <c r="AF27" s="2948"/>
      <c r="AG27" s="2948"/>
      <c r="AH27" s="2948"/>
      <c r="AI27" s="2948"/>
      <c r="AJ27" s="2948"/>
      <c r="AK27" s="1661">
        <v>42751</v>
      </c>
      <c r="AL27" s="1661">
        <v>42780</v>
      </c>
      <c r="AM27" s="1706" t="s">
        <v>1777</v>
      </c>
    </row>
    <row r="28" spans="1:39" ht="165.75" x14ac:dyDescent="0.25">
      <c r="A28" s="2953"/>
      <c r="B28" s="2954"/>
      <c r="C28" s="2955"/>
      <c r="D28" s="2961"/>
      <c r="E28" s="2962"/>
      <c r="F28" s="2870"/>
      <c r="G28" s="2961"/>
      <c r="H28" s="2962"/>
      <c r="I28" s="2870"/>
      <c r="J28" s="1656">
        <v>71</v>
      </c>
      <c r="K28" s="1672" t="s">
        <v>1785</v>
      </c>
      <c r="L28" s="309" t="s">
        <v>1740</v>
      </c>
      <c r="M28" s="1656">
        <v>2166</v>
      </c>
      <c r="N28" s="301" t="s">
        <v>1786</v>
      </c>
      <c r="O28" s="2847"/>
      <c r="P28" s="2825"/>
      <c r="Q28" s="1653">
        <f>+V28/$R$23</f>
        <v>0</v>
      </c>
      <c r="R28" s="2824"/>
      <c r="S28" s="2825"/>
      <c r="T28" s="1708" t="s">
        <v>1787</v>
      </c>
      <c r="U28" s="1669" t="s">
        <v>1776</v>
      </c>
      <c r="V28" s="1664">
        <v>0</v>
      </c>
      <c r="W28" s="1674"/>
      <c r="X28" s="1660"/>
      <c r="Y28" s="2948"/>
      <c r="Z28" s="2948"/>
      <c r="AA28" s="2948"/>
      <c r="AB28" s="2948"/>
      <c r="AC28" s="2948"/>
      <c r="AD28" s="2948"/>
      <c r="AE28" s="2948"/>
      <c r="AF28" s="2948"/>
      <c r="AG28" s="2948"/>
      <c r="AH28" s="2948"/>
      <c r="AI28" s="2948"/>
      <c r="AJ28" s="2948"/>
      <c r="AK28" s="1661">
        <v>42751</v>
      </c>
      <c r="AL28" s="1661">
        <v>42780</v>
      </c>
      <c r="AM28" s="1706" t="s">
        <v>1777</v>
      </c>
    </row>
    <row r="29" spans="1:39" ht="204" x14ac:dyDescent="0.25">
      <c r="A29" s="2953"/>
      <c r="B29" s="2954"/>
      <c r="C29" s="2955"/>
      <c r="D29" s="2961"/>
      <c r="E29" s="2962"/>
      <c r="F29" s="2870"/>
      <c r="G29" s="2961"/>
      <c r="H29" s="2962"/>
      <c r="I29" s="2870"/>
      <c r="J29" s="1656">
        <v>72</v>
      </c>
      <c r="K29" s="1672" t="s">
        <v>1788</v>
      </c>
      <c r="L29" s="309" t="s">
        <v>1740</v>
      </c>
      <c r="M29" s="1674">
        <v>455</v>
      </c>
      <c r="N29" s="1707"/>
      <c r="O29" s="2847"/>
      <c r="P29" s="2825"/>
      <c r="Q29" s="1653">
        <f>+V29/$R$23</f>
        <v>8.0906148867313909E-3</v>
      </c>
      <c r="R29" s="2824"/>
      <c r="S29" s="2825"/>
      <c r="T29" s="1709" t="s">
        <v>1789</v>
      </c>
      <c r="U29" s="1669" t="s">
        <v>1776</v>
      </c>
      <c r="V29" s="1664">
        <v>10000000</v>
      </c>
      <c r="W29" s="1674">
        <v>20</v>
      </c>
      <c r="X29" s="1656" t="s">
        <v>51</v>
      </c>
      <c r="Y29" s="2948"/>
      <c r="Z29" s="2948"/>
      <c r="AA29" s="2948"/>
      <c r="AB29" s="2948"/>
      <c r="AC29" s="2948"/>
      <c r="AD29" s="2948"/>
      <c r="AE29" s="2948"/>
      <c r="AF29" s="2948"/>
      <c r="AG29" s="2948"/>
      <c r="AH29" s="2948"/>
      <c r="AI29" s="2948"/>
      <c r="AJ29" s="2948"/>
      <c r="AK29" s="1661">
        <v>42751</v>
      </c>
      <c r="AL29" s="1661">
        <v>42780</v>
      </c>
      <c r="AM29" s="1706" t="s">
        <v>1777</v>
      </c>
    </row>
    <row r="30" spans="1:39" ht="89.25" customHeight="1" x14ac:dyDescent="0.25">
      <c r="A30" s="2953"/>
      <c r="B30" s="2954"/>
      <c r="C30" s="2955"/>
      <c r="D30" s="2961"/>
      <c r="E30" s="2962"/>
      <c r="F30" s="2870"/>
      <c r="G30" s="2961"/>
      <c r="H30" s="2962"/>
      <c r="I30" s="2870"/>
      <c r="J30" s="1973">
        <v>73</v>
      </c>
      <c r="K30" s="2044" t="s">
        <v>1790</v>
      </c>
      <c r="L30" s="2044" t="s">
        <v>1740</v>
      </c>
      <c r="M30" s="1975">
        <v>1</v>
      </c>
      <c r="N30" s="1707"/>
      <c r="O30" s="2847"/>
      <c r="P30" s="2825"/>
      <c r="Q30" s="1964">
        <f>(+V30+V31+V32+V33)/$R$23</f>
        <v>0.95954692556634302</v>
      </c>
      <c r="R30" s="2824"/>
      <c r="S30" s="2825"/>
      <c r="T30" s="2044" t="s">
        <v>1791</v>
      </c>
      <c r="U30" s="1669" t="s">
        <v>1753</v>
      </c>
      <c r="V30" s="1664">
        <v>0</v>
      </c>
      <c r="W30" s="1674"/>
      <c r="X30" s="1656"/>
      <c r="Y30" s="2948"/>
      <c r="Z30" s="2948"/>
      <c r="AA30" s="2948"/>
      <c r="AB30" s="2948"/>
      <c r="AC30" s="2948"/>
      <c r="AD30" s="2948"/>
      <c r="AE30" s="2948"/>
      <c r="AF30" s="2948"/>
      <c r="AG30" s="2948"/>
      <c r="AH30" s="2948"/>
      <c r="AI30" s="2948"/>
      <c r="AJ30" s="2948"/>
      <c r="AK30" s="1661">
        <v>42751</v>
      </c>
      <c r="AL30" s="1661">
        <v>42780</v>
      </c>
      <c r="AM30" s="1706" t="s">
        <v>1777</v>
      </c>
    </row>
    <row r="31" spans="1:39" ht="89.25" customHeight="1" x14ac:dyDescent="0.25">
      <c r="A31" s="2953"/>
      <c r="B31" s="2954"/>
      <c r="C31" s="2955"/>
      <c r="D31" s="2961"/>
      <c r="E31" s="2962"/>
      <c r="F31" s="2870"/>
      <c r="G31" s="2961"/>
      <c r="H31" s="2962"/>
      <c r="I31" s="2870"/>
      <c r="J31" s="2847"/>
      <c r="K31" s="2825"/>
      <c r="L31" s="2825"/>
      <c r="M31" s="1976"/>
      <c r="N31" s="1707"/>
      <c r="O31" s="2847"/>
      <c r="P31" s="2825"/>
      <c r="Q31" s="2950"/>
      <c r="R31" s="2824"/>
      <c r="S31" s="2825"/>
      <c r="T31" s="2825"/>
      <c r="U31" s="275" t="s">
        <v>1792</v>
      </c>
      <c r="V31" s="1664">
        <v>19613100</v>
      </c>
      <c r="W31" s="1975">
        <v>25</v>
      </c>
      <c r="X31" s="1984" t="s">
        <v>1764</v>
      </c>
      <c r="Y31" s="2948"/>
      <c r="Z31" s="2948"/>
      <c r="AA31" s="2948"/>
      <c r="AB31" s="2948"/>
      <c r="AC31" s="2948"/>
      <c r="AD31" s="2948"/>
      <c r="AE31" s="2948"/>
      <c r="AF31" s="2948"/>
      <c r="AG31" s="2948"/>
      <c r="AH31" s="2948"/>
      <c r="AI31" s="2948"/>
      <c r="AJ31" s="2948"/>
      <c r="AK31" s="1710">
        <v>42751</v>
      </c>
      <c r="AL31" s="1710">
        <v>42824</v>
      </c>
      <c r="AM31" s="1706" t="s">
        <v>1777</v>
      </c>
    </row>
    <row r="32" spans="1:39" ht="89.25" customHeight="1" x14ac:dyDescent="0.25">
      <c r="A32" s="2953"/>
      <c r="B32" s="2954"/>
      <c r="C32" s="2955"/>
      <c r="D32" s="2961"/>
      <c r="E32" s="2962"/>
      <c r="F32" s="2870"/>
      <c r="G32" s="2961"/>
      <c r="H32" s="2962"/>
      <c r="I32" s="2870"/>
      <c r="J32" s="2847"/>
      <c r="K32" s="2825"/>
      <c r="L32" s="2825"/>
      <c r="M32" s="1976"/>
      <c r="N32" s="1707"/>
      <c r="O32" s="2847"/>
      <c r="P32" s="2825"/>
      <c r="Q32" s="2950"/>
      <c r="R32" s="2824"/>
      <c r="S32" s="2825"/>
      <c r="T32" s="2825"/>
      <c r="U32" s="1711" t="s">
        <v>1793</v>
      </c>
      <c r="V32" s="1664">
        <v>8763300</v>
      </c>
      <c r="W32" s="1976"/>
      <c r="X32" s="2908"/>
      <c r="Y32" s="2948"/>
      <c r="Z32" s="2948"/>
      <c r="AA32" s="2948"/>
      <c r="AB32" s="2948"/>
      <c r="AC32" s="2948"/>
      <c r="AD32" s="2948"/>
      <c r="AE32" s="2948"/>
      <c r="AF32" s="2948"/>
      <c r="AG32" s="2948"/>
      <c r="AH32" s="2948"/>
      <c r="AI32" s="2948"/>
      <c r="AJ32" s="2948"/>
      <c r="AK32" s="1710">
        <v>42751</v>
      </c>
      <c r="AL32" s="1710">
        <v>42824</v>
      </c>
      <c r="AM32" s="1706" t="s">
        <v>1777</v>
      </c>
    </row>
    <row r="33" spans="1:39" ht="89.25" customHeight="1" x14ac:dyDescent="0.25">
      <c r="A33" s="2956"/>
      <c r="B33" s="2957"/>
      <c r="C33" s="2958"/>
      <c r="D33" s="2963"/>
      <c r="E33" s="2964"/>
      <c r="F33" s="2871"/>
      <c r="G33" s="2963"/>
      <c r="H33" s="2964"/>
      <c r="I33" s="2871"/>
      <c r="J33" s="1971"/>
      <c r="K33" s="2826"/>
      <c r="L33" s="2826"/>
      <c r="M33" s="1977"/>
      <c r="N33" s="1712"/>
      <c r="O33" s="1971"/>
      <c r="P33" s="2826"/>
      <c r="Q33" s="1962"/>
      <c r="R33" s="1965"/>
      <c r="S33" s="2826"/>
      <c r="T33" s="2826"/>
      <c r="U33" s="1711" t="s">
        <v>1794</v>
      </c>
      <c r="V33" s="1664">
        <v>1157623600</v>
      </c>
      <c r="W33" s="1977"/>
      <c r="X33" s="1982"/>
      <c r="Y33" s="2949"/>
      <c r="Z33" s="2949"/>
      <c r="AA33" s="2949"/>
      <c r="AB33" s="2949"/>
      <c r="AC33" s="2949"/>
      <c r="AD33" s="2949"/>
      <c r="AE33" s="2949"/>
      <c r="AF33" s="2949"/>
      <c r="AG33" s="2949"/>
      <c r="AH33" s="2949"/>
      <c r="AI33" s="2949"/>
      <c r="AJ33" s="2949"/>
      <c r="AK33" s="1710">
        <v>42751</v>
      </c>
      <c r="AL33" s="1710">
        <v>43069</v>
      </c>
      <c r="AM33" s="1706" t="s">
        <v>1777</v>
      </c>
    </row>
    <row r="34" spans="1:39" x14ac:dyDescent="0.25">
      <c r="A34" s="2937"/>
      <c r="B34" s="2938"/>
      <c r="C34" s="2938"/>
      <c r="D34" s="2938"/>
      <c r="E34" s="2938"/>
      <c r="F34" s="2939"/>
      <c r="G34" s="1704">
        <v>18</v>
      </c>
      <c r="H34" s="2940" t="s">
        <v>1795</v>
      </c>
      <c r="I34" s="2837"/>
      <c r="J34" s="2837"/>
      <c r="K34" s="2837"/>
      <c r="L34" s="2837"/>
      <c r="M34" s="2837"/>
      <c r="N34" s="123"/>
      <c r="O34" s="123"/>
      <c r="P34" s="124"/>
      <c r="Q34" s="123"/>
      <c r="R34" s="123"/>
      <c r="S34" s="124"/>
      <c r="T34" s="124"/>
      <c r="U34" s="124"/>
      <c r="V34" s="123"/>
      <c r="W34" s="123"/>
      <c r="X34" s="123"/>
      <c r="Y34" s="123"/>
      <c r="Z34" s="123"/>
      <c r="AA34" s="123"/>
      <c r="AB34" s="123"/>
      <c r="AC34" s="123"/>
      <c r="AD34" s="123"/>
      <c r="AE34" s="123"/>
      <c r="AF34" s="123"/>
      <c r="AG34" s="123"/>
      <c r="AH34" s="123"/>
      <c r="AI34" s="123"/>
      <c r="AJ34" s="123"/>
      <c r="AK34" s="123"/>
      <c r="AL34" s="123"/>
      <c r="AM34" s="131"/>
    </row>
    <row r="35" spans="1:39" ht="229.5" x14ac:dyDescent="0.25">
      <c r="A35" s="2941"/>
      <c r="B35" s="2942"/>
      <c r="C35" s="2943"/>
      <c r="D35" s="2944"/>
      <c r="E35" s="2945"/>
      <c r="F35" s="2946"/>
      <c r="G35" s="2944"/>
      <c r="H35" s="2945"/>
      <c r="I35" s="2946"/>
      <c r="J35" s="1656">
        <v>74</v>
      </c>
      <c r="K35" s="1672" t="s">
        <v>1796</v>
      </c>
      <c r="L35" s="1672" t="s">
        <v>1740</v>
      </c>
      <c r="M35" s="1674">
        <v>2232</v>
      </c>
      <c r="N35" s="1651" t="s">
        <v>1797</v>
      </c>
      <c r="O35" s="1656">
        <v>87</v>
      </c>
      <c r="P35" s="1672" t="s">
        <v>1798</v>
      </c>
      <c r="Q35" s="1653">
        <v>1</v>
      </c>
      <c r="R35" s="1654">
        <f>+V35</f>
        <v>106571580996</v>
      </c>
      <c r="S35" s="1672" t="s">
        <v>1799</v>
      </c>
      <c r="T35" s="1672" t="s">
        <v>1800</v>
      </c>
      <c r="U35" s="1669" t="s">
        <v>1801</v>
      </c>
      <c r="V35" s="1664">
        <f>104759464000+1486256547+325860449</f>
        <v>106571580996</v>
      </c>
      <c r="W35" s="1674">
        <v>25</v>
      </c>
      <c r="X35" s="1656" t="s">
        <v>1802</v>
      </c>
      <c r="Y35" s="1713">
        <v>2732</v>
      </c>
      <c r="Z35" s="1713">
        <v>17360</v>
      </c>
      <c r="AA35" s="1713"/>
      <c r="AB35" s="1713">
        <v>21116</v>
      </c>
      <c r="AC35" s="1713">
        <v>4451</v>
      </c>
      <c r="AD35" s="1713">
        <v>56</v>
      </c>
      <c r="AE35" s="1713"/>
      <c r="AF35" s="1713"/>
      <c r="AG35" s="1713"/>
      <c r="AH35" s="1713"/>
      <c r="AI35" s="1713"/>
      <c r="AJ35" s="1713"/>
      <c r="AK35" s="1661">
        <v>42736</v>
      </c>
      <c r="AL35" s="1661">
        <v>43100</v>
      </c>
      <c r="AM35" s="1706" t="s">
        <v>1777</v>
      </c>
    </row>
    <row r="36" spans="1:39" x14ac:dyDescent="0.25">
      <c r="A36" s="2828"/>
      <c r="B36" s="2828"/>
      <c r="C36" s="2828"/>
      <c r="D36" s="1714">
        <v>6</v>
      </c>
      <c r="E36" s="2830" t="s">
        <v>1803</v>
      </c>
      <c r="F36" s="2831"/>
      <c r="G36" s="2831"/>
      <c r="H36" s="2831"/>
      <c r="I36" s="2831"/>
      <c r="J36" s="2831"/>
      <c r="K36" s="2831"/>
      <c r="L36" s="110"/>
      <c r="M36" s="109"/>
      <c r="N36" s="109"/>
      <c r="O36" s="111"/>
      <c r="P36" s="110"/>
      <c r="Q36" s="112"/>
      <c r="R36" s="113"/>
      <c r="S36" s="110"/>
      <c r="T36" s="110"/>
      <c r="U36" s="110"/>
      <c r="V36" s="114"/>
      <c r="W36" s="1715"/>
      <c r="X36" s="111"/>
      <c r="Y36" s="109"/>
      <c r="Z36" s="109"/>
      <c r="AA36" s="109"/>
      <c r="AB36" s="109"/>
      <c r="AC36" s="109"/>
      <c r="AD36" s="109"/>
      <c r="AE36" s="109"/>
      <c r="AF36" s="109"/>
      <c r="AG36" s="109"/>
      <c r="AH36" s="109"/>
      <c r="AI36" s="109"/>
      <c r="AJ36" s="109"/>
      <c r="AK36" s="1716"/>
      <c r="AL36" s="1716"/>
      <c r="AM36" s="117"/>
    </row>
    <row r="37" spans="1:39" x14ac:dyDescent="0.25">
      <c r="A37" s="1717"/>
      <c r="B37" s="1718"/>
      <c r="C37" s="1718"/>
      <c r="D37" s="2900"/>
      <c r="E37" s="2832"/>
      <c r="F37" s="2833"/>
      <c r="G37" s="1719">
        <v>19</v>
      </c>
      <c r="H37" s="2837" t="s">
        <v>1804</v>
      </c>
      <c r="I37" s="2837"/>
      <c r="J37" s="2837"/>
      <c r="K37" s="2837"/>
      <c r="L37" s="124"/>
      <c r="M37" s="123"/>
      <c r="N37" s="123"/>
      <c r="O37" s="123"/>
      <c r="P37" s="124"/>
      <c r="Q37" s="123"/>
      <c r="R37" s="123"/>
      <c r="S37" s="124"/>
      <c r="T37" s="124"/>
      <c r="U37" s="124"/>
      <c r="V37" s="1720"/>
      <c r="W37" s="123"/>
      <c r="X37" s="123"/>
      <c r="Y37" s="123"/>
      <c r="Z37" s="123"/>
      <c r="AA37" s="123"/>
      <c r="AB37" s="123"/>
      <c r="AC37" s="123"/>
      <c r="AD37" s="123"/>
      <c r="AE37" s="123"/>
      <c r="AF37" s="123"/>
      <c r="AG37" s="123"/>
      <c r="AH37" s="123"/>
      <c r="AI37" s="123"/>
      <c r="AJ37" s="123"/>
      <c r="AK37" s="123"/>
      <c r="AL37" s="123"/>
      <c r="AM37" s="131"/>
    </row>
    <row r="38" spans="1:39" ht="216.75" x14ac:dyDescent="0.25">
      <c r="A38" s="1549"/>
      <c r="B38" s="1549"/>
      <c r="C38" s="1549"/>
      <c r="D38" s="2901"/>
      <c r="E38" s="2852"/>
      <c r="F38" s="2853"/>
      <c r="G38" s="1721"/>
      <c r="H38" s="1541"/>
      <c r="I38" s="1541"/>
      <c r="J38" s="1656">
        <v>75</v>
      </c>
      <c r="K38" s="1672" t="s">
        <v>1805</v>
      </c>
      <c r="L38" s="1672" t="s">
        <v>1740</v>
      </c>
      <c r="M38" s="218">
        <v>27</v>
      </c>
      <c r="N38" s="1722"/>
      <c r="O38" s="1973">
        <v>89</v>
      </c>
      <c r="P38" s="2044" t="s">
        <v>1806</v>
      </c>
      <c r="Q38" s="1653">
        <f>+V38/$R$38</f>
        <v>0</v>
      </c>
      <c r="R38" s="2934">
        <f>SUM(V38:V46)</f>
        <v>183000000</v>
      </c>
      <c r="S38" s="2044" t="s">
        <v>1807</v>
      </c>
      <c r="T38" s="1672" t="s">
        <v>1808</v>
      </c>
      <c r="U38" s="1673" t="s">
        <v>1809</v>
      </c>
      <c r="V38" s="1654">
        <v>0</v>
      </c>
      <c r="W38" s="1674"/>
      <c r="X38" s="1656"/>
      <c r="Y38" s="1975">
        <v>2732</v>
      </c>
      <c r="Z38" s="1975">
        <v>17360</v>
      </c>
      <c r="AA38" s="1975"/>
      <c r="AB38" s="1975">
        <v>21116</v>
      </c>
      <c r="AC38" s="1975">
        <v>4451</v>
      </c>
      <c r="AD38" s="1975">
        <v>56</v>
      </c>
      <c r="AE38" s="1975"/>
      <c r="AF38" s="1975"/>
      <c r="AG38" s="1975"/>
      <c r="AH38" s="1975"/>
      <c r="AI38" s="1975"/>
      <c r="AJ38" s="1975"/>
      <c r="AK38" s="1723">
        <v>42767</v>
      </c>
      <c r="AL38" s="1723">
        <v>43038</v>
      </c>
      <c r="AM38" s="1706" t="s">
        <v>1777</v>
      </c>
    </row>
    <row r="39" spans="1:39" ht="89.25" customHeight="1" x14ac:dyDescent="0.25">
      <c r="A39" s="266"/>
      <c r="B39" s="266"/>
      <c r="C39" s="266"/>
      <c r="D39" s="2901"/>
      <c r="E39" s="2852"/>
      <c r="F39" s="2853"/>
      <c r="G39" s="1721"/>
      <c r="H39" s="1541"/>
      <c r="I39" s="1541"/>
      <c r="J39" s="1973">
        <v>76</v>
      </c>
      <c r="K39" s="2044" t="s">
        <v>1810</v>
      </c>
      <c r="L39" s="2044" t="s">
        <v>1740</v>
      </c>
      <c r="M39" s="2854">
        <v>600</v>
      </c>
      <c r="N39" s="2933"/>
      <c r="O39" s="2847"/>
      <c r="P39" s="2825"/>
      <c r="Q39" s="1964">
        <v>1</v>
      </c>
      <c r="R39" s="2935"/>
      <c r="S39" s="2825"/>
      <c r="T39" s="2044" t="s">
        <v>1811</v>
      </c>
      <c r="U39" s="2044" t="s">
        <v>1812</v>
      </c>
      <c r="V39" s="1967">
        <f>103000000+80000000</f>
        <v>183000000</v>
      </c>
      <c r="W39" s="1975">
        <v>35</v>
      </c>
      <c r="X39" s="1973" t="s">
        <v>1746</v>
      </c>
      <c r="Y39" s="1976"/>
      <c r="Z39" s="1976"/>
      <c r="AA39" s="1976"/>
      <c r="AB39" s="1976"/>
      <c r="AC39" s="1976"/>
      <c r="AD39" s="1976"/>
      <c r="AE39" s="1976"/>
      <c r="AF39" s="1976"/>
      <c r="AG39" s="1976"/>
      <c r="AH39" s="1976"/>
      <c r="AI39" s="1976"/>
      <c r="AJ39" s="1976"/>
      <c r="AK39" s="1723">
        <v>42767</v>
      </c>
      <c r="AL39" s="1723">
        <v>43038</v>
      </c>
      <c r="AM39" s="1706" t="s">
        <v>1777</v>
      </c>
    </row>
    <row r="40" spans="1:39" ht="89.25" customHeight="1" x14ac:dyDescent="0.25">
      <c r="A40" s="266"/>
      <c r="B40" s="266"/>
      <c r="C40" s="266"/>
      <c r="D40" s="2901"/>
      <c r="E40" s="2852"/>
      <c r="F40" s="2853"/>
      <c r="G40" s="1721"/>
      <c r="H40" s="1541"/>
      <c r="I40" s="1541"/>
      <c r="J40" s="1971"/>
      <c r="K40" s="2826"/>
      <c r="L40" s="2826"/>
      <c r="M40" s="2855"/>
      <c r="N40" s="2933"/>
      <c r="O40" s="2847"/>
      <c r="P40" s="2825"/>
      <c r="Q40" s="1962"/>
      <c r="R40" s="2935"/>
      <c r="S40" s="2825"/>
      <c r="T40" s="2826"/>
      <c r="U40" s="2826"/>
      <c r="V40" s="1965"/>
      <c r="W40" s="1977"/>
      <c r="X40" s="1971"/>
      <c r="Y40" s="1976"/>
      <c r="Z40" s="1976"/>
      <c r="AA40" s="1976"/>
      <c r="AB40" s="1976"/>
      <c r="AC40" s="1976"/>
      <c r="AD40" s="1976"/>
      <c r="AE40" s="1976"/>
      <c r="AF40" s="1976"/>
      <c r="AG40" s="1976"/>
      <c r="AH40" s="1976"/>
      <c r="AI40" s="1976"/>
      <c r="AJ40" s="1976"/>
      <c r="AK40" s="1723">
        <v>42767</v>
      </c>
      <c r="AL40" s="1723">
        <v>43049</v>
      </c>
      <c r="AM40" s="1706" t="s">
        <v>1777</v>
      </c>
    </row>
    <row r="41" spans="1:39" ht="89.25" customHeight="1" x14ac:dyDescent="0.25">
      <c r="A41" s="266"/>
      <c r="B41" s="266"/>
      <c r="C41" s="266"/>
      <c r="D41" s="2901"/>
      <c r="E41" s="2852"/>
      <c r="F41" s="2853"/>
      <c r="G41" s="1721"/>
      <c r="H41" s="1541"/>
      <c r="I41" s="1541"/>
      <c r="J41" s="1656">
        <v>77</v>
      </c>
      <c r="K41" s="1672" t="s">
        <v>1813</v>
      </c>
      <c r="L41" s="1672" t="s">
        <v>1740</v>
      </c>
      <c r="M41" s="218">
        <v>50</v>
      </c>
      <c r="N41" s="1724" t="s">
        <v>1814</v>
      </c>
      <c r="O41" s="2847"/>
      <c r="P41" s="2825"/>
      <c r="Q41" s="1652">
        <v>0</v>
      </c>
      <c r="R41" s="2935"/>
      <c r="S41" s="2825"/>
      <c r="T41" s="1672" t="s">
        <v>1815</v>
      </c>
      <c r="U41" s="1672" t="s">
        <v>1816</v>
      </c>
      <c r="V41" s="1654">
        <v>0</v>
      </c>
      <c r="W41" s="1674"/>
      <c r="X41" s="1656"/>
      <c r="Y41" s="1976"/>
      <c r="Z41" s="1976"/>
      <c r="AA41" s="1976"/>
      <c r="AB41" s="1976"/>
      <c r="AC41" s="1976"/>
      <c r="AD41" s="1976"/>
      <c r="AE41" s="1976"/>
      <c r="AF41" s="1976"/>
      <c r="AG41" s="1976"/>
      <c r="AH41" s="1976"/>
      <c r="AI41" s="1976"/>
      <c r="AJ41" s="1976"/>
      <c r="AK41" s="1723">
        <v>42782</v>
      </c>
      <c r="AL41" s="1723">
        <v>42810</v>
      </c>
      <c r="AM41" s="1706" t="s">
        <v>1777</v>
      </c>
    </row>
    <row r="42" spans="1:39" ht="102" x14ac:dyDescent="0.25">
      <c r="A42" s="266"/>
      <c r="B42" s="266"/>
      <c r="C42" s="266"/>
      <c r="D42" s="2901"/>
      <c r="E42" s="2852"/>
      <c r="F42" s="2853"/>
      <c r="G42" s="1721"/>
      <c r="H42" s="1541"/>
      <c r="I42" s="1541"/>
      <c r="J42" s="1656">
        <v>78</v>
      </c>
      <c r="K42" s="1672" t="s">
        <v>1817</v>
      </c>
      <c r="L42" s="1672" t="s">
        <v>1740</v>
      </c>
      <c r="M42" s="218">
        <v>11</v>
      </c>
      <c r="N42" s="1724" t="s">
        <v>1818</v>
      </c>
      <c r="O42" s="2847"/>
      <c r="P42" s="2825"/>
      <c r="Q42" s="1652">
        <v>0</v>
      </c>
      <c r="R42" s="2935"/>
      <c r="S42" s="2825"/>
      <c r="T42" s="1672" t="s">
        <v>1819</v>
      </c>
      <c r="U42" s="2044" t="s">
        <v>1820</v>
      </c>
      <c r="V42" s="1654">
        <v>0</v>
      </c>
      <c r="W42" s="1674"/>
      <c r="X42" s="1656"/>
      <c r="Y42" s="1976"/>
      <c r="Z42" s="1976"/>
      <c r="AA42" s="1976"/>
      <c r="AB42" s="1976"/>
      <c r="AC42" s="1976"/>
      <c r="AD42" s="1976"/>
      <c r="AE42" s="1976"/>
      <c r="AF42" s="1976"/>
      <c r="AG42" s="1976"/>
      <c r="AH42" s="1976"/>
      <c r="AI42" s="1976"/>
      <c r="AJ42" s="1976"/>
      <c r="AK42" s="1723">
        <v>42822</v>
      </c>
      <c r="AL42" s="1723">
        <v>42822</v>
      </c>
      <c r="AM42" s="1706" t="s">
        <v>1777</v>
      </c>
    </row>
    <row r="43" spans="1:39" ht="89.25" x14ac:dyDescent="0.25">
      <c r="A43" s="266"/>
      <c r="B43" s="266"/>
      <c r="C43" s="266"/>
      <c r="D43" s="2901"/>
      <c r="E43" s="2852"/>
      <c r="F43" s="2853"/>
      <c r="G43" s="1721"/>
      <c r="H43" s="1541"/>
      <c r="I43" s="1541"/>
      <c r="J43" s="1656">
        <v>79</v>
      </c>
      <c r="K43" s="1672" t="s">
        <v>1821</v>
      </c>
      <c r="L43" s="1672" t="s">
        <v>1740</v>
      </c>
      <c r="M43" s="218">
        <v>163</v>
      </c>
      <c r="N43" s="1725"/>
      <c r="O43" s="2847"/>
      <c r="P43" s="2825"/>
      <c r="Q43" s="1652">
        <v>0</v>
      </c>
      <c r="R43" s="2935"/>
      <c r="S43" s="2825"/>
      <c r="T43" s="1672" t="s">
        <v>1822</v>
      </c>
      <c r="U43" s="2825"/>
      <c r="V43" s="1654">
        <v>0</v>
      </c>
      <c r="W43" s="1674"/>
      <c r="X43" s="1656"/>
      <c r="Y43" s="1976"/>
      <c r="Z43" s="1976"/>
      <c r="AA43" s="1976"/>
      <c r="AB43" s="1976"/>
      <c r="AC43" s="1976"/>
      <c r="AD43" s="1976"/>
      <c r="AE43" s="1976"/>
      <c r="AF43" s="1976"/>
      <c r="AG43" s="1976"/>
      <c r="AH43" s="1976"/>
      <c r="AI43" s="1976"/>
      <c r="AJ43" s="1976"/>
      <c r="AK43" s="1723">
        <v>42822</v>
      </c>
      <c r="AL43" s="1723">
        <v>42822</v>
      </c>
      <c r="AM43" s="1706" t="s">
        <v>1777</v>
      </c>
    </row>
    <row r="44" spans="1:39" ht="89.25" x14ac:dyDescent="0.25">
      <c r="A44" s="266"/>
      <c r="B44" s="266"/>
      <c r="C44" s="266"/>
      <c r="D44" s="2901"/>
      <c r="E44" s="2852"/>
      <c r="F44" s="2853"/>
      <c r="G44" s="1721"/>
      <c r="H44" s="1541"/>
      <c r="I44" s="1541"/>
      <c r="J44" s="1656">
        <v>80</v>
      </c>
      <c r="K44" s="1672" t="s">
        <v>1823</v>
      </c>
      <c r="L44" s="1672" t="s">
        <v>1740</v>
      </c>
      <c r="M44" s="218">
        <v>3803</v>
      </c>
      <c r="N44" s="1725"/>
      <c r="O44" s="2847"/>
      <c r="P44" s="2825"/>
      <c r="Q44" s="1652">
        <v>0</v>
      </c>
      <c r="R44" s="2935"/>
      <c r="S44" s="2825"/>
      <c r="T44" s="1672" t="s">
        <v>1824</v>
      </c>
      <c r="U44" s="2826"/>
      <c r="V44" s="1654">
        <v>0</v>
      </c>
      <c r="W44" s="1674"/>
      <c r="X44" s="1656"/>
      <c r="Y44" s="1976"/>
      <c r="Z44" s="1976"/>
      <c r="AA44" s="1976"/>
      <c r="AB44" s="1976"/>
      <c r="AC44" s="1976"/>
      <c r="AD44" s="1976"/>
      <c r="AE44" s="1976"/>
      <c r="AF44" s="1976"/>
      <c r="AG44" s="1976"/>
      <c r="AH44" s="1976"/>
      <c r="AI44" s="1976"/>
      <c r="AJ44" s="1976"/>
      <c r="AK44" s="1723">
        <v>42822</v>
      </c>
      <c r="AL44" s="1723">
        <v>42822</v>
      </c>
      <c r="AM44" s="1706" t="s">
        <v>1777</v>
      </c>
    </row>
    <row r="45" spans="1:39" ht="216.75" x14ac:dyDescent="0.25">
      <c r="A45" s="266"/>
      <c r="B45" s="266"/>
      <c r="C45" s="266"/>
      <c r="D45" s="2901"/>
      <c r="E45" s="2852"/>
      <c r="F45" s="2853"/>
      <c r="G45" s="1721"/>
      <c r="H45" s="1541"/>
      <c r="I45" s="1541"/>
      <c r="J45" s="1656">
        <v>81</v>
      </c>
      <c r="K45" s="1672" t="s">
        <v>1825</v>
      </c>
      <c r="L45" s="1672" t="s">
        <v>1740</v>
      </c>
      <c r="M45" s="218">
        <v>27</v>
      </c>
      <c r="N45" s="1725"/>
      <c r="O45" s="2847"/>
      <c r="P45" s="2825"/>
      <c r="Q45" s="1652">
        <v>0</v>
      </c>
      <c r="R45" s="2935"/>
      <c r="S45" s="2825"/>
      <c r="T45" s="1672" t="s">
        <v>1808</v>
      </c>
      <c r="U45" s="1673" t="s">
        <v>1809</v>
      </c>
      <c r="V45" s="1654">
        <v>0</v>
      </c>
      <c r="W45" s="1674"/>
      <c r="X45" s="1656"/>
      <c r="Y45" s="1976"/>
      <c r="Z45" s="1976"/>
      <c r="AA45" s="1976"/>
      <c r="AB45" s="1976"/>
      <c r="AC45" s="1976"/>
      <c r="AD45" s="1976"/>
      <c r="AE45" s="1976"/>
      <c r="AF45" s="1976"/>
      <c r="AG45" s="1976"/>
      <c r="AH45" s="1976"/>
      <c r="AI45" s="1976"/>
      <c r="AJ45" s="1976"/>
      <c r="AK45" s="1723">
        <v>42767</v>
      </c>
      <c r="AL45" s="1723">
        <v>43038</v>
      </c>
      <c r="AM45" s="1706" t="s">
        <v>1777</v>
      </c>
    </row>
    <row r="46" spans="1:39" ht="191.25" x14ac:dyDescent="0.25">
      <c r="A46" s="266"/>
      <c r="B46" s="266"/>
      <c r="C46" s="266"/>
      <c r="D46" s="2901"/>
      <c r="E46" s="2852"/>
      <c r="F46" s="2853"/>
      <c r="G46" s="1721"/>
      <c r="H46" s="1541"/>
      <c r="I46" s="1541"/>
      <c r="J46" s="1656">
        <v>82</v>
      </c>
      <c r="K46" s="1672" t="s">
        <v>1826</v>
      </c>
      <c r="L46" s="1672" t="s">
        <v>1740</v>
      </c>
      <c r="M46" s="218">
        <v>27</v>
      </c>
      <c r="N46" s="1726"/>
      <c r="O46" s="1971"/>
      <c r="P46" s="2826"/>
      <c r="Q46" s="1652">
        <v>0</v>
      </c>
      <c r="R46" s="2936"/>
      <c r="S46" s="2826"/>
      <c r="T46" s="1672" t="s">
        <v>1808</v>
      </c>
      <c r="U46" s="1673" t="s">
        <v>1809</v>
      </c>
      <c r="V46" s="1654">
        <v>0</v>
      </c>
      <c r="W46" s="1674"/>
      <c r="X46" s="1656"/>
      <c r="Y46" s="1977"/>
      <c r="Z46" s="1977"/>
      <c r="AA46" s="1977"/>
      <c r="AB46" s="1977"/>
      <c r="AC46" s="1977"/>
      <c r="AD46" s="1977"/>
      <c r="AE46" s="1977"/>
      <c r="AF46" s="1977"/>
      <c r="AG46" s="1977"/>
      <c r="AH46" s="1977"/>
      <c r="AI46" s="1977"/>
      <c r="AJ46" s="1977"/>
      <c r="AK46" s="1723">
        <v>42767</v>
      </c>
      <c r="AL46" s="1723">
        <v>43038</v>
      </c>
      <c r="AM46" s="1706" t="s">
        <v>1777</v>
      </c>
    </row>
    <row r="47" spans="1:39" x14ac:dyDescent="0.25">
      <c r="A47" s="1727"/>
      <c r="B47" s="1728"/>
      <c r="C47" s="1728"/>
      <c r="D47" s="1728"/>
      <c r="E47" s="1728"/>
      <c r="F47" s="1729"/>
      <c r="G47" s="1719">
        <v>20</v>
      </c>
      <c r="H47" s="2837" t="s">
        <v>1827</v>
      </c>
      <c r="I47" s="2837"/>
      <c r="J47" s="2837"/>
      <c r="K47" s="2837"/>
      <c r="L47" s="124"/>
      <c r="M47" s="123"/>
      <c r="N47" s="123"/>
      <c r="O47" s="123"/>
      <c r="P47" s="124"/>
      <c r="Q47" s="123"/>
      <c r="R47" s="123"/>
      <c r="S47" s="124"/>
      <c r="T47" s="124"/>
      <c r="U47" s="124"/>
      <c r="V47" s="123"/>
      <c r="W47" s="123"/>
      <c r="X47" s="123"/>
      <c r="Y47" s="123"/>
      <c r="Z47" s="123"/>
      <c r="AA47" s="123"/>
      <c r="AB47" s="123"/>
      <c r="AC47" s="123"/>
      <c r="AD47" s="123"/>
      <c r="AE47" s="123"/>
      <c r="AF47" s="123"/>
      <c r="AG47" s="123"/>
      <c r="AH47" s="123"/>
      <c r="AI47" s="123"/>
      <c r="AJ47" s="123"/>
      <c r="AK47" s="123"/>
      <c r="AL47" s="123"/>
      <c r="AM47" s="131"/>
    </row>
    <row r="48" spans="1:39" ht="89.25" customHeight="1" x14ac:dyDescent="0.25">
      <c r="A48" s="2915"/>
      <c r="B48" s="2916"/>
      <c r="C48" s="2917"/>
      <c r="D48" s="2924"/>
      <c r="E48" s="2925"/>
      <c r="F48" s="2926"/>
      <c r="G48" s="2915"/>
      <c r="H48" s="2916"/>
      <c r="I48" s="2917"/>
      <c r="J48" s="1984">
        <v>83</v>
      </c>
      <c r="K48" s="2848" t="s">
        <v>1828</v>
      </c>
      <c r="L48" s="2848" t="s">
        <v>1740</v>
      </c>
      <c r="M48" s="2906">
        <v>27</v>
      </c>
      <c r="N48" s="1730"/>
      <c r="O48" s="1984">
        <v>90</v>
      </c>
      <c r="P48" s="2848" t="s">
        <v>1829</v>
      </c>
      <c r="Q48" s="2867">
        <f>SUM(V48:V53)/R48</f>
        <v>0</v>
      </c>
      <c r="R48" s="2000">
        <f>SUM(V48:V69)</f>
        <v>502989553</v>
      </c>
      <c r="S48" s="2912" t="s">
        <v>1830</v>
      </c>
      <c r="T48" s="2848" t="s">
        <v>1831</v>
      </c>
      <c r="U48" s="1731" t="s">
        <v>1832</v>
      </c>
      <c r="V48" s="1664">
        <v>0</v>
      </c>
      <c r="W48" s="1670"/>
      <c r="X48" s="1660"/>
      <c r="Y48" s="2849">
        <v>2732</v>
      </c>
      <c r="Z48" s="2849">
        <v>17360</v>
      </c>
      <c r="AA48" s="2849">
        <v>21116</v>
      </c>
      <c r="AB48" s="2849"/>
      <c r="AC48" s="2849">
        <v>4451</v>
      </c>
      <c r="AD48" s="2849">
        <v>56</v>
      </c>
      <c r="AE48" s="2849"/>
      <c r="AF48" s="2849"/>
      <c r="AG48" s="2849"/>
      <c r="AH48" s="2849"/>
      <c r="AI48" s="2849"/>
      <c r="AJ48" s="2849"/>
      <c r="AK48" s="1671">
        <v>42767</v>
      </c>
      <c r="AL48" s="1671">
        <v>43038</v>
      </c>
      <c r="AM48" s="1732" t="s">
        <v>1777</v>
      </c>
    </row>
    <row r="49" spans="1:39" ht="89.25" customHeight="1" x14ac:dyDescent="0.25">
      <c r="A49" s="2918"/>
      <c r="B49" s="2919"/>
      <c r="C49" s="2920"/>
      <c r="D49" s="2927"/>
      <c r="E49" s="2928"/>
      <c r="F49" s="2929"/>
      <c r="G49" s="2918"/>
      <c r="H49" s="2919"/>
      <c r="I49" s="2920"/>
      <c r="J49" s="2908"/>
      <c r="K49" s="2909"/>
      <c r="L49" s="2909"/>
      <c r="M49" s="2906"/>
      <c r="N49" s="1733"/>
      <c r="O49" s="2908"/>
      <c r="P49" s="2909"/>
      <c r="Q49" s="2910"/>
      <c r="R49" s="2911"/>
      <c r="S49" s="2913"/>
      <c r="T49" s="2909"/>
      <c r="U49" s="1669" t="s">
        <v>1833</v>
      </c>
      <c r="V49" s="1664">
        <v>0</v>
      </c>
      <c r="W49" s="1670"/>
      <c r="X49" s="1660"/>
      <c r="Y49" s="2907"/>
      <c r="Z49" s="2907"/>
      <c r="AA49" s="2907"/>
      <c r="AB49" s="2907"/>
      <c r="AC49" s="2907"/>
      <c r="AD49" s="2907"/>
      <c r="AE49" s="2907"/>
      <c r="AF49" s="2907"/>
      <c r="AG49" s="2907"/>
      <c r="AH49" s="2907"/>
      <c r="AI49" s="2907"/>
      <c r="AJ49" s="2907"/>
      <c r="AK49" s="1671">
        <v>42740</v>
      </c>
      <c r="AL49" s="1671">
        <v>42740</v>
      </c>
      <c r="AM49" s="1732" t="s">
        <v>1777</v>
      </c>
    </row>
    <row r="50" spans="1:39" ht="89.25" customHeight="1" x14ac:dyDescent="0.25">
      <c r="A50" s="2918"/>
      <c r="B50" s="2919"/>
      <c r="C50" s="2920"/>
      <c r="D50" s="2927"/>
      <c r="E50" s="2928"/>
      <c r="F50" s="2929"/>
      <c r="G50" s="2918"/>
      <c r="H50" s="2919"/>
      <c r="I50" s="2920"/>
      <c r="J50" s="2908"/>
      <c r="K50" s="2909"/>
      <c r="L50" s="2909"/>
      <c r="M50" s="2906"/>
      <c r="N50" s="1733"/>
      <c r="O50" s="2908"/>
      <c r="P50" s="2909"/>
      <c r="Q50" s="2910"/>
      <c r="R50" s="2911"/>
      <c r="S50" s="2913"/>
      <c r="T50" s="2909"/>
      <c r="U50" s="1669" t="s">
        <v>1834</v>
      </c>
      <c r="V50" s="1664">
        <v>0</v>
      </c>
      <c r="W50" s="1670"/>
      <c r="X50" s="1660"/>
      <c r="Y50" s="2907"/>
      <c r="Z50" s="2907"/>
      <c r="AA50" s="2907"/>
      <c r="AB50" s="2907"/>
      <c r="AC50" s="2907"/>
      <c r="AD50" s="2907"/>
      <c r="AE50" s="2907"/>
      <c r="AF50" s="2907"/>
      <c r="AG50" s="2907"/>
      <c r="AH50" s="2907"/>
      <c r="AI50" s="2907"/>
      <c r="AJ50" s="2907"/>
      <c r="AK50" s="1671">
        <v>42783</v>
      </c>
      <c r="AL50" s="1671">
        <v>42783</v>
      </c>
      <c r="AM50" s="1732" t="s">
        <v>1777</v>
      </c>
    </row>
    <row r="51" spans="1:39" ht="89.25" customHeight="1" x14ac:dyDescent="0.25">
      <c r="A51" s="2918"/>
      <c r="B51" s="2919"/>
      <c r="C51" s="2920"/>
      <c r="D51" s="2927"/>
      <c r="E51" s="2928"/>
      <c r="F51" s="2929"/>
      <c r="G51" s="2918"/>
      <c r="H51" s="2919"/>
      <c r="I51" s="2920"/>
      <c r="J51" s="2908"/>
      <c r="K51" s="2909"/>
      <c r="L51" s="2909"/>
      <c r="M51" s="2906"/>
      <c r="N51" s="1733"/>
      <c r="O51" s="2908"/>
      <c r="P51" s="2909"/>
      <c r="Q51" s="2910"/>
      <c r="R51" s="2911"/>
      <c r="S51" s="2913"/>
      <c r="T51" s="2909"/>
      <c r="U51" s="1669" t="s">
        <v>1835</v>
      </c>
      <c r="V51" s="1664">
        <v>0</v>
      </c>
      <c r="W51" s="1670"/>
      <c r="X51" s="1660"/>
      <c r="Y51" s="2907"/>
      <c r="Z51" s="2907"/>
      <c r="AA51" s="2907"/>
      <c r="AB51" s="2907"/>
      <c r="AC51" s="2907"/>
      <c r="AD51" s="2907"/>
      <c r="AE51" s="2907"/>
      <c r="AF51" s="2907"/>
      <c r="AG51" s="2907"/>
      <c r="AH51" s="2907"/>
      <c r="AI51" s="2907"/>
      <c r="AJ51" s="2907"/>
      <c r="AK51" s="1671">
        <v>42789</v>
      </c>
      <c r="AL51" s="1671">
        <v>42789</v>
      </c>
      <c r="AM51" s="1732" t="s">
        <v>1777</v>
      </c>
    </row>
    <row r="52" spans="1:39" ht="89.25" customHeight="1" x14ac:dyDescent="0.25">
      <c r="A52" s="2918"/>
      <c r="B52" s="2919"/>
      <c r="C52" s="2920"/>
      <c r="D52" s="2927"/>
      <c r="E52" s="2928"/>
      <c r="F52" s="2929"/>
      <c r="G52" s="2918"/>
      <c r="H52" s="2919"/>
      <c r="I52" s="2920"/>
      <c r="J52" s="2908"/>
      <c r="K52" s="2909"/>
      <c r="L52" s="2909"/>
      <c r="M52" s="2906"/>
      <c r="N52" s="1733"/>
      <c r="O52" s="2908"/>
      <c r="P52" s="2909"/>
      <c r="Q52" s="2910"/>
      <c r="R52" s="2911"/>
      <c r="S52" s="2913"/>
      <c r="T52" s="2909"/>
      <c r="U52" s="1669" t="s">
        <v>1836</v>
      </c>
      <c r="V52" s="1664">
        <v>0</v>
      </c>
      <c r="W52" s="1670"/>
      <c r="X52" s="1660"/>
      <c r="Y52" s="2907"/>
      <c r="Z52" s="2907"/>
      <c r="AA52" s="2907"/>
      <c r="AB52" s="2907"/>
      <c r="AC52" s="2907"/>
      <c r="AD52" s="2907"/>
      <c r="AE52" s="2907"/>
      <c r="AF52" s="2907"/>
      <c r="AG52" s="2907"/>
      <c r="AH52" s="2907"/>
      <c r="AI52" s="2907"/>
      <c r="AJ52" s="2907"/>
      <c r="AK52" s="1671">
        <v>42797</v>
      </c>
      <c r="AL52" s="1671">
        <v>42797</v>
      </c>
      <c r="AM52" s="1732" t="s">
        <v>1777</v>
      </c>
    </row>
    <row r="53" spans="1:39" ht="89.25" customHeight="1" x14ac:dyDescent="0.25">
      <c r="A53" s="2918"/>
      <c r="B53" s="2919"/>
      <c r="C53" s="2920"/>
      <c r="D53" s="2927"/>
      <c r="E53" s="2928"/>
      <c r="F53" s="2929"/>
      <c r="G53" s="2918"/>
      <c r="H53" s="2919"/>
      <c r="I53" s="2920"/>
      <c r="J53" s="2908"/>
      <c r="K53" s="2909"/>
      <c r="L53" s="2909"/>
      <c r="M53" s="2906"/>
      <c r="N53" s="1733"/>
      <c r="O53" s="2908"/>
      <c r="P53" s="2909"/>
      <c r="Q53" s="2910"/>
      <c r="R53" s="2911"/>
      <c r="S53" s="2913"/>
      <c r="T53" s="2909"/>
      <c r="U53" s="1669" t="s">
        <v>1837</v>
      </c>
      <c r="V53" s="1664">
        <v>0</v>
      </c>
      <c r="W53" s="1670"/>
      <c r="X53" s="1660"/>
      <c r="Y53" s="2907"/>
      <c r="Z53" s="2907"/>
      <c r="AA53" s="2907"/>
      <c r="AB53" s="2907"/>
      <c r="AC53" s="2907"/>
      <c r="AD53" s="2907"/>
      <c r="AE53" s="2907"/>
      <c r="AF53" s="2907"/>
      <c r="AG53" s="2907"/>
      <c r="AH53" s="2907"/>
      <c r="AI53" s="2907"/>
      <c r="AJ53" s="2907"/>
      <c r="AK53" s="1671">
        <v>42803</v>
      </c>
      <c r="AL53" s="1671">
        <v>42803</v>
      </c>
      <c r="AM53" s="1732" t="s">
        <v>1777</v>
      </c>
    </row>
    <row r="54" spans="1:39" ht="89.25" customHeight="1" x14ac:dyDescent="0.25">
      <c r="A54" s="2918"/>
      <c r="B54" s="2919"/>
      <c r="C54" s="2920"/>
      <c r="D54" s="2927"/>
      <c r="E54" s="2928"/>
      <c r="F54" s="2929"/>
      <c r="G54" s="2918"/>
      <c r="H54" s="2919"/>
      <c r="I54" s="2920"/>
      <c r="J54" s="2908"/>
      <c r="K54" s="2909"/>
      <c r="L54" s="2909"/>
      <c r="M54" s="2906"/>
      <c r="N54" s="1733"/>
      <c r="O54" s="2908"/>
      <c r="P54" s="2909"/>
      <c r="Q54" s="2910"/>
      <c r="R54" s="2911"/>
      <c r="S54" s="2913"/>
      <c r="T54" s="2909"/>
      <c r="U54" s="1669" t="s">
        <v>1838</v>
      </c>
      <c r="V54" s="1664">
        <v>0</v>
      </c>
      <c r="W54" s="1670"/>
      <c r="X54" s="1660"/>
      <c r="Y54" s="2907"/>
      <c r="Z54" s="2907"/>
      <c r="AA54" s="2907"/>
      <c r="AB54" s="2907"/>
      <c r="AC54" s="2907"/>
      <c r="AD54" s="2907"/>
      <c r="AE54" s="2907"/>
      <c r="AF54" s="2907"/>
      <c r="AG54" s="2907"/>
      <c r="AH54" s="2907"/>
      <c r="AI54" s="2907"/>
      <c r="AJ54" s="2907"/>
      <c r="AK54" s="1671">
        <v>42828</v>
      </c>
      <c r="AL54" s="1671">
        <v>43025</v>
      </c>
      <c r="AM54" s="1732" t="s">
        <v>1777</v>
      </c>
    </row>
    <row r="55" spans="1:39" ht="127.5" x14ac:dyDescent="0.25">
      <c r="A55" s="2918"/>
      <c r="B55" s="2919"/>
      <c r="C55" s="2920"/>
      <c r="D55" s="2927"/>
      <c r="E55" s="2928"/>
      <c r="F55" s="2929"/>
      <c r="G55" s="2918"/>
      <c r="H55" s="2919"/>
      <c r="I55" s="2920"/>
      <c r="J55" s="1660">
        <v>84</v>
      </c>
      <c r="K55" s="1669" t="s">
        <v>1839</v>
      </c>
      <c r="L55" s="1669" t="s">
        <v>1740</v>
      </c>
      <c r="M55" s="1660">
        <v>15</v>
      </c>
      <c r="N55" s="1733"/>
      <c r="O55" s="2908"/>
      <c r="P55" s="2909"/>
      <c r="Q55" s="1734">
        <f>+V55/R48</f>
        <v>0</v>
      </c>
      <c r="R55" s="2911"/>
      <c r="S55" s="2913"/>
      <c r="T55" s="1669" t="s">
        <v>1840</v>
      </c>
      <c r="U55" s="1669" t="s">
        <v>1841</v>
      </c>
      <c r="V55" s="1664">
        <v>0</v>
      </c>
      <c r="W55" s="1670"/>
      <c r="X55" s="1660"/>
      <c r="Y55" s="2907"/>
      <c r="Z55" s="2907"/>
      <c r="AA55" s="2907"/>
      <c r="AB55" s="2907"/>
      <c r="AC55" s="2907"/>
      <c r="AD55" s="2907"/>
      <c r="AE55" s="2907"/>
      <c r="AF55" s="2907"/>
      <c r="AG55" s="2907"/>
      <c r="AH55" s="2907"/>
      <c r="AI55" s="2907"/>
      <c r="AJ55" s="2907"/>
      <c r="AK55" s="1671">
        <v>42835</v>
      </c>
      <c r="AL55" s="1671">
        <v>42839</v>
      </c>
      <c r="AM55" s="1732" t="s">
        <v>1777</v>
      </c>
    </row>
    <row r="56" spans="1:39" ht="102" x14ac:dyDescent="0.25">
      <c r="A56" s="2918"/>
      <c r="B56" s="2919"/>
      <c r="C56" s="2920"/>
      <c r="D56" s="2927"/>
      <c r="E56" s="2928"/>
      <c r="F56" s="2929"/>
      <c r="G56" s="2918"/>
      <c r="H56" s="2919"/>
      <c r="I56" s="2920"/>
      <c r="J56" s="1660">
        <v>85</v>
      </c>
      <c r="K56" s="1669" t="s">
        <v>1842</v>
      </c>
      <c r="L56" s="1669" t="s">
        <v>1740</v>
      </c>
      <c r="M56" s="1660">
        <v>15</v>
      </c>
      <c r="N56" s="1733"/>
      <c r="O56" s="2908"/>
      <c r="P56" s="2909"/>
      <c r="Q56" s="1734">
        <f>+V56/R48</f>
        <v>3.9762257249108313E-2</v>
      </c>
      <c r="R56" s="2911"/>
      <c r="S56" s="2913"/>
      <c r="T56" s="1735" t="s">
        <v>1843</v>
      </c>
      <c r="U56" s="1669" t="s">
        <v>1844</v>
      </c>
      <c r="V56" s="1664">
        <v>20000000</v>
      </c>
      <c r="W56" s="1670"/>
      <c r="X56" s="1660"/>
      <c r="Y56" s="2907"/>
      <c r="Z56" s="2907"/>
      <c r="AA56" s="2907"/>
      <c r="AB56" s="2907"/>
      <c r="AC56" s="2907"/>
      <c r="AD56" s="2907"/>
      <c r="AE56" s="2907"/>
      <c r="AF56" s="2907"/>
      <c r="AG56" s="2907"/>
      <c r="AH56" s="2907"/>
      <c r="AI56" s="2907"/>
      <c r="AJ56" s="2907"/>
      <c r="AK56" s="1671">
        <v>42745</v>
      </c>
      <c r="AL56" s="1671">
        <v>42745</v>
      </c>
      <c r="AM56" s="1732" t="s">
        <v>1777</v>
      </c>
    </row>
    <row r="57" spans="1:39" ht="153" x14ac:dyDescent="0.25">
      <c r="A57" s="2918"/>
      <c r="B57" s="2919"/>
      <c r="C57" s="2920"/>
      <c r="D57" s="2927"/>
      <c r="E57" s="2928"/>
      <c r="F57" s="2929"/>
      <c r="G57" s="2918"/>
      <c r="H57" s="2919"/>
      <c r="I57" s="2920"/>
      <c r="J57" s="1660">
        <v>87</v>
      </c>
      <c r="K57" s="1669" t="s">
        <v>1845</v>
      </c>
      <c r="L57" s="1669" t="s">
        <v>1740</v>
      </c>
      <c r="M57" s="1660">
        <v>30</v>
      </c>
      <c r="N57" s="1736"/>
      <c r="O57" s="2908"/>
      <c r="P57" s="2909"/>
      <c r="Q57" s="1734">
        <f>+V57/R48</f>
        <v>0.2908930237761817</v>
      </c>
      <c r="R57" s="2911"/>
      <c r="S57" s="2913"/>
      <c r="T57" s="1669" t="s">
        <v>1846</v>
      </c>
      <c r="U57" s="1669" t="s">
        <v>1847</v>
      </c>
      <c r="V57" s="1664">
        <f>10000000+136316152</f>
        <v>146316152</v>
      </c>
      <c r="W57" s="1670">
        <v>20</v>
      </c>
      <c r="X57" s="1660" t="s">
        <v>51</v>
      </c>
      <c r="Y57" s="2907"/>
      <c r="Z57" s="2907"/>
      <c r="AA57" s="2907"/>
      <c r="AB57" s="2907"/>
      <c r="AC57" s="2907"/>
      <c r="AD57" s="2907"/>
      <c r="AE57" s="2907"/>
      <c r="AF57" s="2907"/>
      <c r="AG57" s="2907"/>
      <c r="AH57" s="2907"/>
      <c r="AI57" s="2907"/>
      <c r="AJ57" s="2907"/>
      <c r="AK57" s="1671">
        <v>42796</v>
      </c>
      <c r="AL57" s="1671">
        <v>42827</v>
      </c>
      <c r="AM57" s="1732" t="s">
        <v>1777</v>
      </c>
    </row>
    <row r="58" spans="1:39" ht="25.5" x14ac:dyDescent="0.25">
      <c r="A58" s="2918"/>
      <c r="B58" s="2919"/>
      <c r="C58" s="2920"/>
      <c r="D58" s="2927"/>
      <c r="E58" s="2928"/>
      <c r="F58" s="2929"/>
      <c r="G58" s="2918"/>
      <c r="H58" s="2919"/>
      <c r="I58" s="2920"/>
      <c r="J58" s="1984">
        <v>88</v>
      </c>
      <c r="K58" s="1984" t="s">
        <v>1848</v>
      </c>
      <c r="L58" s="1984" t="s">
        <v>1740</v>
      </c>
      <c r="M58" s="1984">
        <v>29</v>
      </c>
      <c r="N58" s="1736" t="s">
        <v>1849</v>
      </c>
      <c r="O58" s="2908"/>
      <c r="P58" s="2909"/>
      <c r="Q58" s="1997">
        <f>+V59/R48</f>
        <v>9.9405643122770782E-2</v>
      </c>
      <c r="R58" s="2911"/>
      <c r="S58" s="2913"/>
      <c r="T58" s="1984" t="s">
        <v>1850</v>
      </c>
      <c r="U58" s="1669" t="s">
        <v>1851</v>
      </c>
      <c r="V58" s="1664">
        <f>50000000-50000000</f>
        <v>0</v>
      </c>
      <c r="W58" s="1670"/>
      <c r="X58" s="1660"/>
      <c r="Y58" s="2907"/>
      <c r="Z58" s="2907"/>
      <c r="AA58" s="2907"/>
      <c r="AB58" s="2907"/>
      <c r="AC58" s="2907"/>
      <c r="AD58" s="2907"/>
      <c r="AE58" s="2907"/>
      <c r="AF58" s="2907"/>
      <c r="AG58" s="2907"/>
      <c r="AH58" s="2907"/>
      <c r="AI58" s="2907"/>
      <c r="AJ58" s="2907"/>
      <c r="AK58" s="1671"/>
      <c r="AL58" s="1671"/>
      <c r="AM58" s="1732"/>
    </row>
    <row r="59" spans="1:39" ht="89.25" customHeight="1" x14ac:dyDescent="0.25">
      <c r="A59" s="2918"/>
      <c r="B59" s="2919"/>
      <c r="C59" s="2920"/>
      <c r="D59" s="2927"/>
      <c r="E59" s="2928"/>
      <c r="F59" s="2929"/>
      <c r="G59" s="2918"/>
      <c r="H59" s="2919"/>
      <c r="I59" s="2920"/>
      <c r="J59" s="1982"/>
      <c r="K59" s="1982"/>
      <c r="L59" s="1982"/>
      <c r="M59" s="1982"/>
      <c r="N59" s="1736" t="s">
        <v>1852</v>
      </c>
      <c r="O59" s="2908"/>
      <c r="P59" s="2909"/>
      <c r="Q59" s="1995"/>
      <c r="R59" s="2911"/>
      <c r="S59" s="2913"/>
      <c r="T59" s="1982"/>
      <c r="U59" s="1669" t="s">
        <v>1853</v>
      </c>
      <c r="V59" s="1664">
        <v>50000000</v>
      </c>
      <c r="W59" s="1670"/>
      <c r="X59" s="1660"/>
      <c r="Y59" s="2907"/>
      <c r="Z59" s="2907"/>
      <c r="AA59" s="2907"/>
      <c r="AB59" s="2907"/>
      <c r="AC59" s="2907"/>
      <c r="AD59" s="2907"/>
      <c r="AE59" s="2907"/>
      <c r="AF59" s="2907"/>
      <c r="AG59" s="2907"/>
      <c r="AH59" s="2907"/>
      <c r="AI59" s="2907"/>
      <c r="AJ59" s="2907"/>
      <c r="AK59" s="1671">
        <v>42767</v>
      </c>
      <c r="AL59" s="1671">
        <v>43038</v>
      </c>
      <c r="AM59" s="1732" t="s">
        <v>1777</v>
      </c>
    </row>
    <row r="60" spans="1:39" ht="89.25" customHeight="1" x14ac:dyDescent="0.25">
      <c r="A60" s="2918"/>
      <c r="B60" s="2919"/>
      <c r="C60" s="2920"/>
      <c r="D60" s="2927"/>
      <c r="E60" s="2928"/>
      <c r="F60" s="2929"/>
      <c r="G60" s="2918"/>
      <c r="H60" s="2919"/>
      <c r="I60" s="2920"/>
      <c r="J60" s="1984">
        <v>86</v>
      </c>
      <c r="K60" s="2848" t="s">
        <v>1854</v>
      </c>
      <c r="L60" s="2848" t="s">
        <v>1740</v>
      </c>
      <c r="M60" s="1983">
        <v>4</v>
      </c>
      <c r="N60" s="1736" t="s">
        <v>1855</v>
      </c>
      <c r="O60" s="2908"/>
      <c r="P60" s="2909"/>
      <c r="Q60" s="2867">
        <f>V60/R48</f>
        <v>9.2791988862639466E-2</v>
      </c>
      <c r="R60" s="2911"/>
      <c r="S60" s="2913"/>
      <c r="T60" s="2848" t="s">
        <v>1846</v>
      </c>
      <c r="U60" s="1669" t="s">
        <v>1856</v>
      </c>
      <c r="V60" s="1664">
        <f>96673401-50000000</f>
        <v>46673401</v>
      </c>
      <c r="W60" s="1670"/>
      <c r="X60" s="1660"/>
      <c r="Y60" s="2907"/>
      <c r="Z60" s="2907"/>
      <c r="AA60" s="2907"/>
      <c r="AB60" s="2907"/>
      <c r="AC60" s="2907"/>
      <c r="AD60" s="2907"/>
      <c r="AE60" s="2907"/>
      <c r="AF60" s="2907"/>
      <c r="AG60" s="2907"/>
      <c r="AH60" s="2907"/>
      <c r="AI60" s="2907"/>
      <c r="AJ60" s="2907"/>
      <c r="AK60" s="1671">
        <v>42853</v>
      </c>
      <c r="AL60" s="1671">
        <v>42853</v>
      </c>
      <c r="AM60" s="1732" t="s">
        <v>1777</v>
      </c>
    </row>
    <row r="61" spans="1:39" ht="89.25" customHeight="1" x14ac:dyDescent="0.25">
      <c r="A61" s="2918"/>
      <c r="B61" s="2919"/>
      <c r="C61" s="2920"/>
      <c r="D61" s="2927"/>
      <c r="E61" s="2928"/>
      <c r="F61" s="2929"/>
      <c r="G61" s="2918"/>
      <c r="H61" s="2919"/>
      <c r="I61" s="2920"/>
      <c r="J61" s="2908"/>
      <c r="K61" s="2909"/>
      <c r="L61" s="2909"/>
      <c r="M61" s="1983"/>
      <c r="N61" s="1736" t="s">
        <v>1857</v>
      </c>
      <c r="O61" s="2908"/>
      <c r="P61" s="2909"/>
      <c r="Q61" s="2910"/>
      <c r="R61" s="2911"/>
      <c r="S61" s="2913"/>
      <c r="T61" s="2909"/>
      <c r="U61" s="1669" t="s">
        <v>1858</v>
      </c>
      <c r="V61" s="1664">
        <v>0</v>
      </c>
      <c r="W61" s="1670"/>
      <c r="X61" s="1660"/>
      <c r="Y61" s="2907"/>
      <c r="Z61" s="2907"/>
      <c r="AA61" s="2907"/>
      <c r="AB61" s="2907"/>
      <c r="AC61" s="2907"/>
      <c r="AD61" s="2907"/>
      <c r="AE61" s="2907"/>
      <c r="AF61" s="2907"/>
      <c r="AG61" s="2907"/>
      <c r="AH61" s="2907"/>
      <c r="AI61" s="2907"/>
      <c r="AJ61" s="2907"/>
      <c r="AK61" s="1671">
        <v>42895</v>
      </c>
      <c r="AL61" s="1671">
        <v>42895</v>
      </c>
      <c r="AM61" s="1732" t="s">
        <v>1777</v>
      </c>
    </row>
    <row r="62" spans="1:39" ht="89.25" customHeight="1" x14ac:dyDescent="0.25">
      <c r="A62" s="2918"/>
      <c r="B62" s="2919"/>
      <c r="C62" s="2920"/>
      <c r="D62" s="2927"/>
      <c r="E62" s="2928"/>
      <c r="F62" s="2929"/>
      <c r="G62" s="2918"/>
      <c r="H62" s="2919"/>
      <c r="I62" s="2920"/>
      <c r="J62" s="2908"/>
      <c r="K62" s="2909"/>
      <c r="L62" s="2909"/>
      <c r="M62" s="1983"/>
      <c r="N62" s="1733"/>
      <c r="O62" s="2908"/>
      <c r="P62" s="2909"/>
      <c r="Q62" s="2910"/>
      <c r="R62" s="2911"/>
      <c r="S62" s="2913"/>
      <c r="T62" s="2909"/>
      <c r="U62" s="1669" t="s">
        <v>1859</v>
      </c>
      <c r="V62" s="1664">
        <v>0</v>
      </c>
      <c r="W62" s="1670"/>
      <c r="X62" s="1660"/>
      <c r="Y62" s="2907"/>
      <c r="Z62" s="2907"/>
      <c r="AA62" s="2907"/>
      <c r="AB62" s="2907"/>
      <c r="AC62" s="2907"/>
      <c r="AD62" s="2907"/>
      <c r="AE62" s="2907"/>
      <c r="AF62" s="2907"/>
      <c r="AG62" s="2907"/>
      <c r="AH62" s="2907"/>
      <c r="AI62" s="2907"/>
      <c r="AJ62" s="2907"/>
      <c r="AK62" s="1671">
        <v>42934</v>
      </c>
      <c r="AL62" s="1671">
        <v>42934</v>
      </c>
      <c r="AM62" s="1732" t="s">
        <v>1777</v>
      </c>
    </row>
    <row r="63" spans="1:39" ht="89.25" customHeight="1" x14ac:dyDescent="0.25">
      <c r="A63" s="2918"/>
      <c r="B63" s="2919"/>
      <c r="C63" s="2920"/>
      <c r="D63" s="2927"/>
      <c r="E63" s="2928"/>
      <c r="F63" s="2929"/>
      <c r="G63" s="2918"/>
      <c r="H63" s="2919"/>
      <c r="I63" s="2920"/>
      <c r="J63" s="2908"/>
      <c r="K63" s="2909"/>
      <c r="L63" s="2909"/>
      <c r="M63" s="1983"/>
      <c r="N63" s="1733"/>
      <c r="O63" s="2908"/>
      <c r="P63" s="2909"/>
      <c r="Q63" s="2910"/>
      <c r="R63" s="2911"/>
      <c r="S63" s="2913"/>
      <c r="T63" s="2909"/>
      <c r="U63" s="1669" t="s">
        <v>1860</v>
      </c>
      <c r="V63" s="1664">
        <v>0</v>
      </c>
      <c r="W63" s="1670"/>
      <c r="X63" s="1660"/>
      <c r="Y63" s="2907"/>
      <c r="Z63" s="2907"/>
      <c r="AA63" s="2907"/>
      <c r="AB63" s="2907"/>
      <c r="AC63" s="2907"/>
      <c r="AD63" s="2907"/>
      <c r="AE63" s="2907"/>
      <c r="AF63" s="2907"/>
      <c r="AG63" s="2907"/>
      <c r="AH63" s="2907"/>
      <c r="AI63" s="2907"/>
      <c r="AJ63" s="2907"/>
      <c r="AK63" s="1671">
        <v>42935</v>
      </c>
      <c r="AL63" s="1671">
        <v>42935</v>
      </c>
      <c r="AM63" s="1732" t="s">
        <v>1777</v>
      </c>
    </row>
    <row r="64" spans="1:39" ht="89.25" customHeight="1" x14ac:dyDescent="0.25">
      <c r="A64" s="2918"/>
      <c r="B64" s="2919"/>
      <c r="C64" s="2920"/>
      <c r="D64" s="2927"/>
      <c r="E64" s="2928"/>
      <c r="F64" s="2929"/>
      <c r="G64" s="2918"/>
      <c r="H64" s="2919"/>
      <c r="I64" s="2920"/>
      <c r="J64" s="1982"/>
      <c r="K64" s="2005"/>
      <c r="L64" s="2005"/>
      <c r="M64" s="1983"/>
      <c r="N64" s="1733"/>
      <c r="O64" s="2908"/>
      <c r="P64" s="2909"/>
      <c r="Q64" s="2868"/>
      <c r="R64" s="2911"/>
      <c r="S64" s="2913"/>
      <c r="T64" s="2909"/>
      <c r="U64" s="1669" t="s">
        <v>1861</v>
      </c>
      <c r="V64" s="1664">
        <v>0</v>
      </c>
      <c r="W64" s="1670"/>
      <c r="X64" s="1660"/>
      <c r="Y64" s="2907"/>
      <c r="Z64" s="2907"/>
      <c r="AA64" s="2907"/>
      <c r="AB64" s="2907"/>
      <c r="AC64" s="2907"/>
      <c r="AD64" s="2907"/>
      <c r="AE64" s="2907"/>
      <c r="AF64" s="2907"/>
      <c r="AG64" s="2907"/>
      <c r="AH64" s="2907"/>
      <c r="AI64" s="2907"/>
      <c r="AJ64" s="2907"/>
      <c r="AK64" s="1671">
        <v>43032</v>
      </c>
      <c r="AL64" s="1671">
        <v>43032</v>
      </c>
      <c r="AM64" s="1732" t="s">
        <v>1777</v>
      </c>
    </row>
    <row r="65" spans="1:39" ht="114.75" x14ac:dyDescent="0.25">
      <c r="A65" s="2918"/>
      <c r="B65" s="2919"/>
      <c r="C65" s="2920"/>
      <c r="D65" s="2927"/>
      <c r="E65" s="2928"/>
      <c r="F65" s="2929"/>
      <c r="G65" s="2918"/>
      <c r="H65" s="2919"/>
      <c r="I65" s="2920"/>
      <c r="J65" s="1660">
        <v>89</v>
      </c>
      <c r="K65" s="1669" t="s">
        <v>1862</v>
      </c>
      <c r="L65" s="1669" t="s">
        <v>1740</v>
      </c>
      <c r="M65" s="1660">
        <v>13000</v>
      </c>
      <c r="N65" s="1733"/>
      <c r="O65" s="2908"/>
      <c r="P65" s="2909"/>
      <c r="Q65" s="1734">
        <f>+V65/R48</f>
        <v>0</v>
      </c>
      <c r="R65" s="2911"/>
      <c r="S65" s="2913"/>
      <c r="T65" s="1669" t="s">
        <v>1863</v>
      </c>
      <c r="U65" s="1669" t="s">
        <v>1864</v>
      </c>
      <c r="V65" s="1664">
        <v>0</v>
      </c>
      <c r="W65" s="1670"/>
      <c r="X65" s="1660"/>
      <c r="Y65" s="2907"/>
      <c r="Z65" s="2907"/>
      <c r="AA65" s="2907"/>
      <c r="AB65" s="2907"/>
      <c r="AC65" s="2907"/>
      <c r="AD65" s="2907"/>
      <c r="AE65" s="2907"/>
      <c r="AF65" s="2907"/>
      <c r="AG65" s="2907"/>
      <c r="AH65" s="2907"/>
      <c r="AI65" s="2907"/>
      <c r="AJ65" s="2907"/>
      <c r="AK65" s="1671">
        <v>42784</v>
      </c>
      <c r="AL65" s="1671">
        <v>43069</v>
      </c>
      <c r="AM65" s="1732" t="s">
        <v>1777</v>
      </c>
    </row>
    <row r="66" spans="1:39" ht="89.25" customHeight="1" x14ac:dyDescent="0.25">
      <c r="A66" s="2918"/>
      <c r="B66" s="2919"/>
      <c r="C66" s="2920"/>
      <c r="D66" s="2927"/>
      <c r="E66" s="2928"/>
      <c r="F66" s="2929"/>
      <c r="G66" s="2918"/>
      <c r="H66" s="2919"/>
      <c r="I66" s="2920"/>
      <c r="J66" s="1984">
        <v>90</v>
      </c>
      <c r="K66" s="2848" t="s">
        <v>1865</v>
      </c>
      <c r="L66" s="2848" t="s">
        <v>1740</v>
      </c>
      <c r="M66" s="2906">
        <v>115</v>
      </c>
      <c r="N66" s="1733"/>
      <c r="O66" s="2908"/>
      <c r="P66" s="2909"/>
      <c r="Q66" s="1997">
        <f>(V66+V67)/R48</f>
        <v>7.9524514498216625E-2</v>
      </c>
      <c r="R66" s="2911"/>
      <c r="S66" s="2913"/>
      <c r="T66" s="2848" t="s">
        <v>1866</v>
      </c>
      <c r="U66" s="1669" t="s">
        <v>1867</v>
      </c>
      <c r="V66" s="1664">
        <f>40000000-16000000</f>
        <v>24000000</v>
      </c>
      <c r="W66" s="1670"/>
      <c r="X66" s="1660"/>
      <c r="Y66" s="2907"/>
      <c r="Z66" s="2907"/>
      <c r="AA66" s="2907"/>
      <c r="AB66" s="2907"/>
      <c r="AC66" s="2907"/>
      <c r="AD66" s="2907"/>
      <c r="AE66" s="2907"/>
      <c r="AF66" s="2907"/>
      <c r="AG66" s="2907"/>
      <c r="AH66" s="2907"/>
      <c r="AI66" s="2907"/>
      <c r="AJ66" s="2907"/>
      <c r="AK66" s="1671">
        <v>42767</v>
      </c>
      <c r="AL66" s="1671">
        <v>43069</v>
      </c>
      <c r="AM66" s="1732" t="s">
        <v>1777</v>
      </c>
    </row>
    <row r="67" spans="1:39" ht="102" x14ac:dyDescent="0.25">
      <c r="A67" s="2918"/>
      <c r="B67" s="2919"/>
      <c r="C67" s="2920"/>
      <c r="D67" s="2927"/>
      <c r="E67" s="2928"/>
      <c r="F67" s="2929"/>
      <c r="G67" s="2918"/>
      <c r="H67" s="2919"/>
      <c r="I67" s="2920"/>
      <c r="J67" s="1982"/>
      <c r="K67" s="2005"/>
      <c r="L67" s="2005"/>
      <c r="M67" s="2906"/>
      <c r="N67" s="1733"/>
      <c r="O67" s="2908"/>
      <c r="P67" s="2909"/>
      <c r="Q67" s="1995"/>
      <c r="R67" s="2911"/>
      <c r="S67" s="2913"/>
      <c r="T67" s="2005"/>
      <c r="U67" s="1669" t="s">
        <v>1868</v>
      </c>
      <c r="V67" s="1664">
        <v>16000000</v>
      </c>
      <c r="W67" s="1670">
        <v>20</v>
      </c>
      <c r="X67" s="1660" t="s">
        <v>51</v>
      </c>
      <c r="Y67" s="2907"/>
      <c r="Z67" s="2907"/>
      <c r="AA67" s="2907"/>
      <c r="AB67" s="2907"/>
      <c r="AC67" s="2907"/>
      <c r="AD67" s="2907"/>
      <c r="AE67" s="2907"/>
      <c r="AF67" s="2907"/>
      <c r="AG67" s="2907"/>
      <c r="AH67" s="2907"/>
      <c r="AI67" s="2907"/>
      <c r="AJ67" s="2907"/>
      <c r="AK67" s="1671">
        <v>42795</v>
      </c>
      <c r="AL67" s="1671">
        <v>43003</v>
      </c>
      <c r="AM67" s="1732" t="s">
        <v>1777</v>
      </c>
    </row>
    <row r="68" spans="1:39" ht="140.25" x14ac:dyDescent="0.25">
      <c r="A68" s="2918"/>
      <c r="B68" s="2919"/>
      <c r="C68" s="2920"/>
      <c r="D68" s="2927"/>
      <c r="E68" s="2928"/>
      <c r="F68" s="2929"/>
      <c r="G68" s="2918"/>
      <c r="H68" s="2919"/>
      <c r="I68" s="2920"/>
      <c r="J68" s="1660">
        <v>91</v>
      </c>
      <c r="K68" s="1669" t="s">
        <v>1869</v>
      </c>
      <c r="L68" s="1669" t="s">
        <v>1740</v>
      </c>
      <c r="M68" s="218">
        <v>54</v>
      </c>
      <c r="N68" s="1733"/>
      <c r="O68" s="2908"/>
      <c r="P68" s="2909"/>
      <c r="Q68" s="1734">
        <f>+V68/R48</f>
        <v>0.39762257249108313</v>
      </c>
      <c r="R68" s="2911"/>
      <c r="S68" s="2913"/>
      <c r="T68" s="1669" t="s">
        <v>1870</v>
      </c>
      <c r="U68" s="1669" t="s">
        <v>1871</v>
      </c>
      <c r="V68" s="1664">
        <f>150000000+50000000</f>
        <v>200000000</v>
      </c>
      <c r="W68" s="1670"/>
      <c r="X68" s="1660"/>
      <c r="Y68" s="2907"/>
      <c r="Z68" s="2907"/>
      <c r="AA68" s="2907"/>
      <c r="AB68" s="2907"/>
      <c r="AC68" s="2907"/>
      <c r="AD68" s="2907"/>
      <c r="AE68" s="2907"/>
      <c r="AF68" s="2907"/>
      <c r="AG68" s="2907"/>
      <c r="AH68" s="2907"/>
      <c r="AI68" s="2907"/>
      <c r="AJ68" s="2907"/>
      <c r="AK68" s="1671"/>
      <c r="AL68" s="1671"/>
      <c r="AM68" s="1732" t="s">
        <v>1777</v>
      </c>
    </row>
    <row r="69" spans="1:39" ht="191.25" x14ac:dyDescent="0.25">
      <c r="A69" s="2921"/>
      <c r="B69" s="2922"/>
      <c r="C69" s="2923"/>
      <c r="D69" s="2930"/>
      <c r="E69" s="2931"/>
      <c r="F69" s="2932"/>
      <c r="G69" s="2921"/>
      <c r="H69" s="2922"/>
      <c r="I69" s="2923"/>
      <c r="J69" s="1660">
        <v>92</v>
      </c>
      <c r="K69" s="1669" t="s">
        <v>1872</v>
      </c>
      <c r="L69" s="1669" t="s">
        <v>1740</v>
      </c>
      <c r="M69" s="218">
        <v>2</v>
      </c>
      <c r="N69" s="1737"/>
      <c r="O69" s="1982"/>
      <c r="P69" s="2005"/>
      <c r="Q69" s="1734">
        <f>+V69/R48</f>
        <v>0</v>
      </c>
      <c r="R69" s="1998"/>
      <c r="S69" s="2914"/>
      <c r="T69" s="1669" t="s">
        <v>1873</v>
      </c>
      <c r="U69" s="1669" t="s">
        <v>1874</v>
      </c>
      <c r="V69" s="1664">
        <v>0</v>
      </c>
      <c r="W69" s="1670"/>
      <c r="X69" s="1660"/>
      <c r="Y69" s="2850"/>
      <c r="Z69" s="2850"/>
      <c r="AA69" s="2850"/>
      <c r="AB69" s="2850"/>
      <c r="AC69" s="2850"/>
      <c r="AD69" s="2850"/>
      <c r="AE69" s="2850"/>
      <c r="AF69" s="2850"/>
      <c r="AG69" s="2850"/>
      <c r="AH69" s="2850"/>
      <c r="AI69" s="2850"/>
      <c r="AJ69" s="2850"/>
      <c r="AK69" s="1671">
        <v>42842</v>
      </c>
      <c r="AL69" s="1671">
        <v>42872</v>
      </c>
      <c r="AM69" s="1732" t="s">
        <v>1777</v>
      </c>
    </row>
    <row r="70" spans="1:39" x14ac:dyDescent="0.25">
      <c r="A70" s="1727"/>
      <c r="B70" s="1728"/>
      <c r="C70" s="1728"/>
      <c r="D70" s="1728"/>
      <c r="E70" s="1728"/>
      <c r="F70" s="1729"/>
      <c r="G70" s="1719">
        <v>21</v>
      </c>
      <c r="H70" s="2837" t="s">
        <v>1875</v>
      </c>
      <c r="I70" s="2837"/>
      <c r="J70" s="2837"/>
      <c r="K70" s="2837"/>
      <c r="L70" s="2837"/>
      <c r="M70" s="123"/>
      <c r="N70" s="516"/>
      <c r="O70" s="123"/>
      <c r="P70" s="124"/>
      <c r="Q70" s="123"/>
      <c r="R70" s="1738"/>
      <c r="S70" s="124"/>
      <c r="T70" s="124"/>
      <c r="U70" s="124"/>
      <c r="V70" s="123"/>
      <c r="W70" s="123"/>
      <c r="X70" s="123"/>
      <c r="Y70" s="123"/>
      <c r="Z70" s="123"/>
      <c r="AA70" s="123"/>
      <c r="AB70" s="123"/>
      <c r="AC70" s="123"/>
      <c r="AD70" s="123"/>
      <c r="AE70" s="123"/>
      <c r="AF70" s="123"/>
      <c r="AG70" s="123"/>
      <c r="AH70" s="123"/>
      <c r="AI70" s="123"/>
      <c r="AJ70" s="123"/>
      <c r="AK70" s="123"/>
      <c r="AL70" s="123"/>
      <c r="AM70" s="131"/>
    </row>
    <row r="71" spans="1:39" ht="102" x14ac:dyDescent="0.25">
      <c r="A71" s="2838"/>
      <c r="B71" s="2839"/>
      <c r="C71" s="2840"/>
      <c r="D71" s="2900"/>
      <c r="E71" s="2832"/>
      <c r="F71" s="2833"/>
      <c r="G71" s="2838"/>
      <c r="H71" s="2839"/>
      <c r="I71" s="2840"/>
      <c r="J71" s="1656">
        <v>93</v>
      </c>
      <c r="K71" s="1672" t="s">
        <v>1876</v>
      </c>
      <c r="L71" s="1672" t="s">
        <v>1740</v>
      </c>
      <c r="M71" s="1739">
        <v>18</v>
      </c>
      <c r="N71" s="1722"/>
      <c r="O71" s="2903">
        <v>91</v>
      </c>
      <c r="P71" s="2044" t="s">
        <v>1877</v>
      </c>
      <c r="Q71" s="1740">
        <f>+V71/$R$71</f>
        <v>0</v>
      </c>
      <c r="R71" s="1966">
        <f>SUM(V71:V75)</f>
        <v>287500000</v>
      </c>
      <c r="S71" s="2869" t="s">
        <v>1878</v>
      </c>
      <c r="T71" s="1672" t="s">
        <v>1879</v>
      </c>
      <c r="U71" s="1672" t="s">
        <v>1880</v>
      </c>
      <c r="V71" s="1654">
        <v>0</v>
      </c>
      <c r="W71" s="1674"/>
      <c r="X71" s="1656"/>
      <c r="Y71" s="2821">
        <v>2732</v>
      </c>
      <c r="Z71" s="2821">
        <v>17360</v>
      </c>
      <c r="AA71" s="2821">
        <v>21116</v>
      </c>
      <c r="AB71" s="2821"/>
      <c r="AC71" s="2821">
        <v>4451</v>
      </c>
      <c r="AD71" s="2821">
        <v>56</v>
      </c>
      <c r="AE71" s="2821"/>
      <c r="AF71" s="2821"/>
      <c r="AG71" s="2821"/>
      <c r="AH71" s="2821"/>
      <c r="AI71" s="2821"/>
      <c r="AJ71" s="2821"/>
      <c r="AK71" s="1723">
        <v>42767</v>
      </c>
      <c r="AL71" s="1723">
        <v>43038</v>
      </c>
      <c r="AM71" s="1706" t="s">
        <v>1777</v>
      </c>
    </row>
    <row r="72" spans="1:39" ht="89.25" customHeight="1" x14ac:dyDescent="0.25">
      <c r="A72" s="2841"/>
      <c r="B72" s="2842"/>
      <c r="C72" s="2843"/>
      <c r="D72" s="2901"/>
      <c r="E72" s="2852"/>
      <c r="F72" s="2853"/>
      <c r="G72" s="2841"/>
      <c r="H72" s="2842"/>
      <c r="I72" s="2843"/>
      <c r="J72" s="1656">
        <v>94</v>
      </c>
      <c r="K72" s="1672" t="s">
        <v>1881</v>
      </c>
      <c r="L72" s="1672" t="s">
        <v>1740</v>
      </c>
      <c r="M72" s="1739">
        <v>105</v>
      </c>
      <c r="N72" s="1741"/>
      <c r="O72" s="2904"/>
      <c r="P72" s="2825"/>
      <c r="Q72" s="1740">
        <f>+V72/$R$71</f>
        <v>0.88</v>
      </c>
      <c r="R72" s="1966"/>
      <c r="S72" s="2870"/>
      <c r="T72" s="1672" t="s">
        <v>1882</v>
      </c>
      <c r="U72" s="1672" t="s">
        <v>1883</v>
      </c>
      <c r="V72" s="1654">
        <v>253000000</v>
      </c>
      <c r="W72" s="1674">
        <v>35</v>
      </c>
      <c r="X72" s="1656" t="s">
        <v>1746</v>
      </c>
      <c r="Y72" s="2822"/>
      <c r="Z72" s="2822"/>
      <c r="AA72" s="2822"/>
      <c r="AB72" s="2822"/>
      <c r="AC72" s="2822"/>
      <c r="AD72" s="2822"/>
      <c r="AE72" s="2822"/>
      <c r="AF72" s="2822"/>
      <c r="AG72" s="2822"/>
      <c r="AH72" s="2822"/>
      <c r="AI72" s="2822"/>
      <c r="AJ72" s="2822"/>
      <c r="AK72" s="1723">
        <v>42767</v>
      </c>
      <c r="AL72" s="1723">
        <v>42824</v>
      </c>
      <c r="AM72" s="1706" t="s">
        <v>1777</v>
      </c>
    </row>
    <row r="73" spans="1:39" ht="25.5" x14ac:dyDescent="0.25">
      <c r="A73" s="2841"/>
      <c r="B73" s="2842"/>
      <c r="C73" s="2843"/>
      <c r="D73" s="2901"/>
      <c r="E73" s="2852"/>
      <c r="F73" s="2853"/>
      <c r="G73" s="2841"/>
      <c r="H73" s="2842"/>
      <c r="I73" s="2843"/>
      <c r="J73" s="1973">
        <v>95</v>
      </c>
      <c r="K73" s="2044" t="s">
        <v>1884</v>
      </c>
      <c r="L73" s="2044" t="s">
        <v>1740</v>
      </c>
      <c r="M73" s="2896">
        <v>500</v>
      </c>
      <c r="N73" s="301" t="s">
        <v>1885</v>
      </c>
      <c r="O73" s="2904"/>
      <c r="P73" s="2825"/>
      <c r="Q73" s="2856">
        <f>(+V73+V74)/R71</f>
        <v>6.330434782608696E-2</v>
      </c>
      <c r="R73" s="1966"/>
      <c r="S73" s="2870"/>
      <c r="T73" s="2044" t="s">
        <v>1886</v>
      </c>
      <c r="U73" s="2898" t="s">
        <v>1887</v>
      </c>
      <c r="V73" s="1654">
        <v>4500000</v>
      </c>
      <c r="W73" s="1674">
        <v>35</v>
      </c>
      <c r="X73" s="1656" t="s">
        <v>1746</v>
      </c>
      <c r="Y73" s="2822"/>
      <c r="Z73" s="2822"/>
      <c r="AA73" s="2822"/>
      <c r="AB73" s="2822"/>
      <c r="AC73" s="2822"/>
      <c r="AD73" s="2822"/>
      <c r="AE73" s="2822"/>
      <c r="AF73" s="2822"/>
      <c r="AG73" s="2822"/>
      <c r="AH73" s="2822"/>
      <c r="AI73" s="2822"/>
      <c r="AJ73" s="2822"/>
      <c r="AK73" s="2889">
        <v>42767</v>
      </c>
      <c r="AL73" s="2889">
        <v>43038</v>
      </c>
      <c r="AM73" s="2893" t="s">
        <v>1777</v>
      </c>
    </row>
    <row r="74" spans="1:39" ht="25.5" x14ac:dyDescent="0.25">
      <c r="A74" s="2841"/>
      <c r="B74" s="2842"/>
      <c r="C74" s="2843"/>
      <c r="D74" s="2901"/>
      <c r="E74" s="2852"/>
      <c r="F74" s="2853"/>
      <c r="G74" s="2841"/>
      <c r="H74" s="2842"/>
      <c r="I74" s="2843"/>
      <c r="J74" s="1971"/>
      <c r="K74" s="2826"/>
      <c r="L74" s="2826"/>
      <c r="M74" s="2897"/>
      <c r="N74" s="301" t="s">
        <v>1888</v>
      </c>
      <c r="O74" s="2904"/>
      <c r="P74" s="2825"/>
      <c r="Q74" s="2857"/>
      <c r="R74" s="1966"/>
      <c r="S74" s="2870"/>
      <c r="T74" s="2826"/>
      <c r="U74" s="2899"/>
      <c r="V74" s="1654">
        <v>13700000</v>
      </c>
      <c r="W74" s="1674">
        <v>20</v>
      </c>
      <c r="X74" s="1656" t="s">
        <v>51</v>
      </c>
      <c r="Y74" s="2822"/>
      <c r="Z74" s="2822"/>
      <c r="AA74" s="2822"/>
      <c r="AB74" s="2822"/>
      <c r="AC74" s="2822"/>
      <c r="AD74" s="2822"/>
      <c r="AE74" s="2822"/>
      <c r="AF74" s="2822"/>
      <c r="AG74" s="2822"/>
      <c r="AH74" s="2822"/>
      <c r="AI74" s="2822"/>
      <c r="AJ74" s="2822"/>
      <c r="AK74" s="2890"/>
      <c r="AL74" s="2890"/>
      <c r="AM74" s="2894"/>
    </row>
    <row r="75" spans="1:39" ht="127.5" x14ac:dyDescent="0.25">
      <c r="A75" s="2844"/>
      <c r="B75" s="2845"/>
      <c r="C75" s="2846"/>
      <c r="D75" s="2902"/>
      <c r="E75" s="2834"/>
      <c r="F75" s="2835"/>
      <c r="G75" s="2844"/>
      <c r="H75" s="2845"/>
      <c r="I75" s="2846"/>
      <c r="J75" s="1656">
        <v>96</v>
      </c>
      <c r="K75" s="1672" t="s">
        <v>1889</v>
      </c>
      <c r="L75" s="1672" t="s">
        <v>1740</v>
      </c>
      <c r="M75" s="1739">
        <v>3</v>
      </c>
      <c r="N75" s="1726"/>
      <c r="O75" s="2905"/>
      <c r="P75" s="2826"/>
      <c r="Q75" s="1740">
        <f>+V75/$R$71</f>
        <v>5.6695652173913043E-2</v>
      </c>
      <c r="R75" s="1966"/>
      <c r="S75" s="2871"/>
      <c r="T75" s="1672" t="s">
        <v>1890</v>
      </c>
      <c r="U75" s="1651" t="s">
        <v>1891</v>
      </c>
      <c r="V75" s="1654">
        <v>16300000</v>
      </c>
      <c r="W75" s="1674">
        <v>20</v>
      </c>
      <c r="X75" s="1656" t="s">
        <v>51</v>
      </c>
      <c r="Y75" s="2823"/>
      <c r="Z75" s="2823"/>
      <c r="AA75" s="2823"/>
      <c r="AB75" s="2823"/>
      <c r="AC75" s="2823"/>
      <c r="AD75" s="2823"/>
      <c r="AE75" s="2823"/>
      <c r="AF75" s="2823"/>
      <c r="AG75" s="2823"/>
      <c r="AH75" s="2823"/>
      <c r="AI75" s="2823"/>
      <c r="AJ75" s="2823"/>
      <c r="AK75" s="1723">
        <v>42843</v>
      </c>
      <c r="AL75" s="1723">
        <v>42844</v>
      </c>
      <c r="AM75" s="2895" t="s">
        <v>1777</v>
      </c>
    </row>
    <row r="76" spans="1:39" x14ac:dyDescent="0.25">
      <c r="A76" s="1727"/>
      <c r="B76" s="1728"/>
      <c r="C76" s="1728"/>
      <c r="D76" s="1728"/>
      <c r="E76" s="1728"/>
      <c r="F76" s="1729"/>
      <c r="G76" s="1719">
        <v>22</v>
      </c>
      <c r="H76" s="2837" t="s">
        <v>1892</v>
      </c>
      <c r="I76" s="2837"/>
      <c r="J76" s="2837"/>
      <c r="K76" s="2837"/>
      <c r="L76" s="2837"/>
      <c r="M76" s="123"/>
      <c r="N76" s="1558"/>
      <c r="O76" s="123"/>
      <c r="P76" s="124"/>
      <c r="Q76" s="123"/>
      <c r="R76" s="1738"/>
      <c r="S76" s="124"/>
      <c r="T76" s="124"/>
      <c r="U76" s="124"/>
      <c r="V76" s="123"/>
      <c r="W76" s="123"/>
      <c r="X76" s="123"/>
      <c r="Y76" s="123"/>
      <c r="Z76" s="123"/>
      <c r="AA76" s="123"/>
      <c r="AB76" s="123"/>
      <c r="AC76" s="123"/>
      <c r="AD76" s="123"/>
      <c r="AE76" s="123"/>
      <c r="AF76" s="123"/>
      <c r="AG76" s="123"/>
      <c r="AH76" s="123"/>
      <c r="AI76" s="123"/>
      <c r="AJ76" s="123"/>
      <c r="AK76" s="123"/>
      <c r="AL76" s="123"/>
      <c r="AM76" s="2895"/>
    </row>
    <row r="77" spans="1:39" ht="51" x14ac:dyDescent="0.25">
      <c r="A77" s="1983"/>
      <c r="B77" s="1983"/>
      <c r="C77" s="1983"/>
      <c r="D77" s="1983"/>
      <c r="E77" s="1983"/>
      <c r="F77" s="1983"/>
      <c r="G77" s="1983"/>
      <c r="H77" s="1983"/>
      <c r="I77" s="1983"/>
      <c r="J77" s="1972">
        <v>97</v>
      </c>
      <c r="K77" s="2043" t="s">
        <v>1893</v>
      </c>
      <c r="L77" s="1972" t="s">
        <v>1740</v>
      </c>
      <c r="M77" s="2888">
        <v>26</v>
      </c>
      <c r="N77" s="1705"/>
      <c r="O77" s="2892">
        <v>93</v>
      </c>
      <c r="P77" s="2043" t="s">
        <v>1894</v>
      </c>
      <c r="Q77" s="1963">
        <v>1</v>
      </c>
      <c r="R77" s="1966">
        <f>SUM(V77:V81)</f>
        <v>113300000</v>
      </c>
      <c r="S77" s="2891" t="s">
        <v>1895</v>
      </c>
      <c r="T77" s="2891" t="s">
        <v>1896</v>
      </c>
      <c r="U77" s="1742" t="s">
        <v>1897</v>
      </c>
      <c r="V77" s="1743">
        <f>113300000-113300000</f>
        <v>0</v>
      </c>
      <c r="W77" s="2046">
        <v>35</v>
      </c>
      <c r="X77" s="1972" t="s">
        <v>1746</v>
      </c>
      <c r="Y77" s="2873">
        <v>2732</v>
      </c>
      <c r="Z77" s="2873">
        <v>17360</v>
      </c>
      <c r="AA77" s="2873">
        <v>21116</v>
      </c>
      <c r="AB77" s="2873"/>
      <c r="AC77" s="2873">
        <v>4451</v>
      </c>
      <c r="AD77" s="2873">
        <v>56</v>
      </c>
      <c r="AE77" s="2873"/>
      <c r="AF77" s="2873"/>
      <c r="AG77" s="2873"/>
      <c r="AH77" s="2873"/>
      <c r="AI77" s="2873"/>
      <c r="AJ77" s="2873"/>
      <c r="AK77" s="2887">
        <v>42767</v>
      </c>
      <c r="AL77" s="2887">
        <v>43038</v>
      </c>
      <c r="AM77" s="1966" t="s">
        <v>1777</v>
      </c>
    </row>
    <row r="78" spans="1:39" ht="76.5" x14ac:dyDescent="0.25">
      <c r="A78" s="1983"/>
      <c r="B78" s="1983"/>
      <c r="C78" s="1983"/>
      <c r="D78" s="1983"/>
      <c r="E78" s="1983"/>
      <c r="F78" s="1983"/>
      <c r="G78" s="1983"/>
      <c r="H78" s="1983"/>
      <c r="I78" s="1983"/>
      <c r="J78" s="1972"/>
      <c r="K78" s="2043"/>
      <c r="L78" s="1972"/>
      <c r="M78" s="2888"/>
      <c r="N78" s="1707"/>
      <c r="O78" s="2892"/>
      <c r="P78" s="2043"/>
      <c r="Q78" s="1963"/>
      <c r="R78" s="1966"/>
      <c r="S78" s="2891"/>
      <c r="T78" s="2891"/>
      <c r="U78" s="1744" t="s">
        <v>1898</v>
      </c>
      <c r="V78" s="2874">
        <f>113300000-35000000</f>
        <v>78300000</v>
      </c>
      <c r="W78" s="2046"/>
      <c r="X78" s="1972"/>
      <c r="Y78" s="2873"/>
      <c r="Z78" s="2873"/>
      <c r="AA78" s="2873"/>
      <c r="AB78" s="2873"/>
      <c r="AC78" s="2873"/>
      <c r="AD78" s="2873"/>
      <c r="AE78" s="2873"/>
      <c r="AF78" s="2873"/>
      <c r="AG78" s="2873"/>
      <c r="AH78" s="2873"/>
      <c r="AI78" s="2873"/>
      <c r="AJ78" s="2873"/>
      <c r="AK78" s="2887"/>
      <c r="AL78" s="2887"/>
      <c r="AM78" s="1966"/>
    </row>
    <row r="79" spans="1:39" ht="38.25" x14ac:dyDescent="0.25">
      <c r="A79" s="1983"/>
      <c r="B79" s="1983"/>
      <c r="C79" s="1983"/>
      <c r="D79" s="1983"/>
      <c r="E79" s="1983"/>
      <c r="F79" s="1983"/>
      <c r="G79" s="1983"/>
      <c r="H79" s="1983"/>
      <c r="I79" s="1983"/>
      <c r="J79" s="1972"/>
      <c r="K79" s="2043"/>
      <c r="L79" s="1972"/>
      <c r="M79" s="2888"/>
      <c r="N79" s="1707"/>
      <c r="O79" s="2892"/>
      <c r="P79" s="2043"/>
      <c r="Q79" s="1963"/>
      <c r="R79" s="1966"/>
      <c r="S79" s="2891"/>
      <c r="T79" s="2891"/>
      <c r="U79" s="1744" t="s">
        <v>1899</v>
      </c>
      <c r="V79" s="2874"/>
      <c r="W79" s="2046"/>
      <c r="X79" s="1972"/>
      <c r="Y79" s="2873"/>
      <c r="Z79" s="2873"/>
      <c r="AA79" s="2873"/>
      <c r="AB79" s="2873"/>
      <c r="AC79" s="2873"/>
      <c r="AD79" s="2873"/>
      <c r="AE79" s="2873"/>
      <c r="AF79" s="2873"/>
      <c r="AG79" s="2873"/>
      <c r="AH79" s="2873"/>
      <c r="AI79" s="2873"/>
      <c r="AJ79" s="2873"/>
      <c r="AK79" s="2887"/>
      <c r="AL79" s="2887"/>
      <c r="AM79" s="1966"/>
    </row>
    <row r="80" spans="1:39" ht="63.75" x14ac:dyDescent="0.25">
      <c r="A80" s="1983"/>
      <c r="B80" s="1983"/>
      <c r="C80" s="1983"/>
      <c r="D80" s="1983"/>
      <c r="E80" s="1983"/>
      <c r="F80" s="1983"/>
      <c r="G80" s="1983"/>
      <c r="H80" s="1983"/>
      <c r="I80" s="1983"/>
      <c r="J80" s="1972"/>
      <c r="K80" s="2043"/>
      <c r="L80" s="1972"/>
      <c r="M80" s="2888"/>
      <c r="N80" s="301" t="s">
        <v>1900</v>
      </c>
      <c r="O80" s="2892"/>
      <c r="P80" s="2043"/>
      <c r="Q80" s="1963"/>
      <c r="R80" s="1966"/>
      <c r="S80" s="2891"/>
      <c r="T80" s="2891"/>
      <c r="U80" s="1744" t="s">
        <v>1901</v>
      </c>
      <c r="V80" s="2874"/>
      <c r="W80" s="2046"/>
      <c r="X80" s="1972"/>
      <c r="Y80" s="2873"/>
      <c r="Z80" s="2873"/>
      <c r="AA80" s="2873"/>
      <c r="AB80" s="2873"/>
      <c r="AC80" s="2873"/>
      <c r="AD80" s="2873"/>
      <c r="AE80" s="2873"/>
      <c r="AF80" s="2873"/>
      <c r="AG80" s="2873"/>
      <c r="AH80" s="2873"/>
      <c r="AI80" s="2873"/>
      <c r="AJ80" s="2873"/>
      <c r="AK80" s="2887"/>
      <c r="AL80" s="2887"/>
      <c r="AM80" s="1966"/>
    </row>
    <row r="81" spans="1:39" ht="89.25" x14ac:dyDescent="0.25">
      <c r="A81" s="1983"/>
      <c r="B81" s="1983"/>
      <c r="C81" s="1983"/>
      <c r="D81" s="1983"/>
      <c r="E81" s="1983"/>
      <c r="F81" s="1983"/>
      <c r="G81" s="1983"/>
      <c r="H81" s="1983"/>
      <c r="I81" s="1983"/>
      <c r="J81" s="1972"/>
      <c r="K81" s="2043"/>
      <c r="L81" s="1972"/>
      <c r="M81" s="2888"/>
      <c r="N81" s="1712"/>
      <c r="O81" s="2892"/>
      <c r="P81" s="2043"/>
      <c r="Q81" s="1963"/>
      <c r="R81" s="1966"/>
      <c r="S81" s="2891"/>
      <c r="T81" s="2891"/>
      <c r="U81" s="1745" t="s">
        <v>1902</v>
      </c>
      <c r="V81" s="1746">
        <v>35000000</v>
      </c>
      <c r="W81" s="2046"/>
      <c r="X81" s="1972"/>
      <c r="Y81" s="2873"/>
      <c r="Z81" s="2873"/>
      <c r="AA81" s="2873"/>
      <c r="AB81" s="2873"/>
      <c r="AC81" s="2873"/>
      <c r="AD81" s="2873"/>
      <c r="AE81" s="2873"/>
      <c r="AF81" s="2873"/>
      <c r="AG81" s="2873"/>
      <c r="AH81" s="2873"/>
      <c r="AI81" s="2873"/>
      <c r="AJ81" s="2873"/>
      <c r="AK81" s="2887"/>
      <c r="AL81" s="2887"/>
      <c r="AM81" s="1966"/>
    </row>
    <row r="82" spans="1:39" x14ac:dyDescent="0.25">
      <c r="A82" s="2875"/>
      <c r="B82" s="2875"/>
      <c r="C82" s="2876"/>
      <c r="D82" s="1714">
        <v>7</v>
      </c>
      <c r="E82" s="2830" t="s">
        <v>1903</v>
      </c>
      <c r="F82" s="2831"/>
      <c r="G82" s="2831"/>
      <c r="H82" s="2831"/>
      <c r="I82" s="2831"/>
      <c r="J82" s="2831"/>
      <c r="K82" s="2831"/>
      <c r="L82" s="2831"/>
      <c r="M82" s="2831"/>
      <c r="N82" s="109"/>
      <c r="O82" s="111"/>
      <c r="P82" s="110"/>
      <c r="Q82" s="112"/>
      <c r="R82" s="1747"/>
      <c r="S82" s="110"/>
      <c r="T82" s="110"/>
      <c r="U82" s="110"/>
      <c r="V82" s="114"/>
      <c r="W82" s="115"/>
      <c r="X82" s="111"/>
      <c r="Y82" s="109"/>
      <c r="Z82" s="109"/>
      <c r="AA82" s="109"/>
      <c r="AB82" s="109"/>
      <c r="AC82" s="109"/>
      <c r="AD82" s="109"/>
      <c r="AE82" s="109"/>
      <c r="AF82" s="109"/>
      <c r="AG82" s="109"/>
      <c r="AH82" s="109"/>
      <c r="AI82" s="109"/>
      <c r="AJ82" s="109"/>
      <c r="AK82" s="1716"/>
      <c r="AL82" s="1716"/>
      <c r="AM82" s="1501"/>
    </row>
    <row r="83" spans="1:39" x14ac:dyDescent="0.25">
      <c r="A83" s="2877"/>
      <c r="B83" s="2877"/>
      <c r="C83" s="2878"/>
      <c r="D83" s="2881"/>
      <c r="E83" s="2882"/>
      <c r="F83" s="2883"/>
      <c r="G83" s="1719">
        <v>23</v>
      </c>
      <c r="H83" s="2837" t="s">
        <v>1904</v>
      </c>
      <c r="I83" s="2837"/>
      <c r="J83" s="2837"/>
      <c r="K83" s="2837"/>
      <c r="L83" s="124"/>
      <c r="M83" s="123"/>
      <c r="N83" s="123"/>
      <c r="O83" s="123"/>
      <c r="P83" s="124"/>
      <c r="Q83" s="123"/>
      <c r="R83" s="1738"/>
      <c r="S83" s="124"/>
      <c r="T83" s="124"/>
      <c r="U83" s="124"/>
      <c r="V83" s="123"/>
      <c r="W83" s="123"/>
      <c r="X83" s="123"/>
      <c r="Y83" s="123"/>
      <c r="Z83" s="123"/>
      <c r="AA83" s="123"/>
      <c r="AB83" s="123"/>
      <c r="AC83" s="123"/>
      <c r="AD83" s="123"/>
      <c r="AE83" s="123"/>
      <c r="AF83" s="123"/>
      <c r="AG83" s="123"/>
      <c r="AH83" s="123"/>
      <c r="AI83" s="123"/>
      <c r="AJ83" s="123"/>
      <c r="AK83" s="123"/>
      <c r="AL83" s="123"/>
      <c r="AM83" s="1696"/>
    </row>
    <row r="84" spans="1:39" ht="127.5" x14ac:dyDescent="0.25">
      <c r="A84" s="2877"/>
      <c r="B84" s="2877"/>
      <c r="C84" s="2878"/>
      <c r="D84" s="2884"/>
      <c r="E84" s="2885"/>
      <c r="F84" s="2886"/>
      <c r="G84" s="2858"/>
      <c r="H84" s="2859"/>
      <c r="I84" s="2860"/>
      <c r="J84" s="1656">
        <v>98</v>
      </c>
      <c r="K84" s="1672" t="s">
        <v>1905</v>
      </c>
      <c r="L84" s="1672" t="s">
        <v>1740</v>
      </c>
      <c r="M84" s="218">
        <v>55</v>
      </c>
      <c r="N84" s="1705"/>
      <c r="O84" s="1973">
        <v>94</v>
      </c>
      <c r="P84" s="2044" t="s">
        <v>1906</v>
      </c>
      <c r="Q84" s="1740">
        <f>+V84/$R$84</f>
        <v>0.2</v>
      </c>
      <c r="R84" s="1966">
        <f>SUM(V84:V90)</f>
        <v>103000000</v>
      </c>
      <c r="S84" s="2869" t="s">
        <v>1907</v>
      </c>
      <c r="T84" s="1672" t="s">
        <v>1908</v>
      </c>
      <c r="U84" s="1748" t="s">
        <v>1909</v>
      </c>
      <c r="V84" s="1654">
        <v>20600000</v>
      </c>
      <c r="W84" s="1674">
        <v>35</v>
      </c>
      <c r="X84" s="1656" t="s">
        <v>1746</v>
      </c>
      <c r="Y84" s="2821">
        <v>2732</v>
      </c>
      <c r="Z84" s="2821">
        <v>17360</v>
      </c>
      <c r="AA84" s="2821">
        <v>21116</v>
      </c>
      <c r="AB84" s="2821"/>
      <c r="AC84" s="2821">
        <v>4451</v>
      </c>
      <c r="AD84" s="2821">
        <v>56</v>
      </c>
      <c r="AE84" s="2821"/>
      <c r="AF84" s="2821"/>
      <c r="AG84" s="2821"/>
      <c r="AH84" s="2821"/>
      <c r="AI84" s="2821"/>
      <c r="AJ84" s="2821"/>
      <c r="AK84" s="1723">
        <v>42767</v>
      </c>
      <c r="AL84" s="1723">
        <v>42769</v>
      </c>
      <c r="AM84" s="1748" t="s">
        <v>1777</v>
      </c>
    </row>
    <row r="85" spans="1:39" ht="191.25" x14ac:dyDescent="0.25">
      <c r="A85" s="2877"/>
      <c r="B85" s="2877"/>
      <c r="C85" s="2878"/>
      <c r="D85" s="2884"/>
      <c r="E85" s="2885"/>
      <c r="F85" s="2886"/>
      <c r="G85" s="2861"/>
      <c r="H85" s="2862"/>
      <c r="I85" s="2863"/>
      <c r="J85" s="1656">
        <v>99</v>
      </c>
      <c r="K85" s="1672" t="s">
        <v>1910</v>
      </c>
      <c r="L85" s="1672" t="s">
        <v>1740</v>
      </c>
      <c r="M85" s="218">
        <v>150</v>
      </c>
      <c r="N85" s="1707"/>
      <c r="O85" s="2847"/>
      <c r="P85" s="2825"/>
      <c r="Q85" s="1740">
        <f>+V85/$R$84</f>
        <v>0.4</v>
      </c>
      <c r="R85" s="1966"/>
      <c r="S85" s="2870"/>
      <c r="T85" s="1672" t="s">
        <v>1911</v>
      </c>
      <c r="U85" s="1748" t="s">
        <v>1912</v>
      </c>
      <c r="V85" s="1654">
        <v>41200000</v>
      </c>
      <c r="W85" s="1674">
        <v>35</v>
      </c>
      <c r="X85" s="1656" t="s">
        <v>1746</v>
      </c>
      <c r="Y85" s="2822"/>
      <c r="Z85" s="2822"/>
      <c r="AA85" s="2822"/>
      <c r="AB85" s="2822"/>
      <c r="AC85" s="2822"/>
      <c r="AD85" s="2822"/>
      <c r="AE85" s="2822"/>
      <c r="AF85" s="2822"/>
      <c r="AG85" s="2822"/>
      <c r="AH85" s="2822"/>
      <c r="AI85" s="2822"/>
      <c r="AJ85" s="2822"/>
      <c r="AK85" s="1723">
        <v>42767</v>
      </c>
      <c r="AL85" s="1723">
        <v>42769</v>
      </c>
      <c r="AM85" s="1748" t="s">
        <v>1777</v>
      </c>
    </row>
    <row r="86" spans="1:39" ht="153" x14ac:dyDescent="0.25">
      <c r="A86" s="2877"/>
      <c r="B86" s="2877"/>
      <c r="C86" s="2878"/>
      <c r="D86" s="2884"/>
      <c r="E86" s="2885"/>
      <c r="F86" s="2886"/>
      <c r="G86" s="2861"/>
      <c r="H86" s="2862"/>
      <c r="I86" s="2863"/>
      <c r="J86" s="1656">
        <v>100</v>
      </c>
      <c r="K86" s="1672" t="s">
        <v>1913</v>
      </c>
      <c r="L86" s="1672" t="s">
        <v>1740</v>
      </c>
      <c r="M86" s="218">
        <v>6</v>
      </c>
      <c r="N86" s="1707"/>
      <c r="O86" s="2847"/>
      <c r="P86" s="2825"/>
      <c r="Q86" s="1740">
        <f>+V86/$R$84</f>
        <v>0</v>
      </c>
      <c r="R86" s="1966"/>
      <c r="S86" s="2870"/>
      <c r="T86" s="1672" t="s">
        <v>1913</v>
      </c>
      <c r="U86" s="1748" t="s">
        <v>1912</v>
      </c>
      <c r="V86" s="1654">
        <v>0</v>
      </c>
      <c r="W86" s="1674"/>
      <c r="X86" s="1656"/>
      <c r="Y86" s="2822"/>
      <c r="Z86" s="2822"/>
      <c r="AA86" s="2822"/>
      <c r="AB86" s="2822"/>
      <c r="AC86" s="2822"/>
      <c r="AD86" s="2822"/>
      <c r="AE86" s="2822"/>
      <c r="AF86" s="2822"/>
      <c r="AG86" s="2822"/>
      <c r="AH86" s="2822"/>
      <c r="AI86" s="2822"/>
      <c r="AJ86" s="2822"/>
      <c r="AK86" s="1723">
        <v>42767</v>
      </c>
      <c r="AL86" s="1723">
        <v>42769</v>
      </c>
      <c r="AM86" s="1748" t="s">
        <v>1777</v>
      </c>
    </row>
    <row r="87" spans="1:39" ht="140.25" x14ac:dyDescent="0.25">
      <c r="A87" s="2877"/>
      <c r="B87" s="2877"/>
      <c r="C87" s="2878"/>
      <c r="D87" s="2884"/>
      <c r="E87" s="2885"/>
      <c r="F87" s="2886"/>
      <c r="G87" s="2861"/>
      <c r="H87" s="2862"/>
      <c r="I87" s="2863"/>
      <c r="J87" s="1656">
        <v>101</v>
      </c>
      <c r="K87" s="1672" t="s">
        <v>1914</v>
      </c>
      <c r="L87" s="1672" t="s">
        <v>1740</v>
      </c>
      <c r="M87" s="218">
        <v>54</v>
      </c>
      <c r="N87" s="301" t="s">
        <v>1915</v>
      </c>
      <c r="O87" s="2847"/>
      <c r="P87" s="2825"/>
      <c r="Q87" s="1740">
        <f>+V87/$R$84</f>
        <v>0.35</v>
      </c>
      <c r="R87" s="1966"/>
      <c r="S87" s="2870"/>
      <c r="T87" s="1672" t="s">
        <v>1916</v>
      </c>
      <c r="U87" s="1672" t="s">
        <v>1917</v>
      </c>
      <c r="V87" s="1654">
        <v>36050000</v>
      </c>
      <c r="W87" s="1674">
        <v>35</v>
      </c>
      <c r="X87" s="1656" t="s">
        <v>1746</v>
      </c>
      <c r="Y87" s="2822"/>
      <c r="Z87" s="2822"/>
      <c r="AA87" s="2822"/>
      <c r="AB87" s="2822"/>
      <c r="AC87" s="2822"/>
      <c r="AD87" s="2822"/>
      <c r="AE87" s="2822"/>
      <c r="AF87" s="2822"/>
      <c r="AG87" s="2822"/>
      <c r="AH87" s="2822"/>
      <c r="AI87" s="2822"/>
      <c r="AJ87" s="2822"/>
      <c r="AK87" s="1723">
        <v>42790</v>
      </c>
      <c r="AL87" s="1723">
        <v>42826</v>
      </c>
      <c r="AM87" s="1748" t="s">
        <v>1777</v>
      </c>
    </row>
    <row r="88" spans="1:39" ht="89.25" customHeight="1" x14ac:dyDescent="0.25">
      <c r="A88" s="2877"/>
      <c r="B88" s="2877"/>
      <c r="C88" s="2878"/>
      <c r="D88" s="2884"/>
      <c r="E88" s="2885"/>
      <c r="F88" s="2886"/>
      <c r="G88" s="2861"/>
      <c r="H88" s="2862"/>
      <c r="I88" s="2863"/>
      <c r="J88" s="1972">
        <v>102</v>
      </c>
      <c r="K88" s="2043" t="s">
        <v>1918</v>
      </c>
      <c r="L88" s="2044" t="s">
        <v>1740</v>
      </c>
      <c r="M88" s="1973">
        <v>4</v>
      </c>
      <c r="N88" s="1707"/>
      <c r="O88" s="2847"/>
      <c r="P88" s="2825"/>
      <c r="Q88" s="2856">
        <f>+V88/$R$84</f>
        <v>0.05</v>
      </c>
      <c r="R88" s="1966"/>
      <c r="S88" s="2870"/>
      <c r="T88" s="2044" t="s">
        <v>1919</v>
      </c>
      <c r="U88" s="1672" t="s">
        <v>1920</v>
      </c>
      <c r="V88" s="1967">
        <v>5150000</v>
      </c>
      <c r="W88" s="1975">
        <v>35</v>
      </c>
      <c r="X88" s="1967" t="s">
        <v>1746</v>
      </c>
      <c r="Y88" s="2822"/>
      <c r="Z88" s="2822"/>
      <c r="AA88" s="2822"/>
      <c r="AB88" s="2822"/>
      <c r="AC88" s="2822"/>
      <c r="AD88" s="2822"/>
      <c r="AE88" s="2822"/>
      <c r="AF88" s="2822"/>
      <c r="AG88" s="2822"/>
      <c r="AH88" s="2822"/>
      <c r="AI88" s="2822"/>
      <c r="AJ88" s="2822"/>
      <c r="AK88" s="1723">
        <v>42878</v>
      </c>
      <c r="AL88" s="1723">
        <v>42878</v>
      </c>
      <c r="AM88" s="1748" t="s">
        <v>1777</v>
      </c>
    </row>
    <row r="89" spans="1:39" ht="89.25" customHeight="1" x14ac:dyDescent="0.25">
      <c r="A89" s="2877"/>
      <c r="B89" s="2877"/>
      <c r="C89" s="2878"/>
      <c r="D89" s="2884"/>
      <c r="E89" s="2885"/>
      <c r="F89" s="2886"/>
      <c r="G89" s="2861"/>
      <c r="H89" s="2862"/>
      <c r="I89" s="2863"/>
      <c r="J89" s="1972"/>
      <c r="K89" s="2043"/>
      <c r="L89" s="2825"/>
      <c r="M89" s="2847"/>
      <c r="N89" s="1707"/>
      <c r="O89" s="2847"/>
      <c r="P89" s="2825"/>
      <c r="Q89" s="2872"/>
      <c r="R89" s="1966"/>
      <c r="S89" s="2870"/>
      <c r="T89" s="2825"/>
      <c r="U89" s="1672" t="s">
        <v>1921</v>
      </c>
      <c r="V89" s="2824"/>
      <c r="W89" s="1976"/>
      <c r="X89" s="2824"/>
      <c r="Y89" s="2822"/>
      <c r="Z89" s="2822"/>
      <c r="AA89" s="2822"/>
      <c r="AB89" s="2822"/>
      <c r="AC89" s="2822"/>
      <c r="AD89" s="2822"/>
      <c r="AE89" s="2822"/>
      <c r="AF89" s="2822"/>
      <c r="AG89" s="2822"/>
      <c r="AH89" s="2822"/>
      <c r="AI89" s="2822"/>
      <c r="AJ89" s="2822"/>
      <c r="AK89" s="1723">
        <v>42880</v>
      </c>
      <c r="AL89" s="1723">
        <v>42880</v>
      </c>
      <c r="AM89" s="1748" t="s">
        <v>1777</v>
      </c>
    </row>
    <row r="90" spans="1:39" ht="89.25" customHeight="1" x14ac:dyDescent="0.25">
      <c r="A90" s="2879"/>
      <c r="B90" s="2879"/>
      <c r="C90" s="2880"/>
      <c r="D90" s="2884"/>
      <c r="E90" s="2885"/>
      <c r="F90" s="2886"/>
      <c r="G90" s="2864"/>
      <c r="H90" s="2865"/>
      <c r="I90" s="2866"/>
      <c r="J90" s="1972"/>
      <c r="K90" s="2043"/>
      <c r="L90" s="2826"/>
      <c r="M90" s="1971"/>
      <c r="N90" s="1712"/>
      <c r="O90" s="1971"/>
      <c r="P90" s="2826"/>
      <c r="Q90" s="2857"/>
      <c r="R90" s="1966"/>
      <c r="S90" s="2871"/>
      <c r="T90" s="2826"/>
      <c r="U90" s="1672" t="s">
        <v>1922</v>
      </c>
      <c r="V90" s="1965"/>
      <c r="W90" s="1977"/>
      <c r="X90" s="1965"/>
      <c r="Y90" s="2823"/>
      <c r="Z90" s="2823"/>
      <c r="AA90" s="2823"/>
      <c r="AB90" s="2823"/>
      <c r="AC90" s="2823"/>
      <c r="AD90" s="2823"/>
      <c r="AE90" s="2823"/>
      <c r="AF90" s="2823"/>
      <c r="AG90" s="2823"/>
      <c r="AH90" s="2823"/>
      <c r="AI90" s="2823"/>
      <c r="AJ90" s="2823"/>
      <c r="AK90" s="1723">
        <v>43032</v>
      </c>
      <c r="AL90" s="1723">
        <v>43032</v>
      </c>
      <c r="AM90" s="1748" t="s">
        <v>1777</v>
      </c>
    </row>
    <row r="91" spans="1:39" x14ac:dyDescent="0.25">
      <c r="A91" s="1749"/>
      <c r="B91" s="1750"/>
      <c r="C91" s="1750"/>
      <c r="D91" s="1751"/>
      <c r="E91" s="1752"/>
      <c r="F91" s="1753"/>
      <c r="G91" s="1719">
        <v>24</v>
      </c>
      <c r="H91" s="2837" t="s">
        <v>1923</v>
      </c>
      <c r="I91" s="2837"/>
      <c r="J91" s="2837"/>
      <c r="K91" s="2837"/>
      <c r="L91" s="2837"/>
      <c r="M91" s="1691"/>
      <c r="N91" s="1691"/>
      <c r="O91" s="1691"/>
      <c r="P91" s="124"/>
      <c r="Q91" s="1692"/>
      <c r="R91" s="1754"/>
      <c r="S91" s="124"/>
      <c r="T91" s="124"/>
      <c r="U91" s="124"/>
      <c r="V91" s="1693"/>
      <c r="W91" s="1694"/>
      <c r="X91" s="1691"/>
      <c r="Y91" s="1691"/>
      <c r="Z91" s="1691"/>
      <c r="AA91" s="1691"/>
      <c r="AB91" s="1691"/>
      <c r="AC91" s="1691"/>
      <c r="AD91" s="1691"/>
      <c r="AE91" s="1691"/>
      <c r="AF91" s="1691"/>
      <c r="AG91" s="1691"/>
      <c r="AH91" s="1691"/>
      <c r="AI91" s="1691"/>
      <c r="AJ91" s="1691"/>
      <c r="AK91" s="1695"/>
      <c r="AL91" s="1695"/>
      <c r="AM91" s="131"/>
    </row>
    <row r="92" spans="1:39" ht="89.25" x14ac:dyDescent="0.25">
      <c r="A92" s="1541"/>
      <c r="B92" s="1541"/>
      <c r="C92" s="1541"/>
      <c r="D92" s="1751"/>
      <c r="E92" s="1752"/>
      <c r="F92" s="1753"/>
      <c r="G92" s="2858"/>
      <c r="H92" s="2859"/>
      <c r="I92" s="2860"/>
      <c r="J92" s="1656">
        <v>103</v>
      </c>
      <c r="K92" s="1672" t="s">
        <v>1924</v>
      </c>
      <c r="L92" s="1672" t="s">
        <v>1740</v>
      </c>
      <c r="M92" s="218">
        <v>3</v>
      </c>
      <c r="N92" s="1705"/>
      <c r="O92" s="1973">
        <v>95</v>
      </c>
      <c r="P92" s="1942" t="s">
        <v>1925</v>
      </c>
      <c r="Q92" s="1740">
        <f>+V92/$R$92</f>
        <v>0.15373563218390804</v>
      </c>
      <c r="R92" s="1967">
        <f>SUM(V92:V96)</f>
        <v>139200000</v>
      </c>
      <c r="S92" s="1942" t="s">
        <v>1926</v>
      </c>
      <c r="T92" s="2044" t="s">
        <v>1927</v>
      </c>
      <c r="U92" s="1672" t="s">
        <v>1928</v>
      </c>
      <c r="V92" s="1654">
        <v>21400000</v>
      </c>
      <c r="W92" s="1674">
        <v>35</v>
      </c>
      <c r="X92" s="1656" t="s">
        <v>1746</v>
      </c>
      <c r="Y92" s="2821">
        <v>2732</v>
      </c>
      <c r="Z92" s="2821">
        <v>17360</v>
      </c>
      <c r="AA92" s="2821">
        <v>21116</v>
      </c>
      <c r="AB92" s="2821"/>
      <c r="AC92" s="2821">
        <v>4451</v>
      </c>
      <c r="AD92" s="2821">
        <v>56</v>
      </c>
      <c r="AE92" s="2821"/>
      <c r="AF92" s="2821"/>
      <c r="AG92" s="2821"/>
      <c r="AH92" s="2821"/>
      <c r="AI92" s="2821"/>
      <c r="AJ92" s="2821"/>
      <c r="AK92" s="1723">
        <v>42794</v>
      </c>
      <c r="AL92" s="1723">
        <v>43038</v>
      </c>
      <c r="AM92" s="1748" t="s">
        <v>1777</v>
      </c>
    </row>
    <row r="93" spans="1:39" ht="89.25" customHeight="1" x14ac:dyDescent="0.25">
      <c r="A93" s="1541"/>
      <c r="B93" s="1541"/>
      <c r="C93" s="1541"/>
      <c r="D93" s="1751"/>
      <c r="E93" s="1752"/>
      <c r="F93" s="1753"/>
      <c r="G93" s="2861"/>
      <c r="H93" s="2862"/>
      <c r="I93" s="2863"/>
      <c r="J93" s="1656">
        <v>104</v>
      </c>
      <c r="K93" s="1672" t="s">
        <v>1929</v>
      </c>
      <c r="L93" s="1672" t="s">
        <v>1740</v>
      </c>
      <c r="M93" s="218">
        <v>27</v>
      </c>
      <c r="N93" s="301" t="s">
        <v>1930</v>
      </c>
      <c r="O93" s="2847"/>
      <c r="P93" s="2785"/>
      <c r="Q93" s="1740">
        <f>+V93/$R$92</f>
        <v>0.23060344827586207</v>
      </c>
      <c r="R93" s="2824"/>
      <c r="S93" s="2785"/>
      <c r="T93" s="2825"/>
      <c r="U93" s="1672" t="s">
        <v>1931</v>
      </c>
      <c r="V93" s="1654">
        <v>32100000</v>
      </c>
      <c r="W93" s="1674">
        <v>35</v>
      </c>
      <c r="X93" s="1656" t="s">
        <v>1746</v>
      </c>
      <c r="Y93" s="2822"/>
      <c r="Z93" s="2822"/>
      <c r="AA93" s="2822"/>
      <c r="AB93" s="2822"/>
      <c r="AC93" s="2822"/>
      <c r="AD93" s="2822"/>
      <c r="AE93" s="2822"/>
      <c r="AF93" s="2822"/>
      <c r="AG93" s="2822"/>
      <c r="AH93" s="2822"/>
      <c r="AI93" s="2822"/>
      <c r="AJ93" s="2822"/>
      <c r="AK93" s="1723">
        <v>42767</v>
      </c>
      <c r="AL93" s="1723">
        <v>43069</v>
      </c>
      <c r="AM93" s="1748" t="s">
        <v>1777</v>
      </c>
    </row>
    <row r="94" spans="1:39" ht="89.25" customHeight="1" x14ac:dyDescent="0.25">
      <c r="A94" s="972"/>
      <c r="B94" s="972"/>
      <c r="C94" s="972"/>
      <c r="D94" s="1751"/>
      <c r="E94" s="1752"/>
      <c r="F94" s="1753"/>
      <c r="G94" s="2861"/>
      <c r="H94" s="2862"/>
      <c r="I94" s="2863"/>
      <c r="J94" s="1973">
        <v>105</v>
      </c>
      <c r="K94" s="2044" t="s">
        <v>1932</v>
      </c>
      <c r="L94" s="2044" t="s">
        <v>1740</v>
      </c>
      <c r="M94" s="2854">
        <v>47</v>
      </c>
      <c r="N94" s="301" t="s">
        <v>1933</v>
      </c>
      <c r="O94" s="2847"/>
      <c r="P94" s="2785"/>
      <c r="Q94" s="2856">
        <f>+V94/R92</f>
        <v>0.23060344827586207</v>
      </c>
      <c r="R94" s="2824"/>
      <c r="S94" s="2785"/>
      <c r="T94" s="2825"/>
      <c r="U94" s="2044" t="s">
        <v>1934</v>
      </c>
      <c r="V94" s="1967">
        <v>32100000</v>
      </c>
      <c r="W94" s="1674"/>
      <c r="X94" s="1656"/>
      <c r="Y94" s="2822"/>
      <c r="Z94" s="2822"/>
      <c r="AA94" s="2822"/>
      <c r="AB94" s="2822"/>
      <c r="AC94" s="2822"/>
      <c r="AD94" s="2822"/>
      <c r="AE94" s="2822"/>
      <c r="AF94" s="2822"/>
      <c r="AG94" s="2822"/>
      <c r="AH94" s="2822"/>
      <c r="AI94" s="2822"/>
      <c r="AJ94" s="2822"/>
      <c r="AK94" s="1723">
        <v>42775</v>
      </c>
      <c r="AL94" s="1723">
        <v>42775</v>
      </c>
      <c r="AM94" s="1748" t="s">
        <v>1777</v>
      </c>
    </row>
    <row r="95" spans="1:39" ht="89.25" customHeight="1" x14ac:dyDescent="0.25">
      <c r="A95" s="972"/>
      <c r="B95" s="972"/>
      <c r="C95" s="972"/>
      <c r="D95" s="1751"/>
      <c r="E95" s="1752"/>
      <c r="F95" s="1753"/>
      <c r="G95" s="2861"/>
      <c r="H95" s="2862"/>
      <c r="I95" s="2863"/>
      <c r="J95" s="1971"/>
      <c r="K95" s="2826"/>
      <c r="L95" s="2826"/>
      <c r="M95" s="2855"/>
      <c r="N95" s="301"/>
      <c r="O95" s="2847"/>
      <c r="P95" s="2785"/>
      <c r="Q95" s="2857"/>
      <c r="R95" s="2824"/>
      <c r="S95" s="2785"/>
      <c r="T95" s="2825"/>
      <c r="U95" s="2826"/>
      <c r="V95" s="1965"/>
      <c r="W95" s="1674">
        <v>20</v>
      </c>
      <c r="X95" s="1656" t="s">
        <v>51</v>
      </c>
      <c r="Y95" s="2822"/>
      <c r="Z95" s="2822"/>
      <c r="AA95" s="2822"/>
      <c r="AB95" s="2822"/>
      <c r="AC95" s="2822"/>
      <c r="AD95" s="2822"/>
      <c r="AE95" s="2822"/>
      <c r="AF95" s="2822"/>
      <c r="AG95" s="2822"/>
      <c r="AH95" s="2822"/>
      <c r="AI95" s="2822"/>
      <c r="AJ95" s="2822"/>
      <c r="AK95" s="1723">
        <v>42775</v>
      </c>
      <c r="AL95" s="1723">
        <v>42775</v>
      </c>
      <c r="AM95" s="1748" t="s">
        <v>1777</v>
      </c>
    </row>
    <row r="96" spans="1:39" ht="114.75" x14ac:dyDescent="0.25">
      <c r="A96" s="972"/>
      <c r="B96" s="972"/>
      <c r="C96" s="972"/>
      <c r="D96" s="1751"/>
      <c r="E96" s="1752"/>
      <c r="F96" s="1753"/>
      <c r="G96" s="2861"/>
      <c r="H96" s="2862"/>
      <c r="I96" s="2863"/>
      <c r="J96" s="1656">
        <v>106</v>
      </c>
      <c r="K96" s="1672" t="s">
        <v>1935</v>
      </c>
      <c r="L96" s="1672" t="s">
        <v>1740</v>
      </c>
      <c r="M96" s="1660">
        <v>1</v>
      </c>
      <c r="N96" s="1712"/>
      <c r="O96" s="1971"/>
      <c r="P96" s="1961"/>
      <c r="Q96" s="1740">
        <f>+V96/$R$92</f>
        <v>0.38505747126436779</v>
      </c>
      <c r="R96" s="1965"/>
      <c r="S96" s="1961"/>
      <c r="T96" s="2826"/>
      <c r="U96" s="1672" t="s">
        <v>1936</v>
      </c>
      <c r="V96" s="1664">
        <v>53600000</v>
      </c>
      <c r="W96" s="1674">
        <v>20</v>
      </c>
      <c r="X96" s="1656" t="s">
        <v>51</v>
      </c>
      <c r="Y96" s="2823"/>
      <c r="Z96" s="2823"/>
      <c r="AA96" s="2823"/>
      <c r="AB96" s="2823"/>
      <c r="AC96" s="2823"/>
      <c r="AD96" s="2823"/>
      <c r="AE96" s="2823"/>
      <c r="AF96" s="2823"/>
      <c r="AG96" s="2823"/>
      <c r="AH96" s="2823"/>
      <c r="AI96" s="2823"/>
      <c r="AJ96" s="2823"/>
      <c r="AK96" s="1723">
        <v>42767</v>
      </c>
      <c r="AL96" s="1723">
        <v>42795</v>
      </c>
      <c r="AM96" s="1748" t="s">
        <v>1777</v>
      </c>
    </row>
    <row r="97" spans="1:39" ht="25.5" x14ac:dyDescent="0.25">
      <c r="A97" s="1755"/>
      <c r="B97" s="1755"/>
      <c r="C97" s="1755"/>
      <c r="D97" s="1756"/>
      <c r="E97" s="450"/>
      <c r="F97" s="1757"/>
      <c r="G97" s="2861"/>
      <c r="H97" s="2862"/>
      <c r="I97" s="2863"/>
      <c r="J97" s="1984">
        <v>107</v>
      </c>
      <c r="K97" s="2848" t="s">
        <v>1937</v>
      </c>
      <c r="L97" s="2848" t="s">
        <v>1740</v>
      </c>
      <c r="M97" s="1984">
        <v>1</v>
      </c>
      <c r="N97" s="1736" t="s">
        <v>1938</v>
      </c>
      <c r="O97" s="1984">
        <v>122</v>
      </c>
      <c r="P97" s="1957" t="s">
        <v>1939</v>
      </c>
      <c r="Q97" s="2867">
        <v>1</v>
      </c>
      <c r="R97" s="2000">
        <f>SUM(V97:V98)</f>
        <v>53800000</v>
      </c>
      <c r="S97" s="1984"/>
      <c r="T97" s="1984"/>
      <c r="U97" s="2848" t="s">
        <v>1940</v>
      </c>
      <c r="V97" s="1664">
        <v>49500000</v>
      </c>
      <c r="W97" s="1670">
        <v>35</v>
      </c>
      <c r="X97" s="1660" t="s">
        <v>1746</v>
      </c>
      <c r="Y97" s="2849"/>
      <c r="Z97" s="2851"/>
      <c r="AA97" s="2851"/>
      <c r="AB97" s="2851"/>
      <c r="AC97" s="2851"/>
      <c r="AD97" s="2851"/>
      <c r="AE97" s="2851"/>
      <c r="AF97" s="2851"/>
      <c r="AG97" s="2851"/>
      <c r="AH97" s="2851"/>
      <c r="AI97" s="2851"/>
      <c r="AJ97" s="2851"/>
      <c r="AK97" s="1671"/>
      <c r="AL97" s="1671"/>
      <c r="AM97" s="1758"/>
    </row>
    <row r="98" spans="1:39" ht="25.5" x14ac:dyDescent="0.25">
      <c r="A98" s="1759"/>
      <c r="B98" s="1759"/>
      <c r="C98" s="1759"/>
      <c r="D98" s="1760"/>
      <c r="E98" s="1760"/>
      <c r="F98" s="1761"/>
      <c r="G98" s="2864"/>
      <c r="H98" s="2865"/>
      <c r="I98" s="2866"/>
      <c r="J98" s="1982"/>
      <c r="K98" s="2005"/>
      <c r="L98" s="2005"/>
      <c r="M98" s="1982"/>
      <c r="N98" s="1668" t="s">
        <v>1941</v>
      </c>
      <c r="O98" s="1982"/>
      <c r="P98" s="1978"/>
      <c r="Q98" s="2868"/>
      <c r="R98" s="1998"/>
      <c r="S98" s="1982"/>
      <c r="T98" s="1982"/>
      <c r="U98" s="2005"/>
      <c r="V98" s="1664">
        <v>4300000</v>
      </c>
      <c r="W98" s="1670">
        <v>20</v>
      </c>
      <c r="X98" s="1660" t="s">
        <v>1942</v>
      </c>
      <c r="Y98" s="2850"/>
      <c r="Z98" s="2851"/>
      <c r="AA98" s="2851"/>
      <c r="AB98" s="2851"/>
      <c r="AC98" s="2851"/>
      <c r="AD98" s="2851"/>
      <c r="AE98" s="2851"/>
      <c r="AF98" s="2851"/>
      <c r="AG98" s="2851"/>
      <c r="AH98" s="2851"/>
      <c r="AI98" s="2851"/>
      <c r="AJ98" s="2851"/>
      <c r="AK98" s="1671"/>
      <c r="AL98" s="1671"/>
      <c r="AM98" s="1758"/>
    </row>
    <row r="99" spans="1:39" x14ac:dyDescent="0.25">
      <c r="A99" s="1762"/>
      <c r="B99" s="1762"/>
      <c r="C99" s="1763"/>
      <c r="D99" s="1764">
        <v>8</v>
      </c>
      <c r="E99" s="2830" t="s">
        <v>1943</v>
      </c>
      <c r="F99" s="2831"/>
      <c r="G99" s="2831"/>
      <c r="H99" s="2831"/>
      <c r="I99" s="2831"/>
      <c r="J99" s="2831"/>
      <c r="K99" s="2831"/>
      <c r="L99" s="110"/>
      <c r="M99" s="109"/>
      <c r="N99" s="109"/>
      <c r="O99" s="111"/>
      <c r="P99" s="110"/>
      <c r="Q99" s="112"/>
      <c r="R99" s="113"/>
      <c r="S99" s="110"/>
      <c r="T99" s="110"/>
      <c r="U99" s="110"/>
      <c r="V99" s="114"/>
      <c r="W99" s="115"/>
      <c r="X99" s="111"/>
      <c r="Y99" s="109"/>
      <c r="Z99" s="109"/>
      <c r="AA99" s="109"/>
      <c r="AB99" s="109"/>
      <c r="AC99" s="109"/>
      <c r="AD99" s="109"/>
      <c r="AE99" s="109"/>
      <c r="AF99" s="109"/>
      <c r="AG99" s="109"/>
      <c r="AH99" s="109"/>
      <c r="AI99" s="109"/>
      <c r="AJ99" s="109"/>
      <c r="AK99" s="1716"/>
      <c r="AL99" s="1716"/>
      <c r="AM99" s="117"/>
    </row>
    <row r="100" spans="1:39" x14ac:dyDescent="0.25">
      <c r="A100" s="1765"/>
      <c r="B100" s="1765"/>
      <c r="C100" s="1766"/>
      <c r="D100" s="2832"/>
      <c r="E100" s="2832"/>
      <c r="F100" s="2833"/>
      <c r="G100" s="1719">
        <v>25</v>
      </c>
      <c r="H100" s="2837" t="s">
        <v>1944</v>
      </c>
      <c r="I100" s="2837"/>
      <c r="J100" s="2837"/>
      <c r="K100" s="2837"/>
      <c r="L100" s="124"/>
      <c r="M100" s="123"/>
      <c r="N100" s="123"/>
      <c r="O100" s="123"/>
      <c r="P100" s="124"/>
      <c r="Q100" s="123"/>
      <c r="R100" s="123"/>
      <c r="S100" s="124"/>
      <c r="T100" s="124"/>
      <c r="U100" s="124"/>
      <c r="V100" s="123"/>
      <c r="W100" s="123"/>
      <c r="X100" s="123"/>
      <c r="Y100" s="123"/>
      <c r="Z100" s="123"/>
      <c r="AA100" s="123"/>
      <c r="AB100" s="123"/>
      <c r="AC100" s="123"/>
      <c r="AD100" s="123"/>
      <c r="AE100" s="123"/>
      <c r="AF100" s="123"/>
      <c r="AG100" s="123"/>
      <c r="AH100" s="123"/>
      <c r="AI100" s="123"/>
      <c r="AJ100" s="123"/>
      <c r="AK100" s="123"/>
      <c r="AL100" s="123"/>
      <c r="AM100" s="131"/>
    </row>
    <row r="101" spans="1:39" ht="140.25" x14ac:dyDescent="0.25">
      <c r="A101" s="1765"/>
      <c r="B101" s="1765"/>
      <c r="C101" s="1766"/>
      <c r="D101" s="2852"/>
      <c r="E101" s="2852"/>
      <c r="F101" s="2853"/>
      <c r="G101" s="1721"/>
      <c r="H101" s="1541"/>
      <c r="I101" s="1541"/>
      <c r="J101" s="1656">
        <v>108</v>
      </c>
      <c r="K101" s="1672" t="s">
        <v>1945</v>
      </c>
      <c r="L101" s="1672" t="s">
        <v>1740</v>
      </c>
      <c r="M101" s="1767">
        <v>4</v>
      </c>
      <c r="N101" s="2044" t="s">
        <v>1946</v>
      </c>
      <c r="O101" s="1973">
        <v>96</v>
      </c>
      <c r="P101" s="2044" t="s">
        <v>1947</v>
      </c>
      <c r="Q101" s="1652">
        <f>+V101/R101</f>
        <v>0.125</v>
      </c>
      <c r="R101" s="1967">
        <f>SUM(V101:V102)</f>
        <v>80000000</v>
      </c>
      <c r="S101" s="2044" t="s">
        <v>1948</v>
      </c>
      <c r="T101" s="1672" t="s">
        <v>1949</v>
      </c>
      <c r="U101" s="1672" t="s">
        <v>1950</v>
      </c>
      <c r="V101" s="1654">
        <v>10000000</v>
      </c>
      <c r="W101" s="1674">
        <v>20</v>
      </c>
      <c r="X101" s="1656" t="s">
        <v>51</v>
      </c>
      <c r="Y101" s="2821">
        <v>2732</v>
      </c>
      <c r="Z101" s="2821">
        <v>17360</v>
      </c>
      <c r="AA101" s="2821">
        <v>21116</v>
      </c>
      <c r="AB101" s="2821"/>
      <c r="AC101" s="2821">
        <v>4451</v>
      </c>
      <c r="AD101" s="2821">
        <v>56</v>
      </c>
      <c r="AE101" s="2821"/>
      <c r="AF101" s="2821"/>
      <c r="AG101" s="2821"/>
      <c r="AH101" s="2821"/>
      <c r="AI101" s="2821"/>
      <c r="AJ101" s="2821"/>
      <c r="AK101" s="1723">
        <v>43066</v>
      </c>
      <c r="AL101" s="1723">
        <v>43069</v>
      </c>
      <c r="AM101" s="1748" t="s">
        <v>1777</v>
      </c>
    </row>
    <row r="102" spans="1:39" ht="140.25" x14ac:dyDescent="0.25">
      <c r="A102" s="1765"/>
      <c r="B102" s="1765"/>
      <c r="C102" s="1766"/>
      <c r="D102" s="2852"/>
      <c r="E102" s="2852"/>
      <c r="F102" s="2853"/>
      <c r="G102" s="1768"/>
      <c r="H102" s="1769"/>
      <c r="I102" s="1769"/>
      <c r="J102" s="1656">
        <v>109</v>
      </c>
      <c r="K102" s="1672" t="s">
        <v>1951</v>
      </c>
      <c r="L102" s="1672" t="s">
        <v>1740</v>
      </c>
      <c r="M102" s="1767">
        <v>52</v>
      </c>
      <c r="N102" s="2826"/>
      <c r="O102" s="1971"/>
      <c r="P102" s="2826"/>
      <c r="Q102" s="1652">
        <f>+V102/R101</f>
        <v>0.875</v>
      </c>
      <c r="R102" s="1965"/>
      <c r="S102" s="2826"/>
      <c r="T102" s="1672" t="s">
        <v>1952</v>
      </c>
      <c r="U102" s="1669" t="s">
        <v>1953</v>
      </c>
      <c r="V102" s="1654">
        <v>70000000</v>
      </c>
      <c r="W102" s="1674">
        <v>20</v>
      </c>
      <c r="X102" s="1656" t="s">
        <v>51</v>
      </c>
      <c r="Y102" s="2823"/>
      <c r="Z102" s="2823"/>
      <c r="AA102" s="2823"/>
      <c r="AB102" s="2823"/>
      <c r="AC102" s="2823"/>
      <c r="AD102" s="2823"/>
      <c r="AE102" s="2823"/>
      <c r="AF102" s="2823"/>
      <c r="AG102" s="2823"/>
      <c r="AH102" s="2823"/>
      <c r="AI102" s="2823"/>
      <c r="AJ102" s="2823"/>
      <c r="AK102" s="1723">
        <v>42767</v>
      </c>
      <c r="AL102" s="1723">
        <v>42774</v>
      </c>
      <c r="AM102" s="1748" t="s">
        <v>1777</v>
      </c>
    </row>
    <row r="103" spans="1:39" x14ac:dyDescent="0.25">
      <c r="A103" s="1765"/>
      <c r="B103" s="1765"/>
      <c r="C103" s="1766"/>
      <c r="D103" s="2852"/>
      <c r="E103" s="2852"/>
      <c r="F103" s="2853"/>
      <c r="G103" s="1719">
        <v>26</v>
      </c>
      <c r="H103" s="2837" t="s">
        <v>1954</v>
      </c>
      <c r="I103" s="2837"/>
      <c r="J103" s="2837"/>
      <c r="K103" s="2837"/>
      <c r="L103" s="124"/>
      <c r="M103" s="123"/>
      <c r="N103" s="123"/>
      <c r="O103" s="123"/>
      <c r="P103" s="124"/>
      <c r="Q103" s="123"/>
      <c r="R103" s="123"/>
      <c r="S103" s="124"/>
      <c r="T103" s="124"/>
      <c r="U103" s="124"/>
      <c r="V103" s="123"/>
      <c r="W103" s="123"/>
      <c r="X103" s="123"/>
      <c r="Y103" s="123"/>
      <c r="Z103" s="123"/>
      <c r="AA103" s="123"/>
      <c r="AB103" s="123"/>
      <c r="AC103" s="123"/>
      <c r="AD103" s="123"/>
      <c r="AE103" s="123"/>
      <c r="AF103" s="123"/>
      <c r="AG103" s="123"/>
      <c r="AH103" s="123"/>
      <c r="AI103" s="123"/>
      <c r="AJ103" s="123"/>
      <c r="AK103" s="123"/>
      <c r="AL103" s="123"/>
      <c r="AM103" s="131"/>
    </row>
    <row r="104" spans="1:39" ht="102" x14ac:dyDescent="0.25">
      <c r="A104" s="1765" t="s">
        <v>72</v>
      </c>
      <c r="B104" s="1765"/>
      <c r="C104" s="1766"/>
      <c r="D104" s="2852"/>
      <c r="E104" s="2852"/>
      <c r="F104" s="2853"/>
      <c r="G104" s="1768"/>
      <c r="H104" s="1769"/>
      <c r="I104" s="1769"/>
      <c r="J104" s="1656">
        <v>110</v>
      </c>
      <c r="K104" s="1672" t="s">
        <v>1955</v>
      </c>
      <c r="L104" s="1672" t="s">
        <v>1740</v>
      </c>
      <c r="M104" s="1767">
        <v>200</v>
      </c>
      <c r="N104" s="1672" t="s">
        <v>1956</v>
      </c>
      <c r="O104" s="1770">
        <v>97</v>
      </c>
      <c r="P104" s="1708" t="s">
        <v>1957</v>
      </c>
      <c r="Q104" s="1652">
        <v>1</v>
      </c>
      <c r="R104" s="227">
        <f>+V104</f>
        <v>1200000000</v>
      </c>
      <c r="S104" s="1672" t="s">
        <v>1958</v>
      </c>
      <c r="T104" s="1672" t="s">
        <v>1959</v>
      </c>
      <c r="U104" s="1672" t="s">
        <v>1960</v>
      </c>
      <c r="V104" s="1654">
        <v>1200000000</v>
      </c>
      <c r="W104" s="1674">
        <v>25</v>
      </c>
      <c r="X104" s="1656" t="s">
        <v>1961</v>
      </c>
      <c r="Y104" s="1771">
        <v>2732</v>
      </c>
      <c r="Z104" s="1771">
        <v>17360</v>
      </c>
      <c r="AA104" s="1771">
        <v>21116</v>
      </c>
      <c r="AB104" s="1654"/>
      <c r="AC104" s="1771">
        <v>4451</v>
      </c>
      <c r="AD104" s="1771">
        <v>56</v>
      </c>
      <c r="AE104" s="1654"/>
      <c r="AF104" s="1654"/>
      <c r="AG104" s="1654"/>
      <c r="AH104" s="1654"/>
      <c r="AI104" s="1654"/>
      <c r="AJ104" s="1654"/>
      <c r="AK104" s="1723">
        <v>42772</v>
      </c>
      <c r="AL104" s="1723">
        <v>43069</v>
      </c>
      <c r="AM104" s="1748" t="s">
        <v>1777</v>
      </c>
    </row>
    <row r="105" spans="1:39" x14ac:dyDescent="0.25">
      <c r="A105" s="1765"/>
      <c r="B105" s="1765"/>
      <c r="C105" s="1766"/>
      <c r="D105" s="2852"/>
      <c r="E105" s="2852"/>
      <c r="F105" s="2853"/>
      <c r="G105" s="1719">
        <v>27</v>
      </c>
      <c r="H105" s="2837" t="s">
        <v>1962</v>
      </c>
      <c r="I105" s="2837"/>
      <c r="J105" s="2837"/>
      <c r="K105" s="2837"/>
      <c r="L105" s="124"/>
      <c r="M105" s="123"/>
      <c r="N105" s="123"/>
      <c r="O105" s="123"/>
      <c r="P105" s="124"/>
      <c r="Q105" s="123"/>
      <c r="R105" s="123"/>
      <c r="S105" s="124"/>
      <c r="T105" s="124"/>
      <c r="U105" s="124"/>
      <c r="V105" s="123"/>
      <c r="W105" s="123"/>
      <c r="X105" s="123"/>
      <c r="Y105" s="123"/>
      <c r="Z105" s="123"/>
      <c r="AA105" s="123"/>
      <c r="AB105" s="123"/>
      <c r="AC105" s="123"/>
      <c r="AD105" s="123"/>
      <c r="AE105" s="123"/>
      <c r="AF105" s="123"/>
      <c r="AG105" s="123"/>
      <c r="AH105" s="123"/>
      <c r="AI105" s="123"/>
      <c r="AJ105" s="123"/>
      <c r="AK105" s="123"/>
      <c r="AL105" s="123"/>
      <c r="AM105" s="131"/>
    </row>
    <row r="106" spans="1:39" ht="178.5" x14ac:dyDescent="0.25">
      <c r="A106" s="1765"/>
      <c r="B106" s="1765"/>
      <c r="C106" s="1766"/>
      <c r="D106" s="2852"/>
      <c r="E106" s="2852"/>
      <c r="F106" s="2853"/>
      <c r="G106" s="1768"/>
      <c r="H106" s="1769"/>
      <c r="I106" s="1769"/>
      <c r="J106" s="1656">
        <v>111</v>
      </c>
      <c r="K106" s="1672" t="s">
        <v>1963</v>
      </c>
      <c r="L106" s="1672" t="s">
        <v>1964</v>
      </c>
      <c r="M106" s="1772">
        <v>1</v>
      </c>
      <c r="N106" s="1651" t="s">
        <v>1965</v>
      </c>
      <c r="O106" s="1656">
        <v>98</v>
      </c>
      <c r="P106" s="1672" t="s">
        <v>1966</v>
      </c>
      <c r="Q106" s="1652">
        <v>1</v>
      </c>
      <c r="R106" s="1654">
        <f>+V106</f>
        <v>17987346928</v>
      </c>
      <c r="S106" s="1672" t="s">
        <v>1967</v>
      </c>
      <c r="T106" s="1672" t="s">
        <v>1968</v>
      </c>
      <c r="U106" s="1672" t="s">
        <v>1969</v>
      </c>
      <c r="V106" s="1664">
        <f>17415000000+443400000+128946928</f>
        <v>17987346928</v>
      </c>
      <c r="W106" s="1674">
        <v>25</v>
      </c>
      <c r="X106" s="1656" t="s">
        <v>1961</v>
      </c>
      <c r="Y106" s="1771">
        <v>2732</v>
      </c>
      <c r="Z106" s="1771">
        <v>17360</v>
      </c>
      <c r="AA106" s="1771">
        <v>21116</v>
      </c>
      <c r="AB106" s="1654"/>
      <c r="AC106" s="1771">
        <v>4451</v>
      </c>
      <c r="AD106" s="1771">
        <v>56</v>
      </c>
      <c r="AE106" s="1654"/>
      <c r="AF106" s="1654"/>
      <c r="AG106" s="1654"/>
      <c r="AH106" s="1654"/>
      <c r="AI106" s="1654"/>
      <c r="AJ106" s="1654"/>
      <c r="AK106" s="1723">
        <v>42736</v>
      </c>
      <c r="AL106" s="1723">
        <v>43100</v>
      </c>
      <c r="AM106" s="1748" t="s">
        <v>1777</v>
      </c>
    </row>
    <row r="107" spans="1:39" x14ac:dyDescent="0.25">
      <c r="A107" s="1765"/>
      <c r="B107" s="1765"/>
      <c r="C107" s="1766"/>
      <c r="D107" s="2852"/>
      <c r="E107" s="2852"/>
      <c r="F107" s="2853"/>
      <c r="G107" s="1719">
        <v>28</v>
      </c>
      <c r="H107" s="2837" t="s">
        <v>1970</v>
      </c>
      <c r="I107" s="2837"/>
      <c r="J107" s="2837"/>
      <c r="K107" s="2837"/>
      <c r="L107" s="124"/>
      <c r="M107" s="123"/>
      <c r="N107" s="123"/>
      <c r="O107" s="125"/>
      <c r="P107" s="124"/>
      <c r="Q107" s="126"/>
      <c r="R107" s="127"/>
      <c r="S107" s="124"/>
      <c r="T107" s="124"/>
      <c r="U107" s="124"/>
      <c r="V107" s="128"/>
      <c r="W107" s="1773"/>
      <c r="X107" s="125"/>
      <c r="Y107" s="123"/>
      <c r="Z107" s="123"/>
      <c r="AA107" s="123"/>
      <c r="AB107" s="123"/>
      <c r="AC107" s="123"/>
      <c r="AD107" s="123"/>
      <c r="AE107" s="123"/>
      <c r="AF107" s="123"/>
      <c r="AG107" s="123"/>
      <c r="AH107" s="123"/>
      <c r="AI107" s="123"/>
      <c r="AJ107" s="123"/>
      <c r="AK107" s="1774"/>
      <c r="AL107" s="1774"/>
      <c r="AM107" s="131"/>
    </row>
    <row r="108" spans="1:39" ht="89.25" customHeight="1" x14ac:dyDescent="0.25">
      <c r="A108" s="1765"/>
      <c r="B108" s="1765"/>
      <c r="C108" s="1766"/>
      <c r="D108" s="2852"/>
      <c r="E108" s="2852"/>
      <c r="F108" s="2853"/>
      <c r="G108" s="2838"/>
      <c r="H108" s="2839"/>
      <c r="I108" s="2840"/>
      <c r="J108" s="1973">
        <v>112</v>
      </c>
      <c r="K108" s="2044" t="s">
        <v>1971</v>
      </c>
      <c r="L108" s="2044" t="s">
        <v>1740</v>
      </c>
      <c r="M108" s="1973">
        <v>20</v>
      </c>
      <c r="N108" s="1705"/>
      <c r="O108" s="1973">
        <v>100</v>
      </c>
      <c r="P108" s="2044" t="s">
        <v>1972</v>
      </c>
      <c r="Q108" s="1964">
        <f>(V108+V109)/R108</f>
        <v>0.72112676056338032</v>
      </c>
      <c r="R108" s="1967">
        <f>SUM(V108:V110)</f>
        <v>42600000</v>
      </c>
      <c r="S108" s="2044" t="s">
        <v>1973</v>
      </c>
      <c r="T108" s="2044" t="s">
        <v>1974</v>
      </c>
      <c r="U108" s="2044" t="s">
        <v>1975</v>
      </c>
      <c r="V108" s="1654">
        <v>720000</v>
      </c>
      <c r="W108" s="1674">
        <v>35</v>
      </c>
      <c r="X108" s="1656" t="s">
        <v>1746</v>
      </c>
      <c r="Y108" s="2821">
        <v>2732</v>
      </c>
      <c r="Z108" s="2821">
        <v>17360</v>
      </c>
      <c r="AA108" s="2821">
        <v>21116</v>
      </c>
      <c r="AB108" s="2821"/>
      <c r="AC108" s="2821">
        <v>4451</v>
      </c>
      <c r="AD108" s="2821">
        <v>56</v>
      </c>
      <c r="AE108" s="2821"/>
      <c r="AF108" s="2821"/>
      <c r="AG108" s="2821"/>
      <c r="AH108" s="2821"/>
      <c r="AI108" s="2821"/>
      <c r="AJ108" s="2821"/>
      <c r="AK108" s="1967" t="s">
        <v>1976</v>
      </c>
      <c r="AL108" s="1967" t="s">
        <v>1976</v>
      </c>
      <c r="AM108" s="1748" t="s">
        <v>1777</v>
      </c>
    </row>
    <row r="109" spans="1:39" ht="89.25" customHeight="1" x14ac:dyDescent="0.25">
      <c r="A109" s="1765"/>
      <c r="B109" s="1765"/>
      <c r="C109" s="1766"/>
      <c r="D109" s="2852"/>
      <c r="E109" s="2852"/>
      <c r="F109" s="2853"/>
      <c r="G109" s="2841"/>
      <c r="H109" s="2842"/>
      <c r="I109" s="2843"/>
      <c r="J109" s="1971"/>
      <c r="K109" s="2826"/>
      <c r="L109" s="2826"/>
      <c r="M109" s="1971"/>
      <c r="N109" s="301" t="s">
        <v>1977</v>
      </c>
      <c r="O109" s="2847"/>
      <c r="P109" s="2825"/>
      <c r="Q109" s="1962"/>
      <c r="R109" s="2824"/>
      <c r="S109" s="2825"/>
      <c r="T109" s="2825"/>
      <c r="U109" s="2826"/>
      <c r="V109" s="1654">
        <v>30000000</v>
      </c>
      <c r="W109" s="1674">
        <v>20</v>
      </c>
      <c r="X109" s="1656" t="s">
        <v>51</v>
      </c>
      <c r="Y109" s="2822"/>
      <c r="Z109" s="2822"/>
      <c r="AA109" s="2822"/>
      <c r="AB109" s="2822"/>
      <c r="AC109" s="2822"/>
      <c r="AD109" s="2822"/>
      <c r="AE109" s="2822"/>
      <c r="AF109" s="2822"/>
      <c r="AG109" s="2822"/>
      <c r="AH109" s="2822"/>
      <c r="AI109" s="2822"/>
      <c r="AJ109" s="2822"/>
      <c r="AK109" s="1965"/>
      <c r="AL109" s="1965"/>
      <c r="AM109" s="1748" t="s">
        <v>1777</v>
      </c>
    </row>
    <row r="110" spans="1:39" ht="165.75" x14ac:dyDescent="0.25">
      <c r="A110" s="1775"/>
      <c r="B110" s="1775"/>
      <c r="C110" s="1776"/>
      <c r="D110" s="2834"/>
      <c r="E110" s="2834"/>
      <c r="F110" s="2835"/>
      <c r="G110" s="2844"/>
      <c r="H110" s="2845"/>
      <c r="I110" s="2846"/>
      <c r="J110" s="1656">
        <v>113</v>
      </c>
      <c r="K110" s="1672" t="s">
        <v>1978</v>
      </c>
      <c r="L110" s="1672" t="s">
        <v>1740</v>
      </c>
      <c r="M110" s="1656">
        <v>3</v>
      </c>
      <c r="N110" s="309" t="s">
        <v>1979</v>
      </c>
      <c r="O110" s="1971"/>
      <c r="P110" s="2826"/>
      <c r="Q110" s="1652">
        <f>V110/R108</f>
        <v>0.27887323943661974</v>
      </c>
      <c r="R110" s="1965"/>
      <c r="S110" s="2826"/>
      <c r="T110" s="2826"/>
      <c r="U110" s="1672" t="s">
        <v>1980</v>
      </c>
      <c r="V110" s="1654">
        <v>11880000</v>
      </c>
      <c r="W110" s="1674">
        <v>35</v>
      </c>
      <c r="X110" s="1656" t="s">
        <v>1746</v>
      </c>
      <c r="Y110" s="2823"/>
      <c r="Z110" s="2823"/>
      <c r="AA110" s="2823"/>
      <c r="AB110" s="2823"/>
      <c r="AC110" s="2823"/>
      <c r="AD110" s="2823"/>
      <c r="AE110" s="2823"/>
      <c r="AF110" s="2823"/>
      <c r="AG110" s="2823"/>
      <c r="AH110" s="2823"/>
      <c r="AI110" s="2823"/>
      <c r="AJ110" s="2823"/>
      <c r="AK110" s="1723">
        <v>43035</v>
      </c>
      <c r="AL110" s="1723">
        <v>43035</v>
      </c>
      <c r="AM110" s="1748" t="s">
        <v>1777</v>
      </c>
    </row>
    <row r="111" spans="1:39" x14ac:dyDescent="0.25">
      <c r="A111" s="2827"/>
      <c r="B111" s="2827"/>
      <c r="C111" s="2827"/>
      <c r="D111" s="1714">
        <v>16</v>
      </c>
      <c r="E111" s="2830" t="s">
        <v>1053</v>
      </c>
      <c r="F111" s="2831"/>
      <c r="G111" s="2831"/>
      <c r="H111" s="2831"/>
      <c r="I111" s="2831"/>
      <c r="J111" s="2831"/>
      <c r="K111" s="2831"/>
      <c r="L111" s="110"/>
      <c r="M111" s="109"/>
      <c r="N111" s="109"/>
      <c r="O111" s="111"/>
      <c r="P111" s="110"/>
      <c r="Q111" s="112"/>
      <c r="R111" s="113"/>
      <c r="S111" s="110"/>
      <c r="T111" s="110"/>
      <c r="U111" s="110"/>
      <c r="V111" s="114"/>
      <c r="W111" s="115"/>
      <c r="X111" s="111"/>
      <c r="Y111" s="109"/>
      <c r="Z111" s="109"/>
      <c r="AA111" s="109"/>
      <c r="AB111" s="109"/>
      <c r="AC111" s="109"/>
      <c r="AD111" s="109"/>
      <c r="AE111" s="109"/>
      <c r="AF111" s="109"/>
      <c r="AG111" s="109"/>
      <c r="AH111" s="109"/>
      <c r="AI111" s="109"/>
      <c r="AJ111" s="109"/>
      <c r="AK111" s="1716"/>
      <c r="AL111" s="1716"/>
      <c r="AM111" s="117"/>
    </row>
    <row r="112" spans="1:39" x14ac:dyDescent="0.25">
      <c r="A112" s="2828"/>
      <c r="B112" s="2828"/>
      <c r="C112" s="2828"/>
      <c r="D112" s="2832"/>
      <c r="E112" s="2832"/>
      <c r="F112" s="2833"/>
      <c r="G112" s="1719">
        <v>57</v>
      </c>
      <c r="H112" s="2836" t="s">
        <v>1981</v>
      </c>
      <c r="I112" s="2836"/>
      <c r="J112" s="2836"/>
      <c r="K112" s="2836"/>
      <c r="L112" s="124"/>
      <c r="M112" s="123"/>
      <c r="N112" s="123"/>
      <c r="O112" s="125"/>
      <c r="P112" s="124"/>
      <c r="Q112" s="126"/>
      <c r="R112" s="127"/>
      <c r="S112" s="124"/>
      <c r="T112" s="124"/>
      <c r="U112" s="124"/>
      <c r="V112" s="128"/>
      <c r="W112" s="129"/>
      <c r="X112" s="125"/>
      <c r="Y112" s="123"/>
      <c r="Z112" s="123"/>
      <c r="AA112" s="123"/>
      <c r="AB112" s="123"/>
      <c r="AC112" s="123"/>
      <c r="AD112" s="123"/>
      <c r="AE112" s="123"/>
      <c r="AF112" s="123"/>
      <c r="AG112" s="123"/>
      <c r="AH112" s="123"/>
      <c r="AI112" s="123"/>
      <c r="AJ112" s="123"/>
      <c r="AK112" s="1774"/>
      <c r="AL112" s="1774"/>
      <c r="AM112" s="131"/>
    </row>
    <row r="113" spans="1:39" ht="89.25" x14ac:dyDescent="0.25">
      <c r="A113" s="2829"/>
      <c r="B113" s="2829"/>
      <c r="C113" s="2829"/>
      <c r="D113" s="2834"/>
      <c r="E113" s="2834"/>
      <c r="F113" s="2835"/>
      <c r="G113" s="1768"/>
      <c r="H113" s="1769"/>
      <c r="I113" s="1769"/>
      <c r="J113" s="1656">
        <v>182</v>
      </c>
      <c r="K113" s="1672" t="s">
        <v>1982</v>
      </c>
      <c r="L113" s="1672" t="s">
        <v>1740</v>
      </c>
      <c r="M113" s="1656">
        <v>1</v>
      </c>
      <c r="N113" s="1672" t="s">
        <v>1983</v>
      </c>
      <c r="O113" s="1656">
        <v>101</v>
      </c>
      <c r="P113" s="1672" t="s">
        <v>1984</v>
      </c>
      <c r="Q113" s="1652">
        <v>1</v>
      </c>
      <c r="R113" s="227">
        <f>+V113</f>
        <v>40000000</v>
      </c>
      <c r="S113" s="1672" t="s">
        <v>1985</v>
      </c>
      <c r="T113" s="1672" t="s">
        <v>1982</v>
      </c>
      <c r="U113" s="1672" t="s">
        <v>1986</v>
      </c>
      <c r="V113" s="1654">
        <v>40000000</v>
      </c>
      <c r="W113" s="1674">
        <v>20</v>
      </c>
      <c r="X113" s="1656" t="s">
        <v>51</v>
      </c>
      <c r="Y113" s="1771">
        <v>2732</v>
      </c>
      <c r="Z113" s="1771">
        <v>17360</v>
      </c>
      <c r="AA113" s="1771">
        <v>21116</v>
      </c>
      <c r="AB113" s="1654"/>
      <c r="AC113" s="1771">
        <v>4451</v>
      </c>
      <c r="AD113" s="1771">
        <v>56</v>
      </c>
      <c r="AE113" s="1654"/>
      <c r="AF113" s="1654"/>
      <c r="AG113" s="1654"/>
      <c r="AH113" s="1654"/>
      <c r="AI113" s="1654"/>
      <c r="AJ113" s="1654"/>
      <c r="AK113" s="1723">
        <v>42767</v>
      </c>
      <c r="AL113" s="1723">
        <v>42795</v>
      </c>
      <c r="AM113" s="1748" t="s">
        <v>1777</v>
      </c>
    </row>
    <row r="114" spans="1:39" x14ac:dyDescent="0.25">
      <c r="A114" s="265"/>
      <c r="B114" s="148"/>
      <c r="C114" s="148"/>
      <c r="D114" s="148"/>
      <c r="E114" s="148"/>
      <c r="F114" s="148"/>
      <c r="G114" s="148"/>
      <c r="H114" s="148"/>
      <c r="I114" s="148"/>
      <c r="J114" s="148"/>
      <c r="K114" s="266"/>
      <c r="L114" s="118"/>
      <c r="M114" s="118"/>
      <c r="N114" s="118"/>
      <c r="O114" s="267"/>
      <c r="P114" s="266"/>
      <c r="Q114" s="268"/>
      <c r="R114" s="269">
        <f>SUM(R12:R113)</f>
        <v>144727667756.10001</v>
      </c>
      <c r="S114" s="266"/>
      <c r="T114" s="266"/>
      <c r="U114" s="266"/>
      <c r="V114" s="269">
        <f>SUM(V12:V113)</f>
        <v>144727667756.10001</v>
      </c>
      <c r="W114" s="148"/>
      <c r="X114" s="148"/>
      <c r="Y114" s="148"/>
      <c r="Z114" s="148"/>
      <c r="AA114" s="148"/>
      <c r="AB114" s="148"/>
      <c r="AC114" s="148"/>
      <c r="AD114" s="148"/>
      <c r="AE114" s="148"/>
      <c r="AF114" s="148"/>
      <c r="AG114" s="148"/>
      <c r="AH114" s="148"/>
      <c r="AI114" s="148"/>
      <c r="AJ114" s="273"/>
    </row>
    <row r="115" spans="1:39" x14ac:dyDescent="0.25">
      <c r="A115" s="265"/>
      <c r="B115" s="148"/>
      <c r="C115" s="148"/>
      <c r="D115" s="148"/>
      <c r="E115" s="148"/>
      <c r="F115" s="148"/>
      <c r="G115" s="148"/>
      <c r="H115" s="148"/>
      <c r="I115" s="148"/>
      <c r="J115" s="148"/>
      <c r="K115" s="266"/>
      <c r="L115" s="118"/>
      <c r="M115" s="118"/>
      <c r="N115" s="118"/>
      <c r="O115" s="267"/>
      <c r="P115" s="266"/>
      <c r="Q115" s="268"/>
      <c r="R115" s="269"/>
      <c r="S115" s="266"/>
      <c r="T115" s="266"/>
      <c r="U115" s="266"/>
      <c r="V115" s="270">
        <v>144727667756.10001</v>
      </c>
      <c r="W115" s="148"/>
      <c r="X115" s="148"/>
      <c r="Y115" s="148"/>
      <c r="Z115" s="148"/>
      <c r="AA115" s="148"/>
      <c r="AB115" s="148"/>
      <c r="AC115" s="148"/>
      <c r="AD115" s="148"/>
      <c r="AE115" s="148"/>
      <c r="AF115" s="148"/>
      <c r="AG115" s="148"/>
      <c r="AH115" s="148"/>
      <c r="AI115" s="148"/>
      <c r="AJ115" s="273"/>
    </row>
    <row r="116" spans="1:39" x14ac:dyDescent="0.25">
      <c r="A116" s="84"/>
      <c r="B116" s="84"/>
      <c r="C116" s="84"/>
      <c r="D116" s="84"/>
      <c r="E116" s="84"/>
      <c r="F116" s="84"/>
      <c r="G116" s="1650"/>
      <c r="H116" s="85"/>
      <c r="I116" s="84"/>
      <c r="J116" s="84"/>
      <c r="K116" s="86"/>
      <c r="L116" s="1650"/>
      <c r="M116" s="84"/>
      <c r="N116" s="627"/>
      <c r="O116" s="84"/>
      <c r="P116" s="1156"/>
      <c r="Q116" s="84"/>
      <c r="R116" s="85"/>
      <c r="S116" s="1777"/>
      <c r="T116" s="1778"/>
      <c r="U116" s="1779"/>
      <c r="V116" s="1779"/>
      <c r="W116" s="84"/>
      <c r="X116" s="84"/>
      <c r="Y116" s="86"/>
      <c r="Z116" s="84"/>
      <c r="AA116" s="86"/>
      <c r="AB116" s="84"/>
      <c r="AC116" s="86"/>
      <c r="AD116" s="84"/>
      <c r="AE116" s="86"/>
      <c r="AF116" s="84"/>
      <c r="AG116" s="86"/>
      <c r="AH116" s="84"/>
      <c r="AI116" s="86"/>
      <c r="AJ116" s="84"/>
    </row>
    <row r="117" spans="1:39" ht="30" x14ac:dyDescent="0.25">
      <c r="A117" s="84"/>
      <c r="B117" s="84"/>
      <c r="C117" s="84"/>
      <c r="D117" s="84"/>
      <c r="E117" s="84"/>
      <c r="F117" s="84"/>
      <c r="G117" s="1650"/>
      <c r="H117" s="85"/>
      <c r="I117" s="84"/>
      <c r="J117" s="84"/>
      <c r="K117" s="86"/>
      <c r="L117" s="1650"/>
      <c r="M117" s="84"/>
      <c r="N117" s="1780" t="s">
        <v>1987</v>
      </c>
      <c r="O117" s="1781"/>
      <c r="P117" s="1156"/>
      <c r="Q117" s="84"/>
      <c r="R117" s="85"/>
      <c r="S117" s="1777"/>
      <c r="T117" s="1779"/>
      <c r="U117" s="1779"/>
      <c r="V117" s="1779"/>
      <c r="W117" s="84"/>
      <c r="X117" s="84"/>
      <c r="Y117" s="86"/>
      <c r="Z117" s="84"/>
      <c r="AA117" s="86"/>
      <c r="AB117" s="84"/>
      <c r="AC117" s="86"/>
      <c r="AD117" s="84"/>
      <c r="AE117" s="86"/>
      <c r="AF117" s="84"/>
      <c r="AG117" s="86"/>
      <c r="AH117" s="84"/>
      <c r="AI117" s="86"/>
      <c r="AJ117" s="84"/>
    </row>
    <row r="118" spans="1:39" x14ac:dyDescent="0.25">
      <c r="A118" s="84"/>
      <c r="B118" s="84"/>
      <c r="C118" s="84"/>
      <c r="D118" s="84"/>
      <c r="E118" s="84"/>
      <c r="F118" s="84"/>
      <c r="G118" s="1650"/>
      <c r="H118" s="85"/>
      <c r="I118" s="84"/>
      <c r="J118" s="84"/>
      <c r="K118" s="86"/>
      <c r="L118" s="1650"/>
      <c r="M118" s="84"/>
      <c r="N118" s="721" t="s">
        <v>1988</v>
      </c>
      <c r="O118" s="84"/>
      <c r="P118" s="1156"/>
      <c r="Q118" s="84"/>
      <c r="R118" s="85"/>
      <c r="S118" s="85"/>
      <c r="T118" s="1782"/>
      <c r="U118" s="1783"/>
      <c r="V118" s="1783"/>
      <c r="W118" s="84"/>
      <c r="X118" s="84"/>
      <c r="Y118" s="86"/>
      <c r="Z118" s="84"/>
      <c r="AA118" s="86"/>
      <c r="AB118" s="84"/>
      <c r="AC118" s="86"/>
      <c r="AD118" s="84"/>
      <c r="AE118" s="86"/>
      <c r="AF118" s="84"/>
      <c r="AG118" s="86"/>
      <c r="AH118" s="84"/>
      <c r="AI118" s="86"/>
      <c r="AJ118" s="84"/>
    </row>
    <row r="119" spans="1:39" x14ac:dyDescent="0.25">
      <c r="A119" s="84"/>
      <c r="B119" s="84"/>
      <c r="C119" s="84"/>
      <c r="D119" s="84"/>
      <c r="E119" s="84"/>
      <c r="F119" s="84"/>
      <c r="G119" s="1650"/>
      <c r="H119" s="85"/>
      <c r="I119" s="84"/>
      <c r="J119" s="84"/>
      <c r="K119" s="86"/>
      <c r="L119" s="1650"/>
      <c r="M119" s="84"/>
      <c r="N119" s="627"/>
      <c r="O119" s="84"/>
      <c r="P119" s="1156"/>
      <c r="Q119" s="84"/>
      <c r="R119" s="85"/>
      <c r="S119" s="85"/>
      <c r="T119" s="1782"/>
      <c r="U119" s="1783"/>
      <c r="V119" s="1783"/>
      <c r="W119" s="84"/>
      <c r="X119" s="84"/>
      <c r="Y119" s="86"/>
      <c r="Z119" s="84"/>
      <c r="AA119" s="86"/>
      <c r="AB119" s="84"/>
      <c r="AC119" s="86"/>
      <c r="AD119" s="84"/>
      <c r="AE119" s="86"/>
      <c r="AF119" s="84"/>
      <c r="AG119" s="86"/>
      <c r="AH119" s="84"/>
      <c r="AI119" s="86"/>
      <c r="AJ119" s="84"/>
    </row>
    <row r="120" spans="1:39" x14ac:dyDescent="0.25">
      <c r="A120" s="84"/>
      <c r="B120" s="84"/>
      <c r="C120" s="84"/>
      <c r="D120" s="84"/>
      <c r="E120" s="84"/>
      <c r="F120" s="84"/>
      <c r="G120" s="1650"/>
      <c r="H120" s="85"/>
      <c r="I120" s="84"/>
      <c r="J120" s="84"/>
      <c r="K120" s="86"/>
      <c r="L120" s="1650"/>
      <c r="M120" s="84"/>
      <c r="N120" s="627"/>
      <c r="O120" s="84"/>
      <c r="P120" s="1156"/>
      <c r="Q120" s="84"/>
      <c r="R120" s="85"/>
      <c r="S120" s="85"/>
      <c r="T120" s="1782"/>
      <c r="U120" s="1783"/>
      <c r="V120" s="1783"/>
      <c r="W120" s="84"/>
      <c r="X120" s="84"/>
      <c r="Y120" s="86"/>
      <c r="Z120" s="84"/>
      <c r="AA120" s="86"/>
      <c r="AB120" s="84"/>
      <c r="AC120" s="86"/>
      <c r="AD120" s="84"/>
      <c r="AE120" s="86"/>
      <c r="AF120" s="84"/>
      <c r="AG120" s="86"/>
      <c r="AH120" s="84"/>
      <c r="AI120" s="86"/>
      <c r="AJ120" s="84"/>
    </row>
    <row r="121" spans="1:39" x14ac:dyDescent="0.25">
      <c r="A121" s="265"/>
      <c r="B121" s="148"/>
      <c r="C121" s="148"/>
      <c r="D121" s="148"/>
      <c r="E121" s="148"/>
      <c r="F121" s="148"/>
      <c r="G121" s="148"/>
      <c r="H121" s="148"/>
      <c r="I121" s="148"/>
      <c r="J121" s="148"/>
      <c r="K121" s="266"/>
      <c r="L121" s="118"/>
      <c r="M121" s="118"/>
      <c r="N121" s="118"/>
      <c r="O121" s="267"/>
      <c r="P121" s="266"/>
      <c r="Q121" s="268"/>
      <c r="R121" s="269"/>
      <c r="S121" s="266"/>
      <c r="T121" s="266"/>
      <c r="U121" s="266"/>
      <c r="V121" s="276"/>
      <c r="W121" s="148"/>
      <c r="X121" s="148"/>
      <c r="Y121" s="148"/>
      <c r="Z121" s="148"/>
      <c r="AA121" s="148"/>
      <c r="AB121" s="148"/>
      <c r="AC121" s="148"/>
      <c r="AD121" s="148"/>
      <c r="AE121" s="148"/>
      <c r="AF121" s="148"/>
      <c r="AG121" s="148"/>
      <c r="AH121" s="148"/>
      <c r="AI121" s="148"/>
      <c r="AJ121" s="273"/>
    </row>
  </sheetData>
  <mergeCells count="376">
    <mergeCell ref="A5:M6"/>
    <mergeCell ref="A1:AK4"/>
    <mergeCell ref="N5:AM5"/>
    <mergeCell ref="Y6:AJ6"/>
    <mergeCell ref="J7:J8"/>
    <mergeCell ref="K7:K8"/>
    <mergeCell ref="L7:L8"/>
    <mergeCell ref="M7:M8"/>
    <mergeCell ref="N7:N8"/>
    <mergeCell ref="O7:O8"/>
    <mergeCell ref="A7:A8"/>
    <mergeCell ref="B7:C8"/>
    <mergeCell ref="D7:D8"/>
    <mergeCell ref="E7:F8"/>
    <mergeCell ref="G7:G8"/>
    <mergeCell ref="H7:I8"/>
    <mergeCell ref="X7:X8"/>
    <mergeCell ref="Y7:AD7"/>
    <mergeCell ref="AE7:AJ7"/>
    <mergeCell ref="P7:P8"/>
    <mergeCell ref="Q7:Q8"/>
    <mergeCell ref="R7:R8"/>
    <mergeCell ref="S7:S8"/>
    <mergeCell ref="T7:T8"/>
    <mergeCell ref="AK7:AK8"/>
    <mergeCell ref="AL7:AL8"/>
    <mergeCell ref="AM7:AM8"/>
    <mergeCell ref="P12:P21"/>
    <mergeCell ref="Q12:Q15"/>
    <mergeCell ref="R12:R21"/>
    <mergeCell ref="S12:S21"/>
    <mergeCell ref="T12:T15"/>
    <mergeCell ref="U12:U14"/>
    <mergeCell ref="W7:W8"/>
    <mergeCell ref="AD12:AD21"/>
    <mergeCell ref="Y12:Y21"/>
    <mergeCell ref="Z12:Z21"/>
    <mergeCell ref="AA12:AA21"/>
    <mergeCell ref="AM12:AM21"/>
    <mergeCell ref="AH12:AH21"/>
    <mergeCell ref="AI12:AI21"/>
    <mergeCell ref="AJ12:AJ21"/>
    <mergeCell ref="AE12:AE21"/>
    <mergeCell ref="AF12:AF21"/>
    <mergeCell ref="AG12:AG21"/>
    <mergeCell ref="AB12:AB21"/>
    <mergeCell ref="AC12:AC21"/>
    <mergeCell ref="B12:C12"/>
    <mergeCell ref="E12:F12"/>
    <mergeCell ref="H12:I12"/>
    <mergeCell ref="J12:J15"/>
    <mergeCell ref="K12:K15"/>
    <mergeCell ref="L12:L15"/>
    <mergeCell ref="M12:M15"/>
    <mergeCell ref="O12:O21"/>
    <mergeCell ref="V7:V8"/>
    <mergeCell ref="J16:J20"/>
    <mergeCell ref="K16:K20"/>
    <mergeCell ref="L16:L20"/>
    <mergeCell ref="M16:M20"/>
    <mergeCell ref="Q16:Q20"/>
    <mergeCell ref="T16:T20"/>
    <mergeCell ref="U16:U19"/>
    <mergeCell ref="U7:U8"/>
    <mergeCell ref="A22:F22"/>
    <mergeCell ref="H22:M22"/>
    <mergeCell ref="A23:C33"/>
    <mergeCell ref="D23:F33"/>
    <mergeCell ref="G23:G33"/>
    <mergeCell ref="H23:H33"/>
    <mergeCell ref="I23:I33"/>
    <mergeCell ref="J30:J33"/>
    <mergeCell ref="K30:K33"/>
    <mergeCell ref="L30:L33"/>
    <mergeCell ref="M30:M33"/>
    <mergeCell ref="J25:J27"/>
    <mergeCell ref="K25:K27"/>
    <mergeCell ref="L25:L27"/>
    <mergeCell ref="M25:M27"/>
    <mergeCell ref="AI23:AI33"/>
    <mergeCell ref="AJ23:AJ33"/>
    <mergeCell ref="O23:O33"/>
    <mergeCell ref="P23:P33"/>
    <mergeCell ref="R23:R33"/>
    <mergeCell ref="S23:S33"/>
    <mergeCell ref="Y23:Y33"/>
    <mergeCell ref="T25:T27"/>
    <mergeCell ref="V25:V27"/>
    <mergeCell ref="Q25:Q27"/>
    <mergeCell ref="AF23:AF33"/>
    <mergeCell ref="AG23:AG33"/>
    <mergeCell ref="AH23:AH33"/>
    <mergeCell ref="AC23:AC33"/>
    <mergeCell ref="AD23:AD33"/>
    <mergeCell ref="AE23:AE33"/>
    <mergeCell ref="Z23:Z33"/>
    <mergeCell ref="AA23:AA33"/>
    <mergeCell ref="AB23:AB33"/>
    <mergeCell ref="Q30:Q33"/>
    <mergeCell ref="T30:T33"/>
    <mergeCell ref="W31:W33"/>
    <mergeCell ref="X31:X33"/>
    <mergeCell ref="L39:L40"/>
    <mergeCell ref="M39:M40"/>
    <mergeCell ref="A34:F34"/>
    <mergeCell ref="H34:M34"/>
    <mergeCell ref="A35:C35"/>
    <mergeCell ref="D35:F35"/>
    <mergeCell ref="G35:I35"/>
    <mergeCell ref="A36:C36"/>
    <mergeCell ref="E36:K36"/>
    <mergeCell ref="AB38:AB46"/>
    <mergeCell ref="AC38:AC46"/>
    <mergeCell ref="AD38:AD46"/>
    <mergeCell ref="Y38:Y46"/>
    <mergeCell ref="Z38:Z46"/>
    <mergeCell ref="AA38:AA46"/>
    <mergeCell ref="AH38:AH46"/>
    <mergeCell ref="AI38:AI46"/>
    <mergeCell ref="AJ38:AJ46"/>
    <mergeCell ref="AE38:AE46"/>
    <mergeCell ref="AF38:AF46"/>
    <mergeCell ref="AG38:AG46"/>
    <mergeCell ref="W39:W40"/>
    <mergeCell ref="X39:X40"/>
    <mergeCell ref="U42:U44"/>
    <mergeCell ref="H47:K47"/>
    <mergeCell ref="A48:C69"/>
    <mergeCell ref="D48:F69"/>
    <mergeCell ref="G48:I69"/>
    <mergeCell ref="J48:J54"/>
    <mergeCell ref="K48:K54"/>
    <mergeCell ref="L48:L54"/>
    <mergeCell ref="N39:N40"/>
    <mergeCell ref="Q39:Q40"/>
    <mergeCell ref="T39:T40"/>
    <mergeCell ref="U39:U40"/>
    <mergeCell ref="V39:V40"/>
    <mergeCell ref="D37:F46"/>
    <mergeCell ref="H37:K37"/>
    <mergeCell ref="O38:O46"/>
    <mergeCell ref="P38:P46"/>
    <mergeCell ref="R38:R46"/>
    <mergeCell ref="S38:S46"/>
    <mergeCell ref="J39:J40"/>
    <mergeCell ref="K39:K40"/>
    <mergeCell ref="J58:J59"/>
    <mergeCell ref="K58:K59"/>
    <mergeCell ref="L58:L59"/>
    <mergeCell ref="M58:M59"/>
    <mergeCell ref="Q58:Q59"/>
    <mergeCell ref="T58:T59"/>
    <mergeCell ref="J60:J64"/>
    <mergeCell ref="AG48:AG69"/>
    <mergeCell ref="AD48:AD69"/>
    <mergeCell ref="AE48:AE69"/>
    <mergeCell ref="AF48:AF69"/>
    <mergeCell ref="AA48:AA69"/>
    <mergeCell ref="AB48:AB69"/>
    <mergeCell ref="AC48:AC69"/>
    <mergeCell ref="S48:S69"/>
    <mergeCell ref="T48:T54"/>
    <mergeCell ref="Y48:Y69"/>
    <mergeCell ref="Q66:Q67"/>
    <mergeCell ref="K60:K64"/>
    <mergeCell ref="L60:L64"/>
    <mergeCell ref="M60:M64"/>
    <mergeCell ref="Q60:Q64"/>
    <mergeCell ref="T60:T64"/>
    <mergeCell ref="AJ48:AJ69"/>
    <mergeCell ref="AH48:AH69"/>
    <mergeCell ref="AI48:AI69"/>
    <mergeCell ref="Z48:Z69"/>
    <mergeCell ref="T66:T67"/>
    <mergeCell ref="M48:M54"/>
    <mergeCell ref="O48:O69"/>
    <mergeCell ref="P48:P69"/>
    <mergeCell ref="Q48:Q54"/>
    <mergeCell ref="R48:R69"/>
    <mergeCell ref="H70:L70"/>
    <mergeCell ref="A71:C75"/>
    <mergeCell ref="D71:F75"/>
    <mergeCell ref="G71:I75"/>
    <mergeCell ref="O71:O75"/>
    <mergeCell ref="P71:P75"/>
    <mergeCell ref="J66:J67"/>
    <mergeCell ref="K66:K67"/>
    <mergeCell ref="L66:L67"/>
    <mergeCell ref="M66:M67"/>
    <mergeCell ref="AM73:AM74"/>
    <mergeCell ref="AM75:AM76"/>
    <mergeCell ref="AJ71:AJ75"/>
    <mergeCell ref="J73:J74"/>
    <mergeCell ref="K73:K74"/>
    <mergeCell ref="L73:L74"/>
    <mergeCell ref="M73:M74"/>
    <mergeCell ref="Q73:Q74"/>
    <mergeCell ref="T73:T74"/>
    <mergeCell ref="U73:U74"/>
    <mergeCell ref="AG71:AG75"/>
    <mergeCell ref="AH71:AH75"/>
    <mergeCell ref="AI71:AI75"/>
    <mergeCell ref="AD71:AD75"/>
    <mergeCell ref="AE71:AE75"/>
    <mergeCell ref="AF71:AF75"/>
    <mergeCell ref="H76:L76"/>
    <mergeCell ref="A77:I81"/>
    <mergeCell ref="J77:J81"/>
    <mergeCell ref="K77:K81"/>
    <mergeCell ref="L77:L81"/>
    <mergeCell ref="M77:M81"/>
    <mergeCell ref="AK73:AK74"/>
    <mergeCell ref="AL73:AL74"/>
    <mergeCell ref="AA71:AA75"/>
    <mergeCell ref="AB71:AB75"/>
    <mergeCell ref="AC71:AC75"/>
    <mergeCell ref="R71:R75"/>
    <mergeCell ref="S71:S75"/>
    <mergeCell ref="Y71:Y75"/>
    <mergeCell ref="Z71:Z75"/>
    <mergeCell ref="T77:T81"/>
    <mergeCell ref="W77:W81"/>
    <mergeCell ref="X77:X81"/>
    <mergeCell ref="Y77:Y81"/>
    <mergeCell ref="Z77:Z81"/>
    <mergeCell ref="O77:O81"/>
    <mergeCell ref="P77:P81"/>
    <mergeCell ref="Q77:Q81"/>
    <mergeCell ref="R77:R81"/>
    <mergeCell ref="S77:S81"/>
    <mergeCell ref="AE77:AE81"/>
    <mergeCell ref="AF77:AF81"/>
    <mergeCell ref="AA77:AA81"/>
    <mergeCell ref="AB77:AB81"/>
    <mergeCell ref="AC77:AC81"/>
    <mergeCell ref="AM77:AM81"/>
    <mergeCell ref="V78:V80"/>
    <mergeCell ref="A82:C90"/>
    <mergeCell ref="E82:M82"/>
    <mergeCell ref="D83:F90"/>
    <mergeCell ref="H83:K83"/>
    <mergeCell ref="G84:I90"/>
    <mergeCell ref="O84:O90"/>
    <mergeCell ref="P84:P90"/>
    <mergeCell ref="AJ77:AJ81"/>
    <mergeCell ref="AK77:AK81"/>
    <mergeCell ref="AL77:AL81"/>
    <mergeCell ref="AG77:AG81"/>
    <mergeCell ref="AH77:AH81"/>
    <mergeCell ref="AI77:AI81"/>
    <mergeCell ref="AD77:AD81"/>
    <mergeCell ref="AB84:AB90"/>
    <mergeCell ref="AC84:AC90"/>
    <mergeCell ref="R84:R90"/>
    <mergeCell ref="S84:S90"/>
    <mergeCell ref="Y84:Y90"/>
    <mergeCell ref="Z84:Z90"/>
    <mergeCell ref="W88:W90"/>
    <mergeCell ref="X88:X90"/>
    <mergeCell ref="AJ84:AJ90"/>
    <mergeCell ref="J88:J90"/>
    <mergeCell ref="K88:K90"/>
    <mergeCell ref="L88:L90"/>
    <mergeCell ref="M88:M90"/>
    <mergeCell ref="Q88:Q90"/>
    <mergeCell ref="T88:T90"/>
    <mergeCell ref="V88:V90"/>
    <mergeCell ref="AG84:AG90"/>
    <mergeCell ref="AH84:AH90"/>
    <mergeCell ref="AI84:AI90"/>
    <mergeCell ref="AD84:AD90"/>
    <mergeCell ref="AE84:AE90"/>
    <mergeCell ref="AF84:AF90"/>
    <mergeCell ref="AA84:AA90"/>
    <mergeCell ref="H91:L91"/>
    <mergeCell ref="G92:I98"/>
    <mergeCell ref="O92:O96"/>
    <mergeCell ref="P92:P96"/>
    <mergeCell ref="R92:R96"/>
    <mergeCell ref="S92:S96"/>
    <mergeCell ref="J97:J98"/>
    <mergeCell ref="K97:K98"/>
    <mergeCell ref="L97:L98"/>
    <mergeCell ref="M97:M98"/>
    <mergeCell ref="O97:O98"/>
    <mergeCell ref="P97:P98"/>
    <mergeCell ref="Q97:Q98"/>
    <mergeCell ref="R97:R98"/>
    <mergeCell ref="S97:S98"/>
    <mergeCell ref="T92:T96"/>
    <mergeCell ref="Y92:Y96"/>
    <mergeCell ref="Z92:Z96"/>
    <mergeCell ref="AA92:AA96"/>
    <mergeCell ref="J94:J95"/>
    <mergeCell ref="K94:K95"/>
    <mergeCell ref="L94:L95"/>
    <mergeCell ref="M94:M95"/>
    <mergeCell ref="Q94:Q95"/>
    <mergeCell ref="U94:U95"/>
    <mergeCell ref="V94:V95"/>
    <mergeCell ref="AH92:AH96"/>
    <mergeCell ref="AI92:AI96"/>
    <mergeCell ref="AJ92:AJ96"/>
    <mergeCell ref="AE92:AE96"/>
    <mergeCell ref="AF92:AF96"/>
    <mergeCell ref="AG92:AG96"/>
    <mergeCell ref="AB92:AB96"/>
    <mergeCell ref="AB97:AB98"/>
    <mergeCell ref="AC97:AC98"/>
    <mergeCell ref="AC92:AC96"/>
    <mergeCell ref="AD92:AD96"/>
    <mergeCell ref="T97:T98"/>
    <mergeCell ref="U97:U98"/>
    <mergeCell ref="Y97:Y98"/>
    <mergeCell ref="Z97:Z98"/>
    <mergeCell ref="AJ97:AJ98"/>
    <mergeCell ref="E99:K99"/>
    <mergeCell ref="D100:F110"/>
    <mergeCell ref="H100:K100"/>
    <mergeCell ref="N101:N102"/>
    <mergeCell ref="O101:O102"/>
    <mergeCell ref="P101:P102"/>
    <mergeCell ref="R101:R102"/>
    <mergeCell ref="S101:S102"/>
    <mergeCell ref="AG97:AG98"/>
    <mergeCell ref="AH97:AH98"/>
    <mergeCell ref="AI97:AI98"/>
    <mergeCell ref="AD97:AD98"/>
    <mergeCell ref="AE97:AE98"/>
    <mergeCell ref="AF97:AF98"/>
    <mergeCell ref="AA97:AA98"/>
    <mergeCell ref="AJ101:AJ102"/>
    <mergeCell ref="AE101:AE102"/>
    <mergeCell ref="AF101:AF102"/>
    <mergeCell ref="AG101:AG102"/>
    <mergeCell ref="AH101:AH102"/>
    <mergeCell ref="AI101:AI102"/>
    <mergeCell ref="AB101:AB102"/>
    <mergeCell ref="AC101:AC102"/>
    <mergeCell ref="AD101:AD102"/>
    <mergeCell ref="Y101:Y102"/>
    <mergeCell ref="Z101:Z102"/>
    <mergeCell ref="AA101:AA102"/>
    <mergeCell ref="U108:U109"/>
    <mergeCell ref="Y108:Y110"/>
    <mergeCell ref="AI108:AI110"/>
    <mergeCell ref="A111:C113"/>
    <mergeCell ref="E111:K111"/>
    <mergeCell ref="D112:F113"/>
    <mergeCell ref="H112:K112"/>
    <mergeCell ref="AK108:AK109"/>
    <mergeCell ref="H103:K103"/>
    <mergeCell ref="H105:K105"/>
    <mergeCell ref="H107:K107"/>
    <mergeCell ref="G108:I110"/>
    <mergeCell ref="J108:J109"/>
    <mergeCell ref="K108:K109"/>
    <mergeCell ref="L108:L109"/>
    <mergeCell ref="M108:M109"/>
    <mergeCell ref="O108:O110"/>
    <mergeCell ref="P108:P110"/>
    <mergeCell ref="Q108:Q109"/>
    <mergeCell ref="AL108:AL109"/>
    <mergeCell ref="AC108:AC110"/>
    <mergeCell ref="AD108:AD110"/>
    <mergeCell ref="AE108:AE110"/>
    <mergeCell ref="Z108:Z110"/>
    <mergeCell ref="AA108:AA110"/>
    <mergeCell ref="AB108:AB110"/>
    <mergeCell ref="R108:R110"/>
    <mergeCell ref="S108:S110"/>
    <mergeCell ref="T108:T110"/>
    <mergeCell ref="AJ108:AJ110"/>
    <mergeCell ref="AF108:AF110"/>
    <mergeCell ref="AG108:AG110"/>
    <mergeCell ref="AH108:AH1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5"/>
  <sheetViews>
    <sheetView showGridLines="0" topLeftCell="Q1" zoomScale="55" zoomScaleNormal="55" zoomScaleSheetLayoutView="68" workbookViewId="0">
      <selection activeCell="V8" sqref="V8:AG8"/>
    </sheetView>
  </sheetViews>
  <sheetFormatPr baseColWidth="10" defaultColWidth="11.42578125" defaultRowHeight="14.25" x14ac:dyDescent="0.2"/>
  <cols>
    <col min="1" max="1" width="13.5703125" style="84" customWidth="1"/>
    <col min="2" max="2" width="19" style="84" customWidth="1"/>
    <col min="3" max="3" width="13.5703125" style="84" customWidth="1"/>
    <col min="4" max="4" width="19.7109375" style="84" customWidth="1"/>
    <col min="5" max="5" width="13.5703125" style="84" customWidth="1"/>
    <col min="6" max="6" width="17.28515625" style="90" customWidth="1"/>
    <col min="7" max="7" width="14.7109375" style="84" customWidth="1"/>
    <col min="8" max="8" width="30" style="84" customWidth="1"/>
    <col min="9" max="9" width="29.42578125" style="84" customWidth="1"/>
    <col min="10" max="10" width="11.42578125" style="84"/>
    <col min="11" max="11" width="32.28515625" style="84" customWidth="1"/>
    <col min="12" max="12" width="12" style="84" customWidth="1"/>
    <col min="13" max="13" width="28.140625" style="84" customWidth="1"/>
    <col min="14" max="14" width="17.85546875" style="84" bestFit="1" customWidth="1"/>
    <col min="15" max="15" width="24.7109375" style="1156" customWidth="1"/>
    <col min="16" max="16" width="36.42578125" style="84" customWidth="1"/>
    <col min="17" max="17" width="46.7109375" style="84" customWidth="1"/>
    <col min="18" max="18" width="35.140625" style="289" customWidth="1"/>
    <col min="19" max="19" width="25.42578125" style="1156" customWidth="1"/>
    <col min="20" max="20" width="12.42578125" style="84" customWidth="1"/>
    <col min="21" max="21" width="16.42578125" style="84" customWidth="1"/>
    <col min="22" max="23" width="11.42578125" style="1144"/>
    <col min="24" max="25" width="11.42578125" style="1144" customWidth="1"/>
    <col min="26" max="26" width="9.28515625" style="1144" bestFit="1" customWidth="1"/>
    <col min="27" max="27" width="7" style="1144" bestFit="1" customWidth="1"/>
    <col min="28" max="33" width="13" style="1144" customWidth="1"/>
    <col min="34" max="34" width="18" style="1144" customWidth="1"/>
    <col min="35" max="35" width="21.42578125" style="1144" customWidth="1"/>
    <col min="36" max="36" width="34.28515625" style="1144" customWidth="1"/>
    <col min="37" max="250" width="11.42578125" style="84"/>
    <col min="251" max="251" width="14.140625" style="84" customWidth="1"/>
    <col min="252" max="252" width="11.42578125" style="84"/>
    <col min="253" max="253" width="14.140625" style="84" customWidth="1"/>
    <col min="254" max="254" width="11.42578125" style="84"/>
    <col min="255" max="255" width="14.28515625" style="84" customWidth="1"/>
    <col min="256" max="256" width="11.42578125" style="84"/>
    <col min="257" max="257" width="30" style="84" customWidth="1"/>
    <col min="258" max="258" width="29.42578125" style="84" customWidth="1"/>
    <col min="259" max="259" width="11.42578125" style="84"/>
    <col min="260" max="260" width="18.7109375" style="84" customWidth="1"/>
    <col min="261" max="261" width="28.140625" style="84" customWidth="1"/>
    <col min="262" max="262" width="11.42578125" style="84"/>
    <col min="263" max="263" width="19.5703125" style="84" customWidth="1"/>
    <col min="264" max="264" width="36.42578125" style="84" customWidth="1"/>
    <col min="265" max="265" width="46.7109375" style="84" customWidth="1"/>
    <col min="266" max="266" width="28" style="84" customWidth="1"/>
    <col min="267" max="267" width="16.42578125" style="84" customWidth="1"/>
    <col min="268" max="268" width="12.42578125" style="84" customWidth="1"/>
    <col min="269" max="280" width="11.42578125" style="84"/>
    <col min="281" max="281" width="13" style="84" customWidth="1"/>
    <col min="282" max="282" width="14.7109375" style="84" customWidth="1"/>
    <col min="283" max="283" width="34.28515625" style="84" customWidth="1"/>
    <col min="284" max="506" width="11.42578125" style="84"/>
    <col min="507" max="507" width="14.140625" style="84" customWidth="1"/>
    <col min="508" max="508" width="11.42578125" style="84"/>
    <col min="509" max="509" width="14.140625" style="84" customWidth="1"/>
    <col min="510" max="510" width="11.42578125" style="84"/>
    <col min="511" max="511" width="14.28515625" style="84" customWidth="1"/>
    <col min="512" max="512" width="11.42578125" style="84"/>
    <col min="513" max="513" width="30" style="84" customWidth="1"/>
    <col min="514" max="514" width="29.42578125" style="84" customWidth="1"/>
    <col min="515" max="515" width="11.42578125" style="84"/>
    <col min="516" max="516" width="18.7109375" style="84" customWidth="1"/>
    <col min="517" max="517" width="28.140625" style="84" customWidth="1"/>
    <col min="518" max="518" width="11.42578125" style="84"/>
    <col min="519" max="519" width="19.5703125" style="84" customWidth="1"/>
    <col min="520" max="520" width="36.42578125" style="84" customWidth="1"/>
    <col min="521" max="521" width="46.7109375" style="84" customWidth="1"/>
    <col min="522" max="522" width="28" style="84" customWidth="1"/>
    <col min="523" max="523" width="16.42578125" style="84" customWidth="1"/>
    <col min="524" max="524" width="12.42578125" style="84" customWidth="1"/>
    <col min="525" max="536" width="11.42578125" style="84"/>
    <col min="537" max="537" width="13" style="84" customWidth="1"/>
    <col min="538" max="538" width="14.7109375" style="84" customWidth="1"/>
    <col min="539" max="539" width="34.28515625" style="84" customWidth="1"/>
    <col min="540" max="762" width="11.42578125" style="84"/>
    <col min="763" max="763" width="14.140625" style="84" customWidth="1"/>
    <col min="764" max="764" width="11.42578125" style="84"/>
    <col min="765" max="765" width="14.140625" style="84" customWidth="1"/>
    <col min="766" max="766" width="11.42578125" style="84"/>
    <col min="767" max="767" width="14.28515625" style="84" customWidth="1"/>
    <col min="768" max="768" width="11.42578125" style="84"/>
    <col min="769" max="769" width="30" style="84" customWidth="1"/>
    <col min="770" max="770" width="29.42578125" style="84" customWidth="1"/>
    <col min="771" max="771" width="11.42578125" style="84"/>
    <col min="772" max="772" width="18.7109375" style="84" customWidth="1"/>
    <col min="773" max="773" width="28.140625" style="84" customWidth="1"/>
    <col min="774" max="774" width="11.42578125" style="84"/>
    <col min="775" max="775" width="19.5703125" style="84" customWidth="1"/>
    <col min="776" max="776" width="36.42578125" style="84" customWidth="1"/>
    <col min="777" max="777" width="46.7109375" style="84" customWidth="1"/>
    <col min="778" max="778" width="28" style="84" customWidth="1"/>
    <col min="779" max="779" width="16.42578125" style="84" customWidth="1"/>
    <col min="780" max="780" width="12.42578125" style="84" customWidth="1"/>
    <col min="781" max="792" width="11.42578125" style="84"/>
    <col min="793" max="793" width="13" style="84" customWidth="1"/>
    <col min="794" max="794" width="14.7109375" style="84" customWidth="1"/>
    <col min="795" max="795" width="34.28515625" style="84" customWidth="1"/>
    <col min="796" max="1018" width="11.42578125" style="84"/>
    <col min="1019" max="1019" width="14.140625" style="84" customWidth="1"/>
    <col min="1020" max="1020" width="11.42578125" style="84"/>
    <col min="1021" max="1021" width="14.140625" style="84" customWidth="1"/>
    <col min="1022" max="1022" width="11.42578125" style="84"/>
    <col min="1023" max="1023" width="14.28515625" style="84" customWidth="1"/>
    <col min="1024" max="1024" width="11.42578125" style="84"/>
    <col min="1025" max="1025" width="30" style="84" customWidth="1"/>
    <col min="1026" max="1026" width="29.42578125" style="84" customWidth="1"/>
    <col min="1027" max="1027" width="11.42578125" style="84"/>
    <col min="1028" max="1028" width="18.7109375" style="84" customWidth="1"/>
    <col min="1029" max="1029" width="28.140625" style="84" customWidth="1"/>
    <col min="1030" max="1030" width="11.42578125" style="84"/>
    <col min="1031" max="1031" width="19.5703125" style="84" customWidth="1"/>
    <col min="1032" max="1032" width="36.42578125" style="84" customWidth="1"/>
    <col min="1033" max="1033" width="46.7109375" style="84" customWidth="1"/>
    <col min="1034" max="1034" width="28" style="84" customWidth="1"/>
    <col min="1035" max="1035" width="16.42578125" style="84" customWidth="1"/>
    <col min="1036" max="1036" width="12.42578125" style="84" customWidth="1"/>
    <col min="1037" max="1048" width="11.42578125" style="84"/>
    <col min="1049" max="1049" width="13" style="84" customWidth="1"/>
    <col min="1050" max="1050" width="14.7109375" style="84" customWidth="1"/>
    <col min="1051" max="1051" width="34.28515625" style="84" customWidth="1"/>
    <col min="1052" max="1274" width="11.42578125" style="84"/>
    <col min="1275" max="1275" width="14.140625" style="84" customWidth="1"/>
    <col min="1276" max="1276" width="11.42578125" style="84"/>
    <col min="1277" max="1277" width="14.140625" style="84" customWidth="1"/>
    <col min="1278" max="1278" width="11.42578125" style="84"/>
    <col min="1279" max="1279" width="14.28515625" style="84" customWidth="1"/>
    <col min="1280" max="1280" width="11.42578125" style="84"/>
    <col min="1281" max="1281" width="30" style="84" customWidth="1"/>
    <col min="1282" max="1282" width="29.42578125" style="84" customWidth="1"/>
    <col min="1283" max="1283" width="11.42578125" style="84"/>
    <col min="1284" max="1284" width="18.7109375" style="84" customWidth="1"/>
    <col min="1285" max="1285" width="28.140625" style="84" customWidth="1"/>
    <col min="1286" max="1286" width="11.42578125" style="84"/>
    <col min="1287" max="1287" width="19.5703125" style="84" customWidth="1"/>
    <col min="1288" max="1288" width="36.42578125" style="84" customWidth="1"/>
    <col min="1289" max="1289" width="46.7109375" style="84" customWidth="1"/>
    <col min="1290" max="1290" width="28" style="84" customWidth="1"/>
    <col min="1291" max="1291" width="16.42578125" style="84" customWidth="1"/>
    <col min="1292" max="1292" width="12.42578125" style="84" customWidth="1"/>
    <col min="1293" max="1304" width="11.42578125" style="84"/>
    <col min="1305" max="1305" width="13" style="84" customWidth="1"/>
    <col min="1306" max="1306" width="14.7109375" style="84" customWidth="1"/>
    <col min="1307" max="1307" width="34.28515625" style="84" customWidth="1"/>
    <col min="1308" max="1530" width="11.42578125" style="84"/>
    <col min="1531" max="1531" width="14.140625" style="84" customWidth="1"/>
    <col min="1532" max="1532" width="11.42578125" style="84"/>
    <col min="1533" max="1533" width="14.140625" style="84" customWidth="1"/>
    <col min="1534" max="1534" width="11.42578125" style="84"/>
    <col min="1535" max="1535" width="14.28515625" style="84" customWidth="1"/>
    <col min="1536" max="1536" width="11.42578125" style="84"/>
    <col min="1537" max="1537" width="30" style="84" customWidth="1"/>
    <col min="1538" max="1538" width="29.42578125" style="84" customWidth="1"/>
    <col min="1539" max="1539" width="11.42578125" style="84"/>
    <col min="1540" max="1540" width="18.7109375" style="84" customWidth="1"/>
    <col min="1541" max="1541" width="28.140625" style="84" customWidth="1"/>
    <col min="1542" max="1542" width="11.42578125" style="84"/>
    <col min="1543" max="1543" width="19.5703125" style="84" customWidth="1"/>
    <col min="1544" max="1544" width="36.42578125" style="84" customWidth="1"/>
    <col min="1545" max="1545" width="46.7109375" style="84" customWidth="1"/>
    <col min="1546" max="1546" width="28" style="84" customWidth="1"/>
    <col min="1547" max="1547" width="16.42578125" style="84" customWidth="1"/>
    <col min="1548" max="1548" width="12.42578125" style="84" customWidth="1"/>
    <col min="1549" max="1560" width="11.42578125" style="84"/>
    <col min="1561" max="1561" width="13" style="84" customWidth="1"/>
    <col min="1562" max="1562" width="14.7109375" style="84" customWidth="1"/>
    <col min="1563" max="1563" width="34.28515625" style="84" customWidth="1"/>
    <col min="1564" max="1786" width="11.42578125" style="84"/>
    <col min="1787" max="1787" width="14.140625" style="84" customWidth="1"/>
    <col min="1788" max="1788" width="11.42578125" style="84"/>
    <col min="1789" max="1789" width="14.140625" style="84" customWidth="1"/>
    <col min="1790" max="1790" width="11.42578125" style="84"/>
    <col min="1791" max="1791" width="14.28515625" style="84" customWidth="1"/>
    <col min="1792" max="1792" width="11.42578125" style="84"/>
    <col min="1793" max="1793" width="30" style="84" customWidth="1"/>
    <col min="1794" max="1794" width="29.42578125" style="84" customWidth="1"/>
    <col min="1795" max="1795" width="11.42578125" style="84"/>
    <col min="1796" max="1796" width="18.7109375" style="84" customWidth="1"/>
    <col min="1797" max="1797" width="28.140625" style="84" customWidth="1"/>
    <col min="1798" max="1798" width="11.42578125" style="84"/>
    <col min="1799" max="1799" width="19.5703125" style="84" customWidth="1"/>
    <col min="1800" max="1800" width="36.42578125" style="84" customWidth="1"/>
    <col min="1801" max="1801" width="46.7109375" style="84" customWidth="1"/>
    <col min="1802" max="1802" width="28" style="84" customWidth="1"/>
    <col min="1803" max="1803" width="16.42578125" style="84" customWidth="1"/>
    <col min="1804" max="1804" width="12.42578125" style="84" customWidth="1"/>
    <col min="1805" max="1816" width="11.42578125" style="84"/>
    <col min="1817" max="1817" width="13" style="84" customWidth="1"/>
    <col min="1818" max="1818" width="14.7109375" style="84" customWidth="1"/>
    <col min="1819" max="1819" width="34.28515625" style="84" customWidth="1"/>
    <col min="1820" max="2042" width="11.42578125" style="84"/>
    <col min="2043" max="2043" width="14.140625" style="84" customWidth="1"/>
    <col min="2044" max="2044" width="11.42578125" style="84"/>
    <col min="2045" max="2045" width="14.140625" style="84" customWidth="1"/>
    <col min="2046" max="2046" width="11.42578125" style="84"/>
    <col min="2047" max="2047" width="14.28515625" style="84" customWidth="1"/>
    <col min="2048" max="2048" width="11.42578125" style="84"/>
    <col min="2049" max="2049" width="30" style="84" customWidth="1"/>
    <col min="2050" max="2050" width="29.42578125" style="84" customWidth="1"/>
    <col min="2051" max="2051" width="11.42578125" style="84"/>
    <col min="2052" max="2052" width="18.7109375" style="84" customWidth="1"/>
    <col min="2053" max="2053" width="28.140625" style="84" customWidth="1"/>
    <col min="2054" max="2054" width="11.42578125" style="84"/>
    <col min="2055" max="2055" width="19.5703125" style="84" customWidth="1"/>
    <col min="2056" max="2056" width="36.42578125" style="84" customWidth="1"/>
    <col min="2057" max="2057" width="46.7109375" style="84" customWidth="1"/>
    <col min="2058" max="2058" width="28" style="84" customWidth="1"/>
    <col min="2059" max="2059" width="16.42578125" style="84" customWidth="1"/>
    <col min="2060" max="2060" width="12.42578125" style="84" customWidth="1"/>
    <col min="2061" max="2072" width="11.42578125" style="84"/>
    <col min="2073" max="2073" width="13" style="84" customWidth="1"/>
    <col min="2074" max="2074" width="14.7109375" style="84" customWidth="1"/>
    <col min="2075" max="2075" width="34.28515625" style="84" customWidth="1"/>
    <col min="2076" max="2298" width="11.42578125" style="84"/>
    <col min="2299" max="2299" width="14.140625" style="84" customWidth="1"/>
    <col min="2300" max="2300" width="11.42578125" style="84"/>
    <col min="2301" max="2301" width="14.140625" style="84" customWidth="1"/>
    <col min="2302" max="2302" width="11.42578125" style="84"/>
    <col min="2303" max="2303" width="14.28515625" style="84" customWidth="1"/>
    <col min="2304" max="2304" width="11.42578125" style="84"/>
    <col min="2305" max="2305" width="30" style="84" customWidth="1"/>
    <col min="2306" max="2306" width="29.42578125" style="84" customWidth="1"/>
    <col min="2307" max="2307" width="11.42578125" style="84"/>
    <col min="2308" max="2308" width="18.7109375" style="84" customWidth="1"/>
    <col min="2309" max="2309" width="28.140625" style="84" customWidth="1"/>
    <col min="2310" max="2310" width="11.42578125" style="84"/>
    <col min="2311" max="2311" width="19.5703125" style="84" customWidth="1"/>
    <col min="2312" max="2312" width="36.42578125" style="84" customWidth="1"/>
    <col min="2313" max="2313" width="46.7109375" style="84" customWidth="1"/>
    <col min="2314" max="2314" width="28" style="84" customWidth="1"/>
    <col min="2315" max="2315" width="16.42578125" style="84" customWidth="1"/>
    <col min="2316" max="2316" width="12.42578125" style="84" customWidth="1"/>
    <col min="2317" max="2328" width="11.42578125" style="84"/>
    <col min="2329" max="2329" width="13" style="84" customWidth="1"/>
    <col min="2330" max="2330" width="14.7109375" style="84" customWidth="1"/>
    <col min="2331" max="2331" width="34.28515625" style="84" customWidth="1"/>
    <col min="2332" max="2554" width="11.42578125" style="84"/>
    <col min="2555" max="2555" width="14.140625" style="84" customWidth="1"/>
    <col min="2556" max="2556" width="11.42578125" style="84"/>
    <col min="2557" max="2557" width="14.140625" style="84" customWidth="1"/>
    <col min="2558" max="2558" width="11.42578125" style="84"/>
    <col min="2559" max="2559" width="14.28515625" style="84" customWidth="1"/>
    <col min="2560" max="2560" width="11.42578125" style="84"/>
    <col min="2561" max="2561" width="30" style="84" customWidth="1"/>
    <col min="2562" max="2562" width="29.42578125" style="84" customWidth="1"/>
    <col min="2563" max="2563" width="11.42578125" style="84"/>
    <col min="2564" max="2564" width="18.7109375" style="84" customWidth="1"/>
    <col min="2565" max="2565" width="28.140625" style="84" customWidth="1"/>
    <col min="2566" max="2566" width="11.42578125" style="84"/>
    <col min="2567" max="2567" width="19.5703125" style="84" customWidth="1"/>
    <col min="2568" max="2568" width="36.42578125" style="84" customWidth="1"/>
    <col min="2569" max="2569" width="46.7109375" style="84" customWidth="1"/>
    <col min="2570" max="2570" width="28" style="84" customWidth="1"/>
    <col min="2571" max="2571" width="16.42578125" style="84" customWidth="1"/>
    <col min="2572" max="2572" width="12.42578125" style="84" customWidth="1"/>
    <col min="2573" max="2584" width="11.42578125" style="84"/>
    <col min="2585" max="2585" width="13" style="84" customWidth="1"/>
    <col min="2586" max="2586" width="14.7109375" style="84" customWidth="1"/>
    <col min="2587" max="2587" width="34.28515625" style="84" customWidth="1"/>
    <col min="2588" max="2810" width="11.42578125" style="84"/>
    <col min="2811" max="2811" width="14.140625" style="84" customWidth="1"/>
    <col min="2812" max="2812" width="11.42578125" style="84"/>
    <col min="2813" max="2813" width="14.140625" style="84" customWidth="1"/>
    <col min="2814" max="2814" width="11.42578125" style="84"/>
    <col min="2815" max="2815" width="14.28515625" style="84" customWidth="1"/>
    <col min="2816" max="2816" width="11.42578125" style="84"/>
    <col min="2817" max="2817" width="30" style="84" customWidth="1"/>
    <col min="2818" max="2818" width="29.42578125" style="84" customWidth="1"/>
    <col min="2819" max="2819" width="11.42578125" style="84"/>
    <col min="2820" max="2820" width="18.7109375" style="84" customWidth="1"/>
    <col min="2821" max="2821" width="28.140625" style="84" customWidth="1"/>
    <col min="2822" max="2822" width="11.42578125" style="84"/>
    <col min="2823" max="2823" width="19.5703125" style="84" customWidth="1"/>
    <col min="2824" max="2824" width="36.42578125" style="84" customWidth="1"/>
    <col min="2825" max="2825" width="46.7109375" style="84" customWidth="1"/>
    <col min="2826" max="2826" width="28" style="84" customWidth="1"/>
    <col min="2827" max="2827" width="16.42578125" style="84" customWidth="1"/>
    <col min="2828" max="2828" width="12.42578125" style="84" customWidth="1"/>
    <col min="2829" max="2840" width="11.42578125" style="84"/>
    <col min="2841" max="2841" width="13" style="84" customWidth="1"/>
    <col min="2842" max="2842" width="14.7109375" style="84" customWidth="1"/>
    <col min="2843" max="2843" width="34.28515625" style="84" customWidth="1"/>
    <col min="2844" max="3066" width="11.42578125" style="84"/>
    <col min="3067" max="3067" width="14.140625" style="84" customWidth="1"/>
    <col min="3068" max="3068" width="11.42578125" style="84"/>
    <col min="3069" max="3069" width="14.140625" style="84" customWidth="1"/>
    <col min="3070" max="3070" width="11.42578125" style="84"/>
    <col min="3071" max="3071" width="14.28515625" style="84" customWidth="1"/>
    <col min="3072" max="3072" width="11.42578125" style="84"/>
    <col min="3073" max="3073" width="30" style="84" customWidth="1"/>
    <col min="3074" max="3074" width="29.42578125" style="84" customWidth="1"/>
    <col min="3075" max="3075" width="11.42578125" style="84"/>
    <col min="3076" max="3076" width="18.7109375" style="84" customWidth="1"/>
    <col min="3077" max="3077" width="28.140625" style="84" customWidth="1"/>
    <col min="3078" max="3078" width="11.42578125" style="84"/>
    <col min="3079" max="3079" width="19.5703125" style="84" customWidth="1"/>
    <col min="3080" max="3080" width="36.42578125" style="84" customWidth="1"/>
    <col min="3081" max="3081" width="46.7109375" style="84" customWidth="1"/>
    <col min="3082" max="3082" width="28" style="84" customWidth="1"/>
    <col min="3083" max="3083" width="16.42578125" style="84" customWidth="1"/>
    <col min="3084" max="3084" width="12.42578125" style="84" customWidth="1"/>
    <col min="3085" max="3096" width="11.42578125" style="84"/>
    <col min="3097" max="3097" width="13" style="84" customWidth="1"/>
    <col min="3098" max="3098" width="14.7109375" style="84" customWidth="1"/>
    <col min="3099" max="3099" width="34.28515625" style="84" customWidth="1"/>
    <col min="3100" max="3322" width="11.42578125" style="84"/>
    <col min="3323" max="3323" width="14.140625" style="84" customWidth="1"/>
    <col min="3324" max="3324" width="11.42578125" style="84"/>
    <col min="3325" max="3325" width="14.140625" style="84" customWidth="1"/>
    <col min="3326" max="3326" width="11.42578125" style="84"/>
    <col min="3327" max="3327" width="14.28515625" style="84" customWidth="1"/>
    <col min="3328" max="3328" width="11.42578125" style="84"/>
    <col min="3329" max="3329" width="30" style="84" customWidth="1"/>
    <col min="3330" max="3330" width="29.42578125" style="84" customWidth="1"/>
    <col min="3331" max="3331" width="11.42578125" style="84"/>
    <col min="3332" max="3332" width="18.7109375" style="84" customWidth="1"/>
    <col min="3333" max="3333" width="28.140625" style="84" customWidth="1"/>
    <col min="3334" max="3334" width="11.42578125" style="84"/>
    <col min="3335" max="3335" width="19.5703125" style="84" customWidth="1"/>
    <col min="3336" max="3336" width="36.42578125" style="84" customWidth="1"/>
    <col min="3337" max="3337" width="46.7109375" style="84" customWidth="1"/>
    <col min="3338" max="3338" width="28" style="84" customWidth="1"/>
    <col min="3339" max="3339" width="16.42578125" style="84" customWidth="1"/>
    <col min="3340" max="3340" width="12.42578125" style="84" customWidth="1"/>
    <col min="3341" max="3352" width="11.42578125" style="84"/>
    <col min="3353" max="3353" width="13" style="84" customWidth="1"/>
    <col min="3354" max="3354" width="14.7109375" style="84" customWidth="1"/>
    <col min="3355" max="3355" width="34.28515625" style="84" customWidth="1"/>
    <col min="3356" max="3578" width="11.42578125" style="84"/>
    <col min="3579" max="3579" width="14.140625" style="84" customWidth="1"/>
    <col min="3580" max="3580" width="11.42578125" style="84"/>
    <col min="3581" max="3581" width="14.140625" style="84" customWidth="1"/>
    <col min="3582" max="3582" width="11.42578125" style="84"/>
    <col min="3583" max="3583" width="14.28515625" style="84" customWidth="1"/>
    <col min="3584" max="3584" width="11.42578125" style="84"/>
    <col min="3585" max="3585" width="30" style="84" customWidth="1"/>
    <col min="3586" max="3586" width="29.42578125" style="84" customWidth="1"/>
    <col min="3587" max="3587" width="11.42578125" style="84"/>
    <col min="3588" max="3588" width="18.7109375" style="84" customWidth="1"/>
    <col min="3589" max="3589" width="28.140625" style="84" customWidth="1"/>
    <col min="3590" max="3590" width="11.42578125" style="84"/>
    <col min="3591" max="3591" width="19.5703125" style="84" customWidth="1"/>
    <col min="3592" max="3592" width="36.42578125" style="84" customWidth="1"/>
    <col min="3593" max="3593" width="46.7109375" style="84" customWidth="1"/>
    <col min="3594" max="3594" width="28" style="84" customWidth="1"/>
    <col min="3595" max="3595" width="16.42578125" style="84" customWidth="1"/>
    <col min="3596" max="3596" width="12.42578125" style="84" customWidth="1"/>
    <col min="3597" max="3608" width="11.42578125" style="84"/>
    <col min="3609" max="3609" width="13" style="84" customWidth="1"/>
    <col min="3610" max="3610" width="14.7109375" style="84" customWidth="1"/>
    <col min="3611" max="3611" width="34.28515625" style="84" customWidth="1"/>
    <col min="3612" max="3834" width="11.42578125" style="84"/>
    <col min="3835" max="3835" width="14.140625" style="84" customWidth="1"/>
    <col min="3836" max="3836" width="11.42578125" style="84"/>
    <col min="3837" max="3837" width="14.140625" style="84" customWidth="1"/>
    <col min="3838" max="3838" width="11.42578125" style="84"/>
    <col min="3839" max="3839" width="14.28515625" style="84" customWidth="1"/>
    <col min="3840" max="3840" width="11.42578125" style="84"/>
    <col min="3841" max="3841" width="30" style="84" customWidth="1"/>
    <col min="3842" max="3842" width="29.42578125" style="84" customWidth="1"/>
    <col min="3843" max="3843" width="11.42578125" style="84"/>
    <col min="3844" max="3844" width="18.7109375" style="84" customWidth="1"/>
    <col min="3845" max="3845" width="28.140625" style="84" customWidth="1"/>
    <col min="3846" max="3846" width="11.42578125" style="84"/>
    <col min="3847" max="3847" width="19.5703125" style="84" customWidth="1"/>
    <col min="3848" max="3848" width="36.42578125" style="84" customWidth="1"/>
    <col min="3849" max="3849" width="46.7109375" style="84" customWidth="1"/>
    <col min="3850" max="3850" width="28" style="84" customWidth="1"/>
    <col min="3851" max="3851" width="16.42578125" style="84" customWidth="1"/>
    <col min="3852" max="3852" width="12.42578125" style="84" customWidth="1"/>
    <col min="3853" max="3864" width="11.42578125" style="84"/>
    <col min="3865" max="3865" width="13" style="84" customWidth="1"/>
    <col min="3866" max="3866" width="14.7109375" style="84" customWidth="1"/>
    <col min="3867" max="3867" width="34.28515625" style="84" customWidth="1"/>
    <col min="3868" max="4090" width="11.42578125" style="84"/>
    <col min="4091" max="4091" width="14.140625" style="84" customWidth="1"/>
    <col min="4092" max="4092" width="11.42578125" style="84"/>
    <col min="4093" max="4093" width="14.140625" style="84" customWidth="1"/>
    <col min="4094" max="4094" width="11.42578125" style="84"/>
    <col min="4095" max="4095" width="14.28515625" style="84" customWidth="1"/>
    <col min="4096" max="4096" width="11.42578125" style="84"/>
    <col min="4097" max="4097" width="30" style="84" customWidth="1"/>
    <col min="4098" max="4098" width="29.42578125" style="84" customWidth="1"/>
    <col min="4099" max="4099" width="11.42578125" style="84"/>
    <col min="4100" max="4100" width="18.7109375" style="84" customWidth="1"/>
    <col min="4101" max="4101" width="28.140625" style="84" customWidth="1"/>
    <col min="4102" max="4102" width="11.42578125" style="84"/>
    <col min="4103" max="4103" width="19.5703125" style="84" customWidth="1"/>
    <col min="4104" max="4104" width="36.42578125" style="84" customWidth="1"/>
    <col min="4105" max="4105" width="46.7109375" style="84" customWidth="1"/>
    <col min="4106" max="4106" width="28" style="84" customWidth="1"/>
    <col min="4107" max="4107" width="16.42578125" style="84" customWidth="1"/>
    <col min="4108" max="4108" width="12.42578125" style="84" customWidth="1"/>
    <col min="4109" max="4120" width="11.42578125" style="84"/>
    <col min="4121" max="4121" width="13" style="84" customWidth="1"/>
    <col min="4122" max="4122" width="14.7109375" style="84" customWidth="1"/>
    <col min="4123" max="4123" width="34.28515625" style="84" customWidth="1"/>
    <col min="4124" max="4346" width="11.42578125" style="84"/>
    <col min="4347" max="4347" width="14.140625" style="84" customWidth="1"/>
    <col min="4348" max="4348" width="11.42578125" style="84"/>
    <col min="4349" max="4349" width="14.140625" style="84" customWidth="1"/>
    <col min="4350" max="4350" width="11.42578125" style="84"/>
    <col min="4351" max="4351" width="14.28515625" style="84" customWidth="1"/>
    <col min="4352" max="4352" width="11.42578125" style="84"/>
    <col min="4353" max="4353" width="30" style="84" customWidth="1"/>
    <col min="4354" max="4354" width="29.42578125" style="84" customWidth="1"/>
    <col min="4355" max="4355" width="11.42578125" style="84"/>
    <col min="4356" max="4356" width="18.7109375" style="84" customWidth="1"/>
    <col min="4357" max="4357" width="28.140625" style="84" customWidth="1"/>
    <col min="4358" max="4358" width="11.42578125" style="84"/>
    <col min="4359" max="4359" width="19.5703125" style="84" customWidth="1"/>
    <col min="4360" max="4360" width="36.42578125" style="84" customWidth="1"/>
    <col min="4361" max="4361" width="46.7109375" style="84" customWidth="1"/>
    <col min="4362" max="4362" width="28" style="84" customWidth="1"/>
    <col min="4363" max="4363" width="16.42578125" style="84" customWidth="1"/>
    <col min="4364" max="4364" width="12.42578125" style="84" customWidth="1"/>
    <col min="4365" max="4376" width="11.42578125" style="84"/>
    <col min="4377" max="4377" width="13" style="84" customWidth="1"/>
    <col min="4378" max="4378" width="14.7109375" style="84" customWidth="1"/>
    <col min="4379" max="4379" width="34.28515625" style="84" customWidth="1"/>
    <col min="4380" max="4602" width="11.42578125" style="84"/>
    <col min="4603" max="4603" width="14.140625" style="84" customWidth="1"/>
    <col min="4604" max="4604" width="11.42578125" style="84"/>
    <col min="4605" max="4605" width="14.140625" style="84" customWidth="1"/>
    <col min="4606" max="4606" width="11.42578125" style="84"/>
    <col min="4607" max="4607" width="14.28515625" style="84" customWidth="1"/>
    <col min="4608" max="4608" width="11.42578125" style="84"/>
    <col min="4609" max="4609" width="30" style="84" customWidth="1"/>
    <col min="4610" max="4610" width="29.42578125" style="84" customWidth="1"/>
    <col min="4611" max="4611" width="11.42578125" style="84"/>
    <col min="4612" max="4612" width="18.7109375" style="84" customWidth="1"/>
    <col min="4613" max="4613" width="28.140625" style="84" customWidth="1"/>
    <col min="4614" max="4614" width="11.42578125" style="84"/>
    <col min="4615" max="4615" width="19.5703125" style="84" customWidth="1"/>
    <col min="4616" max="4616" width="36.42578125" style="84" customWidth="1"/>
    <col min="4617" max="4617" width="46.7109375" style="84" customWidth="1"/>
    <col min="4618" max="4618" width="28" style="84" customWidth="1"/>
    <col min="4619" max="4619" width="16.42578125" style="84" customWidth="1"/>
    <col min="4620" max="4620" width="12.42578125" style="84" customWidth="1"/>
    <col min="4621" max="4632" width="11.42578125" style="84"/>
    <col min="4633" max="4633" width="13" style="84" customWidth="1"/>
    <col min="4634" max="4634" width="14.7109375" style="84" customWidth="1"/>
    <col min="4635" max="4635" width="34.28515625" style="84" customWidth="1"/>
    <col min="4636" max="4858" width="11.42578125" style="84"/>
    <col min="4859" max="4859" width="14.140625" style="84" customWidth="1"/>
    <col min="4860" max="4860" width="11.42578125" style="84"/>
    <col min="4861" max="4861" width="14.140625" style="84" customWidth="1"/>
    <col min="4862" max="4862" width="11.42578125" style="84"/>
    <col min="4863" max="4863" width="14.28515625" style="84" customWidth="1"/>
    <col min="4864" max="4864" width="11.42578125" style="84"/>
    <col min="4865" max="4865" width="30" style="84" customWidth="1"/>
    <col min="4866" max="4866" width="29.42578125" style="84" customWidth="1"/>
    <col min="4867" max="4867" width="11.42578125" style="84"/>
    <col min="4868" max="4868" width="18.7109375" style="84" customWidth="1"/>
    <col min="4869" max="4869" width="28.140625" style="84" customWidth="1"/>
    <col min="4870" max="4870" width="11.42578125" style="84"/>
    <col min="4871" max="4871" width="19.5703125" style="84" customWidth="1"/>
    <col min="4872" max="4872" width="36.42578125" style="84" customWidth="1"/>
    <col min="4873" max="4873" width="46.7109375" style="84" customWidth="1"/>
    <col min="4874" max="4874" width="28" style="84" customWidth="1"/>
    <col min="4875" max="4875" width="16.42578125" style="84" customWidth="1"/>
    <col min="4876" max="4876" width="12.42578125" style="84" customWidth="1"/>
    <col min="4877" max="4888" width="11.42578125" style="84"/>
    <col min="4889" max="4889" width="13" style="84" customWidth="1"/>
    <col min="4890" max="4890" width="14.7109375" style="84" customWidth="1"/>
    <col min="4891" max="4891" width="34.28515625" style="84" customWidth="1"/>
    <col min="4892" max="5114" width="11.42578125" style="84"/>
    <col min="5115" max="5115" width="14.140625" style="84" customWidth="1"/>
    <col min="5116" max="5116" width="11.42578125" style="84"/>
    <col min="5117" max="5117" width="14.140625" style="84" customWidth="1"/>
    <col min="5118" max="5118" width="11.42578125" style="84"/>
    <col min="5119" max="5119" width="14.28515625" style="84" customWidth="1"/>
    <col min="5120" max="5120" width="11.42578125" style="84"/>
    <col min="5121" max="5121" width="30" style="84" customWidth="1"/>
    <col min="5122" max="5122" width="29.42578125" style="84" customWidth="1"/>
    <col min="5123" max="5123" width="11.42578125" style="84"/>
    <col min="5124" max="5124" width="18.7109375" style="84" customWidth="1"/>
    <col min="5125" max="5125" width="28.140625" style="84" customWidth="1"/>
    <col min="5126" max="5126" width="11.42578125" style="84"/>
    <col min="5127" max="5127" width="19.5703125" style="84" customWidth="1"/>
    <col min="5128" max="5128" width="36.42578125" style="84" customWidth="1"/>
    <col min="5129" max="5129" width="46.7109375" style="84" customWidth="1"/>
    <col min="5130" max="5130" width="28" style="84" customWidth="1"/>
    <col min="5131" max="5131" width="16.42578125" style="84" customWidth="1"/>
    <col min="5132" max="5132" width="12.42578125" style="84" customWidth="1"/>
    <col min="5133" max="5144" width="11.42578125" style="84"/>
    <col min="5145" max="5145" width="13" style="84" customWidth="1"/>
    <col min="5146" max="5146" width="14.7109375" style="84" customWidth="1"/>
    <col min="5147" max="5147" width="34.28515625" style="84" customWidth="1"/>
    <col min="5148" max="5370" width="11.42578125" style="84"/>
    <col min="5371" max="5371" width="14.140625" style="84" customWidth="1"/>
    <col min="5372" max="5372" width="11.42578125" style="84"/>
    <col min="5373" max="5373" width="14.140625" style="84" customWidth="1"/>
    <col min="5374" max="5374" width="11.42578125" style="84"/>
    <col min="5375" max="5375" width="14.28515625" style="84" customWidth="1"/>
    <col min="5376" max="5376" width="11.42578125" style="84"/>
    <col min="5377" max="5377" width="30" style="84" customWidth="1"/>
    <col min="5378" max="5378" width="29.42578125" style="84" customWidth="1"/>
    <col min="5379" max="5379" width="11.42578125" style="84"/>
    <col min="5380" max="5380" width="18.7109375" style="84" customWidth="1"/>
    <col min="5381" max="5381" width="28.140625" style="84" customWidth="1"/>
    <col min="5382" max="5382" width="11.42578125" style="84"/>
    <col min="5383" max="5383" width="19.5703125" style="84" customWidth="1"/>
    <col min="5384" max="5384" width="36.42578125" style="84" customWidth="1"/>
    <col min="5385" max="5385" width="46.7109375" style="84" customWidth="1"/>
    <col min="5386" max="5386" width="28" style="84" customWidth="1"/>
    <col min="5387" max="5387" width="16.42578125" style="84" customWidth="1"/>
    <col min="5388" max="5388" width="12.42578125" style="84" customWidth="1"/>
    <col min="5389" max="5400" width="11.42578125" style="84"/>
    <col min="5401" max="5401" width="13" style="84" customWidth="1"/>
    <col min="5402" max="5402" width="14.7109375" style="84" customWidth="1"/>
    <col min="5403" max="5403" width="34.28515625" style="84" customWidth="1"/>
    <col min="5404" max="5626" width="11.42578125" style="84"/>
    <col min="5627" max="5627" width="14.140625" style="84" customWidth="1"/>
    <col min="5628" max="5628" width="11.42578125" style="84"/>
    <col min="5629" max="5629" width="14.140625" style="84" customWidth="1"/>
    <col min="5630" max="5630" width="11.42578125" style="84"/>
    <col min="5631" max="5631" width="14.28515625" style="84" customWidth="1"/>
    <col min="5632" max="5632" width="11.42578125" style="84"/>
    <col min="5633" max="5633" width="30" style="84" customWidth="1"/>
    <col min="5634" max="5634" width="29.42578125" style="84" customWidth="1"/>
    <col min="5635" max="5635" width="11.42578125" style="84"/>
    <col min="5636" max="5636" width="18.7109375" style="84" customWidth="1"/>
    <col min="5637" max="5637" width="28.140625" style="84" customWidth="1"/>
    <col min="5638" max="5638" width="11.42578125" style="84"/>
    <col min="5639" max="5639" width="19.5703125" style="84" customWidth="1"/>
    <col min="5640" max="5640" width="36.42578125" style="84" customWidth="1"/>
    <col min="5641" max="5641" width="46.7109375" style="84" customWidth="1"/>
    <col min="5642" max="5642" width="28" style="84" customWidth="1"/>
    <col min="5643" max="5643" width="16.42578125" style="84" customWidth="1"/>
    <col min="5644" max="5644" width="12.42578125" style="84" customWidth="1"/>
    <col min="5645" max="5656" width="11.42578125" style="84"/>
    <col min="5657" max="5657" width="13" style="84" customWidth="1"/>
    <col min="5658" max="5658" width="14.7109375" style="84" customWidth="1"/>
    <col min="5659" max="5659" width="34.28515625" style="84" customWidth="1"/>
    <col min="5660" max="5882" width="11.42578125" style="84"/>
    <col min="5883" max="5883" width="14.140625" style="84" customWidth="1"/>
    <col min="5884" max="5884" width="11.42578125" style="84"/>
    <col min="5885" max="5885" width="14.140625" style="84" customWidth="1"/>
    <col min="5886" max="5886" width="11.42578125" style="84"/>
    <col min="5887" max="5887" width="14.28515625" style="84" customWidth="1"/>
    <col min="5888" max="5888" width="11.42578125" style="84"/>
    <col min="5889" max="5889" width="30" style="84" customWidth="1"/>
    <col min="5890" max="5890" width="29.42578125" style="84" customWidth="1"/>
    <col min="5891" max="5891" width="11.42578125" style="84"/>
    <col min="5892" max="5892" width="18.7109375" style="84" customWidth="1"/>
    <col min="5893" max="5893" width="28.140625" style="84" customWidth="1"/>
    <col min="5894" max="5894" width="11.42578125" style="84"/>
    <col min="5895" max="5895" width="19.5703125" style="84" customWidth="1"/>
    <col min="5896" max="5896" width="36.42578125" style="84" customWidth="1"/>
    <col min="5897" max="5897" width="46.7109375" style="84" customWidth="1"/>
    <col min="5898" max="5898" width="28" style="84" customWidth="1"/>
    <col min="5899" max="5899" width="16.42578125" style="84" customWidth="1"/>
    <col min="5900" max="5900" width="12.42578125" style="84" customWidth="1"/>
    <col min="5901" max="5912" width="11.42578125" style="84"/>
    <col min="5913" max="5913" width="13" style="84" customWidth="1"/>
    <col min="5914" max="5914" width="14.7109375" style="84" customWidth="1"/>
    <col min="5915" max="5915" width="34.28515625" style="84" customWidth="1"/>
    <col min="5916" max="6138" width="11.42578125" style="84"/>
    <col min="6139" max="6139" width="14.140625" style="84" customWidth="1"/>
    <col min="6140" max="6140" width="11.42578125" style="84"/>
    <col min="6141" max="6141" width="14.140625" style="84" customWidth="1"/>
    <col min="6142" max="6142" width="11.42578125" style="84"/>
    <col min="6143" max="6143" width="14.28515625" style="84" customWidth="1"/>
    <col min="6144" max="6144" width="11.42578125" style="84"/>
    <col min="6145" max="6145" width="30" style="84" customWidth="1"/>
    <col min="6146" max="6146" width="29.42578125" style="84" customWidth="1"/>
    <col min="6147" max="6147" width="11.42578125" style="84"/>
    <col min="6148" max="6148" width="18.7109375" style="84" customWidth="1"/>
    <col min="6149" max="6149" width="28.140625" style="84" customWidth="1"/>
    <col min="6150" max="6150" width="11.42578125" style="84"/>
    <col min="6151" max="6151" width="19.5703125" style="84" customWidth="1"/>
    <col min="6152" max="6152" width="36.42578125" style="84" customWidth="1"/>
    <col min="6153" max="6153" width="46.7109375" style="84" customWidth="1"/>
    <col min="6154" max="6154" width="28" style="84" customWidth="1"/>
    <col min="6155" max="6155" width="16.42578125" style="84" customWidth="1"/>
    <col min="6156" max="6156" width="12.42578125" style="84" customWidth="1"/>
    <col min="6157" max="6168" width="11.42578125" style="84"/>
    <col min="6169" max="6169" width="13" style="84" customWidth="1"/>
    <col min="6170" max="6170" width="14.7109375" style="84" customWidth="1"/>
    <col min="6171" max="6171" width="34.28515625" style="84" customWidth="1"/>
    <col min="6172" max="6394" width="11.42578125" style="84"/>
    <col min="6395" max="6395" width="14.140625" style="84" customWidth="1"/>
    <col min="6396" max="6396" width="11.42578125" style="84"/>
    <col min="6397" max="6397" width="14.140625" style="84" customWidth="1"/>
    <col min="6398" max="6398" width="11.42578125" style="84"/>
    <col min="6399" max="6399" width="14.28515625" style="84" customWidth="1"/>
    <col min="6400" max="6400" width="11.42578125" style="84"/>
    <col min="6401" max="6401" width="30" style="84" customWidth="1"/>
    <col min="6402" max="6402" width="29.42578125" style="84" customWidth="1"/>
    <col min="6403" max="6403" width="11.42578125" style="84"/>
    <col min="6404" max="6404" width="18.7109375" style="84" customWidth="1"/>
    <col min="6405" max="6405" width="28.140625" style="84" customWidth="1"/>
    <col min="6406" max="6406" width="11.42578125" style="84"/>
    <col min="6407" max="6407" width="19.5703125" style="84" customWidth="1"/>
    <col min="6408" max="6408" width="36.42578125" style="84" customWidth="1"/>
    <col min="6409" max="6409" width="46.7109375" style="84" customWidth="1"/>
    <col min="6410" max="6410" width="28" style="84" customWidth="1"/>
    <col min="6411" max="6411" width="16.42578125" style="84" customWidth="1"/>
    <col min="6412" max="6412" width="12.42578125" style="84" customWidth="1"/>
    <col min="6413" max="6424" width="11.42578125" style="84"/>
    <col min="6425" max="6425" width="13" style="84" customWidth="1"/>
    <col min="6426" max="6426" width="14.7109375" style="84" customWidth="1"/>
    <col min="6427" max="6427" width="34.28515625" style="84" customWidth="1"/>
    <col min="6428" max="6650" width="11.42578125" style="84"/>
    <col min="6651" max="6651" width="14.140625" style="84" customWidth="1"/>
    <col min="6652" max="6652" width="11.42578125" style="84"/>
    <col min="6653" max="6653" width="14.140625" style="84" customWidth="1"/>
    <col min="6654" max="6654" width="11.42578125" style="84"/>
    <col min="6655" max="6655" width="14.28515625" style="84" customWidth="1"/>
    <col min="6656" max="6656" width="11.42578125" style="84"/>
    <col min="6657" max="6657" width="30" style="84" customWidth="1"/>
    <col min="6658" max="6658" width="29.42578125" style="84" customWidth="1"/>
    <col min="6659" max="6659" width="11.42578125" style="84"/>
    <col min="6660" max="6660" width="18.7109375" style="84" customWidth="1"/>
    <col min="6661" max="6661" width="28.140625" style="84" customWidth="1"/>
    <col min="6662" max="6662" width="11.42578125" style="84"/>
    <col min="6663" max="6663" width="19.5703125" style="84" customWidth="1"/>
    <col min="6664" max="6664" width="36.42578125" style="84" customWidth="1"/>
    <col min="6665" max="6665" width="46.7109375" style="84" customWidth="1"/>
    <col min="6666" max="6666" width="28" style="84" customWidth="1"/>
    <col min="6667" max="6667" width="16.42578125" style="84" customWidth="1"/>
    <col min="6668" max="6668" width="12.42578125" style="84" customWidth="1"/>
    <col min="6669" max="6680" width="11.42578125" style="84"/>
    <col min="6681" max="6681" width="13" style="84" customWidth="1"/>
    <col min="6682" max="6682" width="14.7109375" style="84" customWidth="1"/>
    <col min="6683" max="6683" width="34.28515625" style="84" customWidth="1"/>
    <col min="6684" max="6906" width="11.42578125" style="84"/>
    <col min="6907" max="6907" width="14.140625" style="84" customWidth="1"/>
    <col min="6908" max="6908" width="11.42578125" style="84"/>
    <col min="6909" max="6909" width="14.140625" style="84" customWidth="1"/>
    <col min="6910" max="6910" width="11.42578125" style="84"/>
    <col min="6911" max="6911" width="14.28515625" style="84" customWidth="1"/>
    <col min="6912" max="6912" width="11.42578125" style="84"/>
    <col min="6913" max="6913" width="30" style="84" customWidth="1"/>
    <col min="6914" max="6914" width="29.42578125" style="84" customWidth="1"/>
    <col min="6915" max="6915" width="11.42578125" style="84"/>
    <col min="6916" max="6916" width="18.7109375" style="84" customWidth="1"/>
    <col min="6917" max="6917" width="28.140625" style="84" customWidth="1"/>
    <col min="6918" max="6918" width="11.42578125" style="84"/>
    <col min="6919" max="6919" width="19.5703125" style="84" customWidth="1"/>
    <col min="6920" max="6920" width="36.42578125" style="84" customWidth="1"/>
    <col min="6921" max="6921" width="46.7109375" style="84" customWidth="1"/>
    <col min="6922" max="6922" width="28" style="84" customWidth="1"/>
    <col min="6923" max="6923" width="16.42578125" style="84" customWidth="1"/>
    <col min="6924" max="6924" width="12.42578125" style="84" customWidth="1"/>
    <col min="6925" max="6936" width="11.42578125" style="84"/>
    <col min="6937" max="6937" width="13" style="84" customWidth="1"/>
    <col min="6938" max="6938" width="14.7109375" style="84" customWidth="1"/>
    <col min="6939" max="6939" width="34.28515625" style="84" customWidth="1"/>
    <col min="6940" max="7162" width="11.42578125" style="84"/>
    <col min="7163" max="7163" width="14.140625" style="84" customWidth="1"/>
    <col min="7164" max="7164" width="11.42578125" style="84"/>
    <col min="7165" max="7165" width="14.140625" style="84" customWidth="1"/>
    <col min="7166" max="7166" width="11.42578125" style="84"/>
    <col min="7167" max="7167" width="14.28515625" style="84" customWidth="1"/>
    <col min="7168" max="7168" width="11.42578125" style="84"/>
    <col min="7169" max="7169" width="30" style="84" customWidth="1"/>
    <col min="7170" max="7170" width="29.42578125" style="84" customWidth="1"/>
    <col min="7171" max="7171" width="11.42578125" style="84"/>
    <col min="7172" max="7172" width="18.7109375" style="84" customWidth="1"/>
    <col min="7173" max="7173" width="28.140625" style="84" customWidth="1"/>
    <col min="7174" max="7174" width="11.42578125" style="84"/>
    <col min="7175" max="7175" width="19.5703125" style="84" customWidth="1"/>
    <col min="7176" max="7176" width="36.42578125" style="84" customWidth="1"/>
    <col min="7177" max="7177" width="46.7109375" style="84" customWidth="1"/>
    <col min="7178" max="7178" width="28" style="84" customWidth="1"/>
    <col min="7179" max="7179" width="16.42578125" style="84" customWidth="1"/>
    <col min="7180" max="7180" width="12.42578125" style="84" customWidth="1"/>
    <col min="7181" max="7192" width="11.42578125" style="84"/>
    <col min="7193" max="7193" width="13" style="84" customWidth="1"/>
    <col min="7194" max="7194" width="14.7109375" style="84" customWidth="1"/>
    <col min="7195" max="7195" width="34.28515625" style="84" customWidth="1"/>
    <col min="7196" max="7418" width="11.42578125" style="84"/>
    <col min="7419" max="7419" width="14.140625" style="84" customWidth="1"/>
    <col min="7420" max="7420" width="11.42578125" style="84"/>
    <col min="7421" max="7421" width="14.140625" style="84" customWidth="1"/>
    <col min="7422" max="7422" width="11.42578125" style="84"/>
    <col min="7423" max="7423" width="14.28515625" style="84" customWidth="1"/>
    <col min="7424" max="7424" width="11.42578125" style="84"/>
    <col min="7425" max="7425" width="30" style="84" customWidth="1"/>
    <col min="7426" max="7426" width="29.42578125" style="84" customWidth="1"/>
    <col min="7427" max="7427" width="11.42578125" style="84"/>
    <col min="7428" max="7428" width="18.7109375" style="84" customWidth="1"/>
    <col min="7429" max="7429" width="28.140625" style="84" customWidth="1"/>
    <col min="7430" max="7430" width="11.42578125" style="84"/>
    <col min="7431" max="7431" width="19.5703125" style="84" customWidth="1"/>
    <col min="7432" max="7432" width="36.42578125" style="84" customWidth="1"/>
    <col min="7433" max="7433" width="46.7109375" style="84" customWidth="1"/>
    <col min="7434" max="7434" width="28" style="84" customWidth="1"/>
    <col min="7435" max="7435" width="16.42578125" style="84" customWidth="1"/>
    <col min="7436" max="7436" width="12.42578125" style="84" customWidth="1"/>
    <col min="7437" max="7448" width="11.42578125" style="84"/>
    <col min="7449" max="7449" width="13" style="84" customWidth="1"/>
    <col min="7450" max="7450" width="14.7109375" style="84" customWidth="1"/>
    <col min="7451" max="7451" width="34.28515625" style="84" customWidth="1"/>
    <col min="7452" max="7674" width="11.42578125" style="84"/>
    <col min="7675" max="7675" width="14.140625" style="84" customWidth="1"/>
    <col min="7676" max="7676" width="11.42578125" style="84"/>
    <col min="7677" max="7677" width="14.140625" style="84" customWidth="1"/>
    <col min="7678" max="7678" width="11.42578125" style="84"/>
    <col min="7679" max="7679" width="14.28515625" style="84" customWidth="1"/>
    <col min="7680" max="7680" width="11.42578125" style="84"/>
    <col min="7681" max="7681" width="30" style="84" customWidth="1"/>
    <col min="7682" max="7682" width="29.42578125" style="84" customWidth="1"/>
    <col min="7683" max="7683" width="11.42578125" style="84"/>
    <col min="7684" max="7684" width="18.7109375" style="84" customWidth="1"/>
    <col min="7685" max="7685" width="28.140625" style="84" customWidth="1"/>
    <col min="7686" max="7686" width="11.42578125" style="84"/>
    <col min="7687" max="7687" width="19.5703125" style="84" customWidth="1"/>
    <col min="7688" max="7688" width="36.42578125" style="84" customWidth="1"/>
    <col min="7689" max="7689" width="46.7109375" style="84" customWidth="1"/>
    <col min="7690" max="7690" width="28" style="84" customWidth="1"/>
    <col min="7691" max="7691" width="16.42578125" style="84" customWidth="1"/>
    <col min="7692" max="7692" width="12.42578125" style="84" customWidth="1"/>
    <col min="7693" max="7704" width="11.42578125" style="84"/>
    <col min="7705" max="7705" width="13" style="84" customWidth="1"/>
    <col min="7706" max="7706" width="14.7109375" style="84" customWidth="1"/>
    <col min="7707" max="7707" width="34.28515625" style="84" customWidth="1"/>
    <col min="7708" max="7930" width="11.42578125" style="84"/>
    <col min="7931" max="7931" width="14.140625" style="84" customWidth="1"/>
    <col min="7932" max="7932" width="11.42578125" style="84"/>
    <col min="7933" max="7933" width="14.140625" style="84" customWidth="1"/>
    <col min="7934" max="7934" width="11.42578125" style="84"/>
    <col min="7935" max="7935" width="14.28515625" style="84" customWidth="1"/>
    <col min="7936" max="7936" width="11.42578125" style="84"/>
    <col min="7937" max="7937" width="30" style="84" customWidth="1"/>
    <col min="7938" max="7938" width="29.42578125" style="84" customWidth="1"/>
    <col min="7939" max="7939" width="11.42578125" style="84"/>
    <col min="7940" max="7940" width="18.7109375" style="84" customWidth="1"/>
    <col min="7941" max="7941" width="28.140625" style="84" customWidth="1"/>
    <col min="7942" max="7942" width="11.42578125" style="84"/>
    <col min="7943" max="7943" width="19.5703125" style="84" customWidth="1"/>
    <col min="7944" max="7944" width="36.42578125" style="84" customWidth="1"/>
    <col min="7945" max="7945" width="46.7109375" style="84" customWidth="1"/>
    <col min="7946" max="7946" width="28" style="84" customWidth="1"/>
    <col min="7947" max="7947" width="16.42578125" style="84" customWidth="1"/>
    <col min="7948" max="7948" width="12.42578125" style="84" customWidth="1"/>
    <col min="7949" max="7960" width="11.42578125" style="84"/>
    <col min="7961" max="7961" width="13" style="84" customWidth="1"/>
    <col min="7962" max="7962" width="14.7109375" style="84" customWidth="1"/>
    <col min="7963" max="7963" width="34.28515625" style="84" customWidth="1"/>
    <col min="7964" max="8186" width="11.42578125" style="84"/>
    <col min="8187" max="8187" width="14.140625" style="84" customWidth="1"/>
    <col min="8188" max="8188" width="11.42578125" style="84"/>
    <col min="8189" max="8189" width="14.140625" style="84" customWidth="1"/>
    <col min="8190" max="8190" width="11.42578125" style="84"/>
    <col min="8191" max="8191" width="14.28515625" style="84" customWidth="1"/>
    <col min="8192" max="8192" width="11.42578125" style="84"/>
    <col min="8193" max="8193" width="30" style="84" customWidth="1"/>
    <col min="8194" max="8194" width="29.42578125" style="84" customWidth="1"/>
    <col min="8195" max="8195" width="11.42578125" style="84"/>
    <col min="8196" max="8196" width="18.7109375" style="84" customWidth="1"/>
    <col min="8197" max="8197" width="28.140625" style="84" customWidth="1"/>
    <col min="8198" max="8198" width="11.42578125" style="84"/>
    <col min="8199" max="8199" width="19.5703125" style="84" customWidth="1"/>
    <col min="8200" max="8200" width="36.42578125" style="84" customWidth="1"/>
    <col min="8201" max="8201" width="46.7109375" style="84" customWidth="1"/>
    <col min="8202" max="8202" width="28" style="84" customWidth="1"/>
    <col min="8203" max="8203" width="16.42578125" style="84" customWidth="1"/>
    <col min="8204" max="8204" width="12.42578125" style="84" customWidth="1"/>
    <col min="8205" max="8216" width="11.42578125" style="84"/>
    <col min="8217" max="8217" width="13" style="84" customWidth="1"/>
    <col min="8218" max="8218" width="14.7109375" style="84" customWidth="1"/>
    <col min="8219" max="8219" width="34.28515625" style="84" customWidth="1"/>
    <col min="8220" max="8442" width="11.42578125" style="84"/>
    <col min="8443" max="8443" width="14.140625" style="84" customWidth="1"/>
    <col min="8444" max="8444" width="11.42578125" style="84"/>
    <col min="8445" max="8445" width="14.140625" style="84" customWidth="1"/>
    <col min="8446" max="8446" width="11.42578125" style="84"/>
    <col min="8447" max="8447" width="14.28515625" style="84" customWidth="1"/>
    <col min="8448" max="8448" width="11.42578125" style="84"/>
    <col min="8449" max="8449" width="30" style="84" customWidth="1"/>
    <col min="8450" max="8450" width="29.42578125" style="84" customWidth="1"/>
    <col min="8451" max="8451" width="11.42578125" style="84"/>
    <col min="8452" max="8452" width="18.7109375" style="84" customWidth="1"/>
    <col min="8453" max="8453" width="28.140625" style="84" customWidth="1"/>
    <col min="8454" max="8454" width="11.42578125" style="84"/>
    <col min="8455" max="8455" width="19.5703125" style="84" customWidth="1"/>
    <col min="8456" max="8456" width="36.42578125" style="84" customWidth="1"/>
    <col min="8457" max="8457" width="46.7109375" style="84" customWidth="1"/>
    <col min="8458" max="8458" width="28" style="84" customWidth="1"/>
    <col min="8459" max="8459" width="16.42578125" style="84" customWidth="1"/>
    <col min="8460" max="8460" width="12.42578125" style="84" customWidth="1"/>
    <col min="8461" max="8472" width="11.42578125" style="84"/>
    <col min="8473" max="8473" width="13" style="84" customWidth="1"/>
    <col min="8474" max="8474" width="14.7109375" style="84" customWidth="1"/>
    <col min="8475" max="8475" width="34.28515625" style="84" customWidth="1"/>
    <col min="8476" max="8698" width="11.42578125" style="84"/>
    <col min="8699" max="8699" width="14.140625" style="84" customWidth="1"/>
    <col min="8700" max="8700" width="11.42578125" style="84"/>
    <col min="8701" max="8701" width="14.140625" style="84" customWidth="1"/>
    <col min="8702" max="8702" width="11.42578125" style="84"/>
    <col min="8703" max="8703" width="14.28515625" style="84" customWidth="1"/>
    <col min="8704" max="8704" width="11.42578125" style="84"/>
    <col min="8705" max="8705" width="30" style="84" customWidth="1"/>
    <col min="8706" max="8706" width="29.42578125" style="84" customWidth="1"/>
    <col min="8707" max="8707" width="11.42578125" style="84"/>
    <col min="8708" max="8708" width="18.7109375" style="84" customWidth="1"/>
    <col min="8709" max="8709" width="28.140625" style="84" customWidth="1"/>
    <col min="8710" max="8710" width="11.42578125" style="84"/>
    <col min="8711" max="8711" width="19.5703125" style="84" customWidth="1"/>
    <col min="8712" max="8712" width="36.42578125" style="84" customWidth="1"/>
    <col min="8713" max="8713" width="46.7109375" style="84" customWidth="1"/>
    <col min="8714" max="8714" width="28" style="84" customWidth="1"/>
    <col min="8715" max="8715" width="16.42578125" style="84" customWidth="1"/>
    <col min="8716" max="8716" width="12.42578125" style="84" customWidth="1"/>
    <col min="8717" max="8728" width="11.42578125" style="84"/>
    <col min="8729" max="8729" width="13" style="84" customWidth="1"/>
    <col min="8730" max="8730" width="14.7109375" style="84" customWidth="1"/>
    <col min="8731" max="8731" width="34.28515625" style="84" customWidth="1"/>
    <col min="8732" max="8954" width="11.42578125" style="84"/>
    <col min="8955" max="8955" width="14.140625" style="84" customWidth="1"/>
    <col min="8956" max="8956" width="11.42578125" style="84"/>
    <col min="8957" max="8957" width="14.140625" style="84" customWidth="1"/>
    <col min="8958" max="8958" width="11.42578125" style="84"/>
    <col min="8959" max="8959" width="14.28515625" style="84" customWidth="1"/>
    <col min="8960" max="8960" width="11.42578125" style="84"/>
    <col min="8961" max="8961" width="30" style="84" customWidth="1"/>
    <col min="8962" max="8962" width="29.42578125" style="84" customWidth="1"/>
    <col min="8963" max="8963" width="11.42578125" style="84"/>
    <col min="8964" max="8964" width="18.7109375" style="84" customWidth="1"/>
    <col min="8965" max="8965" width="28.140625" style="84" customWidth="1"/>
    <col min="8966" max="8966" width="11.42578125" style="84"/>
    <col min="8967" max="8967" width="19.5703125" style="84" customWidth="1"/>
    <col min="8968" max="8968" width="36.42578125" style="84" customWidth="1"/>
    <col min="8969" max="8969" width="46.7109375" style="84" customWidth="1"/>
    <col min="8970" max="8970" width="28" style="84" customWidth="1"/>
    <col min="8971" max="8971" width="16.42578125" style="84" customWidth="1"/>
    <col min="8972" max="8972" width="12.42578125" style="84" customWidth="1"/>
    <col min="8973" max="8984" width="11.42578125" style="84"/>
    <col min="8985" max="8985" width="13" style="84" customWidth="1"/>
    <col min="8986" max="8986" width="14.7109375" style="84" customWidth="1"/>
    <col min="8987" max="8987" width="34.28515625" style="84" customWidth="1"/>
    <col min="8988" max="9210" width="11.42578125" style="84"/>
    <col min="9211" max="9211" width="14.140625" style="84" customWidth="1"/>
    <col min="9212" max="9212" width="11.42578125" style="84"/>
    <col min="9213" max="9213" width="14.140625" style="84" customWidth="1"/>
    <col min="9214" max="9214" width="11.42578125" style="84"/>
    <col min="9215" max="9215" width="14.28515625" style="84" customWidth="1"/>
    <col min="9216" max="9216" width="11.42578125" style="84"/>
    <col min="9217" max="9217" width="30" style="84" customWidth="1"/>
    <col min="9218" max="9218" width="29.42578125" style="84" customWidth="1"/>
    <col min="9219" max="9219" width="11.42578125" style="84"/>
    <col min="9220" max="9220" width="18.7109375" style="84" customWidth="1"/>
    <col min="9221" max="9221" width="28.140625" style="84" customWidth="1"/>
    <col min="9222" max="9222" width="11.42578125" style="84"/>
    <col min="9223" max="9223" width="19.5703125" style="84" customWidth="1"/>
    <col min="9224" max="9224" width="36.42578125" style="84" customWidth="1"/>
    <col min="9225" max="9225" width="46.7109375" style="84" customWidth="1"/>
    <col min="9226" max="9226" width="28" style="84" customWidth="1"/>
    <col min="9227" max="9227" width="16.42578125" style="84" customWidth="1"/>
    <col min="9228" max="9228" width="12.42578125" style="84" customWidth="1"/>
    <col min="9229" max="9240" width="11.42578125" style="84"/>
    <col min="9241" max="9241" width="13" style="84" customWidth="1"/>
    <col min="9242" max="9242" width="14.7109375" style="84" customWidth="1"/>
    <col min="9243" max="9243" width="34.28515625" style="84" customWidth="1"/>
    <col min="9244" max="9466" width="11.42578125" style="84"/>
    <col min="9467" max="9467" width="14.140625" style="84" customWidth="1"/>
    <col min="9468" max="9468" width="11.42578125" style="84"/>
    <col min="9469" max="9469" width="14.140625" style="84" customWidth="1"/>
    <col min="9470" max="9470" width="11.42578125" style="84"/>
    <col min="9471" max="9471" width="14.28515625" style="84" customWidth="1"/>
    <col min="9472" max="9472" width="11.42578125" style="84"/>
    <col min="9473" max="9473" width="30" style="84" customWidth="1"/>
    <col min="9474" max="9474" width="29.42578125" style="84" customWidth="1"/>
    <col min="9475" max="9475" width="11.42578125" style="84"/>
    <col min="9476" max="9476" width="18.7109375" style="84" customWidth="1"/>
    <col min="9477" max="9477" width="28.140625" style="84" customWidth="1"/>
    <col min="9478" max="9478" width="11.42578125" style="84"/>
    <col min="9479" max="9479" width="19.5703125" style="84" customWidth="1"/>
    <col min="9480" max="9480" width="36.42578125" style="84" customWidth="1"/>
    <col min="9481" max="9481" width="46.7109375" style="84" customWidth="1"/>
    <col min="9482" max="9482" width="28" style="84" customWidth="1"/>
    <col min="9483" max="9483" width="16.42578125" style="84" customWidth="1"/>
    <col min="9484" max="9484" width="12.42578125" style="84" customWidth="1"/>
    <col min="9485" max="9496" width="11.42578125" style="84"/>
    <col min="9497" max="9497" width="13" style="84" customWidth="1"/>
    <col min="9498" max="9498" width="14.7109375" style="84" customWidth="1"/>
    <col min="9499" max="9499" width="34.28515625" style="84" customWidth="1"/>
    <col min="9500" max="9722" width="11.42578125" style="84"/>
    <col min="9723" max="9723" width="14.140625" style="84" customWidth="1"/>
    <col min="9724" max="9724" width="11.42578125" style="84"/>
    <col min="9725" max="9725" width="14.140625" style="84" customWidth="1"/>
    <col min="9726" max="9726" width="11.42578125" style="84"/>
    <col min="9727" max="9727" width="14.28515625" style="84" customWidth="1"/>
    <col min="9728" max="9728" width="11.42578125" style="84"/>
    <col min="9729" max="9729" width="30" style="84" customWidth="1"/>
    <col min="9730" max="9730" width="29.42578125" style="84" customWidth="1"/>
    <col min="9731" max="9731" width="11.42578125" style="84"/>
    <col min="9732" max="9732" width="18.7109375" style="84" customWidth="1"/>
    <col min="9733" max="9733" width="28.140625" style="84" customWidth="1"/>
    <col min="9734" max="9734" width="11.42578125" style="84"/>
    <col min="9735" max="9735" width="19.5703125" style="84" customWidth="1"/>
    <col min="9736" max="9736" width="36.42578125" style="84" customWidth="1"/>
    <col min="9737" max="9737" width="46.7109375" style="84" customWidth="1"/>
    <col min="9738" max="9738" width="28" style="84" customWidth="1"/>
    <col min="9739" max="9739" width="16.42578125" style="84" customWidth="1"/>
    <col min="9740" max="9740" width="12.42578125" style="84" customWidth="1"/>
    <col min="9741" max="9752" width="11.42578125" style="84"/>
    <col min="9753" max="9753" width="13" style="84" customWidth="1"/>
    <col min="9754" max="9754" width="14.7109375" style="84" customWidth="1"/>
    <col min="9755" max="9755" width="34.28515625" style="84" customWidth="1"/>
    <col min="9756" max="9978" width="11.42578125" style="84"/>
    <col min="9979" max="9979" width="14.140625" style="84" customWidth="1"/>
    <col min="9980" max="9980" width="11.42578125" style="84"/>
    <col min="9981" max="9981" width="14.140625" style="84" customWidth="1"/>
    <col min="9982" max="9982" width="11.42578125" style="84"/>
    <col min="9983" max="9983" width="14.28515625" style="84" customWidth="1"/>
    <col min="9984" max="9984" width="11.42578125" style="84"/>
    <col min="9985" max="9985" width="30" style="84" customWidth="1"/>
    <col min="9986" max="9986" width="29.42578125" style="84" customWidth="1"/>
    <col min="9987" max="9987" width="11.42578125" style="84"/>
    <col min="9988" max="9988" width="18.7109375" style="84" customWidth="1"/>
    <col min="9989" max="9989" width="28.140625" style="84" customWidth="1"/>
    <col min="9990" max="9990" width="11.42578125" style="84"/>
    <col min="9991" max="9991" width="19.5703125" style="84" customWidth="1"/>
    <col min="9992" max="9992" width="36.42578125" style="84" customWidth="1"/>
    <col min="9993" max="9993" width="46.7109375" style="84" customWidth="1"/>
    <col min="9994" max="9994" width="28" style="84" customWidth="1"/>
    <col min="9995" max="9995" width="16.42578125" style="84" customWidth="1"/>
    <col min="9996" max="9996" width="12.42578125" style="84" customWidth="1"/>
    <col min="9997" max="10008" width="11.42578125" style="84"/>
    <col min="10009" max="10009" width="13" style="84" customWidth="1"/>
    <col min="10010" max="10010" width="14.7109375" style="84" customWidth="1"/>
    <col min="10011" max="10011" width="34.28515625" style="84" customWidth="1"/>
    <col min="10012" max="10234" width="11.42578125" style="84"/>
    <col min="10235" max="10235" width="14.140625" style="84" customWidth="1"/>
    <col min="10236" max="10236" width="11.42578125" style="84"/>
    <col min="10237" max="10237" width="14.140625" style="84" customWidth="1"/>
    <col min="10238" max="10238" width="11.42578125" style="84"/>
    <col min="10239" max="10239" width="14.28515625" style="84" customWidth="1"/>
    <col min="10240" max="10240" width="11.42578125" style="84"/>
    <col min="10241" max="10241" width="30" style="84" customWidth="1"/>
    <col min="10242" max="10242" width="29.42578125" style="84" customWidth="1"/>
    <col min="10243" max="10243" width="11.42578125" style="84"/>
    <col min="10244" max="10244" width="18.7109375" style="84" customWidth="1"/>
    <col min="10245" max="10245" width="28.140625" style="84" customWidth="1"/>
    <col min="10246" max="10246" width="11.42578125" style="84"/>
    <col min="10247" max="10247" width="19.5703125" style="84" customWidth="1"/>
    <col min="10248" max="10248" width="36.42578125" style="84" customWidth="1"/>
    <col min="10249" max="10249" width="46.7109375" style="84" customWidth="1"/>
    <col min="10250" max="10250" width="28" style="84" customWidth="1"/>
    <col min="10251" max="10251" width="16.42578125" style="84" customWidth="1"/>
    <col min="10252" max="10252" width="12.42578125" style="84" customWidth="1"/>
    <col min="10253" max="10264" width="11.42578125" style="84"/>
    <col min="10265" max="10265" width="13" style="84" customWidth="1"/>
    <col min="10266" max="10266" width="14.7109375" style="84" customWidth="1"/>
    <col min="10267" max="10267" width="34.28515625" style="84" customWidth="1"/>
    <col min="10268" max="10490" width="11.42578125" style="84"/>
    <col min="10491" max="10491" width="14.140625" style="84" customWidth="1"/>
    <col min="10492" max="10492" width="11.42578125" style="84"/>
    <col min="10493" max="10493" width="14.140625" style="84" customWidth="1"/>
    <col min="10494" max="10494" width="11.42578125" style="84"/>
    <col min="10495" max="10495" width="14.28515625" style="84" customWidth="1"/>
    <col min="10496" max="10496" width="11.42578125" style="84"/>
    <col min="10497" max="10497" width="30" style="84" customWidth="1"/>
    <col min="10498" max="10498" width="29.42578125" style="84" customWidth="1"/>
    <col min="10499" max="10499" width="11.42578125" style="84"/>
    <col min="10500" max="10500" width="18.7109375" style="84" customWidth="1"/>
    <col min="10501" max="10501" width="28.140625" style="84" customWidth="1"/>
    <col min="10502" max="10502" width="11.42578125" style="84"/>
    <col min="10503" max="10503" width="19.5703125" style="84" customWidth="1"/>
    <col min="10504" max="10504" width="36.42578125" style="84" customWidth="1"/>
    <col min="10505" max="10505" width="46.7109375" style="84" customWidth="1"/>
    <col min="10506" max="10506" width="28" style="84" customWidth="1"/>
    <col min="10507" max="10507" width="16.42578125" style="84" customWidth="1"/>
    <col min="10508" max="10508" width="12.42578125" style="84" customWidth="1"/>
    <col min="10509" max="10520" width="11.42578125" style="84"/>
    <col min="10521" max="10521" width="13" style="84" customWidth="1"/>
    <col min="10522" max="10522" width="14.7109375" style="84" customWidth="1"/>
    <col min="10523" max="10523" width="34.28515625" style="84" customWidth="1"/>
    <col min="10524" max="10746" width="11.42578125" style="84"/>
    <col min="10747" max="10747" width="14.140625" style="84" customWidth="1"/>
    <col min="10748" max="10748" width="11.42578125" style="84"/>
    <col min="10749" max="10749" width="14.140625" style="84" customWidth="1"/>
    <col min="10750" max="10750" width="11.42578125" style="84"/>
    <col min="10751" max="10751" width="14.28515625" style="84" customWidth="1"/>
    <col min="10752" max="10752" width="11.42578125" style="84"/>
    <col min="10753" max="10753" width="30" style="84" customWidth="1"/>
    <col min="10754" max="10754" width="29.42578125" style="84" customWidth="1"/>
    <col min="10755" max="10755" width="11.42578125" style="84"/>
    <col min="10756" max="10756" width="18.7109375" style="84" customWidth="1"/>
    <col min="10757" max="10757" width="28.140625" style="84" customWidth="1"/>
    <col min="10758" max="10758" width="11.42578125" style="84"/>
    <col min="10759" max="10759" width="19.5703125" style="84" customWidth="1"/>
    <col min="10760" max="10760" width="36.42578125" style="84" customWidth="1"/>
    <col min="10761" max="10761" width="46.7109375" style="84" customWidth="1"/>
    <col min="10762" max="10762" width="28" style="84" customWidth="1"/>
    <col min="10763" max="10763" width="16.42578125" style="84" customWidth="1"/>
    <col min="10764" max="10764" width="12.42578125" style="84" customWidth="1"/>
    <col min="10765" max="10776" width="11.42578125" style="84"/>
    <col min="10777" max="10777" width="13" style="84" customWidth="1"/>
    <col min="10778" max="10778" width="14.7109375" style="84" customWidth="1"/>
    <col min="10779" max="10779" width="34.28515625" style="84" customWidth="1"/>
    <col min="10780" max="11002" width="11.42578125" style="84"/>
    <col min="11003" max="11003" width="14.140625" style="84" customWidth="1"/>
    <col min="11004" max="11004" width="11.42578125" style="84"/>
    <col min="11005" max="11005" width="14.140625" style="84" customWidth="1"/>
    <col min="11006" max="11006" width="11.42578125" style="84"/>
    <col min="11007" max="11007" width="14.28515625" style="84" customWidth="1"/>
    <col min="11008" max="11008" width="11.42578125" style="84"/>
    <col min="11009" max="11009" width="30" style="84" customWidth="1"/>
    <col min="11010" max="11010" width="29.42578125" style="84" customWidth="1"/>
    <col min="11011" max="11011" width="11.42578125" style="84"/>
    <col min="11012" max="11012" width="18.7109375" style="84" customWidth="1"/>
    <col min="11013" max="11013" width="28.140625" style="84" customWidth="1"/>
    <col min="11014" max="11014" width="11.42578125" style="84"/>
    <col min="11015" max="11015" width="19.5703125" style="84" customWidth="1"/>
    <col min="11016" max="11016" width="36.42578125" style="84" customWidth="1"/>
    <col min="11017" max="11017" width="46.7109375" style="84" customWidth="1"/>
    <col min="11018" max="11018" width="28" style="84" customWidth="1"/>
    <col min="11019" max="11019" width="16.42578125" style="84" customWidth="1"/>
    <col min="11020" max="11020" width="12.42578125" style="84" customWidth="1"/>
    <col min="11021" max="11032" width="11.42578125" style="84"/>
    <col min="11033" max="11033" width="13" style="84" customWidth="1"/>
    <col min="11034" max="11034" width="14.7109375" style="84" customWidth="1"/>
    <col min="11035" max="11035" width="34.28515625" style="84" customWidth="1"/>
    <col min="11036" max="11258" width="11.42578125" style="84"/>
    <col min="11259" max="11259" width="14.140625" style="84" customWidth="1"/>
    <col min="11260" max="11260" width="11.42578125" style="84"/>
    <col min="11261" max="11261" width="14.140625" style="84" customWidth="1"/>
    <col min="11262" max="11262" width="11.42578125" style="84"/>
    <col min="11263" max="11263" width="14.28515625" style="84" customWidth="1"/>
    <col min="11264" max="11264" width="11.42578125" style="84"/>
    <col min="11265" max="11265" width="30" style="84" customWidth="1"/>
    <col min="11266" max="11266" width="29.42578125" style="84" customWidth="1"/>
    <col min="11267" max="11267" width="11.42578125" style="84"/>
    <col min="11268" max="11268" width="18.7109375" style="84" customWidth="1"/>
    <col min="11269" max="11269" width="28.140625" style="84" customWidth="1"/>
    <col min="11270" max="11270" width="11.42578125" style="84"/>
    <col min="11271" max="11271" width="19.5703125" style="84" customWidth="1"/>
    <col min="11272" max="11272" width="36.42578125" style="84" customWidth="1"/>
    <col min="11273" max="11273" width="46.7109375" style="84" customWidth="1"/>
    <col min="11274" max="11274" width="28" style="84" customWidth="1"/>
    <col min="11275" max="11275" width="16.42578125" style="84" customWidth="1"/>
    <col min="11276" max="11276" width="12.42578125" style="84" customWidth="1"/>
    <col min="11277" max="11288" width="11.42578125" style="84"/>
    <col min="11289" max="11289" width="13" style="84" customWidth="1"/>
    <col min="11290" max="11290" width="14.7109375" style="84" customWidth="1"/>
    <col min="11291" max="11291" width="34.28515625" style="84" customWidth="1"/>
    <col min="11292" max="11514" width="11.42578125" style="84"/>
    <col min="11515" max="11515" width="14.140625" style="84" customWidth="1"/>
    <col min="11516" max="11516" width="11.42578125" style="84"/>
    <col min="11517" max="11517" width="14.140625" style="84" customWidth="1"/>
    <col min="11518" max="11518" width="11.42578125" style="84"/>
    <col min="11519" max="11519" width="14.28515625" style="84" customWidth="1"/>
    <col min="11520" max="11520" width="11.42578125" style="84"/>
    <col min="11521" max="11521" width="30" style="84" customWidth="1"/>
    <col min="11522" max="11522" width="29.42578125" style="84" customWidth="1"/>
    <col min="11523" max="11523" width="11.42578125" style="84"/>
    <col min="11524" max="11524" width="18.7109375" style="84" customWidth="1"/>
    <col min="11525" max="11525" width="28.140625" style="84" customWidth="1"/>
    <col min="11526" max="11526" width="11.42578125" style="84"/>
    <col min="11527" max="11527" width="19.5703125" style="84" customWidth="1"/>
    <col min="11528" max="11528" width="36.42578125" style="84" customWidth="1"/>
    <col min="11529" max="11529" width="46.7109375" style="84" customWidth="1"/>
    <col min="11530" max="11530" width="28" style="84" customWidth="1"/>
    <col min="11531" max="11531" width="16.42578125" style="84" customWidth="1"/>
    <col min="11532" max="11532" width="12.42578125" style="84" customWidth="1"/>
    <col min="11533" max="11544" width="11.42578125" style="84"/>
    <col min="11545" max="11545" width="13" style="84" customWidth="1"/>
    <col min="11546" max="11546" width="14.7109375" style="84" customWidth="1"/>
    <col min="11547" max="11547" width="34.28515625" style="84" customWidth="1"/>
    <col min="11548" max="11770" width="11.42578125" style="84"/>
    <col min="11771" max="11771" width="14.140625" style="84" customWidth="1"/>
    <col min="11772" max="11772" width="11.42578125" style="84"/>
    <col min="11773" max="11773" width="14.140625" style="84" customWidth="1"/>
    <col min="11774" max="11774" width="11.42578125" style="84"/>
    <col min="11775" max="11775" width="14.28515625" style="84" customWidth="1"/>
    <col min="11776" max="11776" width="11.42578125" style="84"/>
    <col min="11777" max="11777" width="30" style="84" customWidth="1"/>
    <col min="11778" max="11778" width="29.42578125" style="84" customWidth="1"/>
    <col min="11779" max="11779" width="11.42578125" style="84"/>
    <col min="11780" max="11780" width="18.7109375" style="84" customWidth="1"/>
    <col min="11781" max="11781" width="28.140625" style="84" customWidth="1"/>
    <col min="11782" max="11782" width="11.42578125" style="84"/>
    <col min="11783" max="11783" width="19.5703125" style="84" customWidth="1"/>
    <col min="11784" max="11784" width="36.42578125" style="84" customWidth="1"/>
    <col min="11785" max="11785" width="46.7109375" style="84" customWidth="1"/>
    <col min="11786" max="11786" width="28" style="84" customWidth="1"/>
    <col min="11787" max="11787" width="16.42578125" style="84" customWidth="1"/>
    <col min="11788" max="11788" width="12.42578125" style="84" customWidth="1"/>
    <col min="11789" max="11800" width="11.42578125" style="84"/>
    <col min="11801" max="11801" width="13" style="84" customWidth="1"/>
    <col min="11802" max="11802" width="14.7109375" style="84" customWidth="1"/>
    <col min="11803" max="11803" width="34.28515625" style="84" customWidth="1"/>
    <col min="11804" max="12026" width="11.42578125" style="84"/>
    <col min="12027" max="12027" width="14.140625" style="84" customWidth="1"/>
    <col min="12028" max="12028" width="11.42578125" style="84"/>
    <col min="12029" max="12029" width="14.140625" style="84" customWidth="1"/>
    <col min="12030" max="12030" width="11.42578125" style="84"/>
    <col min="12031" max="12031" width="14.28515625" style="84" customWidth="1"/>
    <col min="12032" max="12032" width="11.42578125" style="84"/>
    <col min="12033" max="12033" width="30" style="84" customWidth="1"/>
    <col min="12034" max="12034" width="29.42578125" style="84" customWidth="1"/>
    <col min="12035" max="12035" width="11.42578125" style="84"/>
    <col min="12036" max="12036" width="18.7109375" style="84" customWidth="1"/>
    <col min="12037" max="12037" width="28.140625" style="84" customWidth="1"/>
    <col min="12038" max="12038" width="11.42578125" style="84"/>
    <col min="12039" max="12039" width="19.5703125" style="84" customWidth="1"/>
    <col min="12040" max="12040" width="36.42578125" style="84" customWidth="1"/>
    <col min="12041" max="12041" width="46.7109375" style="84" customWidth="1"/>
    <col min="12042" max="12042" width="28" style="84" customWidth="1"/>
    <col min="12043" max="12043" width="16.42578125" style="84" customWidth="1"/>
    <col min="12044" max="12044" width="12.42578125" style="84" customWidth="1"/>
    <col min="12045" max="12056" width="11.42578125" style="84"/>
    <col min="12057" max="12057" width="13" style="84" customWidth="1"/>
    <col min="12058" max="12058" width="14.7109375" style="84" customWidth="1"/>
    <col min="12059" max="12059" width="34.28515625" style="84" customWidth="1"/>
    <col min="12060" max="12282" width="11.42578125" style="84"/>
    <col min="12283" max="12283" width="14.140625" style="84" customWidth="1"/>
    <col min="12284" max="12284" width="11.42578125" style="84"/>
    <col min="12285" max="12285" width="14.140625" style="84" customWidth="1"/>
    <col min="12286" max="12286" width="11.42578125" style="84"/>
    <col min="12287" max="12287" width="14.28515625" style="84" customWidth="1"/>
    <col min="12288" max="12288" width="11.42578125" style="84"/>
    <col min="12289" max="12289" width="30" style="84" customWidth="1"/>
    <col min="12290" max="12290" width="29.42578125" style="84" customWidth="1"/>
    <col min="12291" max="12291" width="11.42578125" style="84"/>
    <col min="12292" max="12292" width="18.7109375" style="84" customWidth="1"/>
    <col min="12293" max="12293" width="28.140625" style="84" customWidth="1"/>
    <col min="12294" max="12294" width="11.42578125" style="84"/>
    <col min="12295" max="12295" width="19.5703125" style="84" customWidth="1"/>
    <col min="12296" max="12296" width="36.42578125" style="84" customWidth="1"/>
    <col min="12297" max="12297" width="46.7109375" style="84" customWidth="1"/>
    <col min="12298" max="12298" width="28" style="84" customWidth="1"/>
    <col min="12299" max="12299" width="16.42578125" style="84" customWidth="1"/>
    <col min="12300" max="12300" width="12.42578125" style="84" customWidth="1"/>
    <col min="12301" max="12312" width="11.42578125" style="84"/>
    <col min="12313" max="12313" width="13" style="84" customWidth="1"/>
    <col min="12314" max="12314" width="14.7109375" style="84" customWidth="1"/>
    <col min="12315" max="12315" width="34.28515625" style="84" customWidth="1"/>
    <col min="12316" max="12538" width="11.42578125" style="84"/>
    <col min="12539" max="12539" width="14.140625" style="84" customWidth="1"/>
    <col min="12540" max="12540" width="11.42578125" style="84"/>
    <col min="12541" max="12541" width="14.140625" style="84" customWidth="1"/>
    <col min="12542" max="12542" width="11.42578125" style="84"/>
    <col min="12543" max="12543" width="14.28515625" style="84" customWidth="1"/>
    <col min="12544" max="12544" width="11.42578125" style="84"/>
    <col min="12545" max="12545" width="30" style="84" customWidth="1"/>
    <col min="12546" max="12546" width="29.42578125" style="84" customWidth="1"/>
    <col min="12547" max="12547" width="11.42578125" style="84"/>
    <col min="12548" max="12548" width="18.7109375" style="84" customWidth="1"/>
    <col min="12549" max="12549" width="28.140625" style="84" customWidth="1"/>
    <col min="12550" max="12550" width="11.42578125" style="84"/>
    <col min="12551" max="12551" width="19.5703125" style="84" customWidth="1"/>
    <col min="12552" max="12552" width="36.42578125" style="84" customWidth="1"/>
    <col min="12553" max="12553" width="46.7109375" style="84" customWidth="1"/>
    <col min="12554" max="12554" width="28" style="84" customWidth="1"/>
    <col min="12555" max="12555" width="16.42578125" style="84" customWidth="1"/>
    <col min="12556" max="12556" width="12.42578125" style="84" customWidth="1"/>
    <col min="12557" max="12568" width="11.42578125" style="84"/>
    <col min="12569" max="12569" width="13" style="84" customWidth="1"/>
    <col min="12570" max="12570" width="14.7109375" style="84" customWidth="1"/>
    <col min="12571" max="12571" width="34.28515625" style="84" customWidth="1"/>
    <col min="12572" max="12794" width="11.42578125" style="84"/>
    <col min="12795" max="12795" width="14.140625" style="84" customWidth="1"/>
    <col min="12796" max="12796" width="11.42578125" style="84"/>
    <col min="12797" max="12797" width="14.140625" style="84" customWidth="1"/>
    <col min="12798" max="12798" width="11.42578125" style="84"/>
    <col min="12799" max="12799" width="14.28515625" style="84" customWidth="1"/>
    <col min="12800" max="12800" width="11.42578125" style="84"/>
    <col min="12801" max="12801" width="30" style="84" customWidth="1"/>
    <col min="12802" max="12802" width="29.42578125" style="84" customWidth="1"/>
    <col min="12803" max="12803" width="11.42578125" style="84"/>
    <col min="12804" max="12804" width="18.7109375" style="84" customWidth="1"/>
    <col min="12805" max="12805" width="28.140625" style="84" customWidth="1"/>
    <col min="12806" max="12806" width="11.42578125" style="84"/>
    <col min="12807" max="12807" width="19.5703125" style="84" customWidth="1"/>
    <col min="12808" max="12808" width="36.42578125" style="84" customWidth="1"/>
    <col min="12809" max="12809" width="46.7109375" style="84" customWidth="1"/>
    <col min="12810" max="12810" width="28" style="84" customWidth="1"/>
    <col min="12811" max="12811" width="16.42578125" style="84" customWidth="1"/>
    <col min="12812" max="12812" width="12.42578125" style="84" customWidth="1"/>
    <col min="12813" max="12824" width="11.42578125" style="84"/>
    <col min="12825" max="12825" width="13" style="84" customWidth="1"/>
    <col min="12826" max="12826" width="14.7109375" style="84" customWidth="1"/>
    <col min="12827" max="12827" width="34.28515625" style="84" customWidth="1"/>
    <col min="12828" max="13050" width="11.42578125" style="84"/>
    <col min="13051" max="13051" width="14.140625" style="84" customWidth="1"/>
    <col min="13052" max="13052" width="11.42578125" style="84"/>
    <col min="13053" max="13053" width="14.140625" style="84" customWidth="1"/>
    <col min="13054" max="13054" width="11.42578125" style="84"/>
    <col min="13055" max="13055" width="14.28515625" style="84" customWidth="1"/>
    <col min="13056" max="13056" width="11.42578125" style="84"/>
    <col min="13057" max="13057" width="30" style="84" customWidth="1"/>
    <col min="13058" max="13058" width="29.42578125" style="84" customWidth="1"/>
    <col min="13059" max="13059" width="11.42578125" style="84"/>
    <col min="13060" max="13060" width="18.7109375" style="84" customWidth="1"/>
    <col min="13061" max="13061" width="28.140625" style="84" customWidth="1"/>
    <col min="13062" max="13062" width="11.42578125" style="84"/>
    <col min="13063" max="13063" width="19.5703125" style="84" customWidth="1"/>
    <col min="13064" max="13064" width="36.42578125" style="84" customWidth="1"/>
    <col min="13065" max="13065" width="46.7109375" style="84" customWidth="1"/>
    <col min="13066" max="13066" width="28" style="84" customWidth="1"/>
    <col min="13067" max="13067" width="16.42578125" style="84" customWidth="1"/>
    <col min="13068" max="13068" width="12.42578125" style="84" customWidth="1"/>
    <col min="13069" max="13080" width="11.42578125" style="84"/>
    <col min="13081" max="13081" width="13" style="84" customWidth="1"/>
    <col min="13082" max="13082" width="14.7109375" style="84" customWidth="1"/>
    <col min="13083" max="13083" width="34.28515625" style="84" customWidth="1"/>
    <col min="13084" max="13306" width="11.42578125" style="84"/>
    <col min="13307" max="13307" width="14.140625" style="84" customWidth="1"/>
    <col min="13308" max="13308" width="11.42578125" style="84"/>
    <col min="13309" max="13309" width="14.140625" style="84" customWidth="1"/>
    <col min="13310" max="13310" width="11.42578125" style="84"/>
    <col min="13311" max="13311" width="14.28515625" style="84" customWidth="1"/>
    <col min="13312" max="13312" width="11.42578125" style="84"/>
    <col min="13313" max="13313" width="30" style="84" customWidth="1"/>
    <col min="13314" max="13314" width="29.42578125" style="84" customWidth="1"/>
    <col min="13315" max="13315" width="11.42578125" style="84"/>
    <col min="13316" max="13316" width="18.7109375" style="84" customWidth="1"/>
    <col min="13317" max="13317" width="28.140625" style="84" customWidth="1"/>
    <col min="13318" max="13318" width="11.42578125" style="84"/>
    <col min="13319" max="13319" width="19.5703125" style="84" customWidth="1"/>
    <col min="13320" max="13320" width="36.42578125" style="84" customWidth="1"/>
    <col min="13321" max="13321" width="46.7109375" style="84" customWidth="1"/>
    <col min="13322" max="13322" width="28" style="84" customWidth="1"/>
    <col min="13323" max="13323" width="16.42578125" style="84" customWidth="1"/>
    <col min="13324" max="13324" width="12.42578125" style="84" customWidth="1"/>
    <col min="13325" max="13336" width="11.42578125" style="84"/>
    <col min="13337" max="13337" width="13" style="84" customWidth="1"/>
    <col min="13338" max="13338" width="14.7109375" style="84" customWidth="1"/>
    <col min="13339" max="13339" width="34.28515625" style="84" customWidth="1"/>
    <col min="13340" max="13562" width="11.42578125" style="84"/>
    <col min="13563" max="13563" width="14.140625" style="84" customWidth="1"/>
    <col min="13564" max="13564" width="11.42578125" style="84"/>
    <col min="13565" max="13565" width="14.140625" style="84" customWidth="1"/>
    <col min="13566" max="13566" width="11.42578125" style="84"/>
    <col min="13567" max="13567" width="14.28515625" style="84" customWidth="1"/>
    <col min="13568" max="13568" width="11.42578125" style="84"/>
    <col min="13569" max="13569" width="30" style="84" customWidth="1"/>
    <col min="13570" max="13570" width="29.42578125" style="84" customWidth="1"/>
    <col min="13571" max="13571" width="11.42578125" style="84"/>
    <col min="13572" max="13572" width="18.7109375" style="84" customWidth="1"/>
    <col min="13573" max="13573" width="28.140625" style="84" customWidth="1"/>
    <col min="13574" max="13574" width="11.42578125" style="84"/>
    <col min="13575" max="13575" width="19.5703125" style="84" customWidth="1"/>
    <col min="13576" max="13576" width="36.42578125" style="84" customWidth="1"/>
    <col min="13577" max="13577" width="46.7109375" style="84" customWidth="1"/>
    <col min="13578" max="13578" width="28" style="84" customWidth="1"/>
    <col min="13579" max="13579" width="16.42578125" style="84" customWidth="1"/>
    <col min="13580" max="13580" width="12.42578125" style="84" customWidth="1"/>
    <col min="13581" max="13592" width="11.42578125" style="84"/>
    <col min="13593" max="13593" width="13" style="84" customWidth="1"/>
    <col min="13594" max="13594" width="14.7109375" style="84" customWidth="1"/>
    <col min="13595" max="13595" width="34.28515625" style="84" customWidth="1"/>
    <col min="13596" max="13818" width="11.42578125" style="84"/>
    <col min="13819" max="13819" width="14.140625" style="84" customWidth="1"/>
    <col min="13820" max="13820" width="11.42578125" style="84"/>
    <col min="13821" max="13821" width="14.140625" style="84" customWidth="1"/>
    <col min="13822" max="13822" width="11.42578125" style="84"/>
    <col min="13823" max="13823" width="14.28515625" style="84" customWidth="1"/>
    <col min="13824" max="13824" width="11.42578125" style="84"/>
    <col min="13825" max="13825" width="30" style="84" customWidth="1"/>
    <col min="13826" max="13826" width="29.42578125" style="84" customWidth="1"/>
    <col min="13827" max="13827" width="11.42578125" style="84"/>
    <col min="13828" max="13828" width="18.7109375" style="84" customWidth="1"/>
    <col min="13829" max="13829" width="28.140625" style="84" customWidth="1"/>
    <col min="13830" max="13830" width="11.42578125" style="84"/>
    <col min="13831" max="13831" width="19.5703125" style="84" customWidth="1"/>
    <col min="13832" max="13832" width="36.42578125" style="84" customWidth="1"/>
    <col min="13833" max="13833" width="46.7109375" style="84" customWidth="1"/>
    <col min="13834" max="13834" width="28" style="84" customWidth="1"/>
    <col min="13835" max="13835" width="16.42578125" style="84" customWidth="1"/>
    <col min="13836" max="13836" width="12.42578125" style="84" customWidth="1"/>
    <col min="13837" max="13848" width="11.42578125" style="84"/>
    <col min="13849" max="13849" width="13" style="84" customWidth="1"/>
    <col min="13850" max="13850" width="14.7109375" style="84" customWidth="1"/>
    <col min="13851" max="13851" width="34.28515625" style="84" customWidth="1"/>
    <col min="13852" max="14074" width="11.42578125" style="84"/>
    <col min="14075" max="14075" width="14.140625" style="84" customWidth="1"/>
    <col min="14076" max="14076" width="11.42578125" style="84"/>
    <col min="14077" max="14077" width="14.140625" style="84" customWidth="1"/>
    <col min="14078" max="14078" width="11.42578125" style="84"/>
    <col min="14079" max="14079" width="14.28515625" style="84" customWidth="1"/>
    <col min="14080" max="14080" width="11.42578125" style="84"/>
    <col min="14081" max="14081" width="30" style="84" customWidth="1"/>
    <col min="14082" max="14082" width="29.42578125" style="84" customWidth="1"/>
    <col min="14083" max="14083" width="11.42578125" style="84"/>
    <col min="14084" max="14084" width="18.7109375" style="84" customWidth="1"/>
    <col min="14085" max="14085" width="28.140625" style="84" customWidth="1"/>
    <col min="14086" max="14086" width="11.42578125" style="84"/>
    <col min="14087" max="14087" width="19.5703125" style="84" customWidth="1"/>
    <col min="14088" max="14088" width="36.42578125" style="84" customWidth="1"/>
    <col min="14089" max="14089" width="46.7109375" style="84" customWidth="1"/>
    <col min="14090" max="14090" width="28" style="84" customWidth="1"/>
    <col min="14091" max="14091" width="16.42578125" style="84" customWidth="1"/>
    <col min="14092" max="14092" width="12.42578125" style="84" customWidth="1"/>
    <col min="14093" max="14104" width="11.42578125" style="84"/>
    <col min="14105" max="14105" width="13" style="84" customWidth="1"/>
    <col min="14106" max="14106" width="14.7109375" style="84" customWidth="1"/>
    <col min="14107" max="14107" width="34.28515625" style="84" customWidth="1"/>
    <col min="14108" max="14330" width="11.42578125" style="84"/>
    <col min="14331" max="14331" width="14.140625" style="84" customWidth="1"/>
    <col min="14332" max="14332" width="11.42578125" style="84"/>
    <col min="14333" max="14333" width="14.140625" style="84" customWidth="1"/>
    <col min="14334" max="14334" width="11.42578125" style="84"/>
    <col min="14335" max="14335" width="14.28515625" style="84" customWidth="1"/>
    <col min="14336" max="14336" width="11.42578125" style="84"/>
    <col min="14337" max="14337" width="30" style="84" customWidth="1"/>
    <col min="14338" max="14338" width="29.42578125" style="84" customWidth="1"/>
    <col min="14339" max="14339" width="11.42578125" style="84"/>
    <col min="14340" max="14340" width="18.7109375" style="84" customWidth="1"/>
    <col min="14341" max="14341" width="28.140625" style="84" customWidth="1"/>
    <col min="14342" max="14342" width="11.42578125" style="84"/>
    <col min="14343" max="14343" width="19.5703125" style="84" customWidth="1"/>
    <col min="14344" max="14344" width="36.42578125" style="84" customWidth="1"/>
    <col min="14345" max="14345" width="46.7109375" style="84" customWidth="1"/>
    <col min="14346" max="14346" width="28" style="84" customWidth="1"/>
    <col min="14347" max="14347" width="16.42578125" style="84" customWidth="1"/>
    <col min="14348" max="14348" width="12.42578125" style="84" customWidth="1"/>
    <col min="14349" max="14360" width="11.42578125" style="84"/>
    <col min="14361" max="14361" width="13" style="84" customWidth="1"/>
    <col min="14362" max="14362" width="14.7109375" style="84" customWidth="1"/>
    <col min="14363" max="14363" width="34.28515625" style="84" customWidth="1"/>
    <col min="14364" max="14586" width="11.42578125" style="84"/>
    <col min="14587" max="14587" width="14.140625" style="84" customWidth="1"/>
    <col min="14588" max="14588" width="11.42578125" style="84"/>
    <col min="14589" max="14589" width="14.140625" style="84" customWidth="1"/>
    <col min="14590" max="14590" width="11.42578125" style="84"/>
    <col min="14591" max="14591" width="14.28515625" style="84" customWidth="1"/>
    <col min="14592" max="14592" width="11.42578125" style="84"/>
    <col min="14593" max="14593" width="30" style="84" customWidth="1"/>
    <col min="14594" max="14594" width="29.42578125" style="84" customWidth="1"/>
    <col min="14595" max="14595" width="11.42578125" style="84"/>
    <col min="14596" max="14596" width="18.7109375" style="84" customWidth="1"/>
    <col min="14597" max="14597" width="28.140625" style="84" customWidth="1"/>
    <col min="14598" max="14598" width="11.42578125" style="84"/>
    <col min="14599" max="14599" width="19.5703125" style="84" customWidth="1"/>
    <col min="14600" max="14600" width="36.42578125" style="84" customWidth="1"/>
    <col min="14601" max="14601" width="46.7109375" style="84" customWidth="1"/>
    <col min="14602" max="14602" width="28" style="84" customWidth="1"/>
    <col min="14603" max="14603" width="16.42578125" style="84" customWidth="1"/>
    <col min="14604" max="14604" width="12.42578125" style="84" customWidth="1"/>
    <col min="14605" max="14616" width="11.42578125" style="84"/>
    <col min="14617" max="14617" width="13" style="84" customWidth="1"/>
    <col min="14618" max="14618" width="14.7109375" style="84" customWidth="1"/>
    <col min="14619" max="14619" width="34.28515625" style="84" customWidth="1"/>
    <col min="14620" max="14842" width="11.42578125" style="84"/>
    <col min="14843" max="14843" width="14.140625" style="84" customWidth="1"/>
    <col min="14844" max="14844" width="11.42578125" style="84"/>
    <col min="14845" max="14845" width="14.140625" style="84" customWidth="1"/>
    <col min="14846" max="14846" width="11.42578125" style="84"/>
    <col min="14847" max="14847" width="14.28515625" style="84" customWidth="1"/>
    <col min="14848" max="14848" width="11.42578125" style="84"/>
    <col min="14849" max="14849" width="30" style="84" customWidth="1"/>
    <col min="14850" max="14850" width="29.42578125" style="84" customWidth="1"/>
    <col min="14851" max="14851" width="11.42578125" style="84"/>
    <col min="14852" max="14852" width="18.7109375" style="84" customWidth="1"/>
    <col min="14853" max="14853" width="28.140625" style="84" customWidth="1"/>
    <col min="14854" max="14854" width="11.42578125" style="84"/>
    <col min="14855" max="14855" width="19.5703125" style="84" customWidth="1"/>
    <col min="14856" max="14856" width="36.42578125" style="84" customWidth="1"/>
    <col min="14857" max="14857" width="46.7109375" style="84" customWidth="1"/>
    <col min="14858" max="14858" width="28" style="84" customWidth="1"/>
    <col min="14859" max="14859" width="16.42578125" style="84" customWidth="1"/>
    <col min="14860" max="14860" width="12.42578125" style="84" customWidth="1"/>
    <col min="14861" max="14872" width="11.42578125" style="84"/>
    <col min="14873" max="14873" width="13" style="84" customWidth="1"/>
    <col min="14874" max="14874" width="14.7109375" style="84" customWidth="1"/>
    <col min="14875" max="14875" width="34.28515625" style="84" customWidth="1"/>
    <col min="14876" max="15098" width="11.42578125" style="84"/>
    <col min="15099" max="15099" width="14.140625" style="84" customWidth="1"/>
    <col min="15100" max="15100" width="11.42578125" style="84"/>
    <col min="15101" max="15101" width="14.140625" style="84" customWidth="1"/>
    <col min="15102" max="15102" width="11.42578125" style="84"/>
    <col min="15103" max="15103" width="14.28515625" style="84" customWidth="1"/>
    <col min="15104" max="15104" width="11.42578125" style="84"/>
    <col min="15105" max="15105" width="30" style="84" customWidth="1"/>
    <col min="15106" max="15106" width="29.42578125" style="84" customWidth="1"/>
    <col min="15107" max="15107" width="11.42578125" style="84"/>
    <col min="15108" max="15108" width="18.7109375" style="84" customWidth="1"/>
    <col min="15109" max="15109" width="28.140625" style="84" customWidth="1"/>
    <col min="15110" max="15110" width="11.42578125" style="84"/>
    <col min="15111" max="15111" width="19.5703125" style="84" customWidth="1"/>
    <col min="15112" max="15112" width="36.42578125" style="84" customWidth="1"/>
    <col min="15113" max="15113" width="46.7109375" style="84" customWidth="1"/>
    <col min="15114" max="15114" width="28" style="84" customWidth="1"/>
    <col min="15115" max="15115" width="16.42578125" style="84" customWidth="1"/>
    <col min="15116" max="15116" width="12.42578125" style="84" customWidth="1"/>
    <col min="15117" max="15128" width="11.42578125" style="84"/>
    <col min="15129" max="15129" width="13" style="84" customWidth="1"/>
    <col min="15130" max="15130" width="14.7109375" style="84" customWidth="1"/>
    <col min="15131" max="15131" width="34.28515625" style="84" customWidth="1"/>
    <col min="15132" max="15354" width="11.42578125" style="84"/>
    <col min="15355" max="15355" width="14.140625" style="84" customWidth="1"/>
    <col min="15356" max="15356" width="11.42578125" style="84"/>
    <col min="15357" max="15357" width="14.140625" style="84" customWidth="1"/>
    <col min="15358" max="15358" width="11.42578125" style="84"/>
    <col min="15359" max="15359" width="14.28515625" style="84" customWidth="1"/>
    <col min="15360" max="15360" width="11.42578125" style="84"/>
    <col min="15361" max="15361" width="30" style="84" customWidth="1"/>
    <col min="15362" max="15362" width="29.42578125" style="84" customWidth="1"/>
    <col min="15363" max="15363" width="11.42578125" style="84"/>
    <col min="15364" max="15364" width="18.7109375" style="84" customWidth="1"/>
    <col min="15365" max="15365" width="28.140625" style="84" customWidth="1"/>
    <col min="15366" max="15366" width="11.42578125" style="84"/>
    <col min="15367" max="15367" width="19.5703125" style="84" customWidth="1"/>
    <col min="15368" max="15368" width="36.42578125" style="84" customWidth="1"/>
    <col min="15369" max="15369" width="46.7109375" style="84" customWidth="1"/>
    <col min="15370" max="15370" width="28" style="84" customWidth="1"/>
    <col min="15371" max="15371" width="16.42578125" style="84" customWidth="1"/>
    <col min="15372" max="15372" width="12.42578125" style="84" customWidth="1"/>
    <col min="15373" max="15384" width="11.42578125" style="84"/>
    <col min="15385" max="15385" width="13" style="84" customWidth="1"/>
    <col min="15386" max="15386" width="14.7109375" style="84" customWidth="1"/>
    <col min="15387" max="15387" width="34.28515625" style="84" customWidth="1"/>
    <col min="15388" max="15610" width="11.42578125" style="84"/>
    <col min="15611" max="15611" width="14.140625" style="84" customWidth="1"/>
    <col min="15612" max="15612" width="11.42578125" style="84"/>
    <col min="15613" max="15613" width="14.140625" style="84" customWidth="1"/>
    <col min="15614" max="15614" width="11.42578125" style="84"/>
    <col min="15615" max="15615" width="14.28515625" style="84" customWidth="1"/>
    <col min="15616" max="15616" width="11.42578125" style="84"/>
    <col min="15617" max="15617" width="30" style="84" customWidth="1"/>
    <col min="15618" max="15618" width="29.42578125" style="84" customWidth="1"/>
    <col min="15619" max="15619" width="11.42578125" style="84"/>
    <col min="15620" max="15620" width="18.7109375" style="84" customWidth="1"/>
    <col min="15621" max="15621" width="28.140625" style="84" customWidth="1"/>
    <col min="15622" max="15622" width="11.42578125" style="84"/>
    <col min="15623" max="15623" width="19.5703125" style="84" customWidth="1"/>
    <col min="15624" max="15624" width="36.42578125" style="84" customWidth="1"/>
    <col min="15625" max="15625" width="46.7109375" style="84" customWidth="1"/>
    <col min="15626" max="15626" width="28" style="84" customWidth="1"/>
    <col min="15627" max="15627" width="16.42578125" style="84" customWidth="1"/>
    <col min="15628" max="15628" width="12.42578125" style="84" customWidth="1"/>
    <col min="15629" max="15640" width="11.42578125" style="84"/>
    <col min="15641" max="15641" width="13" style="84" customWidth="1"/>
    <col min="15642" max="15642" width="14.7109375" style="84" customWidth="1"/>
    <col min="15643" max="15643" width="34.28515625" style="84" customWidth="1"/>
    <col min="15644" max="15866" width="11.42578125" style="84"/>
    <col min="15867" max="15867" width="14.140625" style="84" customWidth="1"/>
    <col min="15868" max="15868" width="11.42578125" style="84"/>
    <col min="15869" max="15869" width="14.140625" style="84" customWidth="1"/>
    <col min="15870" max="15870" width="11.42578125" style="84"/>
    <col min="15871" max="15871" width="14.28515625" style="84" customWidth="1"/>
    <col min="15872" max="15872" width="11.42578125" style="84"/>
    <col min="15873" max="15873" width="30" style="84" customWidth="1"/>
    <col min="15874" max="15874" width="29.42578125" style="84" customWidth="1"/>
    <col min="15875" max="15875" width="11.42578125" style="84"/>
    <col min="15876" max="15876" width="18.7109375" style="84" customWidth="1"/>
    <col min="15877" max="15877" width="28.140625" style="84" customWidth="1"/>
    <col min="15878" max="15878" width="11.42578125" style="84"/>
    <col min="15879" max="15879" width="19.5703125" style="84" customWidth="1"/>
    <col min="15880" max="15880" width="36.42578125" style="84" customWidth="1"/>
    <col min="15881" max="15881" width="46.7109375" style="84" customWidth="1"/>
    <col min="15882" max="15882" width="28" style="84" customWidth="1"/>
    <col min="15883" max="15883" width="16.42578125" style="84" customWidth="1"/>
    <col min="15884" max="15884" width="12.42578125" style="84" customWidth="1"/>
    <col min="15885" max="15896" width="11.42578125" style="84"/>
    <col min="15897" max="15897" width="13" style="84" customWidth="1"/>
    <col min="15898" max="15898" width="14.7109375" style="84" customWidth="1"/>
    <col min="15899" max="15899" width="34.28515625" style="84" customWidth="1"/>
    <col min="15900" max="16122" width="11.42578125" style="84"/>
    <col min="16123" max="16123" width="14.140625" style="84" customWidth="1"/>
    <col min="16124" max="16124" width="11.42578125" style="84"/>
    <col min="16125" max="16125" width="14.140625" style="84" customWidth="1"/>
    <col min="16126" max="16126" width="11.42578125" style="84"/>
    <col min="16127" max="16127" width="14.28515625" style="84" customWidth="1"/>
    <col min="16128" max="16128" width="11.42578125" style="84"/>
    <col min="16129" max="16129" width="30" style="84" customWidth="1"/>
    <col min="16130" max="16130" width="29.42578125" style="84" customWidth="1"/>
    <col min="16131" max="16131" width="11.42578125" style="84"/>
    <col min="16132" max="16132" width="18.7109375" style="84" customWidth="1"/>
    <col min="16133" max="16133" width="28.140625" style="84" customWidth="1"/>
    <col min="16134" max="16134" width="11.42578125" style="84"/>
    <col min="16135" max="16135" width="19.5703125" style="84" customWidth="1"/>
    <col min="16136" max="16136" width="36.42578125" style="84" customWidth="1"/>
    <col min="16137" max="16137" width="46.7109375" style="84" customWidth="1"/>
    <col min="16138" max="16138" width="28" style="84" customWidth="1"/>
    <col min="16139" max="16139" width="16.42578125" style="84" customWidth="1"/>
    <col min="16140" max="16140" width="12.42578125" style="84" customWidth="1"/>
    <col min="16141" max="16152" width="11.42578125" style="84"/>
    <col min="16153" max="16153" width="13" style="84" customWidth="1"/>
    <col min="16154" max="16154" width="14.7109375" style="84" customWidth="1"/>
    <col min="16155" max="16155" width="34.28515625" style="84" customWidth="1"/>
    <col min="16156" max="16384" width="11.42578125" style="84"/>
  </cols>
  <sheetData>
    <row r="1" spans="1:69" ht="27" customHeight="1" x14ac:dyDescent="0.2">
      <c r="A1" s="2981" t="s">
        <v>1998</v>
      </c>
      <c r="B1" s="2982"/>
      <c r="C1" s="2982"/>
      <c r="D1" s="2982"/>
      <c r="E1" s="2982"/>
      <c r="F1" s="2982"/>
      <c r="G1" s="2982"/>
      <c r="H1" s="2982"/>
      <c r="I1" s="2982"/>
      <c r="J1" s="2982"/>
      <c r="K1" s="2982"/>
      <c r="L1" s="2982"/>
      <c r="M1" s="2982"/>
      <c r="N1" s="2982"/>
      <c r="O1" s="2982"/>
      <c r="P1" s="2982"/>
      <c r="Q1" s="2982"/>
      <c r="R1" s="2982"/>
      <c r="S1" s="2982"/>
      <c r="T1" s="2982"/>
      <c r="U1" s="2982"/>
      <c r="V1" s="2982"/>
      <c r="W1" s="2982"/>
      <c r="X1" s="2982"/>
      <c r="Y1" s="2982"/>
      <c r="Z1" s="2982"/>
      <c r="AA1" s="2982"/>
      <c r="AB1" s="2982"/>
      <c r="AC1" s="2982"/>
      <c r="AD1" s="2982"/>
      <c r="AE1" s="2982"/>
      <c r="AF1" s="2982"/>
      <c r="AG1" s="2982"/>
      <c r="AH1" s="2983"/>
      <c r="AI1" s="816" t="s">
        <v>0</v>
      </c>
      <c r="AJ1" s="816" t="s">
        <v>1999</v>
      </c>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row>
    <row r="2" spans="1:69" ht="27" customHeight="1" x14ac:dyDescent="0.2">
      <c r="A2" s="2984"/>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8"/>
      <c r="AI2" s="1826" t="s">
        <v>1</v>
      </c>
      <c r="AJ2" s="816" t="s">
        <v>848</v>
      </c>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row>
    <row r="3" spans="1:69" ht="27" customHeight="1" x14ac:dyDescent="0.2">
      <c r="A3" s="2984"/>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8"/>
      <c r="AI3" s="816" t="s">
        <v>3</v>
      </c>
      <c r="AJ3" s="816" t="s">
        <v>2000</v>
      </c>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row>
    <row r="4" spans="1:69" ht="27" customHeight="1" x14ac:dyDescent="0.2">
      <c r="A4" s="2985"/>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50"/>
      <c r="AI4" s="816" t="s">
        <v>4</v>
      </c>
      <c r="AJ4" s="817" t="s">
        <v>849</v>
      </c>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row>
    <row r="5" spans="1:69" ht="27" customHeight="1" x14ac:dyDescent="0.2">
      <c r="A5" s="2763" t="s">
        <v>5</v>
      </c>
      <c r="B5" s="1851"/>
      <c r="C5" s="1851"/>
      <c r="D5" s="1851"/>
      <c r="E5" s="1851"/>
      <c r="F5" s="1851"/>
      <c r="G5" s="1851"/>
      <c r="H5" s="1851"/>
      <c r="I5" s="1851"/>
      <c r="J5" s="1851"/>
      <c r="K5" s="1851"/>
      <c r="L5" s="1851"/>
      <c r="M5" s="1851"/>
      <c r="N5" s="2763" t="s">
        <v>6</v>
      </c>
      <c r="O5" s="1851"/>
      <c r="P5" s="1851"/>
      <c r="Q5" s="1851"/>
      <c r="R5" s="1851"/>
      <c r="S5" s="1851"/>
      <c r="T5" s="1851"/>
      <c r="U5" s="1851"/>
      <c r="V5" s="1838"/>
      <c r="W5" s="2765"/>
      <c r="X5" s="2765"/>
      <c r="Y5" s="2765"/>
      <c r="Z5" s="2765"/>
      <c r="AA5" s="2765"/>
      <c r="AB5" s="2765"/>
      <c r="AC5" s="2765"/>
      <c r="AD5" s="2765"/>
      <c r="AE5" s="2765"/>
      <c r="AF5" s="2765"/>
      <c r="AG5" s="2765"/>
      <c r="AH5" s="2765"/>
      <c r="AI5" s="2765"/>
      <c r="AJ5" s="2766"/>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row>
    <row r="6" spans="1:69" ht="27" customHeight="1" x14ac:dyDescent="0.2">
      <c r="A6" s="1854"/>
      <c r="B6" s="1852"/>
      <c r="C6" s="1852"/>
      <c r="D6" s="1852"/>
      <c r="E6" s="1852"/>
      <c r="F6" s="1852"/>
      <c r="G6" s="1852"/>
      <c r="H6" s="1852"/>
      <c r="I6" s="1852"/>
      <c r="J6" s="1852"/>
      <c r="K6" s="1852"/>
      <c r="L6" s="1852"/>
      <c r="M6" s="1852"/>
      <c r="N6" s="1854"/>
      <c r="O6" s="1852"/>
      <c r="P6" s="1852"/>
      <c r="Q6" s="1852"/>
      <c r="R6" s="1852"/>
      <c r="S6" s="1852"/>
      <c r="T6" s="1852"/>
      <c r="U6" s="1852"/>
      <c r="V6" s="2764" t="s">
        <v>7</v>
      </c>
      <c r="W6" s="2765"/>
      <c r="X6" s="2765"/>
      <c r="Y6" s="2765"/>
      <c r="Z6" s="2765"/>
      <c r="AA6" s="2765"/>
      <c r="AB6" s="2765"/>
      <c r="AC6" s="2765"/>
      <c r="AD6" s="2765"/>
      <c r="AE6" s="2765"/>
      <c r="AF6" s="2765"/>
      <c r="AG6" s="2765"/>
      <c r="AH6" s="1837"/>
      <c r="AI6" s="819"/>
      <c r="AJ6" s="1827"/>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row>
    <row r="7" spans="1:69" s="1" customFormat="1" ht="68.25" customHeight="1" x14ac:dyDescent="0.2">
      <c r="A7" s="2978" t="s">
        <v>8</v>
      </c>
      <c r="B7" s="1857" t="s">
        <v>9</v>
      </c>
      <c r="C7" s="1857" t="s">
        <v>8</v>
      </c>
      <c r="D7" s="1857" t="s">
        <v>10</v>
      </c>
      <c r="E7" s="1857" t="s">
        <v>8</v>
      </c>
      <c r="F7" s="1857" t="s">
        <v>11</v>
      </c>
      <c r="G7" s="1857" t="s">
        <v>8</v>
      </c>
      <c r="H7" s="1857" t="s">
        <v>12</v>
      </c>
      <c r="I7" s="1857" t="s">
        <v>13</v>
      </c>
      <c r="J7" s="1860" t="s">
        <v>14</v>
      </c>
      <c r="K7" s="1857" t="s">
        <v>15</v>
      </c>
      <c r="L7" s="1868" t="s">
        <v>16</v>
      </c>
      <c r="M7" s="1857" t="s">
        <v>6</v>
      </c>
      <c r="N7" s="1857" t="s">
        <v>17</v>
      </c>
      <c r="O7" s="1857" t="s">
        <v>18</v>
      </c>
      <c r="P7" s="1857" t="s">
        <v>19</v>
      </c>
      <c r="Q7" s="1857" t="s">
        <v>20</v>
      </c>
      <c r="R7" s="1857" t="s">
        <v>21</v>
      </c>
      <c r="S7" s="1860" t="s">
        <v>18</v>
      </c>
      <c r="T7" s="1857" t="s">
        <v>8</v>
      </c>
      <c r="U7" s="1857" t="s">
        <v>22</v>
      </c>
      <c r="V7" s="2979" t="s">
        <v>23</v>
      </c>
      <c r="W7" s="2980"/>
      <c r="X7" s="2980"/>
      <c r="Y7" s="2980"/>
      <c r="Z7" s="2980"/>
      <c r="AA7" s="2980"/>
      <c r="AB7" s="2979" t="s">
        <v>24</v>
      </c>
      <c r="AC7" s="2980"/>
      <c r="AD7" s="2980"/>
      <c r="AE7" s="2980"/>
      <c r="AF7" s="2980"/>
      <c r="AG7" s="2980"/>
      <c r="AH7" s="2995" t="s">
        <v>25</v>
      </c>
      <c r="AI7" s="2995" t="s">
        <v>26</v>
      </c>
      <c r="AJ7" s="2986" t="s">
        <v>27</v>
      </c>
    </row>
    <row r="8" spans="1:69" s="1" customFormat="1" ht="45.75" customHeight="1" thickBot="1" x14ac:dyDescent="0.25">
      <c r="A8" s="2978"/>
      <c r="B8" s="1857"/>
      <c r="C8" s="1857"/>
      <c r="D8" s="1857"/>
      <c r="E8" s="1857"/>
      <c r="F8" s="1857"/>
      <c r="G8" s="1857"/>
      <c r="H8" s="1857"/>
      <c r="I8" s="1857"/>
      <c r="J8" s="1866"/>
      <c r="K8" s="1857"/>
      <c r="L8" s="1868"/>
      <c r="M8" s="1857"/>
      <c r="N8" s="1857"/>
      <c r="O8" s="1857"/>
      <c r="P8" s="1857"/>
      <c r="Q8" s="1857"/>
      <c r="R8" s="1857"/>
      <c r="S8" s="1866"/>
      <c r="T8" s="1857"/>
      <c r="U8" s="1857"/>
      <c r="V8" s="1804" t="s">
        <v>28</v>
      </c>
      <c r="W8" s="1804" t="s">
        <v>29</v>
      </c>
      <c r="X8" s="1804" t="s">
        <v>30</v>
      </c>
      <c r="Y8" s="1804" t="s">
        <v>31</v>
      </c>
      <c r="Z8" s="1804" t="s">
        <v>32</v>
      </c>
      <c r="AA8" s="1804" t="s">
        <v>33</v>
      </c>
      <c r="AB8" s="1804" t="s">
        <v>34</v>
      </c>
      <c r="AC8" s="1804" t="s">
        <v>35</v>
      </c>
      <c r="AD8" s="1804" t="s">
        <v>36</v>
      </c>
      <c r="AE8" s="1804" t="s">
        <v>37</v>
      </c>
      <c r="AF8" s="1804" t="s">
        <v>38</v>
      </c>
      <c r="AG8" s="1804" t="s">
        <v>39</v>
      </c>
      <c r="AH8" s="1872"/>
      <c r="AI8" s="1872"/>
      <c r="AJ8" s="2986"/>
    </row>
    <row r="9" spans="1:69" s="725" customFormat="1" ht="33" customHeight="1" x14ac:dyDescent="0.2">
      <c r="A9" s="1009">
        <v>3</v>
      </c>
      <c r="B9" s="1010" t="s">
        <v>1052</v>
      </c>
      <c r="C9" s="1011"/>
      <c r="D9" s="1011"/>
      <c r="E9" s="1011"/>
      <c r="F9" s="1011"/>
      <c r="G9" s="1011"/>
      <c r="H9" s="1011"/>
      <c r="I9" s="1011"/>
      <c r="J9" s="1011"/>
      <c r="K9" s="1011"/>
      <c r="L9" s="1011"/>
      <c r="M9" s="1011"/>
      <c r="N9" s="1011"/>
      <c r="O9" s="1011"/>
      <c r="P9" s="1011"/>
      <c r="Q9" s="1011"/>
      <c r="R9" s="1012"/>
      <c r="S9" s="1011"/>
      <c r="T9" s="1011"/>
      <c r="U9" s="1011"/>
      <c r="V9" s="1011"/>
      <c r="W9" s="1011"/>
      <c r="X9" s="1011"/>
      <c r="Y9" s="1011"/>
      <c r="Z9" s="1011"/>
      <c r="AA9" s="1011"/>
      <c r="AB9" s="1011"/>
      <c r="AC9" s="1011"/>
      <c r="AD9" s="1011"/>
      <c r="AE9" s="1011"/>
      <c r="AF9" s="1011"/>
      <c r="AG9" s="1011"/>
      <c r="AH9" s="1011"/>
      <c r="AI9" s="1011"/>
      <c r="AJ9" s="1013"/>
    </row>
    <row r="10" spans="1:69" s="725" customFormat="1" ht="33" customHeight="1" x14ac:dyDescent="0.2">
      <c r="A10" s="1014"/>
      <c r="B10" s="1015"/>
      <c r="C10" s="1016">
        <v>16</v>
      </c>
      <c r="D10" s="1017" t="s">
        <v>1053</v>
      </c>
      <c r="E10" s="1018"/>
      <c r="F10" s="1018"/>
      <c r="G10" s="1018"/>
      <c r="H10" s="1018"/>
      <c r="I10" s="1018"/>
      <c r="J10" s="1018"/>
      <c r="K10" s="1018"/>
      <c r="L10" s="1018"/>
      <c r="M10" s="1018"/>
      <c r="N10" s="1018"/>
      <c r="O10" s="1018"/>
      <c r="P10" s="1018"/>
      <c r="Q10" s="1018"/>
      <c r="R10" s="1019"/>
      <c r="S10" s="1018"/>
      <c r="T10" s="1018"/>
      <c r="U10" s="1018"/>
      <c r="V10" s="1018"/>
      <c r="W10" s="1018"/>
      <c r="X10" s="1018"/>
      <c r="Y10" s="1018"/>
      <c r="Z10" s="1018"/>
      <c r="AA10" s="1018"/>
      <c r="AB10" s="1018"/>
      <c r="AC10" s="1018"/>
      <c r="AD10" s="1018"/>
      <c r="AE10" s="1018"/>
      <c r="AF10" s="1018"/>
      <c r="AG10" s="1018"/>
      <c r="AH10" s="1018"/>
      <c r="AI10" s="1018"/>
      <c r="AJ10" s="1020"/>
    </row>
    <row r="11" spans="1:69" s="725" customFormat="1" ht="33" customHeight="1" x14ac:dyDescent="0.2">
      <c r="A11" s="1014"/>
      <c r="B11" s="1015"/>
      <c r="C11" s="1021"/>
      <c r="D11" s="1022"/>
      <c r="E11" s="653">
        <v>56</v>
      </c>
      <c r="F11" s="1023" t="s">
        <v>1054</v>
      </c>
      <c r="G11" s="1024"/>
      <c r="H11" s="1024"/>
      <c r="I11" s="1024"/>
      <c r="J11" s="1024"/>
      <c r="K11" s="1024"/>
      <c r="L11" s="1024"/>
      <c r="M11" s="1024"/>
      <c r="N11" s="1024"/>
      <c r="O11" s="1024"/>
      <c r="P11" s="1024"/>
      <c r="Q11" s="1024"/>
      <c r="R11" s="845"/>
      <c r="S11" s="1024"/>
      <c r="T11" s="1024"/>
      <c r="U11" s="1024"/>
      <c r="V11" s="1024"/>
      <c r="W11" s="1024"/>
      <c r="X11" s="1024"/>
      <c r="Y11" s="1024"/>
      <c r="Z11" s="1024"/>
      <c r="AA11" s="1024"/>
      <c r="AB11" s="1024"/>
      <c r="AC11" s="1024"/>
      <c r="AD11" s="1024"/>
      <c r="AE11" s="1024"/>
      <c r="AF11" s="1024"/>
      <c r="AG11" s="1024"/>
      <c r="AH11" s="1024"/>
      <c r="AI11" s="1024"/>
      <c r="AJ11" s="1025"/>
    </row>
    <row r="12" spans="1:69" ht="44.25" customHeight="1" x14ac:dyDescent="0.2">
      <c r="A12" s="1014"/>
      <c r="B12" s="1015"/>
      <c r="C12" s="1021"/>
      <c r="D12" s="1022"/>
      <c r="E12" s="2996"/>
      <c r="F12" s="2997"/>
      <c r="G12" s="3002">
        <v>180</v>
      </c>
      <c r="H12" s="3005" t="s">
        <v>1055</v>
      </c>
      <c r="I12" s="3006" t="s">
        <v>1056</v>
      </c>
      <c r="J12" s="1903">
        <v>1</v>
      </c>
      <c r="K12" s="1026"/>
      <c r="L12" s="3007">
        <v>102</v>
      </c>
      <c r="M12" s="2989" t="s">
        <v>1057</v>
      </c>
      <c r="N12" s="2683">
        <f>+(S12+S14)/O12</f>
        <v>0.95192307692307687</v>
      </c>
      <c r="O12" s="2987">
        <f>SUM(S12:S15)</f>
        <v>260000000</v>
      </c>
      <c r="P12" s="2989" t="s">
        <v>1058</v>
      </c>
      <c r="Q12" s="2014" t="s">
        <v>1059</v>
      </c>
      <c r="R12" s="2014" t="s">
        <v>1060</v>
      </c>
      <c r="S12" s="2991">
        <f>43500000+200000000</f>
        <v>243500000</v>
      </c>
      <c r="T12" s="3020" t="s">
        <v>146</v>
      </c>
      <c r="U12" s="3020" t="s">
        <v>1061</v>
      </c>
      <c r="V12" s="2993">
        <v>32074</v>
      </c>
      <c r="W12" s="2993">
        <v>16038</v>
      </c>
      <c r="X12" s="2993">
        <v>16037</v>
      </c>
      <c r="Y12" s="2993"/>
      <c r="Z12" s="2993"/>
      <c r="AA12" s="2993"/>
      <c r="AB12" s="2993"/>
      <c r="AC12" s="2993"/>
      <c r="AD12" s="2993"/>
      <c r="AE12" s="2993"/>
      <c r="AF12" s="2993"/>
      <c r="AG12" s="2993"/>
      <c r="AH12" s="3010">
        <v>42751</v>
      </c>
      <c r="AI12" s="3010">
        <v>43100</v>
      </c>
      <c r="AJ12" s="3012" t="s">
        <v>1062</v>
      </c>
    </row>
    <row r="13" spans="1:69" ht="51.75" customHeight="1" x14ac:dyDescent="0.2">
      <c r="A13" s="1014"/>
      <c r="B13" s="1015"/>
      <c r="C13" s="1021"/>
      <c r="D13" s="1022"/>
      <c r="E13" s="2998"/>
      <c r="F13" s="2999"/>
      <c r="G13" s="3003"/>
      <c r="H13" s="3005"/>
      <c r="I13" s="3006"/>
      <c r="J13" s="1904"/>
      <c r="K13" s="1026"/>
      <c r="L13" s="3008"/>
      <c r="M13" s="2989"/>
      <c r="N13" s="2684"/>
      <c r="O13" s="2988"/>
      <c r="P13" s="2989"/>
      <c r="Q13" s="2015"/>
      <c r="R13" s="2016"/>
      <c r="S13" s="2992"/>
      <c r="T13" s="3021"/>
      <c r="U13" s="3021"/>
      <c r="V13" s="2993"/>
      <c r="W13" s="2993"/>
      <c r="X13" s="2993"/>
      <c r="Y13" s="2993"/>
      <c r="Z13" s="2993"/>
      <c r="AA13" s="2993"/>
      <c r="AB13" s="2993"/>
      <c r="AC13" s="2993"/>
      <c r="AD13" s="2993"/>
      <c r="AE13" s="2993"/>
      <c r="AF13" s="2993"/>
      <c r="AG13" s="2993"/>
      <c r="AH13" s="3011"/>
      <c r="AI13" s="3011"/>
      <c r="AJ13" s="3012"/>
    </row>
    <row r="14" spans="1:69" ht="66.75" customHeight="1" x14ac:dyDescent="0.2">
      <c r="A14" s="1014"/>
      <c r="B14" s="1015"/>
      <c r="C14" s="1021"/>
      <c r="D14" s="1022"/>
      <c r="E14" s="2998"/>
      <c r="F14" s="2999"/>
      <c r="G14" s="3004"/>
      <c r="H14" s="3005"/>
      <c r="I14" s="3006"/>
      <c r="J14" s="2458"/>
      <c r="K14" s="1027" t="s">
        <v>1063</v>
      </c>
      <c r="L14" s="3008"/>
      <c r="M14" s="2989"/>
      <c r="N14" s="2685"/>
      <c r="O14" s="2988"/>
      <c r="P14" s="2989"/>
      <c r="Q14" s="2016"/>
      <c r="R14" s="21" t="s">
        <v>1064</v>
      </c>
      <c r="S14" s="1028">
        <v>4000000</v>
      </c>
      <c r="T14" s="3021"/>
      <c r="U14" s="3021"/>
      <c r="V14" s="2993"/>
      <c r="W14" s="2993"/>
      <c r="X14" s="2993"/>
      <c r="Y14" s="2993"/>
      <c r="Z14" s="2993"/>
      <c r="AA14" s="2993"/>
      <c r="AB14" s="2993"/>
      <c r="AC14" s="2993"/>
      <c r="AD14" s="2993"/>
      <c r="AE14" s="2993"/>
      <c r="AF14" s="2993"/>
      <c r="AG14" s="2993"/>
      <c r="AH14" s="3011"/>
      <c r="AI14" s="3011"/>
      <c r="AJ14" s="3012"/>
    </row>
    <row r="15" spans="1:69" ht="72.75" customHeight="1" x14ac:dyDescent="0.2">
      <c r="A15" s="1014"/>
      <c r="B15" s="1015"/>
      <c r="C15" s="1029"/>
      <c r="D15" s="1030"/>
      <c r="E15" s="3000"/>
      <c r="F15" s="3001"/>
      <c r="G15" s="1031">
        <v>181</v>
      </c>
      <c r="H15" s="1032" t="s">
        <v>1065</v>
      </c>
      <c r="I15" s="675" t="s">
        <v>1066</v>
      </c>
      <c r="J15" s="854">
        <v>6</v>
      </c>
      <c r="K15" s="1033" t="s">
        <v>1067</v>
      </c>
      <c r="L15" s="3009"/>
      <c r="M15" s="2990"/>
      <c r="N15" s="871">
        <f>+S15/O12</f>
        <v>4.807692307692308E-2</v>
      </c>
      <c r="O15" s="2988"/>
      <c r="P15" s="2990"/>
      <c r="Q15" s="1034" t="s">
        <v>1068</v>
      </c>
      <c r="R15" s="21" t="s">
        <v>1069</v>
      </c>
      <c r="S15" s="1028">
        <v>12500000</v>
      </c>
      <c r="T15" s="3022"/>
      <c r="U15" s="3022"/>
      <c r="V15" s="2994"/>
      <c r="W15" s="2994"/>
      <c r="X15" s="2994"/>
      <c r="Y15" s="2994"/>
      <c r="Z15" s="2994"/>
      <c r="AA15" s="2994"/>
      <c r="AB15" s="2994"/>
      <c r="AC15" s="2994"/>
      <c r="AD15" s="2994"/>
      <c r="AE15" s="2994"/>
      <c r="AF15" s="2994"/>
      <c r="AG15" s="2994"/>
      <c r="AH15" s="3011"/>
      <c r="AI15" s="3011"/>
      <c r="AJ15" s="3013"/>
    </row>
    <row r="16" spans="1:69" ht="15" x14ac:dyDescent="0.2">
      <c r="A16" s="1014"/>
      <c r="B16" s="1015"/>
      <c r="C16" s="1016">
        <v>17</v>
      </c>
      <c r="D16" s="1035" t="s">
        <v>1070</v>
      </c>
      <c r="E16" s="1036"/>
      <c r="F16" s="1036"/>
      <c r="G16" s="1036"/>
      <c r="H16" s="1036"/>
      <c r="I16" s="1036"/>
      <c r="J16" s="1036"/>
      <c r="K16" s="1036"/>
      <c r="L16" s="1036"/>
      <c r="M16" s="1036"/>
      <c r="N16" s="1036"/>
      <c r="O16" s="1036"/>
      <c r="P16" s="1036"/>
      <c r="Q16" s="1036"/>
      <c r="R16" s="1037"/>
      <c r="S16" s="1036"/>
      <c r="T16" s="1036"/>
      <c r="U16" s="1036"/>
      <c r="V16" s="1036"/>
      <c r="W16" s="1036"/>
      <c r="X16" s="1036"/>
      <c r="Y16" s="1036"/>
      <c r="Z16" s="1036"/>
      <c r="AA16" s="1036"/>
      <c r="AB16" s="1036"/>
      <c r="AC16" s="1036"/>
      <c r="AD16" s="1036"/>
      <c r="AE16" s="1036"/>
      <c r="AF16" s="1036"/>
      <c r="AG16" s="1036"/>
      <c r="AH16" s="1036"/>
      <c r="AI16" s="1036"/>
      <c r="AJ16" s="1038"/>
    </row>
    <row r="17" spans="1:36" ht="15" x14ac:dyDescent="0.2">
      <c r="A17" s="1014"/>
      <c r="B17" s="1015"/>
      <c r="C17" s="1039"/>
      <c r="D17" s="1040"/>
      <c r="E17" s="1041">
        <v>58</v>
      </c>
      <c r="F17" s="1042" t="s">
        <v>1071</v>
      </c>
      <c r="G17" s="1043"/>
      <c r="H17" s="1043"/>
      <c r="I17" s="1043"/>
      <c r="J17" s="1043"/>
      <c r="K17" s="1043"/>
      <c r="L17" s="1043"/>
      <c r="M17" s="1043"/>
      <c r="N17" s="1043"/>
      <c r="O17" s="1043"/>
      <c r="P17" s="1043"/>
      <c r="Q17" s="1043"/>
      <c r="R17" s="1044"/>
      <c r="S17" s="1043"/>
      <c r="T17" s="1043"/>
      <c r="U17" s="1043"/>
      <c r="V17" s="1043"/>
      <c r="W17" s="1043"/>
      <c r="X17" s="1043"/>
      <c r="Y17" s="1043"/>
      <c r="Z17" s="1043"/>
      <c r="AA17" s="1043"/>
      <c r="AB17" s="1043"/>
      <c r="AC17" s="1043"/>
      <c r="AD17" s="1043"/>
      <c r="AE17" s="1043"/>
      <c r="AF17" s="1043"/>
      <c r="AG17" s="1043"/>
      <c r="AH17" s="1043"/>
      <c r="AI17" s="1043"/>
      <c r="AJ17" s="1045"/>
    </row>
    <row r="18" spans="1:36" ht="76.5" customHeight="1" x14ac:dyDescent="0.2">
      <c r="A18" s="1014"/>
      <c r="B18" s="1015"/>
      <c r="C18" s="1039"/>
      <c r="D18" s="1040"/>
      <c r="E18" s="1046"/>
      <c r="F18" s="1047"/>
      <c r="G18" s="3014">
        <v>183</v>
      </c>
      <c r="H18" s="3015" t="s">
        <v>1072</v>
      </c>
      <c r="I18" s="3015" t="s">
        <v>1073</v>
      </c>
      <c r="J18" s="3016">
        <v>1</v>
      </c>
      <c r="K18" s="3018" t="s">
        <v>1074</v>
      </c>
      <c r="L18" s="3008">
        <v>103</v>
      </c>
      <c r="M18" s="2989" t="s">
        <v>1075</v>
      </c>
      <c r="N18" s="2684">
        <f>SUM(S18:S19)/O18</f>
        <v>1</v>
      </c>
      <c r="O18" s="2987">
        <f>SUM(S18:S19)</f>
        <v>180000000</v>
      </c>
      <c r="P18" s="2989" t="s">
        <v>1076</v>
      </c>
      <c r="Q18" s="23" t="s">
        <v>1077</v>
      </c>
      <c r="R18" s="669" t="s">
        <v>1078</v>
      </c>
      <c r="S18" s="1048">
        <v>154000000</v>
      </c>
      <c r="T18" s="3021">
        <v>20</v>
      </c>
      <c r="U18" s="3021" t="s">
        <v>51</v>
      </c>
      <c r="V18" s="2680">
        <v>19245</v>
      </c>
      <c r="W18" s="2680">
        <v>21667</v>
      </c>
      <c r="X18" s="2680">
        <v>8243</v>
      </c>
      <c r="Y18" s="2680">
        <v>38793</v>
      </c>
      <c r="Z18" s="2680">
        <v>58189</v>
      </c>
      <c r="AA18" s="2680">
        <v>24415</v>
      </c>
      <c r="AB18" s="2680"/>
      <c r="AC18" s="2680"/>
      <c r="AD18" s="2680"/>
      <c r="AE18" s="2680"/>
      <c r="AF18" s="2680"/>
      <c r="AG18" s="2680"/>
      <c r="AH18" s="3025">
        <v>42745</v>
      </c>
      <c r="AI18" s="3025">
        <v>43100</v>
      </c>
      <c r="AJ18" s="3012" t="s">
        <v>1062</v>
      </c>
    </row>
    <row r="19" spans="1:36" ht="74.25" customHeight="1" x14ac:dyDescent="0.2">
      <c r="A19" s="1014"/>
      <c r="B19" s="1015"/>
      <c r="C19" s="1039"/>
      <c r="D19" s="1040"/>
      <c r="E19" s="1039"/>
      <c r="F19" s="1040"/>
      <c r="G19" s="3014"/>
      <c r="H19" s="3015"/>
      <c r="I19" s="3015"/>
      <c r="J19" s="3017"/>
      <c r="K19" s="3019"/>
      <c r="L19" s="3008"/>
      <c r="M19" s="2989"/>
      <c r="N19" s="2684"/>
      <c r="O19" s="2988"/>
      <c r="P19" s="2989"/>
      <c r="Q19" s="23" t="s">
        <v>1079</v>
      </c>
      <c r="R19" s="668" t="s">
        <v>1080</v>
      </c>
      <c r="S19" s="1049">
        <v>26000000</v>
      </c>
      <c r="T19" s="3021"/>
      <c r="U19" s="3021"/>
      <c r="V19" s="2682"/>
      <c r="W19" s="2682"/>
      <c r="X19" s="2682"/>
      <c r="Y19" s="2682"/>
      <c r="Z19" s="2682"/>
      <c r="AA19" s="2682"/>
      <c r="AB19" s="2682"/>
      <c r="AC19" s="2682"/>
      <c r="AD19" s="2682"/>
      <c r="AE19" s="2682"/>
      <c r="AF19" s="2682"/>
      <c r="AG19" s="2682"/>
      <c r="AH19" s="3026"/>
      <c r="AI19" s="3026"/>
      <c r="AJ19" s="3012"/>
    </row>
    <row r="20" spans="1:36" ht="20.25" customHeight="1" x14ac:dyDescent="0.2">
      <c r="A20" s="1014"/>
      <c r="B20" s="1015"/>
      <c r="C20" s="1039"/>
      <c r="D20" s="1040"/>
      <c r="E20" s="1050">
        <v>59</v>
      </c>
      <c r="F20" s="1051" t="s">
        <v>1081</v>
      </c>
      <c r="G20" s="1052"/>
      <c r="H20" s="1052"/>
      <c r="I20" s="1052"/>
      <c r="J20" s="1052"/>
      <c r="K20" s="1052"/>
      <c r="L20" s="1052"/>
      <c r="M20" s="1052"/>
      <c r="N20" s="1052"/>
      <c r="O20" s="1052"/>
      <c r="P20" s="1052"/>
      <c r="Q20" s="1052"/>
      <c r="R20" s="1053"/>
      <c r="S20" s="1052"/>
      <c r="T20" s="1052"/>
      <c r="U20" s="1052"/>
      <c r="V20" s="1052"/>
      <c r="W20" s="1052"/>
      <c r="X20" s="1052"/>
      <c r="Y20" s="1052"/>
      <c r="Z20" s="1052"/>
      <c r="AA20" s="1052"/>
      <c r="AB20" s="1052"/>
      <c r="AC20" s="1052"/>
      <c r="AD20" s="1052"/>
      <c r="AE20" s="1052"/>
      <c r="AF20" s="1052"/>
      <c r="AG20" s="1052"/>
      <c r="AH20" s="1052"/>
      <c r="AI20" s="1052"/>
      <c r="AJ20" s="1054"/>
    </row>
    <row r="21" spans="1:36" ht="50.25" customHeight="1" x14ac:dyDescent="0.2">
      <c r="A21" s="1014"/>
      <c r="B21" s="1015"/>
      <c r="C21" s="1039"/>
      <c r="D21" s="1040"/>
      <c r="E21" s="1055"/>
      <c r="F21" s="1056"/>
      <c r="G21" s="2745">
        <v>184</v>
      </c>
      <c r="H21" s="3023" t="s">
        <v>1082</v>
      </c>
      <c r="I21" s="1903" t="s">
        <v>1083</v>
      </c>
      <c r="J21" s="2719">
        <v>1</v>
      </c>
      <c r="K21" s="1057"/>
      <c r="L21" s="3007">
        <v>109</v>
      </c>
      <c r="M21" s="3005" t="s">
        <v>1084</v>
      </c>
      <c r="N21" s="2683">
        <f>SUM(S21:S23)/O21</f>
        <v>0.9042553191489362</v>
      </c>
      <c r="O21" s="2988">
        <f>SUM(S21:S25)</f>
        <v>470000000</v>
      </c>
      <c r="P21" s="3024" t="s">
        <v>1076</v>
      </c>
      <c r="Q21" s="1873" t="s">
        <v>1085</v>
      </c>
      <c r="R21" s="2014" t="s">
        <v>1086</v>
      </c>
      <c r="S21" s="2991">
        <v>123000000</v>
      </c>
      <c r="T21" s="3020" t="s">
        <v>146</v>
      </c>
      <c r="U21" s="3020" t="s">
        <v>1061</v>
      </c>
      <c r="V21" s="2993">
        <v>32074</v>
      </c>
      <c r="W21" s="2993">
        <v>36113</v>
      </c>
      <c r="X21" s="2993">
        <v>13738</v>
      </c>
      <c r="Y21" s="2993"/>
      <c r="Z21" s="2993"/>
      <c r="AA21" s="2993"/>
      <c r="AB21" s="2993"/>
      <c r="AC21" s="2993"/>
      <c r="AD21" s="2993"/>
      <c r="AE21" s="2993"/>
      <c r="AF21" s="2993"/>
      <c r="AG21" s="2993"/>
      <c r="AH21" s="3026">
        <v>42736</v>
      </c>
      <c r="AI21" s="3026">
        <v>43100</v>
      </c>
      <c r="AJ21" s="3027" t="s">
        <v>1062</v>
      </c>
    </row>
    <row r="22" spans="1:36" ht="36" customHeight="1" x14ac:dyDescent="0.2">
      <c r="A22" s="1014"/>
      <c r="B22" s="1015"/>
      <c r="C22" s="1039"/>
      <c r="D22" s="1040"/>
      <c r="E22" s="1055"/>
      <c r="F22" s="1056"/>
      <c r="G22" s="2746"/>
      <c r="H22" s="3015"/>
      <c r="I22" s="1904"/>
      <c r="J22" s="2720"/>
      <c r="K22" s="1026"/>
      <c r="L22" s="3008"/>
      <c r="M22" s="3005"/>
      <c r="N22" s="2684"/>
      <c r="O22" s="2988"/>
      <c r="P22" s="2989"/>
      <c r="Q22" s="1874"/>
      <c r="R22" s="2016"/>
      <c r="S22" s="2992"/>
      <c r="T22" s="3021"/>
      <c r="U22" s="3021"/>
      <c r="V22" s="2993"/>
      <c r="W22" s="2993"/>
      <c r="X22" s="2993"/>
      <c r="Y22" s="2993"/>
      <c r="Z22" s="2993"/>
      <c r="AA22" s="2993"/>
      <c r="AB22" s="2993"/>
      <c r="AC22" s="2993"/>
      <c r="AD22" s="2993"/>
      <c r="AE22" s="2993"/>
      <c r="AF22" s="2993"/>
      <c r="AG22" s="2993"/>
      <c r="AH22" s="3026"/>
      <c r="AI22" s="3026"/>
      <c r="AJ22" s="3027"/>
    </row>
    <row r="23" spans="1:36" ht="47.25" customHeight="1" x14ac:dyDescent="0.2">
      <c r="A23" s="1014"/>
      <c r="B23" s="1015"/>
      <c r="C23" s="1039"/>
      <c r="D23" s="1040"/>
      <c r="E23" s="1055"/>
      <c r="F23" s="1056"/>
      <c r="G23" s="2746"/>
      <c r="H23" s="3015"/>
      <c r="I23" s="1904"/>
      <c r="J23" s="2720"/>
      <c r="K23" s="1026" t="s">
        <v>1087</v>
      </c>
      <c r="L23" s="3008"/>
      <c r="M23" s="3005"/>
      <c r="N23" s="2684"/>
      <c r="O23" s="2988"/>
      <c r="P23" s="2989"/>
      <c r="Q23" s="1875"/>
      <c r="R23" s="21" t="s">
        <v>1088</v>
      </c>
      <c r="S23" s="1028">
        <f>2000000+300000000</f>
        <v>302000000</v>
      </c>
      <c r="T23" s="3021"/>
      <c r="U23" s="3021"/>
      <c r="V23" s="2993"/>
      <c r="W23" s="2993"/>
      <c r="X23" s="2993"/>
      <c r="Y23" s="2993"/>
      <c r="Z23" s="2993"/>
      <c r="AA23" s="2993"/>
      <c r="AB23" s="2993"/>
      <c r="AC23" s="2993"/>
      <c r="AD23" s="2993"/>
      <c r="AE23" s="2993"/>
      <c r="AF23" s="2993"/>
      <c r="AG23" s="2993"/>
      <c r="AH23" s="3026"/>
      <c r="AI23" s="3026"/>
      <c r="AJ23" s="3027"/>
    </row>
    <row r="24" spans="1:36" ht="76.5" customHeight="1" x14ac:dyDescent="0.2">
      <c r="A24" s="1014"/>
      <c r="B24" s="1015"/>
      <c r="C24" s="1039"/>
      <c r="D24" s="1040"/>
      <c r="E24" s="1055"/>
      <c r="F24" s="1056"/>
      <c r="G24" s="1058">
        <v>185</v>
      </c>
      <c r="H24" s="306" t="s">
        <v>1089</v>
      </c>
      <c r="I24" s="45" t="s">
        <v>1090</v>
      </c>
      <c r="J24" s="870">
        <v>1</v>
      </c>
      <c r="K24" s="1026" t="s">
        <v>1091</v>
      </c>
      <c r="L24" s="3008"/>
      <c r="M24" s="3005"/>
      <c r="N24" s="871">
        <f>S24/O21</f>
        <v>3.5106382978723406E-2</v>
      </c>
      <c r="O24" s="2988"/>
      <c r="P24" s="2989"/>
      <c r="Q24" s="20" t="s">
        <v>1092</v>
      </c>
      <c r="R24" s="21" t="s">
        <v>1089</v>
      </c>
      <c r="S24" s="1028">
        <v>16500000</v>
      </c>
      <c r="T24" s="3021"/>
      <c r="U24" s="3021"/>
      <c r="V24" s="2993"/>
      <c r="W24" s="2993"/>
      <c r="X24" s="2993"/>
      <c r="Y24" s="2993"/>
      <c r="Z24" s="2993"/>
      <c r="AA24" s="2993"/>
      <c r="AB24" s="2993"/>
      <c r="AC24" s="2993"/>
      <c r="AD24" s="2993"/>
      <c r="AE24" s="2993"/>
      <c r="AF24" s="2993"/>
      <c r="AG24" s="2993"/>
      <c r="AH24" s="3026"/>
      <c r="AI24" s="3026"/>
      <c r="AJ24" s="3027"/>
    </row>
    <row r="25" spans="1:36" ht="140.25" customHeight="1" x14ac:dyDescent="0.2">
      <c r="A25" s="1014"/>
      <c r="B25" s="1015"/>
      <c r="C25" s="1039"/>
      <c r="D25" s="1040"/>
      <c r="E25" s="1055"/>
      <c r="F25" s="1056"/>
      <c r="G25" s="1059">
        <v>186</v>
      </c>
      <c r="H25" s="1060" t="s">
        <v>1093</v>
      </c>
      <c r="I25" s="665" t="s">
        <v>1094</v>
      </c>
      <c r="J25" s="886">
        <v>1</v>
      </c>
      <c r="K25" s="1026"/>
      <c r="L25" s="3008"/>
      <c r="M25" s="3005"/>
      <c r="N25" s="871">
        <f>S25/O21</f>
        <v>6.0638297872340423E-2</v>
      </c>
      <c r="O25" s="2988"/>
      <c r="P25" s="2989"/>
      <c r="Q25" s="1061" t="s">
        <v>1095</v>
      </c>
      <c r="R25" s="1062" t="s">
        <v>1096</v>
      </c>
      <c r="S25" s="1028">
        <v>28500000</v>
      </c>
      <c r="T25" s="3021"/>
      <c r="U25" s="3021"/>
      <c r="V25" s="2994"/>
      <c r="W25" s="2994"/>
      <c r="X25" s="2994"/>
      <c r="Y25" s="2994"/>
      <c r="Z25" s="2994"/>
      <c r="AA25" s="2994"/>
      <c r="AB25" s="2994"/>
      <c r="AC25" s="2994"/>
      <c r="AD25" s="2994"/>
      <c r="AE25" s="2994"/>
      <c r="AF25" s="2994"/>
      <c r="AG25" s="2994"/>
      <c r="AH25" s="3030"/>
      <c r="AI25" s="3030"/>
      <c r="AJ25" s="3027"/>
    </row>
    <row r="26" spans="1:36" ht="37.5" customHeight="1" x14ac:dyDescent="0.2">
      <c r="A26" s="1014"/>
      <c r="B26" s="1015"/>
      <c r="C26" s="1039"/>
      <c r="D26" s="1040"/>
      <c r="E26" s="1063">
        <v>60</v>
      </c>
      <c r="F26" s="1064" t="s">
        <v>1097</v>
      </c>
      <c r="G26" s="1065"/>
      <c r="H26" s="1065"/>
      <c r="I26" s="1065"/>
      <c r="J26" s="1065"/>
      <c r="K26" s="1065"/>
      <c r="L26" s="1065"/>
      <c r="M26" s="1065"/>
      <c r="N26" s="1065"/>
      <c r="O26" s="1065"/>
      <c r="P26" s="1065"/>
      <c r="Q26" s="1065"/>
      <c r="R26" s="1066"/>
      <c r="S26" s="1065"/>
      <c r="T26" s="1065"/>
      <c r="U26" s="1065"/>
      <c r="V26" s="1065"/>
      <c r="W26" s="1065"/>
      <c r="X26" s="1065"/>
      <c r="Y26" s="1065"/>
      <c r="Z26" s="1065"/>
      <c r="AA26" s="1065"/>
      <c r="AB26" s="1065"/>
      <c r="AC26" s="1065"/>
      <c r="AD26" s="1065"/>
      <c r="AE26" s="1065"/>
      <c r="AF26" s="1065"/>
      <c r="AG26" s="1065"/>
      <c r="AH26" s="1065"/>
      <c r="AI26" s="1065"/>
      <c r="AJ26" s="1067"/>
    </row>
    <row r="27" spans="1:36" s="725" customFormat="1" ht="92.25" customHeight="1" x14ac:dyDescent="0.2">
      <c r="A27" s="1068"/>
      <c r="B27" s="1022"/>
      <c r="C27" s="19"/>
      <c r="D27" s="867"/>
      <c r="E27" s="1069"/>
      <c r="F27" s="866"/>
      <c r="G27" s="1070">
        <v>187</v>
      </c>
      <c r="H27" s="1071" t="s">
        <v>1098</v>
      </c>
      <c r="I27" s="698" t="s">
        <v>1099</v>
      </c>
      <c r="J27" s="1072">
        <v>1</v>
      </c>
      <c r="K27" s="1026"/>
      <c r="L27" s="3028">
        <v>110</v>
      </c>
      <c r="M27" s="2989" t="s">
        <v>1100</v>
      </c>
      <c r="N27" s="1073">
        <f>S27/O27</f>
        <v>0.1521875</v>
      </c>
      <c r="O27" s="2987">
        <f>SUM(S27:S30)</f>
        <v>160000000</v>
      </c>
      <c r="P27" s="2989" t="s">
        <v>1076</v>
      </c>
      <c r="Q27" s="698" t="s">
        <v>1101</v>
      </c>
      <c r="R27" s="698" t="s">
        <v>1102</v>
      </c>
      <c r="S27" s="1074">
        <v>24350000</v>
      </c>
      <c r="T27" s="3021" t="s">
        <v>146</v>
      </c>
      <c r="U27" s="3021" t="s">
        <v>1061</v>
      </c>
      <c r="V27" s="3029"/>
      <c r="W27" s="3029"/>
      <c r="X27" s="3029">
        <v>27447</v>
      </c>
      <c r="Y27" s="3029">
        <v>86600</v>
      </c>
      <c r="Z27" s="3029"/>
      <c r="AA27" s="3029"/>
      <c r="AB27" s="3029">
        <v>170</v>
      </c>
      <c r="AC27" s="3029">
        <v>103</v>
      </c>
      <c r="AD27" s="3029"/>
      <c r="AE27" s="3029"/>
      <c r="AF27" s="3029"/>
      <c r="AG27" s="3029"/>
      <c r="AH27" s="3025">
        <v>42736</v>
      </c>
      <c r="AI27" s="3025">
        <v>43100</v>
      </c>
      <c r="AJ27" s="3013" t="s">
        <v>1062</v>
      </c>
    </row>
    <row r="28" spans="1:36" s="725" customFormat="1" ht="92.25" customHeight="1" x14ac:dyDescent="0.2">
      <c r="A28" s="1068"/>
      <c r="B28" s="1022"/>
      <c r="C28" s="19"/>
      <c r="D28" s="867"/>
      <c r="E28" s="19"/>
      <c r="F28" s="867"/>
      <c r="G28" s="1070">
        <v>188</v>
      </c>
      <c r="H28" s="1075" t="s">
        <v>1103</v>
      </c>
      <c r="I28" s="23" t="s">
        <v>1104</v>
      </c>
      <c r="J28" s="1072">
        <v>2</v>
      </c>
      <c r="K28" s="1026" t="s">
        <v>1105</v>
      </c>
      <c r="L28" s="3028"/>
      <c r="M28" s="2989"/>
      <c r="N28" s="1073">
        <f>S28/O27</f>
        <v>0.1978125</v>
      </c>
      <c r="O28" s="2988"/>
      <c r="P28" s="2989"/>
      <c r="Q28" s="1076" t="s">
        <v>1103</v>
      </c>
      <c r="R28" s="21" t="s">
        <v>1106</v>
      </c>
      <c r="S28" s="1074">
        <v>31650000</v>
      </c>
      <c r="T28" s="3021"/>
      <c r="U28" s="3021"/>
      <c r="V28" s="3029"/>
      <c r="W28" s="3029"/>
      <c r="X28" s="3029"/>
      <c r="Y28" s="3029"/>
      <c r="Z28" s="3029"/>
      <c r="AA28" s="3029"/>
      <c r="AB28" s="3029"/>
      <c r="AC28" s="3029"/>
      <c r="AD28" s="3029"/>
      <c r="AE28" s="3029"/>
      <c r="AF28" s="3029"/>
      <c r="AG28" s="3029"/>
      <c r="AH28" s="3030"/>
      <c r="AI28" s="3030"/>
      <c r="AJ28" s="3027"/>
    </row>
    <row r="29" spans="1:36" s="725" customFormat="1" ht="69.75" customHeight="1" x14ac:dyDescent="0.2">
      <c r="A29" s="1068"/>
      <c r="B29" s="1022"/>
      <c r="C29" s="19"/>
      <c r="D29" s="867"/>
      <c r="E29" s="19"/>
      <c r="F29" s="867"/>
      <c r="G29" s="2745">
        <v>189</v>
      </c>
      <c r="H29" s="3020" t="s">
        <v>1107</v>
      </c>
      <c r="I29" s="1903" t="s">
        <v>1108</v>
      </c>
      <c r="J29" s="2719">
        <v>1</v>
      </c>
      <c r="K29" s="1026" t="s">
        <v>1109</v>
      </c>
      <c r="L29" s="3028"/>
      <c r="M29" s="2989"/>
      <c r="N29" s="2684">
        <f>(S29+S30)/O27</f>
        <v>0.65</v>
      </c>
      <c r="O29" s="2988"/>
      <c r="P29" s="2989"/>
      <c r="Q29" s="3006" t="s">
        <v>1110</v>
      </c>
      <c r="R29" s="52" t="s">
        <v>1111</v>
      </c>
      <c r="S29" s="1074">
        <f>25000000+60000000+2049084</f>
        <v>87049084</v>
      </c>
      <c r="T29" s="3021"/>
      <c r="U29" s="3021"/>
      <c r="V29" s="3029"/>
      <c r="W29" s="3029"/>
      <c r="X29" s="3029"/>
      <c r="Y29" s="3029"/>
      <c r="Z29" s="3029"/>
      <c r="AA29" s="3029"/>
      <c r="AB29" s="3029"/>
      <c r="AC29" s="3029"/>
      <c r="AD29" s="3029"/>
      <c r="AE29" s="3029"/>
      <c r="AF29" s="3029"/>
      <c r="AG29" s="3029"/>
      <c r="AH29" s="3030"/>
      <c r="AI29" s="3030"/>
      <c r="AJ29" s="3027"/>
    </row>
    <row r="30" spans="1:36" ht="53.25" customHeight="1" x14ac:dyDescent="0.2">
      <c r="A30" s="1014"/>
      <c r="B30" s="1015"/>
      <c r="C30" s="1039"/>
      <c r="D30" s="1040"/>
      <c r="E30" s="1039"/>
      <c r="F30" s="1040"/>
      <c r="G30" s="2747"/>
      <c r="H30" s="3022"/>
      <c r="I30" s="2458"/>
      <c r="J30" s="2721"/>
      <c r="K30" s="1026"/>
      <c r="L30" s="3028"/>
      <c r="M30" s="2989"/>
      <c r="N30" s="2685"/>
      <c r="O30" s="2988"/>
      <c r="P30" s="2989"/>
      <c r="Q30" s="3006"/>
      <c r="R30" s="45" t="s">
        <v>1112</v>
      </c>
      <c r="S30" s="1074">
        <f>19000000-2049084</f>
        <v>16950916</v>
      </c>
      <c r="T30" s="3021"/>
      <c r="U30" s="3021"/>
      <c r="V30" s="3029"/>
      <c r="W30" s="3029"/>
      <c r="X30" s="3029"/>
      <c r="Y30" s="3029"/>
      <c r="Z30" s="3029"/>
      <c r="AA30" s="3029"/>
      <c r="AB30" s="3029"/>
      <c r="AC30" s="3029"/>
      <c r="AD30" s="3029"/>
      <c r="AE30" s="3029"/>
      <c r="AF30" s="3029"/>
      <c r="AG30" s="3029"/>
      <c r="AH30" s="3030"/>
      <c r="AI30" s="3030"/>
      <c r="AJ30" s="3027"/>
    </row>
    <row r="31" spans="1:36" ht="34.5" customHeight="1" x14ac:dyDescent="0.2">
      <c r="A31" s="1014"/>
      <c r="B31" s="1015"/>
      <c r="C31" s="1039"/>
      <c r="D31" s="1040"/>
      <c r="E31" s="653">
        <v>61</v>
      </c>
      <c r="F31" s="1064" t="s">
        <v>1113</v>
      </c>
      <c r="G31" s="1065"/>
      <c r="H31" s="1065"/>
      <c r="I31" s="1065"/>
      <c r="J31" s="1065"/>
      <c r="K31" s="1065"/>
      <c r="L31" s="1065"/>
      <c r="M31" s="1065"/>
      <c r="N31" s="1065"/>
      <c r="O31" s="1065"/>
      <c r="P31" s="1065"/>
      <c r="Q31" s="1065"/>
      <c r="R31" s="1066"/>
      <c r="S31" s="1065"/>
      <c r="T31" s="1065"/>
      <c r="U31" s="1065"/>
      <c r="V31" s="1065"/>
      <c r="W31" s="1065"/>
      <c r="X31" s="1065"/>
      <c r="Y31" s="1065"/>
      <c r="Z31" s="1065"/>
      <c r="AA31" s="1065"/>
      <c r="AB31" s="1065"/>
      <c r="AC31" s="1065"/>
      <c r="AD31" s="1065"/>
      <c r="AE31" s="1065"/>
      <c r="AF31" s="1065"/>
      <c r="AG31" s="1065"/>
      <c r="AH31" s="1065"/>
      <c r="AI31" s="1065"/>
      <c r="AJ31" s="1077"/>
    </row>
    <row r="32" spans="1:36" ht="78" customHeight="1" x14ac:dyDescent="0.2">
      <c r="A32" s="1014"/>
      <c r="B32" s="1015"/>
      <c r="C32" s="1039"/>
      <c r="D32" s="1040"/>
      <c r="E32" s="1046"/>
      <c r="F32" s="1040"/>
      <c r="G32" s="2745">
        <v>190</v>
      </c>
      <c r="H32" s="3023" t="s">
        <v>1114</v>
      </c>
      <c r="I32" s="3023" t="s">
        <v>1115</v>
      </c>
      <c r="J32" s="3032">
        <v>1</v>
      </c>
      <c r="K32" s="1057"/>
      <c r="L32" s="3035">
        <v>114</v>
      </c>
      <c r="M32" s="3024" t="s">
        <v>1116</v>
      </c>
      <c r="N32" s="2683">
        <f>SUM(S32:S37)/O32</f>
        <v>1</v>
      </c>
      <c r="O32" s="3037">
        <f>SUM(S32:S37)</f>
        <v>190000000</v>
      </c>
      <c r="P32" s="3055" t="s">
        <v>1076</v>
      </c>
      <c r="Q32" s="1908" t="s">
        <v>1117</v>
      </c>
      <c r="R32" s="1078" t="s">
        <v>1118</v>
      </c>
      <c r="S32" s="1079">
        <v>17000000</v>
      </c>
      <c r="T32" s="3020">
        <v>20</v>
      </c>
      <c r="U32" s="3020" t="s">
        <v>51</v>
      </c>
      <c r="V32" s="3041">
        <v>137</v>
      </c>
      <c r="W32" s="3041">
        <v>1365</v>
      </c>
      <c r="X32" s="3041">
        <v>2122</v>
      </c>
      <c r="Y32" s="3041">
        <v>5382</v>
      </c>
      <c r="Z32" s="3041">
        <v>7891</v>
      </c>
      <c r="AA32" s="3041"/>
      <c r="AB32" s="3041">
        <v>6</v>
      </c>
      <c r="AC32" s="3041">
        <v>7</v>
      </c>
      <c r="AD32" s="3041"/>
      <c r="AE32" s="3041"/>
      <c r="AF32" s="3041">
        <v>16910</v>
      </c>
      <c r="AG32" s="3041"/>
      <c r="AH32" s="3053">
        <v>42736</v>
      </c>
      <c r="AI32" s="3051">
        <v>43100</v>
      </c>
      <c r="AJ32" s="3027" t="s">
        <v>1062</v>
      </c>
    </row>
    <row r="33" spans="1:36" ht="63" customHeight="1" x14ac:dyDescent="0.2">
      <c r="A33" s="1014"/>
      <c r="B33" s="1015"/>
      <c r="C33" s="1039"/>
      <c r="D33" s="1040"/>
      <c r="E33" s="1039"/>
      <c r="F33" s="1040"/>
      <c r="G33" s="2746"/>
      <c r="H33" s="3015"/>
      <c r="I33" s="3015"/>
      <c r="J33" s="3033"/>
      <c r="K33" s="1026"/>
      <c r="L33" s="3028"/>
      <c r="M33" s="2989"/>
      <c r="N33" s="2684"/>
      <c r="O33" s="3038"/>
      <c r="P33" s="3056"/>
      <c r="Q33" s="1908"/>
      <c r="R33" s="45" t="s">
        <v>1119</v>
      </c>
      <c r="S33" s="1079">
        <v>49000000</v>
      </c>
      <c r="T33" s="3021"/>
      <c r="U33" s="3021"/>
      <c r="V33" s="3042"/>
      <c r="W33" s="3042"/>
      <c r="X33" s="3042"/>
      <c r="Y33" s="3042"/>
      <c r="Z33" s="3042"/>
      <c r="AA33" s="3042"/>
      <c r="AB33" s="3042"/>
      <c r="AC33" s="3042"/>
      <c r="AD33" s="3042"/>
      <c r="AE33" s="3042"/>
      <c r="AF33" s="3042"/>
      <c r="AG33" s="3042"/>
      <c r="AH33" s="3054"/>
      <c r="AI33" s="3052"/>
      <c r="AJ33" s="3027"/>
    </row>
    <row r="34" spans="1:36" ht="63" customHeight="1" x14ac:dyDescent="0.2">
      <c r="A34" s="1014"/>
      <c r="B34" s="1015"/>
      <c r="C34" s="1039"/>
      <c r="D34" s="1040"/>
      <c r="E34" s="1039"/>
      <c r="F34" s="1040"/>
      <c r="G34" s="2746"/>
      <c r="H34" s="3015"/>
      <c r="I34" s="3015"/>
      <c r="J34" s="3033"/>
      <c r="K34" s="1026" t="s">
        <v>1120</v>
      </c>
      <c r="L34" s="3028"/>
      <c r="M34" s="2989"/>
      <c r="N34" s="2684"/>
      <c r="O34" s="3038"/>
      <c r="P34" s="3056"/>
      <c r="Q34" s="1908"/>
      <c r="R34" s="45" t="s">
        <v>1121</v>
      </c>
      <c r="S34" s="1079">
        <v>5000000</v>
      </c>
      <c r="T34" s="3021"/>
      <c r="U34" s="3021"/>
      <c r="V34" s="3042"/>
      <c r="W34" s="3042"/>
      <c r="X34" s="3042"/>
      <c r="Y34" s="3042"/>
      <c r="Z34" s="3042"/>
      <c r="AA34" s="3042"/>
      <c r="AB34" s="3042"/>
      <c r="AC34" s="3042"/>
      <c r="AD34" s="3042"/>
      <c r="AE34" s="3042"/>
      <c r="AF34" s="3042"/>
      <c r="AG34" s="3042"/>
      <c r="AH34" s="3054"/>
      <c r="AI34" s="3052"/>
      <c r="AJ34" s="3027"/>
    </row>
    <row r="35" spans="1:36" ht="54" customHeight="1" x14ac:dyDescent="0.2">
      <c r="A35" s="1014"/>
      <c r="B35" s="1015"/>
      <c r="C35" s="1039"/>
      <c r="D35" s="1040"/>
      <c r="E35" s="1039"/>
      <c r="F35" s="1040"/>
      <c r="G35" s="2746"/>
      <c r="H35" s="3015"/>
      <c r="I35" s="3015"/>
      <c r="J35" s="3033"/>
      <c r="K35" s="1026"/>
      <c r="L35" s="3028"/>
      <c r="M35" s="2989"/>
      <c r="N35" s="2684"/>
      <c r="O35" s="3038"/>
      <c r="P35" s="3056"/>
      <c r="Q35" s="1908" t="s">
        <v>1122</v>
      </c>
      <c r="R35" s="673" t="s">
        <v>1123</v>
      </c>
      <c r="S35" s="1080">
        <v>65000000</v>
      </c>
      <c r="T35" s="3021"/>
      <c r="U35" s="3021"/>
      <c r="V35" s="3042"/>
      <c r="W35" s="3042"/>
      <c r="X35" s="3042"/>
      <c r="Y35" s="3042"/>
      <c r="Z35" s="3042"/>
      <c r="AA35" s="3042"/>
      <c r="AB35" s="3042"/>
      <c r="AC35" s="3042"/>
      <c r="AD35" s="3042"/>
      <c r="AE35" s="3042"/>
      <c r="AF35" s="3042"/>
      <c r="AG35" s="3042"/>
      <c r="AH35" s="3054"/>
      <c r="AI35" s="3052"/>
      <c r="AJ35" s="3027"/>
    </row>
    <row r="36" spans="1:36" ht="46.5" customHeight="1" x14ac:dyDescent="0.2">
      <c r="A36" s="1014"/>
      <c r="B36" s="1015"/>
      <c r="C36" s="1039"/>
      <c r="D36" s="1040"/>
      <c r="E36" s="1039"/>
      <c r="F36" s="1040"/>
      <c r="G36" s="2746"/>
      <c r="H36" s="3015"/>
      <c r="I36" s="3015"/>
      <c r="J36" s="3033"/>
      <c r="K36" s="1026"/>
      <c r="L36" s="3028"/>
      <c r="M36" s="2989"/>
      <c r="N36" s="2684"/>
      <c r="O36" s="3038"/>
      <c r="P36" s="3056"/>
      <c r="Q36" s="1908"/>
      <c r="R36" s="1078" t="s">
        <v>1124</v>
      </c>
      <c r="S36" s="1079">
        <v>24000000</v>
      </c>
      <c r="T36" s="3021"/>
      <c r="U36" s="3021"/>
      <c r="V36" s="3042"/>
      <c r="W36" s="3042"/>
      <c r="X36" s="3042"/>
      <c r="Y36" s="3042"/>
      <c r="Z36" s="3042"/>
      <c r="AA36" s="3042"/>
      <c r="AB36" s="3042"/>
      <c r="AC36" s="3042"/>
      <c r="AD36" s="3042"/>
      <c r="AE36" s="3042"/>
      <c r="AF36" s="3042"/>
      <c r="AG36" s="3042"/>
      <c r="AH36" s="3054"/>
      <c r="AI36" s="3052"/>
      <c r="AJ36" s="3027"/>
    </row>
    <row r="37" spans="1:36" ht="46.5" customHeight="1" x14ac:dyDescent="0.2">
      <c r="A37" s="1014"/>
      <c r="B37" s="1015"/>
      <c r="C37" s="1039"/>
      <c r="D37" s="1040"/>
      <c r="E37" s="1039"/>
      <c r="F37" s="1040"/>
      <c r="G37" s="2747"/>
      <c r="H37" s="3031"/>
      <c r="I37" s="3031"/>
      <c r="J37" s="3034"/>
      <c r="K37" s="1081"/>
      <c r="L37" s="3036"/>
      <c r="M37" s="2990"/>
      <c r="N37" s="2685"/>
      <c r="O37" s="2987"/>
      <c r="P37" s="3057"/>
      <c r="Q37" s="1908"/>
      <c r="R37" s="1082" t="s">
        <v>1125</v>
      </c>
      <c r="S37" s="1079">
        <v>30000000</v>
      </c>
      <c r="T37" s="3022"/>
      <c r="U37" s="3022"/>
      <c r="V37" s="3043"/>
      <c r="W37" s="3043"/>
      <c r="X37" s="3043"/>
      <c r="Y37" s="3043"/>
      <c r="Z37" s="3043"/>
      <c r="AA37" s="3043"/>
      <c r="AB37" s="3043"/>
      <c r="AC37" s="3043"/>
      <c r="AD37" s="3043"/>
      <c r="AE37" s="3043"/>
      <c r="AF37" s="3043"/>
      <c r="AG37" s="3043"/>
      <c r="AH37" s="3054"/>
      <c r="AI37" s="3052"/>
      <c r="AJ37" s="3027"/>
    </row>
    <row r="38" spans="1:36" s="1086" customFormat="1" ht="37.5" customHeight="1" x14ac:dyDescent="0.25">
      <c r="A38" s="1014"/>
      <c r="B38" s="1015"/>
      <c r="C38" s="1083">
        <v>18</v>
      </c>
      <c r="D38" s="1084" t="s">
        <v>1126</v>
      </c>
      <c r="E38" s="1018"/>
      <c r="F38" s="1018"/>
      <c r="G38" s="1018"/>
      <c r="H38" s="1018"/>
      <c r="I38" s="1018"/>
      <c r="J38" s="1018"/>
      <c r="K38" s="1018"/>
      <c r="L38" s="1018"/>
      <c r="M38" s="1018"/>
      <c r="N38" s="1018"/>
      <c r="O38" s="1018"/>
      <c r="P38" s="1018"/>
      <c r="Q38" s="1018"/>
      <c r="R38" s="1019"/>
      <c r="S38" s="1019"/>
      <c r="T38" s="1018"/>
      <c r="U38" s="1018"/>
      <c r="V38" s="1018"/>
      <c r="W38" s="1018"/>
      <c r="X38" s="1018"/>
      <c r="Y38" s="1018"/>
      <c r="Z38" s="1018"/>
      <c r="AA38" s="1018"/>
      <c r="AB38" s="1018"/>
      <c r="AC38" s="1018"/>
      <c r="AD38" s="1018"/>
      <c r="AE38" s="1018"/>
      <c r="AF38" s="1018"/>
      <c r="AG38" s="1018"/>
      <c r="AH38" s="1018"/>
      <c r="AI38" s="1018"/>
      <c r="AJ38" s="1085"/>
    </row>
    <row r="39" spans="1:36" ht="31.5" customHeight="1" x14ac:dyDescent="0.2">
      <c r="A39" s="1014"/>
      <c r="B39" s="1015"/>
      <c r="C39" s="1039"/>
      <c r="D39" s="1040"/>
      <c r="E39" s="653">
        <v>62</v>
      </c>
      <c r="F39" s="1087" t="s">
        <v>1127</v>
      </c>
      <c r="G39" s="1087"/>
      <c r="H39" s="1087"/>
      <c r="I39" s="1087"/>
      <c r="J39" s="1087"/>
      <c r="K39" s="1088"/>
      <c r="L39" s="1088"/>
      <c r="M39" s="1088"/>
      <c r="N39" s="1088"/>
      <c r="O39" s="1088"/>
      <c r="P39" s="1088"/>
      <c r="Q39" s="1088"/>
      <c r="R39" s="1066"/>
      <c r="S39" s="1088"/>
      <c r="T39" s="1088"/>
      <c r="U39" s="1088"/>
      <c r="V39" s="1088"/>
      <c r="W39" s="1088"/>
      <c r="X39" s="1088"/>
      <c r="Y39" s="1088"/>
      <c r="Z39" s="1088"/>
      <c r="AA39" s="1088"/>
      <c r="AB39" s="1088"/>
      <c r="AC39" s="1088"/>
      <c r="AD39" s="1088"/>
      <c r="AE39" s="1088"/>
      <c r="AF39" s="1088"/>
      <c r="AG39" s="1088"/>
      <c r="AH39" s="1088"/>
      <c r="AI39" s="1088"/>
      <c r="AJ39" s="1067"/>
    </row>
    <row r="40" spans="1:36" ht="69.75" customHeight="1" x14ac:dyDescent="0.2">
      <c r="A40" s="1014"/>
      <c r="B40" s="1015"/>
      <c r="C40" s="1039"/>
      <c r="D40" s="1040"/>
      <c r="E40" s="1046"/>
      <c r="F40" s="1047"/>
      <c r="G40" s="3039">
        <v>191</v>
      </c>
      <c r="H40" s="3040" t="s">
        <v>1128</v>
      </c>
      <c r="I40" s="3006" t="s">
        <v>1129</v>
      </c>
      <c r="J40" s="2007">
        <v>1</v>
      </c>
      <c r="K40" s="1089"/>
      <c r="L40" s="3028">
        <v>117</v>
      </c>
      <c r="M40" s="2990" t="s">
        <v>1130</v>
      </c>
      <c r="N40" s="2683">
        <v>1</v>
      </c>
      <c r="O40" s="3044">
        <f>SUM(S40:S44)</f>
        <v>1100000000</v>
      </c>
      <c r="P40" s="2989" t="s">
        <v>1131</v>
      </c>
      <c r="Q40" s="3046" t="s">
        <v>1132</v>
      </c>
      <c r="R40" s="3049" t="s">
        <v>1133</v>
      </c>
      <c r="S40" s="3061">
        <f>60000000+25000000+8740000</f>
        <v>93740000</v>
      </c>
      <c r="T40" s="3020">
        <v>20</v>
      </c>
      <c r="U40" s="3020" t="s">
        <v>51</v>
      </c>
      <c r="V40" s="3029"/>
      <c r="W40" s="3029"/>
      <c r="X40" s="3029"/>
      <c r="Y40" s="3029"/>
      <c r="Z40" s="3029">
        <v>1672</v>
      </c>
      <c r="AA40" s="3029"/>
      <c r="AB40" s="3029"/>
      <c r="AC40" s="3029"/>
      <c r="AD40" s="3029"/>
      <c r="AE40" s="3029"/>
      <c r="AF40" s="3029"/>
      <c r="AG40" s="3029"/>
      <c r="AH40" s="3025">
        <v>42736</v>
      </c>
      <c r="AI40" s="3025">
        <v>43100</v>
      </c>
      <c r="AJ40" s="3013" t="s">
        <v>1062</v>
      </c>
    </row>
    <row r="41" spans="1:36" ht="53.25" customHeight="1" x14ac:dyDescent="0.2">
      <c r="A41" s="1014"/>
      <c r="B41" s="1015"/>
      <c r="C41" s="1039"/>
      <c r="D41" s="1040"/>
      <c r="E41" s="1039"/>
      <c r="F41" s="1040"/>
      <c r="G41" s="3039"/>
      <c r="H41" s="3040"/>
      <c r="I41" s="3006"/>
      <c r="J41" s="2007"/>
      <c r="K41" s="1089"/>
      <c r="L41" s="3028"/>
      <c r="M41" s="3005"/>
      <c r="N41" s="2684"/>
      <c r="O41" s="3045"/>
      <c r="P41" s="2989"/>
      <c r="Q41" s="3047"/>
      <c r="R41" s="3050"/>
      <c r="S41" s="3062"/>
      <c r="T41" s="3021"/>
      <c r="U41" s="3021"/>
      <c r="V41" s="3029"/>
      <c r="W41" s="3029"/>
      <c r="X41" s="3029"/>
      <c r="Y41" s="3029"/>
      <c r="Z41" s="3029"/>
      <c r="AA41" s="3029"/>
      <c r="AB41" s="3029"/>
      <c r="AC41" s="3029"/>
      <c r="AD41" s="3029"/>
      <c r="AE41" s="3029"/>
      <c r="AF41" s="3029"/>
      <c r="AG41" s="3029"/>
      <c r="AH41" s="3030"/>
      <c r="AI41" s="3030"/>
      <c r="AJ41" s="3027"/>
    </row>
    <row r="42" spans="1:36" ht="90" customHeight="1" x14ac:dyDescent="0.2">
      <c r="A42" s="1014"/>
      <c r="B42" s="1015"/>
      <c r="C42" s="1039"/>
      <c r="D42" s="1040"/>
      <c r="E42" s="1039"/>
      <c r="F42" s="1040"/>
      <c r="G42" s="3039"/>
      <c r="H42" s="3040"/>
      <c r="I42" s="3006"/>
      <c r="J42" s="2007"/>
      <c r="K42" s="1089" t="s">
        <v>1134</v>
      </c>
      <c r="L42" s="3028"/>
      <c r="M42" s="3005"/>
      <c r="N42" s="2684"/>
      <c r="O42" s="3045"/>
      <c r="P42" s="2989"/>
      <c r="Q42" s="3048"/>
      <c r="R42" s="1090" t="s">
        <v>1135</v>
      </c>
      <c r="S42" s="1091">
        <v>51260000</v>
      </c>
      <c r="T42" s="3021"/>
      <c r="U42" s="3021"/>
      <c r="V42" s="3029"/>
      <c r="W42" s="3029"/>
      <c r="X42" s="3029"/>
      <c r="Y42" s="3029"/>
      <c r="Z42" s="3029"/>
      <c r="AA42" s="3029"/>
      <c r="AB42" s="3029"/>
      <c r="AC42" s="3029"/>
      <c r="AD42" s="3029"/>
      <c r="AE42" s="3029"/>
      <c r="AF42" s="3029"/>
      <c r="AG42" s="3029"/>
      <c r="AH42" s="3030"/>
      <c r="AI42" s="3030"/>
      <c r="AJ42" s="3027"/>
    </row>
    <row r="43" spans="1:36" ht="63" customHeight="1" x14ac:dyDescent="0.2">
      <c r="A43" s="1014"/>
      <c r="B43" s="1015"/>
      <c r="C43" s="1039"/>
      <c r="D43" s="1040"/>
      <c r="E43" s="1039"/>
      <c r="F43" s="1040"/>
      <c r="G43" s="3039"/>
      <c r="H43" s="3040"/>
      <c r="I43" s="3006"/>
      <c r="J43" s="2007"/>
      <c r="K43" s="1089"/>
      <c r="L43" s="3028"/>
      <c r="M43" s="3005"/>
      <c r="N43" s="2684"/>
      <c r="O43" s="3045"/>
      <c r="P43" s="2989"/>
      <c r="Q43" s="2014" t="s">
        <v>1136</v>
      </c>
      <c r="R43" s="3049" t="s">
        <v>1137</v>
      </c>
      <c r="S43" s="3058">
        <f>1015000000-60000000</f>
        <v>955000000</v>
      </c>
      <c r="T43" s="3021"/>
      <c r="U43" s="3021"/>
      <c r="V43" s="3029"/>
      <c r="W43" s="3029"/>
      <c r="X43" s="3029"/>
      <c r="Y43" s="3029"/>
      <c r="Z43" s="3029"/>
      <c r="AA43" s="3029"/>
      <c r="AB43" s="3029"/>
      <c r="AC43" s="3029"/>
      <c r="AD43" s="3029"/>
      <c r="AE43" s="3029"/>
      <c r="AF43" s="3029"/>
      <c r="AG43" s="3029"/>
      <c r="AH43" s="3030"/>
      <c r="AI43" s="3030"/>
      <c r="AJ43" s="3027"/>
    </row>
    <row r="44" spans="1:36" ht="89.25" customHeight="1" x14ac:dyDescent="0.2">
      <c r="A44" s="1014"/>
      <c r="B44" s="1015"/>
      <c r="C44" s="1039"/>
      <c r="D44" s="1040"/>
      <c r="E44" s="1039"/>
      <c r="F44" s="1040"/>
      <c r="G44" s="3039"/>
      <c r="H44" s="3040"/>
      <c r="I44" s="3006"/>
      <c r="J44" s="2007"/>
      <c r="K44" s="1092"/>
      <c r="L44" s="3036"/>
      <c r="M44" s="3005"/>
      <c r="N44" s="2685"/>
      <c r="O44" s="3045"/>
      <c r="P44" s="2989"/>
      <c r="Q44" s="2016"/>
      <c r="R44" s="3050"/>
      <c r="S44" s="3059"/>
      <c r="T44" s="3022"/>
      <c r="U44" s="3022"/>
      <c r="V44" s="3060"/>
      <c r="W44" s="3060"/>
      <c r="X44" s="3060"/>
      <c r="Y44" s="3060"/>
      <c r="Z44" s="3060"/>
      <c r="AA44" s="3060"/>
      <c r="AB44" s="3060"/>
      <c r="AC44" s="3060"/>
      <c r="AD44" s="3060"/>
      <c r="AE44" s="3060"/>
      <c r="AF44" s="3060"/>
      <c r="AG44" s="3060"/>
      <c r="AH44" s="3030"/>
      <c r="AI44" s="3030"/>
      <c r="AJ44" s="3027"/>
    </row>
    <row r="45" spans="1:36" ht="85.5" x14ac:dyDescent="0.2">
      <c r="A45" s="1014"/>
      <c r="B45" s="1015"/>
      <c r="C45" s="1039"/>
      <c r="D45" s="1040"/>
      <c r="E45" s="1039"/>
      <c r="F45" s="1040"/>
      <c r="G45" s="3039">
        <v>192</v>
      </c>
      <c r="H45" s="3068" t="s">
        <v>1138</v>
      </c>
      <c r="I45" s="3023" t="s">
        <v>1139</v>
      </c>
      <c r="J45" s="3070">
        <v>1</v>
      </c>
      <c r="K45" s="1093" t="s">
        <v>1140</v>
      </c>
      <c r="L45" s="3035">
        <v>118</v>
      </c>
      <c r="M45" s="3024" t="s">
        <v>1141</v>
      </c>
      <c r="N45" s="3064">
        <f>(S45+S46)/O45</f>
        <v>1</v>
      </c>
      <c r="O45" s="2988">
        <f>SUM(S45:S46)</f>
        <v>75000000</v>
      </c>
      <c r="P45" s="3005" t="s">
        <v>1131</v>
      </c>
      <c r="Q45" s="2014" t="s">
        <v>1142</v>
      </c>
      <c r="R45" s="21" t="s">
        <v>1143</v>
      </c>
      <c r="S45" s="1028">
        <f>30000000+15000000-5650000</f>
        <v>39350000</v>
      </c>
      <c r="T45" s="3020" t="s">
        <v>146</v>
      </c>
      <c r="U45" s="3020" t="s">
        <v>1061</v>
      </c>
      <c r="V45" s="3063"/>
      <c r="W45" s="3063"/>
      <c r="X45" s="3063"/>
      <c r="Y45" s="3063"/>
      <c r="Z45" s="3063">
        <v>701</v>
      </c>
      <c r="AA45" s="3063"/>
      <c r="AB45" s="3063"/>
      <c r="AC45" s="3063"/>
      <c r="AD45" s="3063"/>
      <c r="AE45" s="3063"/>
      <c r="AF45" s="3063"/>
      <c r="AG45" s="3063"/>
      <c r="AH45" s="3026">
        <v>42736</v>
      </c>
      <c r="AI45" s="3026">
        <v>43100</v>
      </c>
      <c r="AJ45" s="3012" t="s">
        <v>1062</v>
      </c>
    </row>
    <row r="46" spans="1:36" ht="69" customHeight="1" x14ac:dyDescent="0.2">
      <c r="A46" s="1014"/>
      <c r="B46" s="1015"/>
      <c r="C46" s="1039"/>
      <c r="D46" s="1040"/>
      <c r="E46" s="1094"/>
      <c r="F46" s="1040"/>
      <c r="G46" s="3039"/>
      <c r="H46" s="3069"/>
      <c r="I46" s="3031"/>
      <c r="J46" s="3070"/>
      <c r="K46" s="1092" t="s">
        <v>1144</v>
      </c>
      <c r="L46" s="3036"/>
      <c r="M46" s="2990"/>
      <c r="N46" s="3064"/>
      <c r="O46" s="2988"/>
      <c r="P46" s="3005"/>
      <c r="Q46" s="2016"/>
      <c r="R46" s="21" t="s">
        <v>1145</v>
      </c>
      <c r="S46" s="1028">
        <f>30000000+5650000</f>
        <v>35650000</v>
      </c>
      <c r="T46" s="3022"/>
      <c r="U46" s="3022"/>
      <c r="V46" s="3060"/>
      <c r="W46" s="3060"/>
      <c r="X46" s="3060"/>
      <c r="Y46" s="3060"/>
      <c r="Z46" s="3060"/>
      <c r="AA46" s="3060"/>
      <c r="AB46" s="3060"/>
      <c r="AC46" s="3060"/>
      <c r="AD46" s="3060"/>
      <c r="AE46" s="3060"/>
      <c r="AF46" s="3060"/>
      <c r="AG46" s="3060"/>
      <c r="AH46" s="3030"/>
      <c r="AI46" s="3030"/>
      <c r="AJ46" s="3012"/>
    </row>
    <row r="47" spans="1:36" ht="41.25" customHeight="1" x14ac:dyDescent="0.2">
      <c r="A47" s="1014"/>
      <c r="B47" s="1015"/>
      <c r="C47" s="1039"/>
      <c r="D47" s="1040"/>
      <c r="E47" s="1050">
        <v>63</v>
      </c>
      <c r="F47" s="1042" t="s">
        <v>1146</v>
      </c>
      <c r="G47" s="1043"/>
      <c r="H47" s="1043"/>
      <c r="I47" s="1043"/>
      <c r="J47" s="1043"/>
      <c r="K47" s="1043"/>
      <c r="L47" s="1043"/>
      <c r="M47" s="1043"/>
      <c r="N47" s="1043"/>
      <c r="O47" s="1043"/>
      <c r="P47" s="1043"/>
      <c r="Q47" s="1043"/>
      <c r="R47" s="1044"/>
      <c r="S47" s="1043"/>
      <c r="T47" s="1043"/>
      <c r="U47" s="1043"/>
      <c r="V47" s="1043"/>
      <c r="W47" s="1043"/>
      <c r="X47" s="1043"/>
      <c r="Y47" s="1043"/>
      <c r="Z47" s="1043"/>
      <c r="AA47" s="1043"/>
      <c r="AB47" s="1043"/>
      <c r="AC47" s="1043"/>
      <c r="AD47" s="1043"/>
      <c r="AE47" s="1043"/>
      <c r="AF47" s="1043"/>
      <c r="AG47" s="1043"/>
      <c r="AH47" s="1043"/>
      <c r="AI47" s="1043"/>
      <c r="AJ47" s="1045"/>
    </row>
    <row r="48" spans="1:36" ht="114.75" customHeight="1" x14ac:dyDescent="0.2">
      <c r="A48" s="1014"/>
      <c r="B48" s="1015"/>
      <c r="C48" s="1039"/>
      <c r="D48" s="1040"/>
      <c r="E48" s="1046"/>
      <c r="F48" s="1040"/>
      <c r="G48" s="3065">
        <v>193</v>
      </c>
      <c r="H48" s="3015" t="s">
        <v>1147</v>
      </c>
      <c r="I48" s="3015" t="s">
        <v>1148</v>
      </c>
      <c r="J48" s="2029">
        <v>1</v>
      </c>
      <c r="K48" s="3018" t="s">
        <v>1149</v>
      </c>
      <c r="L48" s="3028">
        <v>121</v>
      </c>
      <c r="M48" s="2755" t="s">
        <v>1150</v>
      </c>
      <c r="N48" s="3064">
        <f>SUM(S48:S49)/O48</f>
        <v>1</v>
      </c>
      <c r="O48" s="2987">
        <f>SUM(S48:S49)</f>
        <v>15000000</v>
      </c>
      <c r="P48" s="2989" t="s">
        <v>1131</v>
      </c>
      <c r="Q48" s="1908" t="s">
        <v>1151</v>
      </c>
      <c r="R48" s="673" t="s">
        <v>1152</v>
      </c>
      <c r="S48" s="1095">
        <v>5000000</v>
      </c>
      <c r="T48" s="3072">
        <v>20</v>
      </c>
      <c r="U48" s="3072" t="s">
        <v>51</v>
      </c>
      <c r="V48" s="3060"/>
      <c r="W48" s="3060"/>
      <c r="X48" s="3060"/>
      <c r="Y48" s="3060"/>
      <c r="Z48" s="3060"/>
      <c r="AA48" s="3060"/>
      <c r="AB48" s="3060"/>
      <c r="AC48" s="3060">
        <v>32</v>
      </c>
      <c r="AD48" s="3060"/>
      <c r="AE48" s="3060"/>
      <c r="AF48" s="3060"/>
      <c r="AG48" s="3060"/>
      <c r="AH48" s="3053">
        <v>42736</v>
      </c>
      <c r="AI48" s="3053" t="s">
        <v>1153</v>
      </c>
      <c r="AJ48" s="3027" t="s">
        <v>1062</v>
      </c>
    </row>
    <row r="49" spans="1:36" ht="90.75" customHeight="1" x14ac:dyDescent="0.2">
      <c r="A49" s="1014"/>
      <c r="B49" s="1015"/>
      <c r="C49" s="1039"/>
      <c r="D49" s="1040"/>
      <c r="E49" s="1039"/>
      <c r="F49" s="1040"/>
      <c r="G49" s="3066"/>
      <c r="H49" s="3031"/>
      <c r="I49" s="3031"/>
      <c r="J49" s="2007"/>
      <c r="K49" s="3067"/>
      <c r="L49" s="3036"/>
      <c r="M49" s="2756"/>
      <c r="N49" s="3064"/>
      <c r="O49" s="2988"/>
      <c r="P49" s="2989"/>
      <c r="Q49" s="1908"/>
      <c r="R49" s="45" t="s">
        <v>1154</v>
      </c>
      <c r="S49" s="1096">
        <v>10000000</v>
      </c>
      <c r="T49" s="3072"/>
      <c r="U49" s="3072"/>
      <c r="V49" s="3071"/>
      <c r="W49" s="3071"/>
      <c r="X49" s="3071"/>
      <c r="Y49" s="3071"/>
      <c r="Z49" s="3071"/>
      <c r="AA49" s="3071"/>
      <c r="AB49" s="3071"/>
      <c r="AC49" s="3071"/>
      <c r="AD49" s="3071"/>
      <c r="AE49" s="3071"/>
      <c r="AF49" s="3071"/>
      <c r="AG49" s="3071"/>
      <c r="AH49" s="3025"/>
      <c r="AI49" s="3025"/>
      <c r="AJ49" s="3027"/>
    </row>
    <row r="50" spans="1:36" ht="96" customHeight="1" x14ac:dyDescent="0.2">
      <c r="A50" s="1014"/>
      <c r="B50" s="1015"/>
      <c r="C50" s="1039"/>
      <c r="D50" s="1040"/>
      <c r="E50" s="1039"/>
      <c r="F50" s="1040"/>
      <c r="G50" s="3073">
        <v>194</v>
      </c>
      <c r="H50" s="3023" t="s">
        <v>1155</v>
      </c>
      <c r="I50" s="3074" t="s">
        <v>1156</v>
      </c>
      <c r="J50" s="2007">
        <v>1</v>
      </c>
      <c r="K50" s="1097" t="s">
        <v>1157</v>
      </c>
      <c r="L50" s="3035">
        <v>122</v>
      </c>
      <c r="M50" s="3024" t="s">
        <v>1158</v>
      </c>
      <c r="N50" s="3064">
        <f>SUM(S50:S52)/O50</f>
        <v>1</v>
      </c>
      <c r="O50" s="2988">
        <f>SUM(S50:S52)</f>
        <v>90000000</v>
      </c>
      <c r="P50" s="2989"/>
      <c r="Q50" s="1908" t="s">
        <v>1159</v>
      </c>
      <c r="R50" s="21" t="s">
        <v>1160</v>
      </c>
      <c r="S50" s="1098">
        <f>25000000-5679425</f>
        <v>19320575</v>
      </c>
      <c r="T50" s="3072" t="s">
        <v>146</v>
      </c>
      <c r="U50" s="3072" t="s">
        <v>1061</v>
      </c>
      <c r="V50" s="3071"/>
      <c r="W50" s="3071"/>
      <c r="X50" s="3071"/>
      <c r="Y50" s="3071"/>
      <c r="Z50" s="3071"/>
      <c r="AA50" s="3071"/>
      <c r="AB50" s="3071"/>
      <c r="AC50" s="3071">
        <v>909</v>
      </c>
      <c r="AD50" s="3071"/>
      <c r="AE50" s="3071"/>
      <c r="AF50" s="3071"/>
      <c r="AG50" s="3071"/>
      <c r="AH50" s="3053">
        <v>42736</v>
      </c>
      <c r="AI50" s="3053">
        <v>43100</v>
      </c>
      <c r="AJ50" s="3012" t="s">
        <v>1062</v>
      </c>
    </row>
    <row r="51" spans="1:36" ht="96" customHeight="1" x14ac:dyDescent="0.2">
      <c r="A51" s="1014"/>
      <c r="B51" s="1015"/>
      <c r="C51" s="1039"/>
      <c r="D51" s="1040"/>
      <c r="E51" s="1039"/>
      <c r="F51" s="1040"/>
      <c r="G51" s="3065"/>
      <c r="H51" s="3015"/>
      <c r="I51" s="3074"/>
      <c r="J51" s="2007"/>
      <c r="K51" s="1026" t="s">
        <v>1161</v>
      </c>
      <c r="L51" s="3028"/>
      <c r="M51" s="2989"/>
      <c r="N51" s="3064"/>
      <c r="O51" s="2988"/>
      <c r="P51" s="2989"/>
      <c r="Q51" s="1908"/>
      <c r="R51" s="21" t="s">
        <v>1162</v>
      </c>
      <c r="S51" s="1028">
        <f>15679425+10000000</f>
        <v>25679425</v>
      </c>
      <c r="T51" s="3072"/>
      <c r="U51" s="3072"/>
      <c r="V51" s="3071"/>
      <c r="W51" s="3071"/>
      <c r="X51" s="3071"/>
      <c r="Y51" s="3071"/>
      <c r="Z51" s="3071"/>
      <c r="AA51" s="3071"/>
      <c r="AB51" s="3071"/>
      <c r="AC51" s="3071"/>
      <c r="AD51" s="3071"/>
      <c r="AE51" s="3071"/>
      <c r="AF51" s="3071"/>
      <c r="AG51" s="3071"/>
      <c r="AH51" s="3054"/>
      <c r="AI51" s="3054"/>
      <c r="AJ51" s="3012"/>
    </row>
    <row r="52" spans="1:36" ht="70.5" customHeight="1" x14ac:dyDescent="0.2">
      <c r="A52" s="1014"/>
      <c r="B52" s="1015"/>
      <c r="C52" s="1039"/>
      <c r="D52" s="1040"/>
      <c r="E52" s="1039"/>
      <c r="F52" s="1040"/>
      <c r="G52" s="3065"/>
      <c r="H52" s="3015"/>
      <c r="I52" s="3074"/>
      <c r="J52" s="2007"/>
      <c r="K52" s="1026"/>
      <c r="L52" s="3028"/>
      <c r="M52" s="2989"/>
      <c r="N52" s="3064"/>
      <c r="O52" s="2988"/>
      <c r="P52" s="2989"/>
      <c r="Q52" s="699" t="s">
        <v>1163</v>
      </c>
      <c r="R52" s="21" t="s">
        <v>1164</v>
      </c>
      <c r="S52" s="1028">
        <v>45000000</v>
      </c>
      <c r="T52" s="3072"/>
      <c r="U52" s="3072"/>
      <c r="V52" s="3071"/>
      <c r="W52" s="3071"/>
      <c r="X52" s="3071"/>
      <c r="Y52" s="3071"/>
      <c r="Z52" s="3071"/>
      <c r="AA52" s="3071"/>
      <c r="AB52" s="3071"/>
      <c r="AC52" s="3071"/>
      <c r="AD52" s="3071"/>
      <c r="AE52" s="3071"/>
      <c r="AF52" s="3071"/>
      <c r="AG52" s="3071"/>
      <c r="AH52" s="3025"/>
      <c r="AI52" s="3025"/>
      <c r="AJ52" s="3012"/>
    </row>
    <row r="53" spans="1:36" ht="36.75" customHeight="1" x14ac:dyDescent="0.2">
      <c r="A53" s="1014"/>
      <c r="B53" s="1015"/>
      <c r="C53" s="1039"/>
      <c r="D53" s="1040"/>
      <c r="E53" s="653">
        <v>64</v>
      </c>
      <c r="F53" s="1099" t="s">
        <v>1165</v>
      </c>
      <c r="G53" s="1100"/>
      <c r="H53" s="1100"/>
      <c r="I53" s="1100"/>
      <c r="J53" s="1100"/>
      <c r="K53" s="1100"/>
      <c r="L53" s="1100"/>
      <c r="M53" s="1100"/>
      <c r="N53" s="1100"/>
      <c r="O53" s="1100"/>
      <c r="P53" s="1100"/>
      <c r="Q53" s="1100"/>
      <c r="R53" s="1044"/>
      <c r="S53" s="1100"/>
      <c r="T53" s="1100"/>
      <c r="U53" s="1100"/>
      <c r="V53" s="1100"/>
      <c r="W53" s="1100"/>
      <c r="X53" s="1100"/>
      <c r="Y53" s="1100"/>
      <c r="Z53" s="1100"/>
      <c r="AA53" s="1100"/>
      <c r="AB53" s="1100"/>
      <c r="AC53" s="1100"/>
      <c r="AD53" s="1100"/>
      <c r="AE53" s="1100"/>
      <c r="AF53" s="1100"/>
      <c r="AG53" s="1100"/>
      <c r="AH53" s="1100"/>
      <c r="AI53" s="1100"/>
      <c r="AJ53" s="1045"/>
    </row>
    <row r="54" spans="1:36" ht="52.5" customHeight="1" x14ac:dyDescent="0.2">
      <c r="A54" s="1014"/>
      <c r="B54" s="1015"/>
      <c r="C54" s="1039"/>
      <c r="D54" s="1040"/>
      <c r="E54" s="1021"/>
      <c r="F54" s="1022"/>
      <c r="G54" s="3073">
        <v>195</v>
      </c>
      <c r="H54" s="3023" t="s">
        <v>1166</v>
      </c>
      <c r="I54" s="3075" t="s">
        <v>1167</v>
      </c>
      <c r="J54" s="3078">
        <v>1</v>
      </c>
      <c r="K54" s="1093"/>
      <c r="L54" s="3035">
        <v>124</v>
      </c>
      <c r="M54" s="2754" t="s">
        <v>1168</v>
      </c>
      <c r="N54" s="3064">
        <f>SUM(S54:S56)/O54</f>
        <v>1</v>
      </c>
      <c r="O54" s="2988">
        <f>SUM(S54:S56)</f>
        <v>100000000</v>
      </c>
      <c r="P54" s="3024" t="s">
        <v>1131</v>
      </c>
      <c r="Q54" s="2014" t="s">
        <v>1169</v>
      </c>
      <c r="R54" s="21" t="s">
        <v>1170</v>
      </c>
      <c r="S54" s="1028">
        <f>15000000+20000000</f>
        <v>35000000</v>
      </c>
      <c r="T54" s="3020" t="s">
        <v>146</v>
      </c>
      <c r="U54" s="3021" t="s">
        <v>1061</v>
      </c>
      <c r="V54" s="3063"/>
      <c r="W54" s="3063"/>
      <c r="X54" s="3063"/>
      <c r="Y54" s="3063"/>
      <c r="Z54" s="3063"/>
      <c r="AA54" s="3063"/>
      <c r="AB54" s="3063">
        <v>13208</v>
      </c>
      <c r="AC54" s="3063"/>
      <c r="AD54" s="3063"/>
      <c r="AE54" s="3063"/>
      <c r="AF54" s="3063"/>
      <c r="AG54" s="3063"/>
      <c r="AH54" s="3080">
        <v>42736</v>
      </c>
      <c r="AI54" s="3053">
        <v>43100</v>
      </c>
      <c r="AJ54" s="3012" t="s">
        <v>1062</v>
      </c>
    </row>
    <row r="55" spans="1:36" ht="89.25" customHeight="1" x14ac:dyDescent="0.2">
      <c r="A55" s="1014"/>
      <c r="B55" s="1015"/>
      <c r="C55" s="1039"/>
      <c r="D55" s="1040"/>
      <c r="E55" s="1021"/>
      <c r="F55" s="1022"/>
      <c r="G55" s="3065"/>
      <c r="H55" s="3015"/>
      <c r="I55" s="3076"/>
      <c r="J55" s="3078"/>
      <c r="K55" s="1089" t="s">
        <v>1171</v>
      </c>
      <c r="L55" s="3028"/>
      <c r="M55" s="2755"/>
      <c r="N55" s="3064"/>
      <c r="O55" s="2988"/>
      <c r="P55" s="2989"/>
      <c r="Q55" s="2015"/>
      <c r="R55" s="21" t="s">
        <v>1172</v>
      </c>
      <c r="S55" s="1028">
        <f>35000000+20000000</f>
        <v>55000000</v>
      </c>
      <c r="T55" s="3021"/>
      <c r="U55" s="3021"/>
      <c r="V55" s="3029"/>
      <c r="W55" s="3029"/>
      <c r="X55" s="3029"/>
      <c r="Y55" s="3029"/>
      <c r="Z55" s="3029"/>
      <c r="AA55" s="3029"/>
      <c r="AB55" s="3029"/>
      <c r="AC55" s="3029"/>
      <c r="AD55" s="3029"/>
      <c r="AE55" s="3029"/>
      <c r="AF55" s="3029"/>
      <c r="AG55" s="3029"/>
      <c r="AH55" s="3081"/>
      <c r="AI55" s="3054"/>
      <c r="AJ55" s="3012"/>
    </row>
    <row r="56" spans="1:36" ht="49.5" customHeight="1" x14ac:dyDescent="0.2">
      <c r="A56" s="1014"/>
      <c r="B56" s="1015"/>
      <c r="C56" s="1039"/>
      <c r="D56" s="1040"/>
      <c r="E56" s="1029"/>
      <c r="F56" s="1030"/>
      <c r="G56" s="3066"/>
      <c r="H56" s="3031"/>
      <c r="I56" s="3077"/>
      <c r="J56" s="3078"/>
      <c r="K56" s="1101" t="s">
        <v>1173</v>
      </c>
      <c r="L56" s="3036"/>
      <c r="M56" s="2756"/>
      <c r="N56" s="3064"/>
      <c r="O56" s="2988"/>
      <c r="P56" s="2990"/>
      <c r="Q56" s="2016"/>
      <c r="R56" s="21" t="s">
        <v>1174</v>
      </c>
      <c r="S56" s="1028">
        <v>10000000</v>
      </c>
      <c r="T56" s="3022"/>
      <c r="U56" s="3022"/>
      <c r="V56" s="3060"/>
      <c r="W56" s="3060"/>
      <c r="X56" s="3060"/>
      <c r="Y56" s="3060"/>
      <c r="Z56" s="3060"/>
      <c r="AA56" s="3060"/>
      <c r="AB56" s="3060"/>
      <c r="AC56" s="3060"/>
      <c r="AD56" s="3060"/>
      <c r="AE56" s="3060"/>
      <c r="AF56" s="3060"/>
      <c r="AG56" s="3060"/>
      <c r="AH56" s="3082"/>
      <c r="AI56" s="3025"/>
      <c r="AJ56" s="3012"/>
    </row>
    <row r="57" spans="1:36" ht="39.75" customHeight="1" x14ac:dyDescent="0.2">
      <c r="A57" s="1014"/>
      <c r="B57" s="1015"/>
      <c r="C57" s="1039"/>
      <c r="D57" s="1040"/>
      <c r="E57" s="1063">
        <v>65</v>
      </c>
      <c r="F57" s="1042" t="s">
        <v>1175</v>
      </c>
      <c r="G57" s="1043"/>
      <c r="H57" s="1043"/>
      <c r="I57" s="1043"/>
      <c r="J57" s="1043"/>
      <c r="K57" s="1043"/>
      <c r="L57" s="1043"/>
      <c r="M57" s="1043"/>
      <c r="N57" s="1043"/>
      <c r="O57" s="1043"/>
      <c r="P57" s="1043"/>
      <c r="Q57" s="1043"/>
      <c r="R57" s="1044"/>
      <c r="S57" s="1043"/>
      <c r="T57" s="1043"/>
      <c r="U57" s="1043"/>
      <c r="V57" s="1043"/>
      <c r="W57" s="1043"/>
      <c r="X57" s="1043"/>
      <c r="Y57" s="1043"/>
      <c r="Z57" s="1043"/>
      <c r="AA57" s="1043"/>
      <c r="AB57" s="1043"/>
      <c r="AC57" s="1043"/>
      <c r="AD57" s="1043"/>
      <c r="AE57" s="1043"/>
      <c r="AF57" s="1043"/>
      <c r="AG57" s="1043"/>
      <c r="AH57" s="1043"/>
      <c r="AI57" s="1043"/>
      <c r="AJ57" s="1045"/>
    </row>
    <row r="58" spans="1:36" ht="65.25" customHeight="1" x14ac:dyDescent="0.2">
      <c r="A58" s="1014"/>
      <c r="B58" s="1015"/>
      <c r="C58" s="1039"/>
      <c r="D58" s="1040"/>
      <c r="E58" s="1046"/>
      <c r="F58" s="1047"/>
      <c r="G58" s="3073">
        <v>196</v>
      </c>
      <c r="H58" s="3023" t="s">
        <v>1176</v>
      </c>
      <c r="I58" s="3023" t="s">
        <v>1177</v>
      </c>
      <c r="J58" s="3079">
        <v>1</v>
      </c>
      <c r="K58" s="1057" t="s">
        <v>1178</v>
      </c>
      <c r="L58" s="3035">
        <v>125</v>
      </c>
      <c r="M58" s="3024" t="s">
        <v>1179</v>
      </c>
      <c r="N58" s="3064">
        <f>SUM(S58:S59)/O58</f>
        <v>1</v>
      </c>
      <c r="O58" s="2988">
        <f>SUM(S58:S59)</f>
        <v>70000000</v>
      </c>
      <c r="P58" s="3024" t="s">
        <v>1131</v>
      </c>
      <c r="Q58" s="2014" t="s">
        <v>1180</v>
      </c>
      <c r="R58" s="21" t="s">
        <v>1181</v>
      </c>
      <c r="S58" s="1102">
        <f>20000000+49000000</f>
        <v>69000000</v>
      </c>
      <c r="T58" s="3020" t="s">
        <v>146</v>
      </c>
      <c r="U58" s="3021" t="s">
        <v>1061</v>
      </c>
      <c r="V58" s="3063"/>
      <c r="W58" s="3063">
        <v>755</v>
      </c>
      <c r="X58" s="3063">
        <v>1500</v>
      </c>
      <c r="Y58" s="3063">
        <v>95</v>
      </c>
      <c r="Z58" s="3063"/>
      <c r="AA58" s="3063"/>
      <c r="AB58" s="3063">
        <v>20</v>
      </c>
      <c r="AC58" s="3063">
        <v>10</v>
      </c>
      <c r="AD58" s="3063"/>
      <c r="AE58" s="3063"/>
      <c r="AF58" s="3063"/>
      <c r="AG58" s="3063"/>
      <c r="AH58" s="3053">
        <v>42736</v>
      </c>
      <c r="AI58" s="3053">
        <v>43100</v>
      </c>
      <c r="AJ58" s="3012" t="s">
        <v>1062</v>
      </c>
    </row>
    <row r="59" spans="1:36" ht="72" customHeight="1" x14ac:dyDescent="0.2">
      <c r="A59" s="1014"/>
      <c r="B59" s="1015"/>
      <c r="C59" s="1039"/>
      <c r="D59" s="1040"/>
      <c r="E59" s="1039"/>
      <c r="F59" s="1040"/>
      <c r="G59" s="3065"/>
      <c r="H59" s="3015"/>
      <c r="I59" s="3015"/>
      <c r="J59" s="3079"/>
      <c r="K59" s="1026" t="s">
        <v>1182</v>
      </c>
      <c r="L59" s="3028"/>
      <c r="M59" s="2989"/>
      <c r="N59" s="3064"/>
      <c r="O59" s="2988"/>
      <c r="P59" s="2989"/>
      <c r="Q59" s="2015"/>
      <c r="R59" s="306" t="s">
        <v>1183</v>
      </c>
      <c r="S59" s="1102">
        <v>1000000</v>
      </c>
      <c r="T59" s="3021"/>
      <c r="U59" s="3021"/>
      <c r="V59" s="3029"/>
      <c r="W59" s="3029"/>
      <c r="X59" s="3029"/>
      <c r="Y59" s="3029"/>
      <c r="Z59" s="3029"/>
      <c r="AA59" s="3029"/>
      <c r="AB59" s="3029"/>
      <c r="AC59" s="3029"/>
      <c r="AD59" s="3029"/>
      <c r="AE59" s="3029"/>
      <c r="AF59" s="3029"/>
      <c r="AG59" s="3029"/>
      <c r="AH59" s="3025"/>
      <c r="AI59" s="3025"/>
      <c r="AJ59" s="3012"/>
    </row>
    <row r="60" spans="1:36" ht="37.5" customHeight="1" x14ac:dyDescent="0.2">
      <c r="A60" s="1014"/>
      <c r="B60" s="1015"/>
      <c r="C60" s="1039"/>
      <c r="D60" s="1040"/>
      <c r="E60" s="1103">
        <v>66</v>
      </c>
      <c r="F60" s="1042" t="s">
        <v>1184</v>
      </c>
      <c r="G60" s="1043"/>
      <c r="H60" s="1043"/>
      <c r="I60" s="1043"/>
      <c r="J60" s="1043"/>
      <c r="K60" s="1043"/>
      <c r="L60" s="1043"/>
      <c r="M60" s="1043"/>
      <c r="N60" s="1043"/>
      <c r="O60" s="1043"/>
      <c r="P60" s="1043"/>
      <c r="Q60" s="1043"/>
      <c r="R60" s="1044"/>
      <c r="S60" s="1043"/>
      <c r="T60" s="1043"/>
      <c r="U60" s="1043"/>
      <c r="V60" s="1043"/>
      <c r="W60" s="1043"/>
      <c r="X60" s="1043"/>
      <c r="Y60" s="1043"/>
      <c r="Z60" s="1043"/>
      <c r="AA60" s="1043"/>
      <c r="AB60" s="1043"/>
      <c r="AC60" s="1043"/>
      <c r="AD60" s="1043"/>
      <c r="AE60" s="1043"/>
      <c r="AF60" s="1043"/>
      <c r="AG60" s="1043"/>
      <c r="AH60" s="1043"/>
      <c r="AI60" s="1043"/>
      <c r="AJ60" s="1045"/>
    </row>
    <row r="61" spans="1:36" ht="75.75" customHeight="1" x14ac:dyDescent="0.2">
      <c r="A61" s="1014"/>
      <c r="B61" s="1015"/>
      <c r="C61" s="1039"/>
      <c r="D61" s="1040"/>
      <c r="E61" s="1055"/>
      <c r="F61" s="1056"/>
      <c r="G61" s="3073">
        <v>197</v>
      </c>
      <c r="H61" s="2133" t="s">
        <v>1185</v>
      </c>
      <c r="I61" s="3023" t="s">
        <v>1186</v>
      </c>
      <c r="J61" s="3078">
        <v>1</v>
      </c>
      <c r="K61" s="1089"/>
      <c r="L61" s="3028">
        <v>128</v>
      </c>
      <c r="M61" s="3024" t="s">
        <v>1187</v>
      </c>
      <c r="N61" s="2683">
        <f>SUM(S61:S64)/O61</f>
        <v>1</v>
      </c>
      <c r="O61" s="2988">
        <f>SUM(S61:S64)</f>
        <v>82000000</v>
      </c>
      <c r="P61" s="3024" t="s">
        <v>1131</v>
      </c>
      <c r="Q61" s="1908" t="s">
        <v>1188</v>
      </c>
      <c r="R61" s="21" t="s">
        <v>1189</v>
      </c>
      <c r="S61" s="1028">
        <v>6500000</v>
      </c>
      <c r="T61" s="3020" t="s">
        <v>146</v>
      </c>
      <c r="U61" s="3020" t="s">
        <v>1061</v>
      </c>
      <c r="V61" s="3086"/>
      <c r="W61" s="3083">
        <v>16975</v>
      </c>
      <c r="X61" s="3083">
        <v>34764</v>
      </c>
      <c r="Y61" s="3083">
        <v>38285</v>
      </c>
      <c r="Z61" s="3083">
        <v>69532</v>
      </c>
      <c r="AA61" s="3083">
        <v>103</v>
      </c>
      <c r="AB61" s="3083">
        <v>213</v>
      </c>
      <c r="AC61" s="3083">
        <v>12</v>
      </c>
      <c r="AD61" s="3083"/>
      <c r="AE61" s="3083"/>
      <c r="AF61" s="3086"/>
      <c r="AG61" s="3086"/>
      <c r="AH61" s="3026">
        <v>42736</v>
      </c>
      <c r="AI61" s="3026">
        <v>43100</v>
      </c>
      <c r="AJ61" s="3027" t="s">
        <v>1062</v>
      </c>
    </row>
    <row r="62" spans="1:36" ht="81" customHeight="1" x14ac:dyDescent="0.2">
      <c r="A62" s="1014"/>
      <c r="B62" s="1015"/>
      <c r="C62" s="1039"/>
      <c r="D62" s="1040"/>
      <c r="E62" s="1055"/>
      <c r="F62" s="1056"/>
      <c r="G62" s="3065"/>
      <c r="H62" s="2134"/>
      <c r="I62" s="3015"/>
      <c r="J62" s="3078"/>
      <c r="K62" s="1089" t="s">
        <v>1190</v>
      </c>
      <c r="L62" s="3028"/>
      <c r="M62" s="2989"/>
      <c r="N62" s="2684"/>
      <c r="O62" s="2988"/>
      <c r="P62" s="2989"/>
      <c r="Q62" s="1908"/>
      <c r="R62" s="21" t="s">
        <v>1191</v>
      </c>
      <c r="S62" s="1028">
        <v>1500000</v>
      </c>
      <c r="T62" s="3021"/>
      <c r="U62" s="3021"/>
      <c r="V62" s="3087"/>
      <c r="W62" s="3084"/>
      <c r="X62" s="3084"/>
      <c r="Y62" s="3084"/>
      <c r="Z62" s="3084"/>
      <c r="AA62" s="3084"/>
      <c r="AB62" s="3084"/>
      <c r="AC62" s="3084"/>
      <c r="AD62" s="3084"/>
      <c r="AE62" s="3084"/>
      <c r="AF62" s="3087"/>
      <c r="AG62" s="3087"/>
      <c r="AH62" s="3026"/>
      <c r="AI62" s="3026"/>
      <c r="AJ62" s="3027"/>
    </row>
    <row r="63" spans="1:36" ht="54.75" customHeight="1" x14ac:dyDescent="0.2">
      <c r="A63" s="1014"/>
      <c r="B63" s="1015"/>
      <c r="C63" s="1039"/>
      <c r="D63" s="1040"/>
      <c r="E63" s="1055"/>
      <c r="F63" s="1056"/>
      <c r="G63" s="3065"/>
      <c r="H63" s="2134"/>
      <c r="I63" s="3015"/>
      <c r="J63" s="3078"/>
      <c r="K63" s="1089" t="s">
        <v>1192</v>
      </c>
      <c r="L63" s="3028"/>
      <c r="M63" s="2989"/>
      <c r="N63" s="2684"/>
      <c r="O63" s="2988"/>
      <c r="P63" s="2989"/>
      <c r="Q63" s="1874" t="s">
        <v>1193</v>
      </c>
      <c r="R63" s="21" t="s">
        <v>1194</v>
      </c>
      <c r="S63" s="1028">
        <f>25000000+40000000</f>
        <v>65000000</v>
      </c>
      <c r="T63" s="3021"/>
      <c r="U63" s="3021"/>
      <c r="V63" s="3087"/>
      <c r="W63" s="3084"/>
      <c r="X63" s="3084"/>
      <c r="Y63" s="3084"/>
      <c r="Z63" s="3084"/>
      <c r="AA63" s="3084"/>
      <c r="AB63" s="3084"/>
      <c r="AC63" s="3084"/>
      <c r="AD63" s="3084"/>
      <c r="AE63" s="3084"/>
      <c r="AF63" s="3087"/>
      <c r="AG63" s="3087"/>
      <c r="AH63" s="3030"/>
      <c r="AI63" s="3030"/>
      <c r="AJ63" s="3027"/>
    </row>
    <row r="64" spans="1:36" ht="59.25" customHeight="1" x14ac:dyDescent="0.2">
      <c r="A64" s="1014"/>
      <c r="B64" s="1015"/>
      <c r="C64" s="1094"/>
      <c r="D64" s="1104"/>
      <c r="E64" s="1105"/>
      <c r="F64" s="1106"/>
      <c r="G64" s="3066"/>
      <c r="H64" s="2135"/>
      <c r="I64" s="3031"/>
      <c r="J64" s="3078"/>
      <c r="K64" s="1092"/>
      <c r="L64" s="3036"/>
      <c r="M64" s="2990"/>
      <c r="N64" s="2685"/>
      <c r="O64" s="2988"/>
      <c r="P64" s="2990"/>
      <c r="Q64" s="1875"/>
      <c r="R64" s="21" t="s">
        <v>1195</v>
      </c>
      <c r="S64" s="1028">
        <v>9000000</v>
      </c>
      <c r="T64" s="3022"/>
      <c r="U64" s="3022"/>
      <c r="V64" s="3088"/>
      <c r="W64" s="3085"/>
      <c r="X64" s="3085"/>
      <c r="Y64" s="3085"/>
      <c r="Z64" s="3085"/>
      <c r="AA64" s="3085"/>
      <c r="AB64" s="3085"/>
      <c r="AC64" s="3085"/>
      <c r="AD64" s="3085"/>
      <c r="AE64" s="3085"/>
      <c r="AF64" s="3088"/>
      <c r="AG64" s="3088"/>
      <c r="AH64" s="3030"/>
      <c r="AI64" s="3030"/>
      <c r="AJ64" s="3027"/>
    </row>
    <row r="65" spans="1:36" ht="29.25" customHeight="1" x14ac:dyDescent="0.2">
      <c r="A65" s="1014"/>
      <c r="B65" s="1015"/>
      <c r="C65" s="1107">
        <v>19</v>
      </c>
      <c r="D65" s="1017" t="s">
        <v>1196</v>
      </c>
      <c r="E65" s="1108"/>
      <c r="F65" s="1108"/>
      <c r="G65" s="1108"/>
      <c r="H65" s="1108"/>
      <c r="I65" s="1108"/>
      <c r="J65" s="1108"/>
      <c r="K65" s="1108"/>
      <c r="L65" s="1108"/>
      <c r="M65" s="1108"/>
      <c r="N65" s="1108"/>
      <c r="O65" s="1108"/>
      <c r="P65" s="1108"/>
      <c r="Q65" s="1108"/>
      <c r="R65" s="1037"/>
      <c r="S65" s="1108"/>
      <c r="T65" s="1108"/>
      <c r="U65" s="1108"/>
      <c r="V65" s="1108"/>
      <c r="W65" s="1108"/>
      <c r="X65" s="1108"/>
      <c r="Y65" s="1108"/>
      <c r="Z65" s="1108"/>
      <c r="AA65" s="1108"/>
      <c r="AB65" s="1108"/>
      <c r="AC65" s="1108"/>
      <c r="AD65" s="1108"/>
      <c r="AE65" s="1108"/>
      <c r="AF65" s="1108"/>
      <c r="AG65" s="1108"/>
      <c r="AH65" s="1108"/>
      <c r="AI65" s="1108"/>
      <c r="AJ65" s="1038"/>
    </row>
    <row r="66" spans="1:36" ht="30" customHeight="1" x14ac:dyDescent="0.2">
      <c r="A66" s="1014"/>
      <c r="B66" s="1015"/>
      <c r="C66" s="2998"/>
      <c r="D66" s="2999"/>
      <c r="E66" s="653">
        <v>67</v>
      </c>
      <c r="F66" s="1099" t="s">
        <v>1197</v>
      </c>
      <c r="G66" s="1100"/>
      <c r="H66" s="1100"/>
      <c r="I66" s="1100"/>
      <c r="J66" s="1100"/>
      <c r="K66" s="1100"/>
      <c r="L66" s="1100"/>
      <c r="M66" s="1100"/>
      <c r="N66" s="1100"/>
      <c r="O66" s="1100"/>
      <c r="P66" s="1100"/>
      <c r="Q66" s="1100"/>
      <c r="R66" s="1044"/>
      <c r="S66" s="1100"/>
      <c r="T66" s="1100"/>
      <c r="U66" s="1100"/>
      <c r="V66" s="1100"/>
      <c r="W66" s="1100"/>
      <c r="X66" s="1100"/>
      <c r="Y66" s="1100"/>
      <c r="Z66" s="1100"/>
      <c r="AA66" s="1100"/>
      <c r="AB66" s="1100"/>
      <c r="AC66" s="1100"/>
      <c r="AD66" s="1100"/>
      <c r="AE66" s="1100"/>
      <c r="AF66" s="1100"/>
      <c r="AG66" s="1100"/>
      <c r="AH66" s="1100"/>
      <c r="AI66" s="1100"/>
      <c r="AJ66" s="1045"/>
    </row>
    <row r="67" spans="1:36" s="725" customFormat="1" ht="81" customHeight="1" x14ac:dyDescent="0.2">
      <c r="A67" s="1014"/>
      <c r="B67" s="1015"/>
      <c r="C67" s="2998"/>
      <c r="D67" s="2999"/>
      <c r="E67" s="1069"/>
      <c r="F67" s="866"/>
      <c r="G67" s="3072">
        <v>198</v>
      </c>
      <c r="H67" s="3023" t="s">
        <v>1198</v>
      </c>
      <c r="I67" s="1873" t="s">
        <v>1199</v>
      </c>
      <c r="J67" s="3092">
        <v>1</v>
      </c>
      <c r="K67" s="1109"/>
      <c r="L67" s="3101">
        <v>129</v>
      </c>
      <c r="M67" s="3015" t="s">
        <v>1200</v>
      </c>
      <c r="N67" s="3089">
        <f>SUM(S67:S69)/O67</f>
        <v>2.6145196407975354E-2</v>
      </c>
      <c r="O67" s="3058">
        <f>SUM(S67:S72)</f>
        <v>4207273806</v>
      </c>
      <c r="P67" s="3015" t="s">
        <v>1201</v>
      </c>
      <c r="Q67" s="2015" t="s">
        <v>1202</v>
      </c>
      <c r="R67" s="673" t="s">
        <v>1203</v>
      </c>
      <c r="S67" s="1110">
        <v>20000000</v>
      </c>
      <c r="T67" s="3020" t="s">
        <v>146</v>
      </c>
      <c r="U67" s="3020" t="s">
        <v>1204</v>
      </c>
      <c r="V67" s="3099"/>
      <c r="W67" s="3099"/>
      <c r="X67" s="3099"/>
      <c r="Y67" s="3099"/>
      <c r="Z67" s="3099"/>
      <c r="AA67" s="3099">
        <v>81882</v>
      </c>
      <c r="AB67" s="3099"/>
      <c r="AC67" s="3099"/>
      <c r="AD67" s="3099"/>
      <c r="AE67" s="3099"/>
      <c r="AF67" s="3099"/>
      <c r="AG67" s="3099"/>
      <c r="AH67" s="3026">
        <v>42736</v>
      </c>
      <c r="AI67" s="3026">
        <v>43100</v>
      </c>
      <c r="AJ67" s="3094" t="s">
        <v>1062</v>
      </c>
    </row>
    <row r="68" spans="1:36" s="725" customFormat="1" ht="81" customHeight="1" x14ac:dyDescent="0.2">
      <c r="A68" s="1014"/>
      <c r="B68" s="1015"/>
      <c r="C68" s="2998"/>
      <c r="D68" s="2999"/>
      <c r="E68" s="19"/>
      <c r="F68" s="867"/>
      <c r="G68" s="3072"/>
      <c r="H68" s="3015"/>
      <c r="I68" s="1874"/>
      <c r="J68" s="3093"/>
      <c r="K68" s="1111"/>
      <c r="L68" s="3101"/>
      <c r="M68" s="3015"/>
      <c r="N68" s="3089"/>
      <c r="O68" s="3090"/>
      <c r="P68" s="3015"/>
      <c r="Q68" s="2015"/>
      <c r="R68" s="45" t="s">
        <v>1205</v>
      </c>
      <c r="S68" s="1112">
        <f>49000000+40000000</f>
        <v>89000000</v>
      </c>
      <c r="T68" s="3021"/>
      <c r="U68" s="3021"/>
      <c r="V68" s="3099"/>
      <c r="W68" s="3099"/>
      <c r="X68" s="3099"/>
      <c r="Y68" s="3099"/>
      <c r="Z68" s="3099"/>
      <c r="AA68" s="3099"/>
      <c r="AB68" s="3099"/>
      <c r="AC68" s="3099"/>
      <c r="AD68" s="3099"/>
      <c r="AE68" s="3099"/>
      <c r="AF68" s="3099"/>
      <c r="AG68" s="3099"/>
      <c r="AH68" s="3026"/>
      <c r="AI68" s="3026"/>
      <c r="AJ68" s="3094"/>
    </row>
    <row r="69" spans="1:36" s="725" customFormat="1" ht="77.25" customHeight="1" x14ac:dyDescent="0.2">
      <c r="A69" s="1014"/>
      <c r="B69" s="1015"/>
      <c r="C69" s="2998"/>
      <c r="D69" s="2999"/>
      <c r="E69" s="19"/>
      <c r="F69" s="867"/>
      <c r="G69" s="3072"/>
      <c r="H69" s="3015"/>
      <c r="I69" s="1874"/>
      <c r="J69" s="3093"/>
      <c r="K69" s="1111" t="s">
        <v>1206</v>
      </c>
      <c r="L69" s="3101"/>
      <c r="M69" s="3015"/>
      <c r="N69" s="3089"/>
      <c r="O69" s="3090"/>
      <c r="P69" s="3015"/>
      <c r="Q69" s="2015"/>
      <c r="R69" s="45" t="s">
        <v>1207</v>
      </c>
      <c r="S69" s="1112">
        <v>1000000</v>
      </c>
      <c r="T69" s="3021"/>
      <c r="U69" s="3021"/>
      <c r="V69" s="3099"/>
      <c r="W69" s="3099"/>
      <c r="X69" s="3099"/>
      <c r="Y69" s="3099"/>
      <c r="Z69" s="3099"/>
      <c r="AA69" s="3099"/>
      <c r="AB69" s="3099"/>
      <c r="AC69" s="3099"/>
      <c r="AD69" s="3099"/>
      <c r="AE69" s="3099"/>
      <c r="AF69" s="3099"/>
      <c r="AG69" s="3099"/>
      <c r="AH69" s="3026"/>
      <c r="AI69" s="3026"/>
      <c r="AJ69" s="3094"/>
    </row>
    <row r="70" spans="1:36" s="725" customFormat="1" ht="77.25" customHeight="1" x14ac:dyDescent="0.2">
      <c r="A70" s="1014"/>
      <c r="B70" s="1015"/>
      <c r="C70" s="2998"/>
      <c r="D70" s="2999"/>
      <c r="E70" s="19"/>
      <c r="F70" s="867"/>
      <c r="G70" s="1113">
        <v>199</v>
      </c>
      <c r="H70" s="1075" t="s">
        <v>1208</v>
      </c>
      <c r="I70" s="23" t="s">
        <v>1209</v>
      </c>
      <c r="J70" s="1114">
        <v>4</v>
      </c>
      <c r="K70" s="1111" t="s">
        <v>1210</v>
      </c>
      <c r="L70" s="3101"/>
      <c r="M70" s="3015"/>
      <c r="N70" s="1115">
        <f>+S70/O67</f>
        <v>2.3768360370886687E-3</v>
      </c>
      <c r="O70" s="3090"/>
      <c r="P70" s="3015"/>
      <c r="Q70" s="2015"/>
      <c r="R70" s="45" t="s">
        <v>1211</v>
      </c>
      <c r="S70" s="1116">
        <v>10000000</v>
      </c>
      <c r="T70" s="3021"/>
      <c r="U70" s="3021"/>
      <c r="V70" s="3099"/>
      <c r="W70" s="3099"/>
      <c r="X70" s="3099"/>
      <c r="Y70" s="3099"/>
      <c r="Z70" s="3099"/>
      <c r="AA70" s="3099"/>
      <c r="AB70" s="3099"/>
      <c r="AC70" s="3099"/>
      <c r="AD70" s="3099"/>
      <c r="AE70" s="3099"/>
      <c r="AF70" s="3099"/>
      <c r="AG70" s="3099"/>
      <c r="AH70" s="3026"/>
      <c r="AI70" s="3026"/>
      <c r="AJ70" s="3094"/>
    </row>
    <row r="71" spans="1:36" s="725" customFormat="1" ht="94.5" customHeight="1" x14ac:dyDescent="0.2">
      <c r="A71" s="1014"/>
      <c r="B71" s="1015"/>
      <c r="C71" s="2998"/>
      <c r="D71" s="2999"/>
      <c r="E71" s="19"/>
      <c r="F71" s="867"/>
      <c r="G71" s="1117">
        <v>200</v>
      </c>
      <c r="H71" s="306" t="s">
        <v>1212</v>
      </c>
      <c r="I71" s="21" t="s">
        <v>1213</v>
      </c>
      <c r="J71" s="20">
        <v>12</v>
      </c>
      <c r="K71" s="1118" t="s">
        <v>1214</v>
      </c>
      <c r="L71" s="3101"/>
      <c r="M71" s="3015"/>
      <c r="N71" s="1115">
        <f>+S71/O67</f>
        <v>0.2914433903140175</v>
      </c>
      <c r="O71" s="3090"/>
      <c r="P71" s="3015"/>
      <c r="Q71" s="2015"/>
      <c r="R71" s="1913" t="s">
        <v>1215</v>
      </c>
      <c r="S71" s="1028">
        <f>834000000+392182142</f>
        <v>1226182142</v>
      </c>
      <c r="T71" s="1119">
        <v>84</v>
      </c>
      <c r="U71" s="3021"/>
      <c r="V71" s="3099"/>
      <c r="W71" s="3099"/>
      <c r="X71" s="3099"/>
      <c r="Y71" s="3099"/>
      <c r="Z71" s="3099"/>
      <c r="AA71" s="3099"/>
      <c r="AB71" s="3099"/>
      <c r="AC71" s="3099"/>
      <c r="AD71" s="3099"/>
      <c r="AE71" s="3099"/>
      <c r="AF71" s="3099"/>
      <c r="AG71" s="3099"/>
      <c r="AH71" s="3026"/>
      <c r="AI71" s="3026"/>
      <c r="AJ71" s="3094"/>
    </row>
    <row r="72" spans="1:36" s="725" customFormat="1" ht="94.5" customHeight="1" thickBot="1" x14ac:dyDescent="0.25">
      <c r="A72" s="1014"/>
      <c r="B72" s="1015"/>
      <c r="C72" s="2998"/>
      <c r="D72" s="2999"/>
      <c r="E72" s="19"/>
      <c r="F72" s="867"/>
      <c r="G72" s="1031">
        <v>201</v>
      </c>
      <c r="H72" s="52" t="s">
        <v>1216</v>
      </c>
      <c r="I72" s="52" t="s">
        <v>1217</v>
      </c>
      <c r="J72" s="1120">
        <v>14</v>
      </c>
      <c r="K72" s="1121" t="s">
        <v>1218</v>
      </c>
      <c r="L72" s="3101"/>
      <c r="M72" s="3015"/>
      <c r="N72" s="1122">
        <f>+S72/O67</f>
        <v>0.68003457724091843</v>
      </c>
      <c r="O72" s="3091"/>
      <c r="P72" s="3015"/>
      <c r="Q72" s="2015"/>
      <c r="R72" s="1913"/>
      <c r="S72" s="1123">
        <f>1946000000+915091664</f>
        <v>2861091664</v>
      </c>
      <c r="T72" s="1119">
        <v>6</v>
      </c>
      <c r="U72" s="3100"/>
      <c r="V72" s="3099"/>
      <c r="W72" s="3099"/>
      <c r="X72" s="3099"/>
      <c r="Y72" s="3099"/>
      <c r="Z72" s="3099"/>
      <c r="AA72" s="3099"/>
      <c r="AB72" s="3099"/>
      <c r="AC72" s="3099"/>
      <c r="AD72" s="3099"/>
      <c r="AE72" s="3099"/>
      <c r="AF72" s="3099"/>
      <c r="AG72" s="3099"/>
      <c r="AH72" s="3053"/>
      <c r="AI72" s="3053"/>
      <c r="AJ72" s="3095"/>
    </row>
    <row r="73" spans="1:36" ht="39.75" customHeight="1" thickBot="1" x14ac:dyDescent="0.25">
      <c r="A73" s="1124"/>
      <c r="B73" s="1125"/>
      <c r="C73" s="1125"/>
      <c r="D73" s="1125"/>
      <c r="E73" s="1125"/>
      <c r="F73" s="1125"/>
      <c r="G73" s="1125"/>
      <c r="H73" s="1125"/>
      <c r="I73" s="1125"/>
      <c r="J73" s="1125"/>
      <c r="K73" s="1125"/>
      <c r="L73" s="1125"/>
      <c r="M73" s="1125"/>
      <c r="N73" s="1126" t="s">
        <v>1219</v>
      </c>
      <c r="O73" s="1127">
        <f>SUM(O12:O72)</f>
        <v>6999273806</v>
      </c>
      <c r="P73" s="1128"/>
      <c r="Q73" s="1129"/>
      <c r="R73" s="1130"/>
      <c r="S73" s="1131">
        <f>SUM(S12:S72)</f>
        <v>6999273806</v>
      </c>
      <c r="T73" s="1132"/>
      <c r="U73" s="1129"/>
      <c r="V73" s="1129"/>
      <c r="W73" s="1129"/>
      <c r="X73" s="1129"/>
      <c r="Y73" s="1129"/>
      <c r="Z73" s="1129"/>
      <c r="AA73" s="1129"/>
      <c r="AB73" s="1129"/>
      <c r="AC73" s="1129"/>
      <c r="AD73" s="1129"/>
      <c r="AE73" s="1129"/>
      <c r="AF73" s="1129"/>
      <c r="AG73" s="1129"/>
      <c r="AH73" s="1129"/>
      <c r="AI73" s="1129"/>
      <c r="AJ73" s="1133"/>
    </row>
    <row r="74" spans="1:36" ht="15" x14ac:dyDescent="0.25">
      <c r="A74" s="627"/>
      <c r="B74" s="627"/>
      <c r="C74" s="627"/>
      <c r="D74" s="627"/>
      <c r="E74" s="1134"/>
      <c r="F74" s="1135"/>
      <c r="G74" s="1136"/>
      <c r="H74" s="1136"/>
      <c r="I74" s="677"/>
      <c r="J74" s="1137"/>
      <c r="K74" s="1137"/>
      <c r="L74" s="1137"/>
      <c r="M74" s="677"/>
      <c r="N74" s="1138"/>
      <c r="O74" s="1139"/>
      <c r="P74" s="1136"/>
      <c r="Q74" s="1140"/>
      <c r="R74" s="1141"/>
      <c r="S74" s="1142"/>
      <c r="T74" s="627"/>
      <c r="U74" s="627"/>
      <c r="V74" s="1143"/>
      <c r="W74" s="1143"/>
      <c r="X74" s="1143"/>
      <c r="Y74" s="1143"/>
      <c r="Z74" s="1143"/>
      <c r="AA74" s="1143"/>
      <c r="AB74" s="1143"/>
      <c r="AC74" s="1143"/>
      <c r="AD74" s="1143"/>
      <c r="AE74" s="1143"/>
      <c r="AF74" s="1143"/>
      <c r="AJ74" s="1145"/>
    </row>
    <row r="75" spans="1:36" ht="24.75" customHeight="1" x14ac:dyDescent="0.25">
      <c r="A75" s="627"/>
      <c r="B75" s="627"/>
      <c r="C75" s="627"/>
      <c r="D75" s="627"/>
      <c r="E75" s="1134"/>
      <c r="F75" s="1135"/>
      <c r="G75" s="1137"/>
      <c r="H75" s="1137"/>
      <c r="I75" s="1137"/>
      <c r="J75" s="1137"/>
      <c r="K75" s="1137"/>
      <c r="L75" s="1137"/>
      <c r="M75" s="677"/>
      <c r="N75" s="1138"/>
      <c r="O75" s="1139"/>
      <c r="P75" s="1136"/>
      <c r="Q75" s="1140"/>
      <c r="R75" s="1141"/>
      <c r="S75" s="1146"/>
      <c r="T75" s="627"/>
      <c r="U75" s="627"/>
      <c r="V75" s="1143"/>
      <c r="W75" s="1143"/>
      <c r="X75" s="1143"/>
      <c r="Y75" s="1143"/>
      <c r="Z75" s="1143"/>
      <c r="AA75" s="1143"/>
      <c r="AB75" s="1143"/>
      <c r="AC75" s="1143"/>
      <c r="AD75" s="1143"/>
      <c r="AE75" s="1143"/>
      <c r="AF75" s="1143"/>
      <c r="AJ75" s="1145"/>
    </row>
    <row r="76" spans="1:36" ht="28.5" customHeight="1" x14ac:dyDescent="0.2">
      <c r="E76" s="1134"/>
      <c r="F76" s="1147"/>
      <c r="G76" s="1134"/>
      <c r="H76" s="1134"/>
      <c r="I76" s="1134"/>
      <c r="J76" s="1134"/>
      <c r="K76" s="1137"/>
      <c r="L76" s="1137"/>
      <c r="M76" s="1138"/>
      <c r="N76" s="1138"/>
      <c r="O76" s="1148"/>
      <c r="P76" s="1136"/>
      <c r="Q76" s="1140"/>
      <c r="S76" s="1149"/>
      <c r="T76" s="627"/>
      <c r="U76" s="627"/>
      <c r="V76" s="1143"/>
      <c r="W76" s="1143"/>
      <c r="X76" s="1143"/>
      <c r="Y76" s="1143"/>
      <c r="Z76" s="1143"/>
      <c r="AA76" s="1143"/>
      <c r="AB76" s="1143"/>
      <c r="AC76" s="1143"/>
      <c r="AD76" s="1143"/>
      <c r="AE76" s="1143"/>
      <c r="AF76" s="1143"/>
      <c r="AJ76" s="1145"/>
    </row>
    <row r="77" spans="1:36" x14ac:dyDescent="0.2">
      <c r="A77" s="627"/>
      <c r="B77" s="627"/>
      <c r="C77" s="627"/>
      <c r="D77" s="627"/>
      <c r="E77" s="1134"/>
      <c r="F77" s="1147"/>
      <c r="G77" s="1134"/>
      <c r="H77" s="1134"/>
      <c r="I77" s="1134"/>
      <c r="J77" s="1134"/>
      <c r="K77" s="1137"/>
      <c r="L77" s="1137"/>
      <c r="M77" s="1138"/>
      <c r="N77" s="1138"/>
      <c r="O77" s="1150"/>
      <c r="P77" s="1138"/>
      <c r="Q77" s="1138"/>
      <c r="R77" s="1141"/>
      <c r="S77" s="1151"/>
      <c r="T77" s="627"/>
      <c r="U77" s="627"/>
      <c r="V77" s="1143"/>
      <c r="W77" s="1143"/>
      <c r="X77" s="1143"/>
      <c r="Y77" s="1143"/>
      <c r="Z77" s="1143"/>
      <c r="AA77" s="1143"/>
      <c r="AB77" s="1143"/>
      <c r="AC77" s="1143"/>
      <c r="AD77" s="1143"/>
      <c r="AE77" s="1143"/>
      <c r="AF77" s="1143"/>
      <c r="AJ77" s="1145"/>
    </row>
    <row r="78" spans="1:36" x14ac:dyDescent="0.2">
      <c r="A78" s="627"/>
      <c r="B78" s="627"/>
      <c r="C78" s="627"/>
      <c r="D78" s="627"/>
      <c r="E78" s="1134"/>
      <c r="F78" s="1147"/>
      <c r="G78" s="1134"/>
      <c r="H78" s="1134"/>
      <c r="I78" s="1134"/>
      <c r="J78" s="1134"/>
      <c r="K78" s="1137"/>
      <c r="L78" s="1137"/>
      <c r="M78" s="1138"/>
      <c r="N78" s="1138"/>
      <c r="O78" s="1150"/>
      <c r="P78" s="1138"/>
      <c r="Q78" s="627"/>
      <c r="R78" s="1152"/>
      <c r="S78" s="1151"/>
      <c r="T78" s="627"/>
      <c r="U78" s="627"/>
      <c r="V78" s="1143"/>
      <c r="W78" s="1143"/>
      <c r="X78" s="1143"/>
      <c r="Y78" s="1143"/>
      <c r="Z78" s="1143"/>
      <c r="AA78" s="1143"/>
      <c r="AB78" s="1143"/>
      <c r="AC78" s="1143"/>
      <c r="AD78" s="1143"/>
      <c r="AE78" s="1143"/>
      <c r="AF78" s="1143"/>
    </row>
    <row r="79" spans="1:36" x14ac:dyDescent="0.2">
      <c r="A79" s="627"/>
      <c r="B79" s="627"/>
      <c r="C79" s="627"/>
      <c r="D79" s="627"/>
      <c r="E79" s="1134"/>
      <c r="F79" s="1147"/>
      <c r="G79" s="1134"/>
      <c r="H79" s="1134"/>
      <c r="I79" s="1134"/>
      <c r="J79" s="1134"/>
      <c r="K79" s="1137"/>
      <c r="L79" s="1137"/>
      <c r="M79" s="1138"/>
      <c r="N79" s="1138"/>
      <c r="O79" s="1150"/>
      <c r="P79" s="1138"/>
      <c r="Q79" s="627"/>
      <c r="R79" s="1152"/>
      <c r="S79" s="1151"/>
      <c r="T79" s="627"/>
      <c r="U79" s="627"/>
      <c r="V79" s="1143"/>
      <c r="W79" s="1143"/>
      <c r="X79" s="1143"/>
      <c r="Y79" s="1143"/>
      <c r="Z79" s="1143"/>
      <c r="AA79" s="1143"/>
      <c r="AB79" s="1143"/>
      <c r="AC79" s="1143"/>
      <c r="AD79" s="1143"/>
      <c r="AE79" s="1143"/>
      <c r="AF79" s="1143"/>
    </row>
    <row r="80" spans="1:36" ht="15" x14ac:dyDescent="0.2">
      <c r="A80" s="627"/>
      <c r="B80" s="627"/>
      <c r="C80" s="627"/>
      <c r="D80" s="627"/>
      <c r="E80" s="1134"/>
      <c r="F80" s="1147"/>
      <c r="G80" s="1134"/>
      <c r="H80" s="1851" t="s">
        <v>1220</v>
      </c>
      <c r="I80" s="1851"/>
      <c r="J80" s="1134"/>
      <c r="K80" s="1137"/>
      <c r="L80" s="1137"/>
      <c r="M80" s="1138"/>
      <c r="N80" s="1138"/>
      <c r="O80" s="1150"/>
      <c r="P80" s="1138"/>
      <c r="Q80" s="627"/>
      <c r="R80" s="1152"/>
      <c r="S80" s="1151"/>
      <c r="T80" s="627"/>
      <c r="U80" s="627"/>
      <c r="V80" s="1143"/>
      <c r="W80" s="1143"/>
      <c r="X80" s="1143"/>
      <c r="Y80" s="1143"/>
      <c r="Z80" s="1143"/>
      <c r="AA80" s="1143"/>
      <c r="AB80" s="1143"/>
      <c r="AC80" s="1143"/>
      <c r="AD80" s="1143"/>
      <c r="AE80" s="1143"/>
      <c r="AF80" s="1143"/>
    </row>
    <row r="81" spans="1:36" ht="15" x14ac:dyDescent="0.25">
      <c r="A81" s="627"/>
      <c r="B81" s="627"/>
      <c r="C81" s="627"/>
      <c r="D81" s="627"/>
      <c r="E81" s="1134"/>
      <c r="F81" s="1147"/>
      <c r="G81" s="1134"/>
      <c r="H81" s="3096" t="s">
        <v>1221</v>
      </c>
      <c r="I81" s="3096"/>
      <c r="J81" s="1134"/>
      <c r="K81" s="1137"/>
      <c r="L81" s="1137"/>
      <c r="M81" s="1138"/>
      <c r="N81" s="1138"/>
      <c r="O81" s="1150"/>
      <c r="P81" s="1138"/>
      <c r="Q81" s="627"/>
      <c r="R81" s="1152"/>
      <c r="S81" s="1151"/>
      <c r="T81" s="627"/>
      <c r="U81" s="627"/>
      <c r="V81" s="1143"/>
      <c r="W81" s="1143"/>
      <c r="X81" s="1143"/>
      <c r="Y81" s="1143"/>
      <c r="Z81" s="1143"/>
      <c r="AA81" s="1143"/>
      <c r="AB81" s="1143"/>
      <c r="AC81" s="1143"/>
      <c r="AD81" s="1143"/>
      <c r="AE81" s="1143"/>
      <c r="AF81" s="1143"/>
    </row>
    <row r="82" spans="1:36" x14ac:dyDescent="0.2">
      <c r="E82" s="1134"/>
      <c r="F82" s="1147"/>
      <c r="G82" s="1134"/>
      <c r="H82" s="1134"/>
      <c r="I82" s="1134"/>
      <c r="J82" s="1134"/>
      <c r="K82" s="1137"/>
      <c r="L82" s="1137"/>
      <c r="M82" s="1138"/>
      <c r="N82" s="1138"/>
      <c r="O82" s="1150"/>
      <c r="P82" s="1138"/>
      <c r="Q82" s="627"/>
      <c r="R82" s="1152"/>
      <c r="S82" s="1151"/>
      <c r="T82" s="627"/>
      <c r="U82" s="627"/>
      <c r="V82" s="1143"/>
      <c r="W82" s="1143"/>
      <c r="X82" s="1143"/>
      <c r="Y82" s="1143"/>
      <c r="Z82" s="1143"/>
      <c r="AA82" s="1143"/>
      <c r="AB82" s="1143"/>
      <c r="AC82" s="1143"/>
      <c r="AD82" s="1143"/>
      <c r="AE82" s="1143"/>
      <c r="AF82" s="1143"/>
    </row>
    <row r="83" spans="1:36" x14ac:dyDescent="0.2">
      <c r="A83" s="627"/>
      <c r="B83" s="627"/>
      <c r="C83" s="627"/>
      <c r="D83" s="627"/>
      <c r="E83" s="1134"/>
      <c r="F83" s="1147"/>
      <c r="G83" s="1134"/>
      <c r="H83" s="1134"/>
      <c r="I83" s="1134"/>
      <c r="J83" s="1134"/>
      <c r="K83" s="1137"/>
      <c r="L83" s="1137"/>
      <c r="M83" s="1138"/>
      <c r="N83" s="1138"/>
      <c r="O83" s="1150"/>
      <c r="P83" s="1138"/>
      <c r="Q83" s="627"/>
      <c r="R83" s="1152"/>
      <c r="S83" s="1151"/>
      <c r="T83" s="627"/>
      <c r="U83" s="627"/>
      <c r="V83" s="1143"/>
      <c r="W83" s="1143"/>
      <c r="X83" s="1143"/>
      <c r="Y83" s="1143"/>
      <c r="Z83" s="1143"/>
      <c r="AA83" s="1143"/>
      <c r="AB83" s="1143"/>
      <c r="AC83" s="1143"/>
      <c r="AD83" s="1143"/>
      <c r="AE83" s="1143"/>
      <c r="AF83" s="1143"/>
    </row>
    <row r="84" spans="1:36" x14ac:dyDescent="0.2">
      <c r="A84" s="627"/>
      <c r="B84" s="627"/>
      <c r="C84" s="627"/>
      <c r="D84" s="627"/>
      <c r="E84" s="1134"/>
      <c r="F84" s="1147"/>
      <c r="G84" s="1134"/>
      <c r="H84" s="1134"/>
      <c r="I84" s="1134"/>
      <c r="J84" s="1134"/>
      <c r="K84" s="1137"/>
      <c r="L84" s="1137"/>
      <c r="M84" s="1138"/>
      <c r="N84" s="1138"/>
      <c r="O84" s="1150"/>
      <c r="P84" s="1138"/>
      <c r="Q84" s="627"/>
      <c r="R84" s="1152"/>
      <c r="S84" s="1151"/>
      <c r="T84" s="627"/>
      <c r="U84" s="627"/>
      <c r="V84" s="1143"/>
      <c r="W84" s="1143"/>
      <c r="X84" s="1143"/>
      <c r="Y84" s="1143"/>
      <c r="Z84" s="1143"/>
      <c r="AA84" s="1143"/>
      <c r="AB84" s="1143"/>
      <c r="AC84" s="1143"/>
      <c r="AD84" s="1143"/>
      <c r="AE84" s="1143"/>
      <c r="AF84" s="1143"/>
    </row>
    <row r="85" spans="1:36" ht="12.75" customHeight="1" x14ac:dyDescent="0.2">
      <c r="A85" s="627"/>
      <c r="B85" s="627"/>
      <c r="C85" s="627"/>
      <c r="D85" s="3097" t="s">
        <v>1222</v>
      </c>
      <c r="E85" s="3097"/>
      <c r="F85" s="3097"/>
      <c r="G85" s="3097"/>
      <c r="H85" s="3098" t="s">
        <v>1223</v>
      </c>
      <c r="I85" s="3098"/>
      <c r="J85" s="1134"/>
      <c r="K85" s="1137"/>
      <c r="L85" s="1137"/>
      <c r="M85" s="1138"/>
      <c r="N85" s="1138"/>
      <c r="O85" s="1150"/>
      <c r="P85" s="1138"/>
      <c r="Q85" s="627"/>
      <c r="R85" s="1152"/>
      <c r="S85" s="1151"/>
      <c r="T85" s="627"/>
      <c r="U85" s="627"/>
      <c r="V85" s="1143"/>
      <c r="W85" s="1143"/>
      <c r="X85" s="1143"/>
      <c r="Y85" s="1143"/>
      <c r="Z85" s="1143"/>
      <c r="AA85" s="1143"/>
      <c r="AB85" s="1143"/>
      <c r="AC85" s="1143"/>
      <c r="AD85" s="1143"/>
      <c r="AE85" s="1143"/>
      <c r="AF85" s="1143"/>
    </row>
    <row r="86" spans="1:36" x14ac:dyDescent="0.2">
      <c r="A86" s="627"/>
      <c r="B86" s="627"/>
      <c r="C86" s="627"/>
      <c r="D86" s="627"/>
      <c r="E86" s="1134"/>
      <c r="F86" s="1147"/>
      <c r="G86" s="1134"/>
      <c r="H86" s="1134"/>
      <c r="I86" s="1134"/>
      <c r="J86" s="1134"/>
      <c r="K86" s="1137"/>
      <c r="L86" s="1137"/>
      <c r="M86" s="1138"/>
      <c r="N86" s="1138"/>
      <c r="O86" s="1150"/>
      <c r="P86" s="1138"/>
      <c r="Q86" s="627"/>
      <c r="R86" s="1152"/>
      <c r="S86" s="1151"/>
      <c r="T86" s="627"/>
      <c r="U86" s="627"/>
      <c r="V86" s="1143"/>
      <c r="W86" s="1143"/>
      <c r="X86" s="1143"/>
      <c r="Y86" s="1143"/>
      <c r="Z86" s="1143"/>
      <c r="AA86" s="1143"/>
      <c r="AB86" s="1143"/>
      <c r="AC86" s="1143"/>
      <c r="AD86" s="1143"/>
      <c r="AE86" s="1143"/>
      <c r="AF86" s="1143"/>
    </row>
    <row r="87" spans="1:36" x14ac:dyDescent="0.2">
      <c r="A87" s="627"/>
      <c r="B87" s="627"/>
      <c r="C87" s="627"/>
      <c r="D87" s="627"/>
      <c r="E87" s="1134"/>
      <c r="F87" s="1147"/>
      <c r="G87" s="1134"/>
      <c r="H87" s="1134"/>
      <c r="I87" s="1134"/>
      <c r="J87" s="1134"/>
      <c r="K87" s="1137"/>
      <c r="L87" s="1137"/>
      <c r="M87" s="1138"/>
      <c r="N87" s="1138"/>
      <c r="O87" s="1150"/>
      <c r="P87" s="1138"/>
      <c r="Q87" s="627"/>
      <c r="R87" s="1152"/>
      <c r="S87" s="1151"/>
      <c r="T87" s="627"/>
      <c r="U87" s="627"/>
      <c r="V87" s="1143"/>
      <c r="W87" s="1143"/>
      <c r="X87" s="1143"/>
      <c r="Y87" s="1143"/>
      <c r="Z87" s="1143"/>
      <c r="AA87" s="1143"/>
      <c r="AB87" s="1143"/>
      <c r="AC87" s="1143"/>
      <c r="AD87" s="1143"/>
      <c r="AE87" s="1143"/>
      <c r="AF87" s="1143"/>
    </row>
    <row r="88" spans="1:36" x14ac:dyDescent="0.2">
      <c r="A88" s="627"/>
      <c r="B88" s="627"/>
      <c r="C88" s="627"/>
      <c r="D88" s="627"/>
      <c r="E88" s="1134"/>
      <c r="F88" s="1147"/>
      <c r="G88" s="1134"/>
      <c r="H88" s="1134"/>
      <c r="I88" s="1134"/>
      <c r="J88" s="1134"/>
      <c r="K88" s="1137"/>
      <c r="L88" s="1137"/>
      <c r="M88" s="1138"/>
      <c r="N88" s="1138"/>
      <c r="O88" s="1150"/>
      <c r="P88" s="1138"/>
      <c r="Q88" s="627"/>
      <c r="R88" s="1152"/>
      <c r="S88" s="1151"/>
      <c r="T88" s="627"/>
      <c r="U88" s="627"/>
      <c r="V88" s="1143"/>
      <c r="W88" s="1143"/>
      <c r="X88" s="1143"/>
      <c r="Y88" s="1143"/>
      <c r="Z88" s="1143"/>
      <c r="AA88" s="1143"/>
      <c r="AB88" s="1143"/>
      <c r="AC88" s="1143"/>
      <c r="AD88" s="1143"/>
      <c r="AE88" s="1143"/>
      <c r="AF88" s="1143"/>
      <c r="AH88" s="1153"/>
      <c r="AI88" s="1154"/>
      <c r="AJ88" s="1153"/>
    </row>
    <row r="89" spans="1:36" x14ac:dyDescent="0.2">
      <c r="A89" s="627"/>
      <c r="B89" s="627"/>
      <c r="C89" s="627"/>
      <c r="D89" s="627"/>
      <c r="E89" s="1134"/>
      <c r="F89" s="1147"/>
      <c r="G89" s="1134"/>
      <c r="H89" s="1134"/>
      <c r="I89" s="1134"/>
      <c r="J89" s="1134"/>
      <c r="K89" s="1137"/>
      <c r="L89" s="1137"/>
      <c r="M89" s="1138"/>
      <c r="N89" s="1138"/>
      <c r="O89" s="1150"/>
      <c r="P89" s="1138"/>
      <c r="Q89" s="627"/>
      <c r="R89" s="1152"/>
      <c r="S89" s="1151"/>
      <c r="T89" s="627"/>
      <c r="U89" s="627"/>
      <c r="V89" s="1143"/>
      <c r="W89" s="1143"/>
      <c r="X89" s="1143"/>
      <c r="Y89" s="1143"/>
      <c r="Z89" s="1143"/>
      <c r="AA89" s="1143"/>
      <c r="AB89" s="1143"/>
      <c r="AC89" s="1143"/>
      <c r="AD89" s="1143"/>
      <c r="AE89" s="1143"/>
      <c r="AF89" s="1143"/>
      <c r="AH89" s="1153"/>
      <c r="AI89" s="1153"/>
      <c r="AJ89" s="1153"/>
    </row>
    <row r="90" spans="1:36" x14ac:dyDescent="0.2">
      <c r="A90" s="627"/>
      <c r="B90" s="627"/>
      <c r="C90" s="627"/>
      <c r="D90" s="627"/>
      <c r="E90" s="1134"/>
      <c r="F90" s="1147"/>
      <c r="G90" s="1134"/>
      <c r="H90" s="1134"/>
      <c r="I90" s="1134"/>
      <c r="J90" s="1134"/>
      <c r="K90" s="1137"/>
      <c r="L90" s="1137"/>
      <c r="M90" s="1138"/>
      <c r="N90" s="1138"/>
      <c r="O90" s="1150"/>
      <c r="P90" s="1138"/>
      <c r="Q90" s="627"/>
      <c r="R90" s="1152"/>
      <c r="S90" s="1151"/>
      <c r="T90" s="627"/>
      <c r="U90" s="627"/>
      <c r="V90" s="1143"/>
      <c r="W90" s="1143"/>
      <c r="X90" s="1143"/>
      <c r="Y90" s="1143"/>
      <c r="Z90" s="1143"/>
      <c r="AA90" s="1143"/>
      <c r="AB90" s="1143"/>
      <c r="AC90" s="1143"/>
      <c r="AD90" s="1143"/>
      <c r="AE90" s="1143"/>
      <c r="AF90" s="1143"/>
      <c r="AH90" s="1153"/>
      <c r="AI90" s="1153"/>
      <c r="AJ90" s="1153"/>
    </row>
    <row r="91" spans="1:36" x14ac:dyDescent="0.2">
      <c r="A91" s="627"/>
      <c r="B91" s="627"/>
      <c r="C91" s="627"/>
      <c r="D91" s="627"/>
      <c r="E91" s="1134"/>
      <c r="F91" s="1147"/>
      <c r="G91" s="1134"/>
      <c r="H91" s="1134"/>
      <c r="I91" s="1134"/>
      <c r="J91" s="1134"/>
      <c r="K91" s="1137"/>
      <c r="L91" s="1137"/>
      <c r="M91" s="1138"/>
      <c r="N91" s="1138"/>
      <c r="O91" s="1150"/>
      <c r="P91" s="1138"/>
      <c r="Q91" s="627"/>
      <c r="R91" s="1152"/>
      <c r="S91" s="1151"/>
      <c r="T91" s="627"/>
      <c r="U91" s="627"/>
      <c r="V91" s="1143"/>
      <c r="W91" s="1143"/>
      <c r="X91" s="1143"/>
      <c r="Y91" s="1143"/>
      <c r="Z91" s="1143"/>
      <c r="AA91" s="1143"/>
      <c r="AB91" s="1143"/>
      <c r="AC91" s="1143"/>
      <c r="AD91" s="1143"/>
      <c r="AE91" s="1143"/>
      <c r="AF91" s="1143"/>
      <c r="AH91" s="1153"/>
      <c r="AI91" s="1153"/>
      <c r="AJ91" s="1153"/>
    </row>
    <row r="92" spans="1:36" x14ac:dyDescent="0.2">
      <c r="A92" s="627"/>
      <c r="B92" s="627"/>
      <c r="C92" s="627"/>
      <c r="D92" s="627"/>
      <c r="E92" s="1134"/>
      <c r="F92" s="1147"/>
      <c r="G92" s="1134"/>
      <c r="H92" s="1134"/>
      <c r="I92" s="1134"/>
      <c r="J92" s="1134"/>
      <c r="K92" s="1137"/>
      <c r="L92" s="1137"/>
      <c r="M92" s="1138"/>
      <c r="N92" s="1138"/>
      <c r="O92" s="1150"/>
      <c r="P92" s="1138"/>
      <c r="Q92" s="627"/>
      <c r="R92" s="1152"/>
      <c r="S92" s="1151"/>
      <c r="T92" s="627"/>
      <c r="U92" s="627"/>
      <c r="V92" s="1143"/>
      <c r="W92" s="1143"/>
      <c r="X92" s="1143"/>
      <c r="Y92" s="1143"/>
      <c r="Z92" s="1143"/>
      <c r="AA92" s="1143"/>
      <c r="AB92" s="1143"/>
      <c r="AC92" s="1143"/>
      <c r="AD92" s="1143"/>
      <c r="AE92" s="1143"/>
      <c r="AF92" s="1143"/>
      <c r="AH92" s="1153"/>
      <c r="AI92" s="1153"/>
      <c r="AJ92" s="1153"/>
    </row>
    <row r="93" spans="1:36" x14ac:dyDescent="0.2">
      <c r="A93" s="627"/>
      <c r="B93" s="627"/>
      <c r="C93" s="627"/>
      <c r="D93" s="627"/>
      <c r="E93" s="1134"/>
      <c r="F93" s="1147"/>
      <c r="G93" s="1134"/>
      <c r="H93" s="1134"/>
      <c r="I93" s="1134"/>
      <c r="J93" s="1134"/>
      <c r="K93" s="1137"/>
      <c r="L93" s="1137"/>
      <c r="M93" s="1138"/>
      <c r="N93" s="1138"/>
      <c r="O93" s="1150"/>
      <c r="P93" s="1138"/>
      <c r="Q93" s="627"/>
      <c r="R93" s="1152"/>
      <c r="S93" s="1151"/>
      <c r="T93" s="627"/>
      <c r="U93" s="627"/>
      <c r="V93" s="1143"/>
      <c r="W93" s="1143"/>
      <c r="X93" s="1143"/>
      <c r="Y93" s="1143"/>
      <c r="Z93" s="1143"/>
      <c r="AA93" s="1143"/>
      <c r="AB93" s="1143"/>
      <c r="AC93" s="1143"/>
      <c r="AD93" s="1143"/>
      <c r="AE93" s="1143"/>
      <c r="AF93" s="1143"/>
    </row>
    <row r="94" spans="1:36" x14ac:dyDescent="0.2">
      <c r="A94" s="627"/>
      <c r="B94" s="627"/>
      <c r="C94" s="627"/>
      <c r="D94" s="627"/>
      <c r="E94" s="1134"/>
      <c r="F94" s="1147"/>
      <c r="G94" s="1134"/>
      <c r="H94" s="1134"/>
      <c r="I94" s="1134"/>
      <c r="J94" s="1134"/>
      <c r="K94" s="1137"/>
      <c r="L94" s="1137"/>
      <c r="M94" s="1138"/>
      <c r="N94" s="1138"/>
      <c r="O94" s="1150"/>
      <c r="P94" s="1138"/>
      <c r="Q94" s="627"/>
      <c r="R94" s="1152"/>
      <c r="S94" s="1151"/>
      <c r="T94" s="627"/>
      <c r="U94" s="627"/>
      <c r="V94" s="1143"/>
      <c r="W94" s="1143"/>
      <c r="X94" s="1143"/>
      <c r="Y94" s="1143"/>
      <c r="Z94" s="1143"/>
      <c r="AA94" s="1143"/>
      <c r="AB94" s="1143"/>
      <c r="AC94" s="1143"/>
      <c r="AD94" s="1143"/>
      <c r="AE94" s="1143"/>
      <c r="AF94" s="1143"/>
    </row>
    <row r="95" spans="1:36" x14ac:dyDescent="0.2">
      <c r="A95" s="627"/>
      <c r="B95" s="627"/>
      <c r="C95" s="627"/>
      <c r="D95" s="627"/>
      <c r="E95" s="1134"/>
      <c r="F95" s="1147"/>
      <c r="G95" s="1134"/>
      <c r="H95" s="1134"/>
      <c r="I95" s="1134"/>
      <c r="J95" s="1134"/>
      <c r="K95" s="1137"/>
      <c r="L95" s="1137"/>
      <c r="M95" s="1138"/>
      <c r="N95" s="1138"/>
      <c r="O95" s="1150"/>
      <c r="P95" s="1138"/>
      <c r="Q95" s="627"/>
      <c r="R95" s="1152"/>
      <c r="S95" s="1151"/>
      <c r="T95" s="627"/>
      <c r="U95" s="627"/>
      <c r="V95" s="1143"/>
      <c r="W95" s="1143"/>
      <c r="X95" s="1143"/>
      <c r="Y95" s="1143"/>
      <c r="Z95" s="1143"/>
      <c r="AA95" s="1143"/>
      <c r="AB95" s="1143"/>
      <c r="AC95" s="1143"/>
      <c r="AD95" s="1143"/>
      <c r="AE95" s="1143"/>
      <c r="AF95" s="1143"/>
    </row>
    <row r="96" spans="1:36" x14ac:dyDescent="0.2">
      <c r="A96" s="627"/>
      <c r="B96" s="627"/>
      <c r="C96" s="627"/>
      <c r="D96" s="627"/>
      <c r="E96" s="1134"/>
      <c r="F96" s="1147"/>
      <c r="G96" s="1134"/>
      <c r="H96" s="1134"/>
      <c r="I96" s="1134"/>
      <c r="J96" s="1134"/>
      <c r="K96" s="1137"/>
      <c r="L96" s="1137"/>
      <c r="M96" s="1138"/>
      <c r="N96" s="1138"/>
      <c r="O96" s="1150"/>
      <c r="P96" s="1138"/>
      <c r="Q96" s="627"/>
      <c r="R96" s="1152"/>
      <c r="S96" s="1151"/>
      <c r="T96" s="627"/>
      <c r="U96" s="627"/>
      <c r="V96" s="1143"/>
      <c r="W96" s="1143"/>
      <c r="X96" s="1143"/>
      <c r="Y96" s="1143"/>
      <c r="Z96" s="1143"/>
      <c r="AA96" s="1143"/>
      <c r="AB96" s="1143"/>
      <c r="AC96" s="1143"/>
      <c r="AD96" s="1143"/>
      <c r="AE96" s="1143"/>
      <c r="AF96" s="1143"/>
    </row>
    <row r="97" spans="1:32" x14ac:dyDescent="0.2">
      <c r="A97" s="627"/>
      <c r="B97" s="627"/>
      <c r="C97" s="627"/>
      <c r="D97" s="627"/>
      <c r="E97" s="1134"/>
      <c r="F97" s="1147"/>
      <c r="G97" s="1134"/>
      <c r="H97" s="1134"/>
      <c r="I97" s="1134"/>
      <c r="J97" s="1134"/>
      <c r="K97" s="1137"/>
      <c r="L97" s="1137"/>
      <c r="M97" s="1138"/>
      <c r="N97" s="1138"/>
      <c r="O97" s="1150"/>
      <c r="P97" s="1138"/>
      <c r="Q97" s="627"/>
      <c r="R97" s="1152"/>
      <c r="S97" s="1151"/>
      <c r="T97" s="627"/>
      <c r="U97" s="627"/>
      <c r="V97" s="1143"/>
      <c r="W97" s="1143"/>
      <c r="X97" s="1143"/>
      <c r="Y97" s="1143"/>
      <c r="Z97" s="1143"/>
      <c r="AA97" s="1143"/>
      <c r="AB97" s="1143"/>
      <c r="AC97" s="1143"/>
      <c r="AD97" s="1143"/>
      <c r="AE97" s="1143"/>
      <c r="AF97" s="1143"/>
    </row>
    <row r="98" spans="1:32" x14ac:dyDescent="0.2">
      <c r="A98" s="627"/>
      <c r="B98" s="627"/>
      <c r="C98" s="627"/>
      <c r="D98" s="627"/>
      <c r="E98" s="1134"/>
      <c r="F98" s="1147"/>
      <c r="G98" s="1134"/>
      <c r="H98" s="1134"/>
      <c r="I98" s="1134"/>
      <c r="J98" s="1134"/>
      <c r="K98" s="1137"/>
      <c r="L98" s="1137"/>
      <c r="M98" s="1138"/>
      <c r="N98" s="1138"/>
      <c r="O98" s="1150"/>
      <c r="P98" s="1138"/>
      <c r="Q98" s="627"/>
      <c r="R98" s="1152"/>
      <c r="S98" s="1151"/>
      <c r="T98" s="627"/>
      <c r="U98" s="627"/>
      <c r="V98" s="1143"/>
      <c r="W98" s="1143"/>
      <c r="X98" s="1143"/>
      <c r="Y98" s="1143"/>
      <c r="Z98" s="1143"/>
      <c r="AA98" s="1143"/>
      <c r="AB98" s="1143"/>
      <c r="AC98" s="1143"/>
      <c r="AD98" s="1143"/>
      <c r="AE98" s="1143"/>
      <c r="AF98" s="1143"/>
    </row>
    <row r="99" spans="1:32" x14ac:dyDescent="0.2">
      <c r="A99" s="627"/>
      <c r="B99" s="627"/>
      <c r="C99" s="627"/>
      <c r="D99" s="627"/>
      <c r="E99" s="1134"/>
      <c r="F99" s="1147"/>
      <c r="G99" s="1134"/>
      <c r="H99" s="1134"/>
      <c r="I99" s="1134"/>
      <c r="J99" s="1134"/>
      <c r="K99" s="1134"/>
      <c r="L99" s="1134"/>
      <c r="M99" s="627"/>
      <c r="N99" s="627"/>
      <c r="O99" s="1151"/>
      <c r="P99" s="627"/>
      <c r="Q99" s="627"/>
      <c r="R99" s="1152"/>
      <c r="S99" s="1151"/>
      <c r="T99" s="627"/>
      <c r="U99" s="627"/>
      <c r="V99" s="1143"/>
      <c r="W99" s="1143"/>
      <c r="X99" s="1143"/>
      <c r="Y99" s="1143"/>
      <c r="Z99" s="1143"/>
      <c r="AA99" s="1143"/>
      <c r="AB99" s="1143"/>
      <c r="AC99" s="1143"/>
      <c r="AD99" s="1143"/>
      <c r="AE99" s="1143"/>
      <c r="AF99" s="1143"/>
    </row>
    <row r="100" spans="1:32" x14ac:dyDescent="0.2">
      <c r="A100" s="627"/>
      <c r="B100" s="627"/>
      <c r="C100" s="627"/>
      <c r="D100" s="627"/>
      <c r="E100" s="627"/>
      <c r="F100" s="1155"/>
      <c r="G100" s="627"/>
      <c r="H100" s="627"/>
      <c r="I100" s="627"/>
      <c r="J100" s="627"/>
      <c r="K100" s="627"/>
      <c r="L100" s="627"/>
      <c r="M100" s="627"/>
      <c r="N100" s="627"/>
      <c r="O100" s="1151"/>
      <c r="P100" s="627"/>
      <c r="Q100" s="627"/>
      <c r="R100" s="1152"/>
      <c r="S100" s="1151"/>
      <c r="T100" s="627"/>
      <c r="U100" s="627"/>
      <c r="V100" s="1143"/>
      <c r="W100" s="1143"/>
      <c r="X100" s="1143"/>
      <c r="Y100" s="1143"/>
      <c r="Z100" s="1143"/>
      <c r="AA100" s="1143"/>
      <c r="AB100" s="1143"/>
      <c r="AC100" s="1143"/>
      <c r="AD100" s="1143"/>
      <c r="AE100" s="1143"/>
      <c r="AF100" s="1143"/>
    </row>
    <row r="101" spans="1:32" x14ac:dyDescent="0.2">
      <c r="A101" s="627"/>
      <c r="B101" s="627"/>
      <c r="C101" s="627"/>
      <c r="D101" s="627"/>
      <c r="E101" s="627"/>
      <c r="F101" s="1155"/>
      <c r="G101" s="627"/>
      <c r="H101" s="627"/>
      <c r="I101" s="627"/>
      <c r="J101" s="627"/>
      <c r="K101" s="627"/>
      <c r="L101" s="627"/>
      <c r="M101" s="627"/>
      <c r="N101" s="627"/>
      <c r="O101" s="1151"/>
      <c r="P101" s="627"/>
      <c r="Q101" s="627"/>
      <c r="R101" s="1152"/>
      <c r="S101" s="1151"/>
      <c r="T101" s="627"/>
      <c r="U101" s="627"/>
      <c r="V101" s="1143"/>
      <c r="W101" s="1143"/>
      <c r="X101" s="1143"/>
      <c r="Y101" s="1143"/>
      <c r="Z101" s="1143"/>
      <c r="AA101" s="1143"/>
      <c r="AB101" s="1143"/>
      <c r="AC101" s="1143"/>
      <c r="AD101" s="1143"/>
      <c r="AE101" s="1143"/>
      <c r="AF101" s="1143"/>
    </row>
    <row r="102" spans="1:32" x14ac:dyDescent="0.2">
      <c r="A102" s="627"/>
      <c r="B102" s="627"/>
      <c r="C102" s="627"/>
      <c r="D102" s="627"/>
      <c r="E102" s="627"/>
      <c r="F102" s="1155"/>
      <c r="G102" s="627"/>
      <c r="H102" s="627"/>
      <c r="I102" s="627"/>
      <c r="J102" s="627"/>
      <c r="K102" s="627"/>
      <c r="L102" s="627"/>
      <c r="M102" s="627"/>
      <c r="N102" s="627"/>
      <c r="O102" s="1151"/>
      <c r="P102" s="627"/>
      <c r="Q102" s="627"/>
      <c r="R102" s="1152"/>
      <c r="S102" s="1151"/>
      <c r="T102" s="627"/>
      <c r="U102" s="627"/>
      <c r="V102" s="1143"/>
      <c r="W102" s="1143"/>
      <c r="X102" s="1143"/>
      <c r="Y102" s="1143"/>
      <c r="Z102" s="1143"/>
      <c r="AA102" s="1143"/>
      <c r="AB102" s="1143"/>
      <c r="AC102" s="1143"/>
      <c r="AD102" s="1143"/>
      <c r="AE102" s="1143"/>
      <c r="AF102" s="1143"/>
    </row>
    <row r="103" spans="1:32" x14ac:dyDescent="0.2">
      <c r="A103" s="627"/>
      <c r="B103" s="627"/>
      <c r="C103" s="627"/>
      <c r="D103" s="627"/>
      <c r="E103" s="627"/>
      <c r="F103" s="1155"/>
      <c r="G103" s="627"/>
      <c r="H103" s="627"/>
      <c r="I103" s="627"/>
      <c r="J103" s="627"/>
      <c r="K103" s="627"/>
      <c r="L103" s="627"/>
      <c r="M103" s="627"/>
      <c r="N103" s="627"/>
      <c r="O103" s="1151"/>
      <c r="P103" s="627"/>
      <c r="Q103" s="627"/>
      <c r="R103" s="1152"/>
      <c r="S103" s="1151"/>
      <c r="T103" s="627"/>
      <c r="U103" s="627"/>
      <c r="V103" s="1143"/>
      <c r="W103" s="1143"/>
      <c r="X103" s="1143"/>
      <c r="Y103" s="1143"/>
      <c r="Z103" s="1143"/>
      <c r="AA103" s="1143"/>
      <c r="AB103" s="1143"/>
      <c r="AC103" s="1143"/>
      <c r="AD103" s="1143"/>
      <c r="AE103" s="1143"/>
      <c r="AF103" s="1143"/>
    </row>
    <row r="104" spans="1:32" x14ac:dyDescent="0.2">
      <c r="A104" s="627"/>
      <c r="B104" s="627"/>
      <c r="C104" s="627"/>
      <c r="D104" s="627"/>
      <c r="E104" s="627"/>
      <c r="F104" s="1155"/>
      <c r="G104" s="627"/>
      <c r="H104" s="627"/>
      <c r="I104" s="627"/>
      <c r="J104" s="627"/>
      <c r="K104" s="627"/>
      <c r="L104" s="627"/>
      <c r="M104" s="627"/>
      <c r="N104" s="627"/>
      <c r="O104" s="1151"/>
      <c r="P104" s="627"/>
      <c r="Q104" s="627"/>
    </row>
    <row r="105" spans="1:32" x14ac:dyDescent="0.2">
      <c r="A105" s="627"/>
      <c r="B105" s="627"/>
      <c r="C105" s="627"/>
      <c r="D105" s="627"/>
      <c r="E105" s="627"/>
      <c r="F105" s="1155"/>
      <c r="G105" s="627"/>
      <c r="H105" s="627"/>
      <c r="I105" s="627"/>
      <c r="J105" s="627"/>
      <c r="K105" s="627"/>
      <c r="L105" s="627"/>
      <c r="M105" s="627"/>
      <c r="N105" s="627"/>
      <c r="O105" s="1151"/>
      <c r="P105" s="627"/>
      <c r="Q105" s="627"/>
    </row>
  </sheetData>
  <mergeCells count="400">
    <mergeCell ref="AJ67:AJ72"/>
    <mergeCell ref="R71:R72"/>
    <mergeCell ref="H80:I80"/>
    <mergeCell ref="H81:I81"/>
    <mergeCell ref="D85:G85"/>
    <mergeCell ref="H85:I85"/>
    <mergeCell ref="AH67:AH72"/>
    <mergeCell ref="AI67:AI72"/>
    <mergeCell ref="AG67:AG72"/>
    <mergeCell ref="AD67:AD72"/>
    <mergeCell ref="AE67:AE72"/>
    <mergeCell ref="AF67:AF72"/>
    <mergeCell ref="AA67:AA72"/>
    <mergeCell ref="AB67:AB72"/>
    <mergeCell ref="AC67:AC72"/>
    <mergeCell ref="X67:X72"/>
    <mergeCell ref="Y67:Y72"/>
    <mergeCell ref="Z67:Z72"/>
    <mergeCell ref="T67:T70"/>
    <mergeCell ref="U67:U72"/>
    <mergeCell ref="V67:V72"/>
    <mergeCell ref="W67:W72"/>
    <mergeCell ref="L67:L72"/>
    <mergeCell ref="M67:M72"/>
    <mergeCell ref="N67:N69"/>
    <mergeCell ref="O67:O72"/>
    <mergeCell ref="P67:P72"/>
    <mergeCell ref="Q67:Q72"/>
    <mergeCell ref="AJ61:AJ64"/>
    <mergeCell ref="C66:D72"/>
    <mergeCell ref="G67:G69"/>
    <mergeCell ref="H67:H69"/>
    <mergeCell ref="I67:I69"/>
    <mergeCell ref="J67:J69"/>
    <mergeCell ref="AH61:AH64"/>
    <mergeCell ref="AE61:AE64"/>
    <mergeCell ref="AF61:AF64"/>
    <mergeCell ref="AG61:AG64"/>
    <mergeCell ref="AI61:AI64"/>
    <mergeCell ref="AB61:AB64"/>
    <mergeCell ref="AC61:AC64"/>
    <mergeCell ref="AD61:AD64"/>
    <mergeCell ref="G61:G64"/>
    <mergeCell ref="H61:H64"/>
    <mergeCell ref="I61:I64"/>
    <mergeCell ref="J61:J64"/>
    <mergeCell ref="L61:L64"/>
    <mergeCell ref="M61:M64"/>
    <mergeCell ref="N58:N59"/>
    <mergeCell ref="Z61:Z64"/>
    <mergeCell ref="AA61:AA64"/>
    <mergeCell ref="U61:U64"/>
    <mergeCell ref="V61:V64"/>
    <mergeCell ref="W61:W64"/>
    <mergeCell ref="X61:X64"/>
    <mergeCell ref="Y61:Y64"/>
    <mergeCell ref="T61:T64"/>
    <mergeCell ref="Q63:Q64"/>
    <mergeCell ref="V58:V59"/>
    <mergeCell ref="W58:W59"/>
    <mergeCell ref="X58:X59"/>
    <mergeCell ref="N61:N64"/>
    <mergeCell ref="O61:O64"/>
    <mergeCell ref="P61:P64"/>
    <mergeCell ref="Q61:Q62"/>
    <mergeCell ref="AD58:AD59"/>
    <mergeCell ref="Y58:Y59"/>
    <mergeCell ref="Z58:Z59"/>
    <mergeCell ref="AA58:AA59"/>
    <mergeCell ref="AE58:AE59"/>
    <mergeCell ref="AF58:AF59"/>
    <mergeCell ref="AG58:AG59"/>
    <mergeCell ref="AB58:AB59"/>
    <mergeCell ref="AC58:AC59"/>
    <mergeCell ref="AI54:AI56"/>
    <mergeCell ref="AJ54:AJ56"/>
    <mergeCell ref="G58:G59"/>
    <mergeCell ref="H58:H59"/>
    <mergeCell ref="I58:I59"/>
    <mergeCell ref="J58:J59"/>
    <mergeCell ref="L58:L59"/>
    <mergeCell ref="M58:M59"/>
    <mergeCell ref="AH54:AH56"/>
    <mergeCell ref="AF54:AF56"/>
    <mergeCell ref="AG54:AG56"/>
    <mergeCell ref="AJ58:AJ59"/>
    <mergeCell ref="AH58:AH59"/>
    <mergeCell ref="AD54:AD56"/>
    <mergeCell ref="AE54:AE56"/>
    <mergeCell ref="O58:O59"/>
    <mergeCell ref="P58:P59"/>
    <mergeCell ref="Q58:Q59"/>
    <mergeCell ref="T58:T59"/>
    <mergeCell ref="U58:U59"/>
    <mergeCell ref="X54:X56"/>
    <mergeCell ref="Y54:Y56"/>
    <mergeCell ref="AC54:AC56"/>
    <mergeCell ref="AI58:AI59"/>
    <mergeCell ref="AJ50:AJ52"/>
    <mergeCell ref="G54:G56"/>
    <mergeCell ref="H54:H56"/>
    <mergeCell ref="I54:I56"/>
    <mergeCell ref="J54:J56"/>
    <mergeCell ref="L54:L56"/>
    <mergeCell ref="M54:M56"/>
    <mergeCell ref="N54:N56"/>
    <mergeCell ref="O54:O56"/>
    <mergeCell ref="AH50:AH52"/>
    <mergeCell ref="AI50:AI52"/>
    <mergeCell ref="AG50:AG52"/>
    <mergeCell ref="Z54:Z56"/>
    <mergeCell ref="AA54:AA56"/>
    <mergeCell ref="AB54:AB56"/>
    <mergeCell ref="AD50:AD52"/>
    <mergeCell ref="AE50:AE52"/>
    <mergeCell ref="AF50:AF52"/>
    <mergeCell ref="P54:P56"/>
    <mergeCell ref="Q54:Q56"/>
    <mergeCell ref="T54:T56"/>
    <mergeCell ref="U54:U56"/>
    <mergeCell ref="V54:V56"/>
    <mergeCell ref="W54:W56"/>
    <mergeCell ref="X50:X52"/>
    <mergeCell ref="Y50:Y52"/>
    <mergeCell ref="Z50:Z52"/>
    <mergeCell ref="AJ48:AJ49"/>
    <mergeCell ref="G50:G52"/>
    <mergeCell ref="H50:H52"/>
    <mergeCell ref="I50:I52"/>
    <mergeCell ref="J50:J52"/>
    <mergeCell ref="L50:L52"/>
    <mergeCell ref="M50:M52"/>
    <mergeCell ref="N50:N52"/>
    <mergeCell ref="O50:O52"/>
    <mergeCell ref="AH48:AH49"/>
    <mergeCell ref="AI48:AI49"/>
    <mergeCell ref="AG48:AG49"/>
    <mergeCell ref="AA50:AA52"/>
    <mergeCell ref="AB50:AB52"/>
    <mergeCell ref="AC50:AC52"/>
    <mergeCell ref="AD48:AD49"/>
    <mergeCell ref="AE48:AE49"/>
    <mergeCell ref="AF48:AF49"/>
    <mergeCell ref="AA48:AA49"/>
    <mergeCell ref="AB48:AB49"/>
    <mergeCell ref="AC48:AC49"/>
    <mergeCell ref="W48:W49"/>
    <mergeCell ref="L48:L49"/>
    <mergeCell ref="M48:M49"/>
    <mergeCell ref="N48:N49"/>
    <mergeCell ref="O48:O49"/>
    <mergeCell ref="P48:P52"/>
    <mergeCell ref="Q48:Q49"/>
    <mergeCell ref="Q50:Q51"/>
    <mergeCell ref="T50:T52"/>
    <mergeCell ref="U50:U52"/>
    <mergeCell ref="V50:V52"/>
    <mergeCell ref="W50:W52"/>
    <mergeCell ref="G48:G49"/>
    <mergeCell ref="H48:H49"/>
    <mergeCell ref="I48:I49"/>
    <mergeCell ref="J48:J49"/>
    <mergeCell ref="K48:K49"/>
    <mergeCell ref="AH45:AH46"/>
    <mergeCell ref="AE45:AE46"/>
    <mergeCell ref="AF45:AF46"/>
    <mergeCell ref="AG45:AG46"/>
    <mergeCell ref="AB45:AB46"/>
    <mergeCell ref="AC45:AC46"/>
    <mergeCell ref="AD45:AD46"/>
    <mergeCell ref="Y45:Y46"/>
    <mergeCell ref="G45:G46"/>
    <mergeCell ref="H45:H46"/>
    <mergeCell ref="I45:I46"/>
    <mergeCell ref="J45:J46"/>
    <mergeCell ref="L45:L46"/>
    <mergeCell ref="X48:X49"/>
    <mergeCell ref="Y48:Y49"/>
    <mergeCell ref="Z48:Z49"/>
    <mergeCell ref="T48:T49"/>
    <mergeCell ref="U48:U49"/>
    <mergeCell ref="V48:V49"/>
    <mergeCell ref="AI45:AI46"/>
    <mergeCell ref="AJ45:AJ46"/>
    <mergeCell ref="Z45:Z46"/>
    <mergeCell ref="AA45:AA46"/>
    <mergeCell ref="U45:U46"/>
    <mergeCell ref="V45:V46"/>
    <mergeCell ref="W45:W46"/>
    <mergeCell ref="X45:X46"/>
    <mergeCell ref="M45:M46"/>
    <mergeCell ref="N45:N46"/>
    <mergeCell ref="O45:O46"/>
    <mergeCell ref="P45:P46"/>
    <mergeCell ref="Q45:Q46"/>
    <mergeCell ref="T45:T46"/>
    <mergeCell ref="AI40:AI44"/>
    <mergeCell ref="AJ40:AJ44"/>
    <mergeCell ref="Q43:Q44"/>
    <mergeCell ref="R43:R44"/>
    <mergeCell ref="S43:S44"/>
    <mergeCell ref="AH40:AH44"/>
    <mergeCell ref="AF40:AF44"/>
    <mergeCell ref="AG40:AG44"/>
    <mergeCell ref="AC40:AC44"/>
    <mergeCell ref="AD40:AD44"/>
    <mergeCell ref="AE40:AE44"/>
    <mergeCell ref="Z40:Z44"/>
    <mergeCell ref="AA40:AA44"/>
    <mergeCell ref="AB40:AB44"/>
    <mergeCell ref="W40:W44"/>
    <mergeCell ref="X40:X44"/>
    <mergeCell ref="Y40:Y44"/>
    <mergeCell ref="S40:S41"/>
    <mergeCell ref="T40:T44"/>
    <mergeCell ref="U40:U44"/>
    <mergeCell ref="V40:V44"/>
    <mergeCell ref="AI32:AI37"/>
    <mergeCell ref="AJ32:AJ37"/>
    <mergeCell ref="Q35:Q37"/>
    <mergeCell ref="AH32:AH37"/>
    <mergeCell ref="AB32:AB37"/>
    <mergeCell ref="W32:W37"/>
    <mergeCell ref="X32:X37"/>
    <mergeCell ref="Y32:Y37"/>
    <mergeCell ref="P32:P37"/>
    <mergeCell ref="Q32:Q34"/>
    <mergeCell ref="G40:G44"/>
    <mergeCell ref="H40:H44"/>
    <mergeCell ref="I40:I44"/>
    <mergeCell ref="J40:J44"/>
    <mergeCell ref="L40:L44"/>
    <mergeCell ref="AF32:AF37"/>
    <mergeCell ref="AG32:AG37"/>
    <mergeCell ref="AC32:AC37"/>
    <mergeCell ref="AD32:AD37"/>
    <mergeCell ref="AE32:AE37"/>
    <mergeCell ref="Z32:Z37"/>
    <mergeCell ref="AA32:AA37"/>
    <mergeCell ref="T32:T37"/>
    <mergeCell ref="U32:U37"/>
    <mergeCell ref="V32:V37"/>
    <mergeCell ref="M40:M44"/>
    <mergeCell ref="N40:N44"/>
    <mergeCell ref="O40:O44"/>
    <mergeCell ref="P40:P44"/>
    <mergeCell ref="Q40:Q42"/>
    <mergeCell ref="R40:R41"/>
    <mergeCell ref="G32:G37"/>
    <mergeCell ref="H32:H37"/>
    <mergeCell ref="I32:I37"/>
    <mergeCell ref="J32:J37"/>
    <mergeCell ref="L32:L37"/>
    <mergeCell ref="M32:M37"/>
    <mergeCell ref="N32:N37"/>
    <mergeCell ref="O32:O37"/>
    <mergeCell ref="G29:G30"/>
    <mergeCell ref="H29:H30"/>
    <mergeCell ref="I29:I30"/>
    <mergeCell ref="J29:J30"/>
    <mergeCell ref="N29:N30"/>
    <mergeCell ref="AH21:AH25"/>
    <mergeCell ref="AI21:AI25"/>
    <mergeCell ref="AH27:AH30"/>
    <mergeCell ref="AI27:AI30"/>
    <mergeCell ref="AJ27:AJ30"/>
    <mergeCell ref="AE27:AE30"/>
    <mergeCell ref="AF27:AF30"/>
    <mergeCell ref="AG27:AG30"/>
    <mergeCell ref="AB27:AB30"/>
    <mergeCell ref="AC27:AC30"/>
    <mergeCell ref="AD27:AD30"/>
    <mergeCell ref="U21:U25"/>
    <mergeCell ref="L21:L25"/>
    <mergeCell ref="M21:M25"/>
    <mergeCell ref="Y27:Y30"/>
    <mergeCell ref="Z27:Z30"/>
    <mergeCell ref="AA27:AA30"/>
    <mergeCell ref="U27:U30"/>
    <mergeCell ref="V27:V30"/>
    <mergeCell ref="W27:W30"/>
    <mergeCell ref="X27:X30"/>
    <mergeCell ref="Q29:Q30"/>
    <mergeCell ref="V18:V19"/>
    <mergeCell ref="W18:W19"/>
    <mergeCell ref="X18:X19"/>
    <mergeCell ref="AJ21:AJ25"/>
    <mergeCell ref="L27:L30"/>
    <mergeCell ref="M27:M30"/>
    <mergeCell ref="O27:O30"/>
    <mergeCell ref="P27:P30"/>
    <mergeCell ref="T27:T30"/>
    <mergeCell ref="AE21:AE25"/>
    <mergeCell ref="AF21:AF25"/>
    <mergeCell ref="AG21:AG25"/>
    <mergeCell ref="AB21:AB25"/>
    <mergeCell ref="AC21:AC25"/>
    <mergeCell ref="AD21:AD25"/>
    <mergeCell ref="Y21:Y25"/>
    <mergeCell ref="Z21:Z25"/>
    <mergeCell ref="AA21:AA25"/>
    <mergeCell ref="V21:V25"/>
    <mergeCell ref="W21:W25"/>
    <mergeCell ref="X21:X25"/>
    <mergeCell ref="R21:R22"/>
    <mergeCell ref="S21:S22"/>
    <mergeCell ref="T21:T25"/>
    <mergeCell ref="AJ18:AJ19"/>
    <mergeCell ref="G21:G23"/>
    <mergeCell ref="H21:H23"/>
    <mergeCell ref="I21:I23"/>
    <mergeCell ref="J21:J23"/>
    <mergeCell ref="AE18:AE19"/>
    <mergeCell ref="AF18:AF19"/>
    <mergeCell ref="AG18:AG19"/>
    <mergeCell ref="AB18:AB19"/>
    <mergeCell ref="AC18:AC19"/>
    <mergeCell ref="AD18:AD19"/>
    <mergeCell ref="O18:O19"/>
    <mergeCell ref="P18:P19"/>
    <mergeCell ref="T18:T19"/>
    <mergeCell ref="U18:U19"/>
    <mergeCell ref="N21:N23"/>
    <mergeCell ref="O21:O25"/>
    <mergeCell ref="P21:P25"/>
    <mergeCell ref="Q21:Q23"/>
    <mergeCell ref="AH18:AH19"/>
    <mergeCell ref="AI18:AI19"/>
    <mergeCell ref="Y18:Y19"/>
    <mergeCell ref="Z18:Z19"/>
    <mergeCell ref="AA18:AA19"/>
    <mergeCell ref="AI12:AI15"/>
    <mergeCell ref="AJ12:AJ15"/>
    <mergeCell ref="G18:G19"/>
    <mergeCell ref="H18:H19"/>
    <mergeCell ref="I18:I19"/>
    <mergeCell ref="J18:J19"/>
    <mergeCell ref="K18:K19"/>
    <mergeCell ref="L18:L19"/>
    <mergeCell ref="AH12:AH15"/>
    <mergeCell ref="AF12:AF15"/>
    <mergeCell ref="AG12:AG15"/>
    <mergeCell ref="AE12:AE15"/>
    <mergeCell ref="Z12:Z15"/>
    <mergeCell ref="AA12:AA15"/>
    <mergeCell ref="AB12:AB15"/>
    <mergeCell ref="W12:W15"/>
    <mergeCell ref="X12:X15"/>
    <mergeCell ref="Y12:Y15"/>
    <mergeCell ref="T12:T15"/>
    <mergeCell ref="U12:U15"/>
    <mergeCell ref="V12:V15"/>
    <mergeCell ref="AC12:AC15"/>
    <mergeCell ref="M18:M19"/>
    <mergeCell ref="N18:N19"/>
    <mergeCell ref="I12:I14"/>
    <mergeCell ref="J12:J14"/>
    <mergeCell ref="L12:L15"/>
    <mergeCell ref="M12:M15"/>
    <mergeCell ref="R7:R8"/>
    <mergeCell ref="S7:S8"/>
    <mergeCell ref="F7:F8"/>
    <mergeCell ref="G7:G8"/>
    <mergeCell ref="H7:H8"/>
    <mergeCell ref="I7:I8"/>
    <mergeCell ref="J7:J8"/>
    <mergeCell ref="K7:K8"/>
    <mergeCell ref="A5:M6"/>
    <mergeCell ref="W5:AJ5"/>
    <mergeCell ref="N5:U6"/>
    <mergeCell ref="V6:AG6"/>
    <mergeCell ref="A1:AH4"/>
    <mergeCell ref="AJ7:AJ8"/>
    <mergeCell ref="N12:N14"/>
    <mergeCell ref="O12:O15"/>
    <mergeCell ref="P12:P15"/>
    <mergeCell ref="Q12:Q14"/>
    <mergeCell ref="R12:R13"/>
    <mergeCell ref="S12:S13"/>
    <mergeCell ref="AD12:AD15"/>
    <mergeCell ref="L7:L8"/>
    <mergeCell ref="M7:M8"/>
    <mergeCell ref="N7:N8"/>
    <mergeCell ref="O7:O8"/>
    <mergeCell ref="P7:P8"/>
    <mergeCell ref="Q7:Q8"/>
    <mergeCell ref="AH7:AH8"/>
    <mergeCell ref="AI7:AI8"/>
    <mergeCell ref="E12:F15"/>
    <mergeCell ref="G12:G14"/>
    <mergeCell ref="H12:H14"/>
    <mergeCell ref="A7:A8"/>
    <mergeCell ref="B7:B8"/>
    <mergeCell ref="C7:C8"/>
    <mergeCell ref="D7:D8"/>
    <mergeCell ref="E7:E8"/>
    <mergeCell ref="T7:T8"/>
    <mergeCell ref="U7:U8"/>
    <mergeCell ref="V7:AA7"/>
    <mergeCell ref="AB7:AG7"/>
  </mergeCells>
  <printOptions horizontalCentered="1" verticalCentered="1"/>
  <pageMargins left="0.70866141732283472" right="0.70866141732283472" top="0.74803149606299213" bottom="0.74803149606299213" header="0.31496062992125984" footer="0.31496062992125984"/>
  <pageSetup paperSize="5" scale="38" orientation="landscape" r:id="rId1"/>
  <rowBreaks count="4" manualBreakCount="4">
    <brk id="20" max="16383" man="1"/>
    <brk id="26" max="16383" man="1"/>
    <brk id="39" max="16383" man="1"/>
    <brk id="47"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showGridLines="0" topLeftCell="T1" zoomScale="70" zoomScaleNormal="70" workbookViewId="0">
      <selection activeCell="AL1" sqref="AL1"/>
    </sheetView>
  </sheetViews>
  <sheetFormatPr baseColWidth="10" defaultColWidth="11.42578125" defaultRowHeight="14.25" x14ac:dyDescent="0.2"/>
  <cols>
    <col min="1" max="1" width="11" style="1157" customWidth="1"/>
    <col min="2" max="2" width="17.140625" style="1157" customWidth="1"/>
    <col min="3" max="3" width="11.5703125" style="1157" bestFit="1" customWidth="1"/>
    <col min="4" max="4" width="17.140625" style="1157" customWidth="1"/>
    <col min="5" max="5" width="11.42578125" style="1157" hidden="1" customWidth="1"/>
    <col min="6" max="6" width="10.5703125" style="1157" customWidth="1"/>
    <col min="7" max="7" width="18.7109375" style="1157" customWidth="1"/>
    <col min="8" max="8" width="19" style="1157" customWidth="1"/>
    <col min="9" max="9" width="14.85546875" style="1157" customWidth="1"/>
    <col min="10" max="10" width="12.5703125" style="1157" customWidth="1"/>
    <col min="11" max="11" width="21.42578125" style="1157" customWidth="1"/>
    <col min="12" max="12" width="11.7109375" style="1157" customWidth="1"/>
    <col min="13" max="13" width="21.5703125" style="1157" customWidth="1"/>
    <col min="14" max="14" width="11.5703125" style="1157" bestFit="1" customWidth="1"/>
    <col min="15" max="15" width="18.7109375" style="1157" customWidth="1"/>
    <col min="16" max="16" width="26.85546875" style="1157" customWidth="1"/>
    <col min="17" max="17" width="27.42578125" style="1157" customWidth="1"/>
    <col min="18" max="18" width="35.85546875" style="1157" customWidth="1"/>
    <col min="19" max="19" width="24.42578125" style="1196" customWidth="1"/>
    <col min="20" max="20" width="14.7109375" style="1157" customWidth="1"/>
    <col min="21" max="21" width="16.140625" style="1157" customWidth="1"/>
    <col min="22" max="33" width="12.140625" style="1157" customWidth="1"/>
    <col min="34" max="34" width="14.28515625" style="1197" customWidth="1"/>
    <col min="35" max="35" width="13" style="1197" customWidth="1"/>
    <col min="36" max="36" width="24.28515625" style="1157" customWidth="1"/>
    <col min="37" max="16384" width="11.42578125" style="1157"/>
  </cols>
  <sheetData>
    <row r="1" spans="1:69"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8"/>
      <c r="AI1" s="816" t="s">
        <v>0</v>
      </c>
      <c r="AJ1" s="816" t="s">
        <v>1999</v>
      </c>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row>
    <row r="2" spans="1:69"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8"/>
      <c r="AI2" s="1826" t="s">
        <v>1</v>
      </c>
      <c r="AJ2" s="816" t="s">
        <v>848</v>
      </c>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row>
    <row r="3" spans="1:69"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8"/>
      <c r="AI3" s="816" t="s">
        <v>3</v>
      </c>
      <c r="AJ3" s="816" t="s">
        <v>2000</v>
      </c>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row>
    <row r="4" spans="1:69"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50"/>
      <c r="AI4" s="816" t="s">
        <v>4</v>
      </c>
      <c r="AJ4" s="817" t="s">
        <v>849</v>
      </c>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row>
    <row r="5" spans="1:69" s="84" customFormat="1" ht="27" customHeight="1" x14ac:dyDescent="0.2">
      <c r="A5" s="1851" t="s">
        <v>5</v>
      </c>
      <c r="B5" s="1851"/>
      <c r="C5" s="1851"/>
      <c r="D5" s="1851"/>
      <c r="E5" s="1851"/>
      <c r="F5" s="1851"/>
      <c r="G5" s="1851"/>
      <c r="H5" s="1851"/>
      <c r="I5" s="1851"/>
      <c r="J5" s="1851"/>
      <c r="K5" s="1851"/>
      <c r="L5" s="1851"/>
      <c r="M5" s="1851"/>
      <c r="N5" s="2764" t="s">
        <v>6</v>
      </c>
      <c r="O5" s="2765"/>
      <c r="P5" s="2765"/>
      <c r="Q5" s="2765"/>
      <c r="R5" s="2765"/>
      <c r="S5" s="2765"/>
      <c r="T5" s="2765"/>
      <c r="U5" s="2766"/>
      <c r="V5" s="2764"/>
      <c r="W5" s="2765"/>
      <c r="X5" s="2765"/>
      <c r="Y5" s="2765"/>
      <c r="Z5" s="2765"/>
      <c r="AA5" s="2765"/>
      <c r="AB5" s="2765"/>
      <c r="AC5" s="2765"/>
      <c r="AD5" s="2765"/>
      <c r="AE5" s="2765"/>
      <c r="AF5" s="2765"/>
      <c r="AG5" s="2765"/>
      <c r="AH5" s="2766"/>
      <c r="AI5" s="2764"/>
      <c r="AJ5" s="2766"/>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row>
    <row r="6" spans="1:69"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8" t="s">
        <v>7</v>
      </c>
      <c r="W6" s="819"/>
      <c r="X6" s="819"/>
      <c r="Z6" s="819"/>
      <c r="AA6" s="819"/>
      <c r="AB6" s="819"/>
      <c r="AC6" s="819"/>
      <c r="AD6" s="819"/>
      <c r="AE6" s="819"/>
      <c r="AF6" s="819"/>
      <c r="AG6" s="819"/>
      <c r="AH6" s="819"/>
      <c r="AI6" s="819"/>
      <c r="AJ6" s="1827"/>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row>
    <row r="7" spans="1:69" ht="42" customHeight="1" x14ac:dyDescent="0.2">
      <c r="A7" s="3102" t="s">
        <v>8</v>
      </c>
      <c r="B7" s="3102" t="s">
        <v>9</v>
      </c>
      <c r="C7" s="3102" t="s">
        <v>8</v>
      </c>
      <c r="D7" s="3104" t="s">
        <v>10</v>
      </c>
      <c r="E7" s="3105"/>
      <c r="F7" s="3102" t="s">
        <v>8</v>
      </c>
      <c r="G7" s="3102" t="s">
        <v>11</v>
      </c>
      <c r="H7" s="3102" t="s">
        <v>12</v>
      </c>
      <c r="I7" s="3102" t="s">
        <v>13</v>
      </c>
      <c r="J7" s="3102" t="s">
        <v>14</v>
      </c>
      <c r="K7" s="3102" t="s">
        <v>15</v>
      </c>
      <c r="L7" s="3102" t="s">
        <v>16</v>
      </c>
      <c r="M7" s="3102" t="s">
        <v>6</v>
      </c>
      <c r="N7" s="3102" t="s">
        <v>17</v>
      </c>
      <c r="O7" s="3102" t="s">
        <v>18</v>
      </c>
      <c r="P7" s="3102" t="s">
        <v>19</v>
      </c>
      <c r="Q7" s="3102" t="s">
        <v>20</v>
      </c>
      <c r="R7" s="3102" t="s">
        <v>21</v>
      </c>
      <c r="S7" s="3104" t="s">
        <v>18</v>
      </c>
      <c r="T7" s="3102" t="s">
        <v>8</v>
      </c>
      <c r="U7" s="3102" t="s">
        <v>22</v>
      </c>
      <c r="V7" s="3110" t="s">
        <v>23</v>
      </c>
      <c r="W7" s="3111"/>
      <c r="X7" s="3111"/>
      <c r="Y7" s="3111"/>
      <c r="Z7" s="3111"/>
      <c r="AA7" s="3111"/>
      <c r="AB7" s="3110" t="s">
        <v>24</v>
      </c>
      <c r="AC7" s="3111"/>
      <c r="AD7" s="3111"/>
      <c r="AE7" s="3111"/>
      <c r="AF7" s="3111"/>
      <c r="AG7" s="3111"/>
      <c r="AH7" s="3112" t="s">
        <v>25</v>
      </c>
      <c r="AI7" s="3112" t="s">
        <v>26</v>
      </c>
      <c r="AJ7" s="3114" t="s">
        <v>27</v>
      </c>
    </row>
    <row r="8" spans="1:69" ht="91.5" customHeight="1" x14ac:dyDescent="0.2">
      <c r="A8" s="3103"/>
      <c r="B8" s="3103"/>
      <c r="C8" s="3103"/>
      <c r="D8" s="3106"/>
      <c r="E8" s="3107"/>
      <c r="F8" s="3103"/>
      <c r="G8" s="3103"/>
      <c r="H8" s="3103"/>
      <c r="I8" s="3103"/>
      <c r="J8" s="3109"/>
      <c r="K8" s="3103"/>
      <c r="L8" s="3103"/>
      <c r="M8" s="3103"/>
      <c r="N8" s="3103"/>
      <c r="O8" s="3103"/>
      <c r="P8" s="3103"/>
      <c r="Q8" s="3103"/>
      <c r="R8" s="3103"/>
      <c r="S8" s="3108"/>
      <c r="T8" s="3103"/>
      <c r="U8" s="3103"/>
      <c r="V8" s="1830" t="s">
        <v>269</v>
      </c>
      <c r="W8" s="1830" t="s">
        <v>29</v>
      </c>
      <c r="X8" s="1830" t="s">
        <v>30</v>
      </c>
      <c r="Y8" s="1830" t="s">
        <v>31</v>
      </c>
      <c r="Z8" s="1830" t="s">
        <v>32</v>
      </c>
      <c r="AA8" s="1830" t="s">
        <v>33</v>
      </c>
      <c r="AB8" s="1830" t="s">
        <v>34</v>
      </c>
      <c r="AC8" s="1830" t="s">
        <v>35</v>
      </c>
      <c r="AD8" s="1830" t="s">
        <v>36</v>
      </c>
      <c r="AE8" s="1830" t="s">
        <v>37</v>
      </c>
      <c r="AF8" s="1830" t="s">
        <v>38</v>
      </c>
      <c r="AG8" s="1830" t="s">
        <v>39</v>
      </c>
      <c r="AH8" s="3113"/>
      <c r="AI8" s="3113"/>
      <c r="AJ8" s="3115"/>
    </row>
    <row r="9" spans="1:69" s="1165" customFormat="1" ht="25.5" customHeight="1" x14ac:dyDescent="0.2">
      <c r="A9" s="1160">
        <v>5</v>
      </c>
      <c r="B9" s="1161" t="s">
        <v>42</v>
      </c>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2"/>
      <c r="AB9" s="1162"/>
      <c r="AC9" s="1162"/>
      <c r="AD9" s="1162"/>
      <c r="AE9" s="1162"/>
      <c r="AF9" s="1162"/>
      <c r="AG9" s="1162"/>
      <c r="AH9" s="1163"/>
      <c r="AI9" s="1163"/>
      <c r="AJ9" s="1164"/>
    </row>
    <row r="10" spans="1:69" s="1165" customFormat="1" ht="25.5" customHeight="1" x14ac:dyDescent="0.2">
      <c r="A10" s="1166"/>
      <c r="B10" s="1167"/>
      <c r="C10" s="1168">
        <v>25</v>
      </c>
      <c r="D10" s="1169" t="s">
        <v>100</v>
      </c>
      <c r="E10" s="1168"/>
      <c r="F10" s="1168"/>
      <c r="G10" s="1168"/>
      <c r="H10" s="1168"/>
      <c r="I10" s="1168"/>
      <c r="J10" s="1168"/>
      <c r="K10" s="1168"/>
      <c r="L10" s="1168"/>
      <c r="M10" s="1168"/>
      <c r="N10" s="1168"/>
      <c r="O10" s="1168"/>
      <c r="P10" s="1168"/>
      <c r="Q10" s="1168"/>
      <c r="R10" s="1168"/>
      <c r="S10" s="1168"/>
      <c r="T10" s="1168"/>
      <c r="U10" s="1168"/>
      <c r="V10" s="1168"/>
      <c r="W10" s="1168"/>
      <c r="X10" s="1168"/>
      <c r="Y10" s="1168"/>
      <c r="Z10" s="1168"/>
      <c r="AA10" s="1168"/>
      <c r="AB10" s="1168"/>
      <c r="AC10" s="1168"/>
      <c r="AD10" s="1168"/>
      <c r="AE10" s="1168"/>
      <c r="AF10" s="1168"/>
      <c r="AG10" s="1168"/>
      <c r="AH10" s="1171"/>
      <c r="AI10" s="1171"/>
      <c r="AJ10" s="1170"/>
    </row>
    <row r="11" spans="1:69" s="1165" customFormat="1" ht="25.5" customHeight="1" x14ac:dyDescent="0.2">
      <c r="A11" s="1172"/>
      <c r="B11" s="1173"/>
      <c r="C11" s="1166"/>
      <c r="D11" s="1167"/>
      <c r="E11" s="1174"/>
      <c r="F11" s="1175">
        <v>83</v>
      </c>
      <c r="G11" s="1065" t="s">
        <v>101</v>
      </c>
      <c r="H11" s="1065"/>
      <c r="I11" s="1065"/>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7"/>
      <c r="AI11" s="1177"/>
      <c r="AJ11" s="1178"/>
    </row>
    <row r="12" spans="1:69" ht="174" customHeight="1" x14ac:dyDescent="0.2">
      <c r="A12" s="3125"/>
      <c r="B12" s="3127"/>
      <c r="C12" s="3125"/>
      <c r="D12" s="3129"/>
      <c r="E12" s="1179"/>
      <c r="F12" s="3131"/>
      <c r="G12" s="3132"/>
      <c r="H12" s="3116" t="s">
        <v>1224</v>
      </c>
      <c r="I12" s="3119" t="s">
        <v>16</v>
      </c>
      <c r="J12" s="3119">
        <v>6</v>
      </c>
      <c r="K12" s="3122" t="s">
        <v>1225</v>
      </c>
      <c r="L12" s="3119">
        <v>131</v>
      </c>
      <c r="M12" s="3116" t="s">
        <v>1226</v>
      </c>
      <c r="N12" s="3136">
        <v>100</v>
      </c>
      <c r="O12" s="3139">
        <v>100000000</v>
      </c>
      <c r="P12" s="2133" t="s">
        <v>1227</v>
      </c>
      <c r="Q12" s="2133" t="s">
        <v>1228</v>
      </c>
      <c r="R12" s="1180" t="s">
        <v>1229</v>
      </c>
      <c r="S12" s="1181">
        <v>25000000</v>
      </c>
      <c r="T12" s="3142">
        <v>20</v>
      </c>
      <c r="U12" s="3119" t="s">
        <v>412</v>
      </c>
      <c r="V12" s="3133">
        <v>64149</v>
      </c>
      <c r="W12" s="3133">
        <v>72224</v>
      </c>
      <c r="X12" s="3133">
        <v>27477</v>
      </c>
      <c r="Y12" s="3133">
        <v>86843</v>
      </c>
      <c r="Z12" s="3148">
        <v>236429</v>
      </c>
      <c r="AA12" s="3133">
        <v>81384</v>
      </c>
      <c r="AB12" s="3133">
        <v>13208</v>
      </c>
      <c r="AC12" s="3133">
        <v>1817</v>
      </c>
      <c r="AD12" s="3145"/>
      <c r="AE12" s="3145"/>
      <c r="AF12" s="3133">
        <v>16897</v>
      </c>
      <c r="AG12" s="3133">
        <v>81384</v>
      </c>
      <c r="AH12" s="3155">
        <v>42737</v>
      </c>
      <c r="AI12" s="3053">
        <v>43100</v>
      </c>
      <c r="AJ12" s="3116" t="s">
        <v>1230</v>
      </c>
    </row>
    <row r="13" spans="1:69" ht="96" customHeight="1" x14ac:dyDescent="0.2">
      <c r="A13" s="3125"/>
      <c r="B13" s="3127"/>
      <c r="C13" s="3125"/>
      <c r="D13" s="3129"/>
      <c r="E13" s="1182"/>
      <c r="F13" s="3125"/>
      <c r="G13" s="3129"/>
      <c r="H13" s="3117"/>
      <c r="I13" s="3120"/>
      <c r="J13" s="3120"/>
      <c r="K13" s="3123"/>
      <c r="L13" s="3120"/>
      <c r="M13" s="3117"/>
      <c r="N13" s="3137"/>
      <c r="O13" s="3140"/>
      <c r="P13" s="2134"/>
      <c r="Q13" s="2135"/>
      <c r="R13" s="1183" t="s">
        <v>1231</v>
      </c>
      <c r="S13" s="1184">
        <v>25000000</v>
      </c>
      <c r="T13" s="3143"/>
      <c r="U13" s="3120"/>
      <c r="V13" s="3134"/>
      <c r="W13" s="3134"/>
      <c r="X13" s="3134"/>
      <c r="Y13" s="3134"/>
      <c r="Z13" s="3149"/>
      <c r="AA13" s="3134"/>
      <c r="AB13" s="3134"/>
      <c r="AC13" s="3134"/>
      <c r="AD13" s="3146"/>
      <c r="AE13" s="3146"/>
      <c r="AF13" s="3134"/>
      <c r="AG13" s="3134"/>
      <c r="AH13" s="3156"/>
      <c r="AI13" s="3054"/>
      <c r="AJ13" s="3117"/>
    </row>
    <row r="14" spans="1:69" ht="121.5" customHeight="1" x14ac:dyDescent="0.2">
      <c r="A14" s="3125"/>
      <c r="B14" s="3127"/>
      <c r="C14" s="3125"/>
      <c r="D14" s="3129"/>
      <c r="E14" s="1182"/>
      <c r="F14" s="3125"/>
      <c r="G14" s="3129"/>
      <c r="H14" s="3117"/>
      <c r="I14" s="3120"/>
      <c r="J14" s="3120"/>
      <c r="K14" s="3123"/>
      <c r="L14" s="3120"/>
      <c r="M14" s="3117"/>
      <c r="N14" s="3137"/>
      <c r="O14" s="3140"/>
      <c r="P14" s="2134"/>
      <c r="Q14" s="3116" t="s">
        <v>1232</v>
      </c>
      <c r="R14" s="1183" t="s">
        <v>1233</v>
      </c>
      <c r="S14" s="1184">
        <v>25000000</v>
      </c>
      <c r="T14" s="3143"/>
      <c r="U14" s="3120"/>
      <c r="V14" s="3134"/>
      <c r="W14" s="3134"/>
      <c r="X14" s="3134"/>
      <c r="Y14" s="3134"/>
      <c r="Z14" s="3149"/>
      <c r="AA14" s="3134"/>
      <c r="AB14" s="3134"/>
      <c r="AC14" s="3134"/>
      <c r="AD14" s="3146"/>
      <c r="AE14" s="3146"/>
      <c r="AF14" s="3134"/>
      <c r="AG14" s="3134"/>
      <c r="AH14" s="3156"/>
      <c r="AI14" s="3054"/>
      <c r="AJ14" s="3117"/>
    </row>
    <row r="15" spans="1:69" ht="75" customHeight="1" x14ac:dyDescent="0.2">
      <c r="A15" s="3126"/>
      <c r="B15" s="3128"/>
      <c r="C15" s="3126"/>
      <c r="D15" s="3130"/>
      <c r="E15" s="1182"/>
      <c r="F15" s="3126"/>
      <c r="G15" s="3130"/>
      <c r="H15" s="3118"/>
      <c r="I15" s="3121"/>
      <c r="J15" s="3121"/>
      <c r="K15" s="3124"/>
      <c r="L15" s="3121"/>
      <c r="M15" s="3118"/>
      <c r="N15" s="3138"/>
      <c r="O15" s="3141"/>
      <c r="P15" s="2135"/>
      <c r="Q15" s="3118"/>
      <c r="R15" s="1183" t="s">
        <v>1234</v>
      </c>
      <c r="S15" s="1184">
        <v>25000000</v>
      </c>
      <c r="T15" s="3144"/>
      <c r="U15" s="3121"/>
      <c r="V15" s="3135"/>
      <c r="W15" s="3135"/>
      <c r="X15" s="3135"/>
      <c r="Y15" s="3135"/>
      <c r="Z15" s="3150"/>
      <c r="AA15" s="3135"/>
      <c r="AB15" s="3135"/>
      <c r="AC15" s="3135"/>
      <c r="AD15" s="3147"/>
      <c r="AE15" s="3147"/>
      <c r="AF15" s="3135"/>
      <c r="AG15" s="3135"/>
      <c r="AH15" s="3157"/>
      <c r="AI15" s="3025"/>
      <c r="AJ15" s="3118"/>
    </row>
    <row r="16" spans="1:69" s="1191" customFormat="1" ht="22.5" customHeight="1" x14ac:dyDescent="0.25">
      <c r="A16" s="1185"/>
      <c r="B16" s="1158"/>
      <c r="C16" s="1158"/>
      <c r="D16" s="1158"/>
      <c r="E16" s="1158"/>
      <c r="F16" s="1158"/>
      <c r="G16" s="1158"/>
      <c r="H16" s="1158"/>
      <c r="I16" s="1158"/>
      <c r="J16" s="1158"/>
      <c r="K16" s="1158"/>
      <c r="L16" s="3151" t="s">
        <v>663</v>
      </c>
      <c r="M16" s="3151"/>
      <c r="N16" s="3152"/>
      <c r="O16" s="1186">
        <f>SUM(O12)</f>
        <v>100000000</v>
      </c>
      <c r="P16" s="1185"/>
      <c r="Q16" s="1158"/>
      <c r="R16" s="1187"/>
      <c r="S16" s="1188">
        <f>SUM(S12:S15)</f>
        <v>100000000</v>
      </c>
      <c r="T16" s="1185"/>
      <c r="U16" s="1158"/>
      <c r="V16" s="1158"/>
      <c r="W16" s="1158"/>
      <c r="X16" s="1158"/>
      <c r="Y16" s="1158"/>
      <c r="Z16" s="1158"/>
      <c r="AA16" s="1189"/>
      <c r="AB16" s="1189"/>
      <c r="AC16" s="1189"/>
      <c r="AD16" s="1158"/>
      <c r="AE16" s="1158"/>
      <c r="AF16" s="1189"/>
      <c r="AG16" s="1189"/>
      <c r="AH16" s="1190"/>
      <c r="AI16" s="1190"/>
      <c r="AJ16" s="1159"/>
    </row>
    <row r="17" spans="1:36" x14ac:dyDescent="0.2">
      <c r="A17" s="1192"/>
      <c r="B17" s="1192"/>
      <c r="C17" s="1192"/>
      <c r="D17" s="1192"/>
      <c r="E17" s="1192"/>
      <c r="F17" s="1192"/>
      <c r="G17" s="1192"/>
      <c r="H17" s="1192"/>
      <c r="I17" s="1192"/>
      <c r="J17" s="1192"/>
      <c r="K17" s="1192"/>
      <c r="L17" s="1192"/>
      <c r="M17" s="1192"/>
      <c r="N17" s="1192"/>
      <c r="O17" s="1192"/>
      <c r="P17" s="1192"/>
      <c r="Q17" s="1192"/>
      <c r="R17" s="1193"/>
      <c r="S17" s="1194"/>
      <c r="T17" s="1192"/>
      <c r="U17" s="1192"/>
      <c r="V17" s="1192"/>
      <c r="W17" s="1192"/>
      <c r="X17" s="1192"/>
      <c r="Y17" s="1192"/>
      <c r="Z17" s="1192"/>
      <c r="AA17" s="1192"/>
      <c r="AB17" s="1192"/>
      <c r="AC17" s="1192"/>
      <c r="AD17" s="1192"/>
      <c r="AE17" s="1192"/>
      <c r="AF17" s="1192"/>
      <c r="AG17" s="1192"/>
      <c r="AH17" s="1195"/>
      <c r="AI17" s="1195"/>
      <c r="AJ17" s="1192"/>
    </row>
    <row r="18" spans="1:36" x14ac:dyDescent="0.2">
      <c r="A18" s="1192"/>
      <c r="B18" s="1192"/>
      <c r="C18" s="1192"/>
      <c r="D18" s="1192"/>
      <c r="E18" s="1192"/>
      <c r="F18" s="1192"/>
      <c r="G18" s="1192"/>
      <c r="H18" s="1192"/>
      <c r="I18" s="1192"/>
      <c r="J18" s="1192"/>
      <c r="K18" s="1192"/>
      <c r="L18" s="1192"/>
      <c r="M18" s="1192"/>
      <c r="N18" s="1192"/>
      <c r="O18" s="1192"/>
      <c r="P18" s="1192"/>
      <c r="Q18" s="1192"/>
      <c r="R18" s="1193"/>
      <c r="S18" s="1194"/>
      <c r="T18" s="1192"/>
      <c r="U18" s="1192"/>
      <c r="V18" s="1192"/>
      <c r="W18" s="1192"/>
      <c r="X18" s="1192"/>
      <c r="Y18" s="1192"/>
      <c r="Z18" s="1192"/>
      <c r="AA18" s="1192"/>
      <c r="AB18" s="1192"/>
      <c r="AC18" s="1192"/>
      <c r="AD18" s="1192"/>
      <c r="AE18" s="1192"/>
      <c r="AF18" s="1192"/>
      <c r="AG18" s="1192"/>
      <c r="AH18" s="1195"/>
      <c r="AI18" s="1195"/>
      <c r="AJ18" s="1192"/>
    </row>
    <row r="20" spans="1:36" ht="15" x14ac:dyDescent="0.2">
      <c r="J20" s="3153" t="s">
        <v>1235</v>
      </c>
      <c r="K20" s="3153"/>
      <c r="L20" s="3153"/>
    </row>
    <row r="21" spans="1:36" x14ac:dyDescent="0.2">
      <c r="J21" s="3154" t="s">
        <v>1236</v>
      </c>
      <c r="K21" s="3154"/>
      <c r="L21" s="3154"/>
    </row>
  </sheetData>
  <mergeCells count="67">
    <mergeCell ref="L16:N16"/>
    <mergeCell ref="J20:L20"/>
    <mergeCell ref="J21:L21"/>
    <mergeCell ref="AH12:AH15"/>
    <mergeCell ref="AI12:AI15"/>
    <mergeCell ref="AE12:AE15"/>
    <mergeCell ref="AF12:AF15"/>
    <mergeCell ref="AG12:AG15"/>
    <mergeCell ref="AB12:AB15"/>
    <mergeCell ref="G12:G15"/>
    <mergeCell ref="U12:U15"/>
    <mergeCell ref="V12:V15"/>
    <mergeCell ref="W12:W15"/>
    <mergeCell ref="X12:X15"/>
    <mergeCell ref="M12:M15"/>
    <mergeCell ref="N12:N15"/>
    <mergeCell ref="O12:O15"/>
    <mergeCell ref="P12:P15"/>
    <mergeCell ref="Q12:Q13"/>
    <mergeCell ref="T12:T15"/>
    <mergeCell ref="Q14:Q15"/>
    <mergeCell ref="A12:A15"/>
    <mergeCell ref="B12:B15"/>
    <mergeCell ref="C12:C15"/>
    <mergeCell ref="D12:D15"/>
    <mergeCell ref="F12:F15"/>
    <mergeCell ref="AI7:AI8"/>
    <mergeCell ref="AJ7:AJ8"/>
    <mergeCell ref="H12:H15"/>
    <mergeCell ref="I12:I15"/>
    <mergeCell ref="J12:J15"/>
    <mergeCell ref="K12:K15"/>
    <mergeCell ref="L12:L15"/>
    <mergeCell ref="AC12:AC15"/>
    <mergeCell ref="AD12:AD15"/>
    <mergeCell ref="Y12:Y15"/>
    <mergeCell ref="Z12:Z15"/>
    <mergeCell ref="AA12:AA15"/>
    <mergeCell ref="AJ12:AJ15"/>
    <mergeCell ref="T7:T8"/>
    <mergeCell ref="U7:U8"/>
    <mergeCell ref="V7:AA7"/>
    <mergeCell ref="AB7:AG7"/>
    <mergeCell ref="AH7:AH8"/>
    <mergeCell ref="R7:R8"/>
    <mergeCell ref="S7:S8"/>
    <mergeCell ref="H7:H8"/>
    <mergeCell ref="I7:I8"/>
    <mergeCell ref="J7:J8"/>
    <mergeCell ref="K7:K8"/>
    <mergeCell ref="L7:L8"/>
    <mergeCell ref="M7:M8"/>
    <mergeCell ref="G7:G8"/>
    <mergeCell ref="N7:N8"/>
    <mergeCell ref="O7:O8"/>
    <mergeCell ref="P7:P8"/>
    <mergeCell ref="Q7:Q8"/>
    <mergeCell ref="A7:A8"/>
    <mergeCell ref="B7:B8"/>
    <mergeCell ref="C7:C8"/>
    <mergeCell ref="D7:E8"/>
    <mergeCell ref="F7:F8"/>
    <mergeCell ref="A5:M6"/>
    <mergeCell ref="A1:AH4"/>
    <mergeCell ref="N5:U5"/>
    <mergeCell ref="V5:AH5"/>
    <mergeCell ref="AI5:AJ5"/>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197"/>
  <sheetViews>
    <sheetView showGridLines="0" topLeftCell="U1" zoomScale="55" zoomScaleNormal="55" workbookViewId="0">
      <selection activeCell="AN6" sqref="AN6"/>
    </sheetView>
  </sheetViews>
  <sheetFormatPr baseColWidth="10" defaultColWidth="11.42578125" defaultRowHeight="15" x14ac:dyDescent="0.2"/>
  <cols>
    <col min="1" max="1" width="11.85546875" style="1200" customWidth="1"/>
    <col min="2" max="2" width="10.7109375" style="1200" customWidth="1"/>
    <col min="3" max="3" width="8.140625" style="1200" customWidth="1"/>
    <col min="4" max="4" width="11.7109375" style="1200" customWidth="1"/>
    <col min="5" max="5" width="7.42578125" style="1200" customWidth="1"/>
    <col min="6" max="6" width="9" style="1200" customWidth="1"/>
    <col min="7" max="7" width="11.140625" style="1200" customWidth="1"/>
    <col min="8" max="8" width="8.5703125" style="1200" customWidth="1"/>
    <col min="9" max="9" width="13.5703125" style="1200" customWidth="1"/>
    <col min="10" max="10" width="12" style="1200" customWidth="1"/>
    <col min="11" max="11" width="31.28515625" style="1449" customWidth="1"/>
    <col min="12" max="12" width="22.7109375" style="1254" customWidth="1"/>
    <col min="13" max="13" width="18.85546875" style="1254" customWidth="1"/>
    <col min="14" max="14" width="20.7109375" style="1462" customWidth="1"/>
    <col min="15" max="15" width="15.5703125" style="1254" customWidth="1"/>
    <col min="16" max="16" width="21.42578125" style="1449" customWidth="1"/>
    <col min="17" max="17" width="13.42578125" style="1451" customWidth="1"/>
    <col min="18" max="18" width="25.140625" style="1254" bestFit="1" customWidth="1"/>
    <col min="19" max="19" width="28.140625" style="1254" customWidth="1"/>
    <col min="20" max="20" width="32.42578125" style="1449" customWidth="1"/>
    <col min="21" max="21" width="28.7109375" style="1450" customWidth="1"/>
    <col min="22" max="22" width="29" style="1450" bestFit="1" customWidth="1"/>
    <col min="23" max="23" width="13.28515625" style="1451" customWidth="1"/>
    <col min="24" max="24" width="16.28515625" style="1451" customWidth="1"/>
    <col min="25" max="30" width="11" style="1452" customWidth="1"/>
    <col min="31" max="31" width="13.42578125" style="1452" customWidth="1"/>
    <col min="32" max="32" width="13.85546875" style="1452" customWidth="1"/>
    <col min="33" max="33" width="14.85546875" style="1452" customWidth="1"/>
    <col min="34" max="34" width="12.140625" style="1452" customWidth="1"/>
    <col min="35" max="35" width="12.85546875" style="1452" customWidth="1"/>
    <col min="36" max="36" width="11" style="1452" customWidth="1"/>
    <col min="37" max="37" width="15.7109375" style="1453" customWidth="1"/>
    <col min="38" max="38" width="16.42578125" style="1454" customWidth="1"/>
    <col min="39" max="39" width="28.7109375" style="1455" customWidth="1"/>
    <col min="40" max="40" width="21.42578125" style="1198" customWidth="1"/>
    <col min="41" max="41" width="26.28515625" style="1198" customWidth="1"/>
    <col min="42" max="42" width="23.7109375" style="1199" customWidth="1"/>
    <col min="43" max="43" width="21.85546875" style="1199" customWidth="1"/>
    <col min="44" max="44" width="12.85546875" style="1200" bestFit="1" customWidth="1"/>
    <col min="45" max="16384" width="11.42578125" style="1200"/>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ht="22.5" customHeight="1" x14ac:dyDescent="0.2">
      <c r="A7" s="3158" t="s">
        <v>8</v>
      </c>
      <c r="B7" s="3161" t="s">
        <v>9</v>
      </c>
      <c r="C7" s="3158"/>
      <c r="D7" s="3158" t="s">
        <v>8</v>
      </c>
      <c r="E7" s="3161" t="s">
        <v>10</v>
      </c>
      <c r="F7" s="3158"/>
      <c r="G7" s="3158" t="s">
        <v>8</v>
      </c>
      <c r="H7" s="3161" t="s">
        <v>11</v>
      </c>
      <c r="I7" s="3158"/>
      <c r="J7" s="3158" t="s">
        <v>8</v>
      </c>
      <c r="K7" s="3188" t="s">
        <v>12</v>
      </c>
      <c r="L7" s="3167" t="s">
        <v>13</v>
      </c>
      <c r="M7" s="3161" t="s">
        <v>14</v>
      </c>
      <c r="N7" s="3167" t="s">
        <v>15</v>
      </c>
      <c r="O7" s="3158" t="s">
        <v>16</v>
      </c>
      <c r="P7" s="3167" t="s">
        <v>6</v>
      </c>
      <c r="Q7" s="3161" t="s">
        <v>17</v>
      </c>
      <c r="R7" s="3161" t="s">
        <v>18</v>
      </c>
      <c r="S7" s="3161" t="s">
        <v>19</v>
      </c>
      <c r="T7" s="3161" t="s">
        <v>20</v>
      </c>
      <c r="U7" s="3167" t="s">
        <v>21</v>
      </c>
      <c r="V7" s="3170" t="s">
        <v>18</v>
      </c>
      <c r="W7" s="3170" t="s">
        <v>8</v>
      </c>
      <c r="X7" s="3170" t="s">
        <v>22</v>
      </c>
      <c r="Y7" s="3171" t="s">
        <v>23</v>
      </c>
      <c r="Z7" s="3172"/>
      <c r="AA7" s="3172"/>
      <c r="AB7" s="3172"/>
      <c r="AC7" s="3172"/>
      <c r="AD7" s="3172"/>
      <c r="AE7" s="3171" t="s">
        <v>24</v>
      </c>
      <c r="AF7" s="3172"/>
      <c r="AG7" s="3172"/>
      <c r="AH7" s="3172"/>
      <c r="AI7" s="3172"/>
      <c r="AJ7" s="3172"/>
      <c r="AK7" s="3164" t="s">
        <v>25</v>
      </c>
      <c r="AL7" s="3164" t="s">
        <v>26</v>
      </c>
      <c r="AM7" s="3166" t="s">
        <v>27</v>
      </c>
    </row>
    <row r="8" spans="1:72" ht="30.75" customHeight="1" x14ac:dyDescent="0.2">
      <c r="A8" s="3159"/>
      <c r="B8" s="3162"/>
      <c r="C8" s="3159"/>
      <c r="D8" s="3159"/>
      <c r="E8" s="3162"/>
      <c r="F8" s="3159"/>
      <c r="G8" s="3159"/>
      <c r="H8" s="3162"/>
      <c r="I8" s="3159"/>
      <c r="J8" s="3159"/>
      <c r="K8" s="3189"/>
      <c r="L8" s="3168"/>
      <c r="M8" s="3162"/>
      <c r="N8" s="3168"/>
      <c r="O8" s="3159"/>
      <c r="P8" s="3168"/>
      <c r="Q8" s="3162"/>
      <c r="R8" s="3162"/>
      <c r="S8" s="3162"/>
      <c r="T8" s="3162"/>
      <c r="U8" s="3168"/>
      <c r="V8" s="3170"/>
      <c r="W8" s="3170"/>
      <c r="X8" s="3170"/>
      <c r="Y8" s="1831" t="s">
        <v>28</v>
      </c>
      <c r="Z8" s="1831" t="s">
        <v>29</v>
      </c>
      <c r="AA8" s="1831" t="s">
        <v>30</v>
      </c>
      <c r="AB8" s="1831" t="s">
        <v>31</v>
      </c>
      <c r="AC8" s="1831" t="s">
        <v>32</v>
      </c>
      <c r="AD8" s="1831" t="s">
        <v>33</v>
      </c>
      <c r="AE8" s="1832" t="s">
        <v>34</v>
      </c>
      <c r="AF8" s="1832" t="s">
        <v>35</v>
      </c>
      <c r="AG8" s="1832" t="s">
        <v>36</v>
      </c>
      <c r="AH8" s="1833" t="s">
        <v>37</v>
      </c>
      <c r="AI8" s="1831" t="s">
        <v>38</v>
      </c>
      <c r="AJ8" s="1832" t="s">
        <v>39</v>
      </c>
      <c r="AK8" s="3165"/>
      <c r="AL8" s="3165"/>
      <c r="AM8" s="3166"/>
    </row>
    <row r="9" spans="1:72" ht="2.4500000000000002" customHeight="1" x14ac:dyDescent="0.2">
      <c r="A9" s="3159"/>
      <c r="B9" s="3162"/>
      <c r="C9" s="3159"/>
      <c r="D9" s="3159"/>
      <c r="E9" s="3162"/>
      <c r="F9" s="3159"/>
      <c r="G9" s="3159"/>
      <c r="H9" s="3162"/>
      <c r="I9" s="3159"/>
      <c r="J9" s="3159"/>
      <c r="K9" s="3189"/>
      <c r="L9" s="3168"/>
      <c r="M9" s="1202"/>
      <c r="N9" s="3168"/>
      <c r="O9" s="3159"/>
      <c r="P9" s="3168"/>
      <c r="Q9" s="3162"/>
      <c r="R9" s="3162"/>
      <c r="S9" s="3162"/>
      <c r="T9" s="3162"/>
      <c r="U9" s="3168"/>
      <c r="V9" s="1203"/>
      <c r="W9" s="1201"/>
      <c r="X9" s="3170"/>
      <c r="Y9" s="1204"/>
      <c r="Z9" s="1204"/>
      <c r="AA9" s="1204"/>
      <c r="AB9" s="1204"/>
      <c r="AC9" s="1204"/>
      <c r="AD9" s="1204"/>
      <c r="AE9" s="1204"/>
      <c r="AF9" s="1204"/>
      <c r="AG9" s="1204"/>
      <c r="AH9" s="1204"/>
      <c r="AI9" s="1204"/>
      <c r="AJ9" s="1204"/>
      <c r="AK9" s="1205"/>
      <c r="AL9" s="1205"/>
      <c r="AM9" s="3166"/>
    </row>
    <row r="10" spans="1:72" ht="3.6" hidden="1" customHeight="1" x14ac:dyDescent="0.2">
      <c r="A10" s="3159"/>
      <c r="B10" s="3162"/>
      <c r="C10" s="3159"/>
      <c r="D10" s="3159"/>
      <c r="E10" s="3162"/>
      <c r="F10" s="3159"/>
      <c r="G10" s="3159"/>
      <c r="H10" s="3162"/>
      <c r="I10" s="3159"/>
      <c r="J10" s="3159"/>
      <c r="K10" s="3189"/>
      <c r="L10" s="3168"/>
      <c r="M10" s="1202"/>
      <c r="N10" s="3168"/>
      <c r="O10" s="3159"/>
      <c r="P10" s="3168"/>
      <c r="Q10" s="3162"/>
      <c r="R10" s="3162"/>
      <c r="S10" s="3162"/>
      <c r="T10" s="3162"/>
      <c r="U10" s="3168"/>
      <c r="V10" s="1203"/>
      <c r="W10" s="1201"/>
      <c r="X10" s="3170"/>
      <c r="Y10" s="1204"/>
      <c r="Z10" s="1204"/>
      <c r="AA10" s="1204"/>
      <c r="AB10" s="1204"/>
      <c r="AC10" s="1204"/>
      <c r="AD10" s="1204"/>
      <c r="AE10" s="1204"/>
      <c r="AF10" s="1204"/>
      <c r="AG10" s="1204"/>
      <c r="AH10" s="1204"/>
      <c r="AI10" s="1204"/>
      <c r="AJ10" s="1204"/>
      <c r="AK10" s="1205"/>
      <c r="AL10" s="1205"/>
      <c r="AM10" s="3166"/>
    </row>
    <row r="11" spans="1:72" ht="16.5" hidden="1" customHeight="1" x14ac:dyDescent="0.2">
      <c r="A11" s="3159"/>
      <c r="B11" s="3162"/>
      <c r="C11" s="3159"/>
      <c r="D11" s="3159"/>
      <c r="E11" s="3162"/>
      <c r="F11" s="3159"/>
      <c r="G11" s="3159"/>
      <c r="H11" s="3162"/>
      <c r="I11" s="3159"/>
      <c r="J11" s="3159"/>
      <c r="K11" s="3189"/>
      <c r="L11" s="3168"/>
      <c r="M11" s="1202"/>
      <c r="N11" s="3168"/>
      <c r="O11" s="3159"/>
      <c r="P11" s="3168"/>
      <c r="Q11" s="3162"/>
      <c r="R11" s="3162"/>
      <c r="S11" s="3162"/>
      <c r="T11" s="3162"/>
      <c r="U11" s="3168"/>
      <c r="V11" s="1203"/>
      <c r="W11" s="1201"/>
      <c r="X11" s="3170"/>
      <c r="Y11" s="1204"/>
      <c r="Z11" s="1204"/>
      <c r="AA11" s="1204"/>
      <c r="AB11" s="1204"/>
      <c r="AC11" s="1204"/>
      <c r="AD11" s="1204"/>
      <c r="AE11" s="1204"/>
      <c r="AF11" s="1204"/>
      <c r="AG11" s="1204"/>
      <c r="AH11" s="1204"/>
      <c r="AI11" s="1204"/>
      <c r="AJ11" s="1204"/>
      <c r="AK11" s="1205"/>
      <c r="AL11" s="1205"/>
      <c r="AM11" s="3166"/>
    </row>
    <row r="12" spans="1:72" ht="16.5" hidden="1" customHeight="1" x14ac:dyDescent="0.2">
      <c r="A12" s="3159"/>
      <c r="B12" s="3162"/>
      <c r="C12" s="3159"/>
      <c r="D12" s="3159"/>
      <c r="E12" s="3162"/>
      <c r="F12" s="3159"/>
      <c r="G12" s="3159"/>
      <c r="H12" s="3162"/>
      <c r="I12" s="3159"/>
      <c r="J12" s="3159"/>
      <c r="K12" s="3189"/>
      <c r="L12" s="3168"/>
      <c r="M12" s="1202"/>
      <c r="N12" s="3168"/>
      <c r="O12" s="3159"/>
      <c r="P12" s="3168"/>
      <c r="Q12" s="3162"/>
      <c r="R12" s="3162"/>
      <c r="S12" s="3162"/>
      <c r="T12" s="3162"/>
      <c r="U12" s="3168"/>
      <c r="V12" s="1203"/>
      <c r="W12" s="1201"/>
      <c r="X12" s="3170"/>
      <c r="Y12" s="1204"/>
      <c r="Z12" s="1204"/>
      <c r="AA12" s="1204"/>
      <c r="AB12" s="1204"/>
      <c r="AC12" s="1204"/>
      <c r="AD12" s="1204"/>
      <c r="AE12" s="1204"/>
      <c r="AF12" s="1204"/>
      <c r="AG12" s="1204"/>
      <c r="AH12" s="1204"/>
      <c r="AI12" s="1204"/>
      <c r="AJ12" s="1204"/>
      <c r="AK12" s="1205"/>
      <c r="AL12" s="1205"/>
      <c r="AM12" s="3166"/>
    </row>
    <row r="13" spans="1:72" ht="16.5" hidden="1" customHeight="1" x14ac:dyDescent="0.2">
      <c r="A13" s="3159"/>
      <c r="B13" s="3162"/>
      <c r="C13" s="3159"/>
      <c r="D13" s="3159"/>
      <c r="E13" s="3162"/>
      <c r="F13" s="3159"/>
      <c r="G13" s="3159"/>
      <c r="H13" s="3162"/>
      <c r="I13" s="3159"/>
      <c r="J13" s="3159"/>
      <c r="K13" s="3189"/>
      <c r="L13" s="3168"/>
      <c r="M13" s="1202"/>
      <c r="N13" s="3168"/>
      <c r="O13" s="3159"/>
      <c r="P13" s="3168"/>
      <c r="Q13" s="3162"/>
      <c r="R13" s="3162"/>
      <c r="S13" s="3162"/>
      <c r="T13" s="3162"/>
      <c r="U13" s="3168"/>
      <c r="V13" s="1203"/>
      <c r="W13" s="1201"/>
      <c r="X13" s="3170"/>
      <c r="Y13" s="1204"/>
      <c r="Z13" s="1204"/>
      <c r="AA13" s="1204"/>
      <c r="AB13" s="1204"/>
      <c r="AC13" s="1204"/>
      <c r="AD13" s="1204"/>
      <c r="AE13" s="1204"/>
      <c r="AF13" s="1204"/>
      <c r="AG13" s="1204"/>
      <c r="AH13" s="1204"/>
      <c r="AI13" s="1204"/>
      <c r="AJ13" s="1204"/>
      <c r="AK13" s="1205"/>
      <c r="AL13" s="1205"/>
      <c r="AM13" s="3166"/>
    </row>
    <row r="14" spans="1:72" ht="16.5" hidden="1" customHeight="1" x14ac:dyDescent="0.2">
      <c r="A14" s="3160"/>
      <c r="B14" s="3163"/>
      <c r="C14" s="3160"/>
      <c r="D14" s="3160"/>
      <c r="E14" s="3163"/>
      <c r="F14" s="3160"/>
      <c r="G14" s="3160"/>
      <c r="H14" s="3163"/>
      <c r="I14" s="3160"/>
      <c r="J14" s="3160"/>
      <c r="K14" s="3190"/>
      <c r="L14" s="3169"/>
      <c r="M14" s="1206"/>
      <c r="N14" s="3169"/>
      <c r="O14" s="3160"/>
      <c r="P14" s="3169"/>
      <c r="Q14" s="3163"/>
      <c r="R14" s="3163"/>
      <c r="S14" s="3163"/>
      <c r="T14" s="3163"/>
      <c r="U14" s="3169"/>
      <c r="V14" s="1207"/>
      <c r="W14" s="1201"/>
      <c r="X14" s="3170"/>
      <c r="Y14" s="1208"/>
      <c r="Z14" s="1208"/>
      <c r="AA14" s="1208"/>
      <c r="AB14" s="1208"/>
      <c r="AC14" s="1208"/>
      <c r="AD14" s="1208"/>
      <c r="AE14" s="1208"/>
      <c r="AF14" s="1208"/>
      <c r="AG14" s="1208"/>
      <c r="AH14" s="1208"/>
      <c r="AI14" s="1208"/>
      <c r="AJ14" s="1208"/>
      <c r="AK14" s="1209"/>
      <c r="AL14" s="1209"/>
      <c r="AM14" s="3166"/>
    </row>
    <row r="15" spans="1:72" s="1219" customFormat="1" ht="27.75" customHeight="1" x14ac:dyDescent="0.2">
      <c r="A15" s="1210">
        <v>3</v>
      </c>
      <c r="B15" s="1211" t="s">
        <v>983</v>
      </c>
      <c r="C15" s="1211"/>
      <c r="D15" s="1211"/>
      <c r="E15" s="1211"/>
      <c r="F15" s="1211"/>
      <c r="G15" s="1211"/>
      <c r="H15" s="1211"/>
      <c r="I15" s="1211"/>
      <c r="J15" s="1211"/>
      <c r="K15" s="1212"/>
      <c r="L15" s="1211"/>
      <c r="M15" s="1211"/>
      <c r="N15" s="1213"/>
      <c r="O15" s="1211"/>
      <c r="P15" s="1212"/>
      <c r="Q15" s="1211"/>
      <c r="R15" s="1211"/>
      <c r="S15" s="1211"/>
      <c r="T15" s="1212"/>
      <c r="U15" s="1212"/>
      <c r="V15" s="1214"/>
      <c r="W15" s="1213"/>
      <c r="X15" s="1213"/>
      <c r="Y15" s="1215"/>
      <c r="Z15" s="1215"/>
      <c r="AA15" s="1215"/>
      <c r="AB15" s="1215"/>
      <c r="AC15" s="1215"/>
      <c r="AD15" s="1215"/>
      <c r="AE15" s="1215"/>
      <c r="AF15" s="1215"/>
      <c r="AG15" s="1215"/>
      <c r="AH15" s="1215"/>
      <c r="AI15" s="1215"/>
      <c r="AJ15" s="1215"/>
      <c r="AK15" s="1211"/>
      <c r="AL15" s="1211"/>
      <c r="AM15" s="1216"/>
      <c r="AN15" s="1217"/>
      <c r="AO15" s="1217"/>
      <c r="AP15" s="1217"/>
      <c r="AQ15" s="1217"/>
      <c r="AR15" s="1218"/>
      <c r="AS15" s="1218"/>
    </row>
    <row r="16" spans="1:72" s="1219" customFormat="1" ht="24.75" customHeight="1" x14ac:dyDescent="0.2">
      <c r="A16" s="3173"/>
      <c r="B16" s="3174"/>
      <c r="C16" s="3175"/>
      <c r="D16" s="1220">
        <v>11</v>
      </c>
      <c r="E16" s="1221" t="s">
        <v>984</v>
      </c>
      <c r="F16" s="1221"/>
      <c r="G16" s="1222"/>
      <c r="H16" s="1222"/>
      <c r="I16" s="1222"/>
      <c r="J16" s="1222"/>
      <c r="K16" s="1223"/>
      <c r="L16" s="1222"/>
      <c r="M16" s="1222"/>
      <c r="N16" s="1224"/>
      <c r="O16" s="1222"/>
      <c r="P16" s="1223"/>
      <c r="Q16" s="1222"/>
      <c r="R16" s="1222"/>
      <c r="S16" s="1222"/>
      <c r="T16" s="1223"/>
      <c r="U16" s="1223"/>
      <c r="V16" s="1225"/>
      <c r="W16" s="1224"/>
      <c r="X16" s="1224"/>
      <c r="Y16" s="1226"/>
      <c r="Z16" s="1226"/>
      <c r="AA16" s="1226"/>
      <c r="AB16" s="1226"/>
      <c r="AC16" s="1226"/>
      <c r="AD16" s="1226"/>
      <c r="AE16" s="1226"/>
      <c r="AF16" s="1226"/>
      <c r="AG16" s="1226"/>
      <c r="AH16" s="1226"/>
      <c r="AI16" s="1226"/>
      <c r="AJ16" s="1226"/>
      <c r="AK16" s="1222"/>
      <c r="AL16" s="1222"/>
      <c r="AM16" s="1227"/>
      <c r="AN16" s="1217"/>
      <c r="AO16" s="1217"/>
      <c r="AP16" s="1217"/>
      <c r="AQ16" s="1217"/>
      <c r="AR16" s="1218"/>
      <c r="AS16" s="1218"/>
    </row>
    <row r="17" spans="1:45" s="1219" customFormat="1" ht="27.75" customHeight="1" x14ac:dyDescent="0.2">
      <c r="A17" s="1228"/>
      <c r="B17" s="1229"/>
      <c r="C17" s="1230"/>
      <c r="D17" s="1231"/>
      <c r="E17" s="1231"/>
      <c r="F17" s="1232"/>
      <c r="G17" s="1233">
        <v>35</v>
      </c>
      <c r="H17" s="1234" t="s">
        <v>1237</v>
      </c>
      <c r="I17" s="1234"/>
      <c r="J17" s="1234"/>
      <c r="K17" s="1235"/>
      <c r="L17" s="1234"/>
      <c r="M17" s="1234"/>
      <c r="N17" s="1236"/>
      <c r="O17" s="1234"/>
      <c r="P17" s="1235"/>
      <c r="Q17" s="1234"/>
      <c r="R17" s="1234"/>
      <c r="S17" s="1234"/>
      <c r="T17" s="1235"/>
      <c r="U17" s="1235"/>
      <c r="V17" s="1237"/>
      <c r="W17" s="1236"/>
      <c r="X17" s="1236"/>
      <c r="Y17" s="1238"/>
      <c r="Z17" s="1238"/>
      <c r="AA17" s="1238"/>
      <c r="AB17" s="1238"/>
      <c r="AC17" s="1238"/>
      <c r="AD17" s="1238"/>
      <c r="AE17" s="1238"/>
      <c r="AF17" s="1238"/>
      <c r="AG17" s="1238"/>
      <c r="AH17" s="1238"/>
      <c r="AI17" s="1238"/>
      <c r="AJ17" s="1238"/>
      <c r="AK17" s="1234"/>
      <c r="AL17" s="1234"/>
      <c r="AM17" s="1239"/>
      <c r="AN17" s="1217"/>
      <c r="AO17" s="1217"/>
      <c r="AP17" s="1217"/>
      <c r="AQ17" s="1217"/>
      <c r="AR17" s="1218"/>
      <c r="AS17" s="1218"/>
    </row>
    <row r="18" spans="1:45" s="1254" customFormat="1" ht="108" customHeight="1" x14ac:dyDescent="0.2">
      <c r="A18" s="1240"/>
      <c r="B18" s="1241"/>
      <c r="C18" s="1242"/>
      <c r="D18" s="1241"/>
      <c r="E18" s="1241"/>
      <c r="F18" s="1242"/>
      <c r="G18" s="1243"/>
      <c r="H18" s="1244"/>
      <c r="I18" s="1245"/>
      <c r="J18" s="1246">
        <v>127</v>
      </c>
      <c r="K18" s="1247" t="s">
        <v>1238</v>
      </c>
      <c r="L18" s="1248" t="s">
        <v>126</v>
      </c>
      <c r="M18" s="1246">
        <v>1</v>
      </c>
      <c r="N18" s="3176" t="s">
        <v>1239</v>
      </c>
      <c r="O18" s="3176">
        <v>132</v>
      </c>
      <c r="P18" s="3179" t="s">
        <v>1240</v>
      </c>
      <c r="Q18" s="1249">
        <f>V18/R18</f>
        <v>0.55406546990496308</v>
      </c>
      <c r="R18" s="3182">
        <f>103000000+86400000</f>
        <v>189400000</v>
      </c>
      <c r="S18" s="3179" t="s">
        <v>1241</v>
      </c>
      <c r="T18" s="1250" t="s">
        <v>1242</v>
      </c>
      <c r="U18" s="1250" t="s">
        <v>1243</v>
      </c>
      <c r="V18" s="1251">
        <f>18540000+86400000</f>
        <v>104940000</v>
      </c>
      <c r="W18" s="3185">
        <v>61</v>
      </c>
      <c r="X18" s="3176" t="s">
        <v>1244</v>
      </c>
      <c r="Y18" s="3201">
        <v>64149</v>
      </c>
      <c r="Z18" s="3198" t="s">
        <v>1245</v>
      </c>
      <c r="AA18" s="3198" t="s">
        <v>1245</v>
      </c>
      <c r="AB18" s="3198" t="s">
        <v>1245</v>
      </c>
      <c r="AC18" s="3198" t="s">
        <v>1245</v>
      </c>
      <c r="AD18" s="3198" t="s">
        <v>1245</v>
      </c>
      <c r="AE18" s="3198" t="s">
        <v>1245</v>
      </c>
      <c r="AF18" s="3198" t="s">
        <v>1245</v>
      </c>
      <c r="AG18" s="3198" t="s">
        <v>1245</v>
      </c>
      <c r="AH18" s="3198" t="s">
        <v>1245</v>
      </c>
      <c r="AI18" s="3198" t="s">
        <v>1245</v>
      </c>
      <c r="AJ18" s="3198" t="s">
        <v>1245</v>
      </c>
      <c r="AK18" s="3192">
        <v>42948</v>
      </c>
      <c r="AL18" s="3192">
        <v>43100</v>
      </c>
      <c r="AM18" s="3195" t="s">
        <v>1246</v>
      </c>
      <c r="AN18" s="1252"/>
      <c r="AO18" s="1253"/>
      <c r="AP18" s="1253"/>
      <c r="AQ18" s="1253"/>
    </row>
    <row r="19" spans="1:45" s="1254" customFormat="1" ht="63.75" x14ac:dyDescent="0.2">
      <c r="A19" s="1240"/>
      <c r="B19" s="1241"/>
      <c r="C19" s="1242"/>
      <c r="D19" s="1241"/>
      <c r="E19" s="1241"/>
      <c r="F19" s="1242"/>
      <c r="G19" s="1240"/>
      <c r="H19" s="1241"/>
      <c r="I19" s="1242"/>
      <c r="J19" s="3176">
        <v>128</v>
      </c>
      <c r="K19" s="3179" t="s">
        <v>1247</v>
      </c>
      <c r="L19" s="3176" t="s">
        <v>126</v>
      </c>
      <c r="M19" s="3176">
        <v>1</v>
      </c>
      <c r="N19" s="3177"/>
      <c r="O19" s="3177"/>
      <c r="P19" s="3180"/>
      <c r="Q19" s="1953">
        <f>(V19+V20)/R18</f>
        <v>0.13595564941921859</v>
      </c>
      <c r="R19" s="3183"/>
      <c r="S19" s="3180"/>
      <c r="T19" s="3179" t="s">
        <v>1248</v>
      </c>
      <c r="U19" s="1250" t="s">
        <v>1249</v>
      </c>
      <c r="V19" s="1255">
        <v>12875000</v>
      </c>
      <c r="W19" s="3186"/>
      <c r="X19" s="3177"/>
      <c r="Y19" s="3202"/>
      <c r="Z19" s="3199"/>
      <c r="AA19" s="3199"/>
      <c r="AB19" s="3199"/>
      <c r="AC19" s="3199"/>
      <c r="AD19" s="3199"/>
      <c r="AE19" s="3199"/>
      <c r="AF19" s="3199"/>
      <c r="AG19" s="3199"/>
      <c r="AH19" s="3199"/>
      <c r="AI19" s="3199"/>
      <c r="AJ19" s="3199"/>
      <c r="AK19" s="3193"/>
      <c r="AL19" s="3193"/>
      <c r="AM19" s="3196"/>
      <c r="AN19" s="1253"/>
      <c r="AO19" s="1253"/>
      <c r="AP19" s="1253"/>
      <c r="AQ19" s="1253"/>
    </row>
    <row r="20" spans="1:45" s="1254" customFormat="1" ht="76.5" x14ac:dyDescent="0.2">
      <c r="A20" s="1240"/>
      <c r="B20" s="1241"/>
      <c r="C20" s="1242"/>
      <c r="D20" s="1241"/>
      <c r="E20" s="1241"/>
      <c r="F20" s="1242"/>
      <c r="G20" s="1240"/>
      <c r="H20" s="1241"/>
      <c r="I20" s="1242"/>
      <c r="J20" s="3178"/>
      <c r="K20" s="3181"/>
      <c r="L20" s="3178"/>
      <c r="M20" s="3178"/>
      <c r="N20" s="3177"/>
      <c r="O20" s="3177"/>
      <c r="P20" s="3180"/>
      <c r="Q20" s="2790"/>
      <c r="R20" s="3183"/>
      <c r="S20" s="3180"/>
      <c r="T20" s="3181"/>
      <c r="U20" s="1250" t="s">
        <v>1250</v>
      </c>
      <c r="V20" s="1255">
        <v>12875000</v>
      </c>
      <c r="W20" s="3186"/>
      <c r="X20" s="3177"/>
      <c r="Y20" s="3202"/>
      <c r="Z20" s="3199"/>
      <c r="AA20" s="3199"/>
      <c r="AB20" s="3199"/>
      <c r="AC20" s="3199"/>
      <c r="AD20" s="3199"/>
      <c r="AE20" s="3199"/>
      <c r="AF20" s="3199"/>
      <c r="AG20" s="3199"/>
      <c r="AH20" s="3199"/>
      <c r="AI20" s="3199"/>
      <c r="AJ20" s="3199"/>
      <c r="AK20" s="3193"/>
      <c r="AL20" s="3193"/>
      <c r="AM20" s="3196"/>
      <c r="AN20" s="1253"/>
      <c r="AO20" s="1256"/>
      <c r="AP20" s="1253"/>
      <c r="AQ20" s="1253"/>
    </row>
    <row r="21" spans="1:45" s="1254" customFormat="1" ht="51" x14ac:dyDescent="0.2">
      <c r="A21" s="1240"/>
      <c r="B21" s="1241"/>
      <c r="C21" s="1242"/>
      <c r="D21" s="1241"/>
      <c r="E21" s="1241"/>
      <c r="F21" s="1242"/>
      <c r="G21" s="1240"/>
      <c r="H21" s="1241"/>
      <c r="I21" s="1242"/>
      <c r="J21" s="3191">
        <v>129</v>
      </c>
      <c r="K21" s="3179" t="s">
        <v>1251</v>
      </c>
      <c r="L21" s="3176" t="s">
        <v>126</v>
      </c>
      <c r="M21" s="3176">
        <v>6</v>
      </c>
      <c r="N21" s="3177"/>
      <c r="O21" s="3177"/>
      <c r="P21" s="3180"/>
      <c r="Q21" s="1953">
        <f>(V21+V22+V23+V24+V25)/R18</f>
        <v>0.30997888067581836</v>
      </c>
      <c r="R21" s="3183"/>
      <c r="S21" s="3180"/>
      <c r="T21" s="3179" t="s">
        <v>1252</v>
      </c>
      <c r="U21" s="1250" t="s">
        <v>1253</v>
      </c>
      <c r="V21" s="1255">
        <v>12000000</v>
      </c>
      <c r="W21" s="3186"/>
      <c r="X21" s="3177"/>
      <c r="Y21" s="3202"/>
      <c r="Z21" s="3199"/>
      <c r="AA21" s="3199"/>
      <c r="AB21" s="3199"/>
      <c r="AC21" s="3199"/>
      <c r="AD21" s="3199"/>
      <c r="AE21" s="3199"/>
      <c r="AF21" s="3199"/>
      <c r="AG21" s="3199"/>
      <c r="AH21" s="3199"/>
      <c r="AI21" s="3199"/>
      <c r="AJ21" s="3199"/>
      <c r="AK21" s="3193"/>
      <c r="AL21" s="3193"/>
      <c r="AM21" s="3196"/>
      <c r="AN21" s="1253"/>
      <c r="AO21" s="1256"/>
      <c r="AP21" s="1253"/>
      <c r="AQ21" s="1253"/>
    </row>
    <row r="22" spans="1:45" s="1254" customFormat="1" ht="63.75" x14ac:dyDescent="0.2">
      <c r="A22" s="1240"/>
      <c r="B22" s="1241"/>
      <c r="C22" s="1242"/>
      <c r="D22" s="1241"/>
      <c r="E22" s="1241"/>
      <c r="F22" s="1242"/>
      <c r="G22" s="1240"/>
      <c r="H22" s="1241"/>
      <c r="I22" s="1242"/>
      <c r="J22" s="3191"/>
      <c r="K22" s="3180"/>
      <c r="L22" s="3177"/>
      <c r="M22" s="3177"/>
      <c r="N22" s="3177"/>
      <c r="O22" s="3177"/>
      <c r="P22" s="3180"/>
      <c r="Q22" s="2786"/>
      <c r="R22" s="3183"/>
      <c r="S22" s="3180"/>
      <c r="T22" s="3180"/>
      <c r="U22" s="1250" t="s">
        <v>1254</v>
      </c>
      <c r="V22" s="1255">
        <v>14710000</v>
      </c>
      <c r="W22" s="3186"/>
      <c r="X22" s="3177"/>
      <c r="Y22" s="3202"/>
      <c r="Z22" s="3199"/>
      <c r="AA22" s="3199"/>
      <c r="AB22" s="3199"/>
      <c r="AC22" s="3199"/>
      <c r="AD22" s="3199"/>
      <c r="AE22" s="3199"/>
      <c r="AF22" s="3199"/>
      <c r="AG22" s="3199"/>
      <c r="AH22" s="3199"/>
      <c r="AI22" s="3199"/>
      <c r="AJ22" s="3199"/>
      <c r="AK22" s="3193"/>
      <c r="AL22" s="3193"/>
      <c r="AM22" s="3196"/>
      <c r="AN22" s="1253"/>
      <c r="AO22" s="1256"/>
      <c r="AP22" s="1253"/>
      <c r="AQ22" s="1253"/>
    </row>
    <row r="23" spans="1:45" s="1254" customFormat="1" ht="51" x14ac:dyDescent="0.2">
      <c r="A23" s="1240"/>
      <c r="B23" s="1241"/>
      <c r="C23" s="1242"/>
      <c r="D23" s="1241"/>
      <c r="E23" s="1241"/>
      <c r="F23" s="1242"/>
      <c r="G23" s="1240"/>
      <c r="H23" s="1241"/>
      <c r="I23" s="1242"/>
      <c r="J23" s="3191"/>
      <c r="K23" s="3180"/>
      <c r="L23" s="3177"/>
      <c r="M23" s="3177"/>
      <c r="N23" s="3177"/>
      <c r="O23" s="3177"/>
      <c r="P23" s="3180"/>
      <c r="Q23" s="2786"/>
      <c r="R23" s="3183"/>
      <c r="S23" s="3180"/>
      <c r="T23" s="3180"/>
      <c r="U23" s="1250" t="s">
        <v>1255</v>
      </c>
      <c r="V23" s="1255">
        <v>10000000</v>
      </c>
      <c r="W23" s="3186"/>
      <c r="X23" s="3177"/>
      <c r="Y23" s="3202"/>
      <c r="Z23" s="3199"/>
      <c r="AA23" s="3199"/>
      <c r="AB23" s="3199"/>
      <c r="AC23" s="3199"/>
      <c r="AD23" s="3199"/>
      <c r="AE23" s="3199"/>
      <c r="AF23" s="3199"/>
      <c r="AG23" s="3199"/>
      <c r="AH23" s="3199"/>
      <c r="AI23" s="3199"/>
      <c r="AJ23" s="3199"/>
      <c r="AK23" s="3193"/>
      <c r="AL23" s="3193"/>
      <c r="AM23" s="3196"/>
      <c r="AN23" s="1253"/>
      <c r="AO23" s="1256"/>
      <c r="AP23" s="1253"/>
      <c r="AQ23" s="1253"/>
    </row>
    <row r="24" spans="1:45" s="1254" customFormat="1" ht="63.75" x14ac:dyDescent="0.2">
      <c r="A24" s="1240"/>
      <c r="B24" s="1241"/>
      <c r="C24" s="1242"/>
      <c r="D24" s="1241"/>
      <c r="E24" s="1241"/>
      <c r="F24" s="1242"/>
      <c r="G24" s="1240"/>
      <c r="H24" s="1241"/>
      <c r="I24" s="1242"/>
      <c r="J24" s="3191"/>
      <c r="K24" s="3180"/>
      <c r="L24" s="3177"/>
      <c r="M24" s="3177"/>
      <c r="N24" s="3177"/>
      <c r="O24" s="3177"/>
      <c r="P24" s="3180"/>
      <c r="Q24" s="2786"/>
      <c r="R24" s="3183"/>
      <c r="S24" s="3180"/>
      <c r="T24" s="3180"/>
      <c r="U24" s="1250" t="s">
        <v>1256</v>
      </c>
      <c r="V24" s="1255">
        <v>10000000</v>
      </c>
      <c r="W24" s="3186"/>
      <c r="X24" s="3177"/>
      <c r="Y24" s="3202"/>
      <c r="Z24" s="3199"/>
      <c r="AA24" s="3199"/>
      <c r="AB24" s="3199"/>
      <c r="AC24" s="3199"/>
      <c r="AD24" s="3199"/>
      <c r="AE24" s="3199"/>
      <c r="AF24" s="3199"/>
      <c r="AG24" s="3199"/>
      <c r="AH24" s="3199"/>
      <c r="AI24" s="3199"/>
      <c r="AJ24" s="3199"/>
      <c r="AK24" s="3193"/>
      <c r="AL24" s="3193"/>
      <c r="AM24" s="3196"/>
      <c r="AN24" s="1253"/>
      <c r="AO24" s="1256"/>
      <c r="AP24" s="1253"/>
      <c r="AQ24" s="1253"/>
    </row>
    <row r="25" spans="1:45" s="1254" customFormat="1" ht="102" x14ac:dyDescent="0.2">
      <c r="A25" s="1240"/>
      <c r="B25" s="1241"/>
      <c r="C25" s="1242"/>
      <c r="D25" s="1257"/>
      <c r="E25" s="1257"/>
      <c r="F25" s="1258"/>
      <c r="G25" s="1259"/>
      <c r="H25" s="1257"/>
      <c r="I25" s="1258"/>
      <c r="J25" s="3191"/>
      <c r="K25" s="3181"/>
      <c r="L25" s="3178"/>
      <c r="M25" s="3178"/>
      <c r="N25" s="3178"/>
      <c r="O25" s="3178"/>
      <c r="P25" s="3181"/>
      <c r="Q25" s="2790"/>
      <c r="R25" s="3184"/>
      <c r="S25" s="3181"/>
      <c r="T25" s="3181"/>
      <c r="U25" s="1250" t="s">
        <v>1257</v>
      </c>
      <c r="V25" s="1255">
        <v>12000000</v>
      </c>
      <c r="W25" s="3187"/>
      <c r="X25" s="3178"/>
      <c r="Y25" s="3203"/>
      <c r="Z25" s="3200"/>
      <c r="AA25" s="3200"/>
      <c r="AB25" s="3200"/>
      <c r="AC25" s="3200"/>
      <c r="AD25" s="3200"/>
      <c r="AE25" s="3200"/>
      <c r="AF25" s="3200"/>
      <c r="AG25" s="3200"/>
      <c r="AH25" s="3200"/>
      <c r="AI25" s="3200"/>
      <c r="AJ25" s="3200"/>
      <c r="AK25" s="3194"/>
      <c r="AL25" s="3194"/>
      <c r="AM25" s="3197"/>
      <c r="AN25" s="1253"/>
      <c r="AO25" s="1253"/>
      <c r="AP25" s="1253"/>
      <c r="AQ25" s="1253"/>
    </row>
    <row r="26" spans="1:45" s="1219" customFormat="1" ht="36" customHeight="1" x14ac:dyDescent="0.2">
      <c r="A26" s="1228"/>
      <c r="C26" s="1260"/>
      <c r="D26" s="1261">
        <v>12</v>
      </c>
      <c r="E26" s="1227" t="s">
        <v>1258</v>
      </c>
      <c r="F26" s="1262"/>
      <c r="G26" s="1222"/>
      <c r="H26" s="1222"/>
      <c r="I26" s="1222"/>
      <c r="J26" s="1222"/>
      <c r="K26" s="1223"/>
      <c r="L26" s="1222"/>
      <c r="M26" s="1222"/>
      <c r="N26" s="1224"/>
      <c r="O26" s="1222"/>
      <c r="P26" s="1223"/>
      <c r="Q26" s="1222"/>
      <c r="R26" s="1263"/>
      <c r="S26" s="1222"/>
      <c r="T26" s="1223"/>
      <c r="U26" s="1223"/>
      <c r="V26" s="1225"/>
      <c r="W26" s="1264"/>
      <c r="X26" s="1224"/>
      <c r="Y26" s="1224"/>
      <c r="Z26" s="1224"/>
      <c r="AA26" s="1224"/>
      <c r="AB26" s="1224"/>
      <c r="AC26" s="1224"/>
      <c r="AD26" s="1224"/>
      <c r="AE26" s="1224"/>
      <c r="AF26" s="1224"/>
      <c r="AG26" s="1224"/>
      <c r="AH26" s="1224"/>
      <c r="AI26" s="1224"/>
      <c r="AJ26" s="1224"/>
      <c r="AK26" s="1222"/>
      <c r="AL26" s="1222"/>
      <c r="AM26" s="1227"/>
      <c r="AN26" s="1217"/>
      <c r="AO26" s="1217"/>
      <c r="AP26" s="1217"/>
      <c r="AQ26" s="1217"/>
      <c r="AR26" s="1218"/>
      <c r="AS26" s="1218"/>
    </row>
    <row r="27" spans="1:45" s="1219" customFormat="1" ht="36" customHeight="1" x14ac:dyDescent="0.2">
      <c r="A27" s="1228"/>
      <c r="B27" s="1229"/>
      <c r="C27" s="1230"/>
      <c r="D27" s="1231"/>
      <c r="E27" s="1231"/>
      <c r="F27" s="1232"/>
      <c r="G27" s="1265">
        <v>36</v>
      </c>
      <c r="H27" s="1234" t="s">
        <v>1259</v>
      </c>
      <c r="I27" s="1234"/>
      <c r="J27" s="1234"/>
      <c r="K27" s="1235"/>
      <c r="L27" s="1234"/>
      <c r="M27" s="1234"/>
      <c r="N27" s="1236"/>
      <c r="O27" s="1234"/>
      <c r="P27" s="1235"/>
      <c r="Q27" s="1234"/>
      <c r="R27" s="1266"/>
      <c r="S27" s="1234"/>
      <c r="T27" s="1235"/>
      <c r="U27" s="1235"/>
      <c r="V27" s="1237"/>
      <c r="W27" s="1267"/>
      <c r="X27" s="1236"/>
      <c r="Y27" s="1236"/>
      <c r="Z27" s="1236"/>
      <c r="AA27" s="1236"/>
      <c r="AB27" s="1236"/>
      <c r="AC27" s="1236"/>
      <c r="AD27" s="1236"/>
      <c r="AE27" s="1236"/>
      <c r="AF27" s="1236"/>
      <c r="AG27" s="1236"/>
      <c r="AH27" s="1236"/>
      <c r="AI27" s="1236"/>
      <c r="AJ27" s="1236"/>
      <c r="AK27" s="1234"/>
      <c r="AL27" s="1234"/>
      <c r="AM27" s="1239"/>
      <c r="AN27" s="1217"/>
      <c r="AO27" s="1217"/>
      <c r="AP27" s="1217"/>
      <c r="AQ27" s="1217"/>
      <c r="AR27" s="1218"/>
      <c r="AS27" s="1218"/>
    </row>
    <row r="28" spans="1:45" s="1254" customFormat="1" ht="63.75" customHeight="1" x14ac:dyDescent="0.2">
      <c r="A28" s="1240"/>
      <c r="B28" s="1241"/>
      <c r="C28" s="1242"/>
      <c r="D28" s="1241"/>
      <c r="E28" s="1241"/>
      <c r="F28" s="1242"/>
      <c r="G28" s="1243"/>
      <c r="H28" s="1244"/>
      <c r="I28" s="1245"/>
      <c r="J28" s="3176">
        <v>130</v>
      </c>
      <c r="K28" s="3179" t="s">
        <v>1260</v>
      </c>
      <c r="L28" s="3176" t="s">
        <v>126</v>
      </c>
      <c r="M28" s="3176">
        <v>1</v>
      </c>
      <c r="N28" s="3176" t="s">
        <v>1261</v>
      </c>
      <c r="O28" s="3176">
        <v>133</v>
      </c>
      <c r="P28" s="3179" t="s">
        <v>1262</v>
      </c>
      <c r="Q28" s="3204">
        <f>(V28+V29)/R28</f>
        <v>0.2</v>
      </c>
      <c r="R28" s="3208">
        <v>154500000</v>
      </c>
      <c r="S28" s="3179" t="s">
        <v>1263</v>
      </c>
      <c r="T28" s="3179" t="s">
        <v>1264</v>
      </c>
      <c r="U28" s="1268" t="s">
        <v>1265</v>
      </c>
      <c r="V28" s="1255">
        <v>10000000</v>
      </c>
      <c r="W28" s="3185">
        <v>61</v>
      </c>
      <c r="X28" s="3176" t="s">
        <v>1244</v>
      </c>
      <c r="Y28" s="3211">
        <v>64149</v>
      </c>
      <c r="Z28" s="3206">
        <v>72224</v>
      </c>
      <c r="AA28" s="3206">
        <v>27477</v>
      </c>
      <c r="AB28" s="3206">
        <v>86843</v>
      </c>
      <c r="AC28" s="3206">
        <v>236429</v>
      </c>
      <c r="AD28" s="3206">
        <v>81384</v>
      </c>
      <c r="AE28" s="3206">
        <v>13208</v>
      </c>
      <c r="AF28" s="3206">
        <v>2145</v>
      </c>
      <c r="AG28" s="3206">
        <v>413</v>
      </c>
      <c r="AH28" s="3206">
        <v>520</v>
      </c>
      <c r="AI28" s="3206">
        <v>16897</v>
      </c>
      <c r="AJ28" s="3206">
        <v>75612</v>
      </c>
      <c r="AK28" s="3192">
        <v>42948</v>
      </c>
      <c r="AL28" s="3192">
        <v>43100</v>
      </c>
      <c r="AM28" s="3195" t="s">
        <v>1266</v>
      </c>
      <c r="AN28" s="1253"/>
      <c r="AO28" s="1253"/>
      <c r="AP28" s="1253"/>
      <c r="AQ28" s="1253"/>
    </row>
    <row r="29" spans="1:45" s="1254" customFormat="1" ht="102" x14ac:dyDescent="0.2">
      <c r="A29" s="1240"/>
      <c r="B29" s="1241"/>
      <c r="C29" s="1242"/>
      <c r="D29" s="1241"/>
      <c r="E29" s="1241"/>
      <c r="F29" s="1242"/>
      <c r="G29" s="1240"/>
      <c r="H29" s="1241"/>
      <c r="I29" s="1242"/>
      <c r="J29" s="3178"/>
      <c r="K29" s="3181"/>
      <c r="L29" s="3178"/>
      <c r="M29" s="3178"/>
      <c r="N29" s="3177"/>
      <c r="O29" s="3177"/>
      <c r="P29" s="3180"/>
      <c r="Q29" s="3205"/>
      <c r="R29" s="3209"/>
      <c r="S29" s="3180"/>
      <c r="T29" s="3181"/>
      <c r="U29" s="1268" t="s">
        <v>1267</v>
      </c>
      <c r="V29" s="1255">
        <v>20900000</v>
      </c>
      <c r="W29" s="3186"/>
      <c r="X29" s="3177"/>
      <c r="Y29" s="3212"/>
      <c r="Z29" s="3207"/>
      <c r="AA29" s="3207"/>
      <c r="AB29" s="3207"/>
      <c r="AC29" s="3207"/>
      <c r="AD29" s="3207"/>
      <c r="AE29" s="3207"/>
      <c r="AF29" s="3207"/>
      <c r="AG29" s="3207"/>
      <c r="AH29" s="3207"/>
      <c r="AI29" s="3207"/>
      <c r="AJ29" s="3207"/>
      <c r="AK29" s="3193"/>
      <c r="AL29" s="3193"/>
      <c r="AM29" s="3196"/>
      <c r="AN29" s="1269"/>
      <c r="AO29" s="1253"/>
      <c r="AP29" s="1253"/>
      <c r="AQ29" s="1253"/>
    </row>
    <row r="30" spans="1:45" s="1254" customFormat="1" ht="63.75" x14ac:dyDescent="0.2">
      <c r="A30" s="1240"/>
      <c r="B30" s="1241"/>
      <c r="C30" s="1242"/>
      <c r="D30" s="1241"/>
      <c r="E30" s="1241"/>
      <c r="F30" s="1242"/>
      <c r="G30" s="1240"/>
      <c r="H30" s="1241"/>
      <c r="I30" s="1242"/>
      <c r="J30" s="3176">
        <v>131</v>
      </c>
      <c r="K30" s="3179" t="s">
        <v>1268</v>
      </c>
      <c r="L30" s="3176" t="s">
        <v>126</v>
      </c>
      <c r="M30" s="3176">
        <v>3</v>
      </c>
      <c r="N30" s="3177"/>
      <c r="O30" s="3177"/>
      <c r="P30" s="3180"/>
      <c r="Q30" s="3204">
        <f>(V30+V31)/R28</f>
        <v>0.8</v>
      </c>
      <c r="R30" s="3209"/>
      <c r="S30" s="3180"/>
      <c r="T30" s="3179" t="s">
        <v>1269</v>
      </c>
      <c r="U30" s="1268" t="s">
        <v>1270</v>
      </c>
      <c r="V30" s="1255">
        <v>100000000</v>
      </c>
      <c r="W30" s="3186"/>
      <c r="X30" s="3177"/>
      <c r="Y30" s="3212"/>
      <c r="Z30" s="3207"/>
      <c r="AA30" s="3207"/>
      <c r="AB30" s="3207"/>
      <c r="AC30" s="3207"/>
      <c r="AD30" s="3207"/>
      <c r="AE30" s="3207"/>
      <c r="AF30" s="3207"/>
      <c r="AG30" s="3207"/>
      <c r="AH30" s="3207"/>
      <c r="AI30" s="3207"/>
      <c r="AJ30" s="3207"/>
      <c r="AK30" s="3193"/>
      <c r="AL30" s="3193"/>
      <c r="AM30" s="3196"/>
      <c r="AN30" s="1253"/>
      <c r="AO30" s="1253"/>
      <c r="AP30" s="1253"/>
      <c r="AQ30" s="1253"/>
    </row>
    <row r="31" spans="1:45" s="1254" customFormat="1" ht="63.75" x14ac:dyDescent="0.2">
      <c r="A31" s="1240"/>
      <c r="B31" s="1241"/>
      <c r="C31" s="1242"/>
      <c r="D31" s="1241"/>
      <c r="E31" s="1241"/>
      <c r="F31" s="1242"/>
      <c r="G31" s="1259"/>
      <c r="H31" s="1257"/>
      <c r="I31" s="1258"/>
      <c r="J31" s="3178"/>
      <c r="K31" s="3181"/>
      <c r="L31" s="3178"/>
      <c r="M31" s="3178"/>
      <c r="N31" s="3178"/>
      <c r="O31" s="3178"/>
      <c r="P31" s="3181"/>
      <c r="Q31" s="3205"/>
      <c r="R31" s="3210"/>
      <c r="S31" s="3181"/>
      <c r="T31" s="3181"/>
      <c r="U31" s="1268" t="s">
        <v>1271</v>
      </c>
      <c r="V31" s="1255">
        <v>23600000</v>
      </c>
      <c r="W31" s="3187"/>
      <c r="X31" s="3178"/>
      <c r="Y31" s="3213"/>
      <c r="Z31" s="3207"/>
      <c r="AA31" s="3207"/>
      <c r="AB31" s="3207"/>
      <c r="AC31" s="3207"/>
      <c r="AD31" s="3207"/>
      <c r="AE31" s="3207"/>
      <c r="AF31" s="3207"/>
      <c r="AG31" s="3207"/>
      <c r="AH31" s="3207"/>
      <c r="AI31" s="3207"/>
      <c r="AJ31" s="3207"/>
      <c r="AK31" s="3194"/>
      <c r="AL31" s="3194"/>
      <c r="AM31" s="3197"/>
      <c r="AN31" s="1253"/>
      <c r="AO31" s="1253"/>
      <c r="AP31" s="1253"/>
      <c r="AQ31" s="1253"/>
    </row>
    <row r="32" spans="1:45" s="1270" customFormat="1" ht="36" customHeight="1" x14ac:dyDescent="0.2">
      <c r="A32" s="1228"/>
      <c r="B32" s="1229"/>
      <c r="C32" s="1230"/>
      <c r="D32" s="1229"/>
      <c r="E32" s="1229"/>
      <c r="F32" s="1230"/>
      <c r="G32" s="1265">
        <v>37</v>
      </c>
      <c r="H32" s="1234" t="s">
        <v>1272</v>
      </c>
      <c r="I32" s="1234"/>
      <c r="J32" s="1234"/>
      <c r="K32" s="1235"/>
      <c r="L32" s="1234"/>
      <c r="M32" s="1234"/>
      <c r="N32" s="1236"/>
      <c r="O32" s="1234"/>
      <c r="P32" s="1235"/>
      <c r="Q32" s="1234"/>
      <c r="R32" s="1266"/>
      <c r="S32" s="1234"/>
      <c r="T32" s="1235"/>
      <c r="U32" s="1235"/>
      <c r="V32" s="1237"/>
      <c r="W32" s="1267"/>
      <c r="X32" s="1236"/>
      <c r="Y32" s="1236"/>
      <c r="Z32" s="1236"/>
      <c r="AA32" s="1236"/>
      <c r="AB32" s="1236"/>
      <c r="AC32" s="1236"/>
      <c r="AD32" s="1236"/>
      <c r="AE32" s="1236"/>
      <c r="AF32" s="1236"/>
      <c r="AG32" s="1236"/>
      <c r="AH32" s="1236"/>
      <c r="AI32" s="1236"/>
      <c r="AJ32" s="1236"/>
      <c r="AK32" s="1234"/>
      <c r="AL32" s="1234"/>
      <c r="AM32" s="1239"/>
      <c r="AN32" s="1217"/>
      <c r="AO32" s="1217"/>
      <c r="AP32" s="1217"/>
      <c r="AQ32" s="1217"/>
      <c r="AR32" s="1218"/>
      <c r="AS32" s="1218"/>
    </row>
    <row r="33" spans="1:45" s="1254" customFormat="1" ht="76.5" x14ac:dyDescent="0.2">
      <c r="A33" s="1271"/>
      <c r="B33" s="1272"/>
      <c r="C33" s="1273"/>
      <c r="D33" s="1272"/>
      <c r="E33" s="1272"/>
      <c r="F33" s="1273"/>
      <c r="G33" s="1274"/>
      <c r="H33" s="1275"/>
      <c r="I33" s="1276"/>
      <c r="J33" s="3176">
        <v>132</v>
      </c>
      <c r="K33" s="3179" t="s">
        <v>1273</v>
      </c>
      <c r="L33" s="3176" t="s">
        <v>126</v>
      </c>
      <c r="M33" s="3176">
        <v>8</v>
      </c>
      <c r="N33" s="3176" t="s">
        <v>1274</v>
      </c>
      <c r="O33" s="3176">
        <v>134</v>
      </c>
      <c r="P33" s="3179" t="s">
        <v>1275</v>
      </c>
      <c r="Q33" s="1953">
        <f>(V33+V34+V35)/R33</f>
        <v>0.29004037685060563</v>
      </c>
      <c r="R33" s="3208">
        <v>148600000</v>
      </c>
      <c r="S33" s="3179" t="s">
        <v>1276</v>
      </c>
      <c r="T33" s="3179" t="s">
        <v>1277</v>
      </c>
      <c r="U33" s="1268" t="s">
        <v>1278</v>
      </c>
      <c r="V33" s="1251">
        <f>10000000+7350000</f>
        <v>17350000</v>
      </c>
      <c r="W33" s="3220">
        <v>61</v>
      </c>
      <c r="X33" s="3223" t="s">
        <v>1244</v>
      </c>
      <c r="Y33" s="3217">
        <v>64149</v>
      </c>
      <c r="Z33" s="3217">
        <v>72224</v>
      </c>
      <c r="AA33" s="3217">
        <v>27477</v>
      </c>
      <c r="AB33" s="3217">
        <v>86843</v>
      </c>
      <c r="AC33" s="3217">
        <v>236429</v>
      </c>
      <c r="AD33" s="3217">
        <v>81384</v>
      </c>
      <c r="AE33" s="3214">
        <v>13208</v>
      </c>
      <c r="AF33" s="3214">
        <v>2145</v>
      </c>
      <c r="AG33" s="3214">
        <v>413</v>
      </c>
      <c r="AH33" s="3214">
        <v>520</v>
      </c>
      <c r="AI33" s="3214">
        <v>16897</v>
      </c>
      <c r="AJ33" s="3217">
        <v>75612</v>
      </c>
      <c r="AK33" s="3192">
        <v>42948</v>
      </c>
      <c r="AL33" s="3192">
        <v>43100</v>
      </c>
      <c r="AM33" s="3195" t="s">
        <v>1266</v>
      </c>
      <c r="AN33" s="1198"/>
      <c r="AO33" s="1198"/>
      <c r="AP33" s="1253"/>
      <c r="AQ33" s="1253"/>
    </row>
    <row r="34" spans="1:45" s="1254" customFormat="1" ht="89.25" x14ac:dyDescent="0.2">
      <c r="A34" s="1271"/>
      <c r="B34" s="1272"/>
      <c r="C34" s="1273"/>
      <c r="D34" s="1272"/>
      <c r="E34" s="1272"/>
      <c r="F34" s="1273"/>
      <c r="G34" s="1271"/>
      <c r="H34" s="1272"/>
      <c r="I34" s="1273"/>
      <c r="J34" s="3177"/>
      <c r="K34" s="3180"/>
      <c r="L34" s="3177"/>
      <c r="M34" s="3177"/>
      <c r="N34" s="3177"/>
      <c r="O34" s="3177"/>
      <c r="P34" s="3180"/>
      <c r="Q34" s="2786"/>
      <c r="R34" s="3209"/>
      <c r="S34" s="3180"/>
      <c r="T34" s="3180"/>
      <c r="U34" s="1268" t="s">
        <v>1279</v>
      </c>
      <c r="V34" s="1251">
        <v>10000000</v>
      </c>
      <c r="W34" s="3221"/>
      <c r="X34" s="3224"/>
      <c r="Y34" s="3218"/>
      <c r="Z34" s="3218"/>
      <c r="AA34" s="3218"/>
      <c r="AB34" s="3218"/>
      <c r="AC34" s="3218"/>
      <c r="AD34" s="3218"/>
      <c r="AE34" s="3215"/>
      <c r="AF34" s="3215"/>
      <c r="AG34" s="3215"/>
      <c r="AH34" s="3215"/>
      <c r="AI34" s="3215"/>
      <c r="AJ34" s="3218"/>
      <c r="AK34" s="3193"/>
      <c r="AL34" s="3193"/>
      <c r="AM34" s="3196"/>
      <c r="AN34" s="1253"/>
      <c r="AO34" s="1253"/>
      <c r="AP34" s="1253"/>
      <c r="AQ34" s="1253"/>
    </row>
    <row r="35" spans="1:45" s="1254" customFormat="1" ht="51" x14ac:dyDescent="0.2">
      <c r="A35" s="1271"/>
      <c r="B35" s="1272"/>
      <c r="C35" s="1273"/>
      <c r="D35" s="1272"/>
      <c r="E35" s="1272"/>
      <c r="F35" s="1273"/>
      <c r="G35" s="1271"/>
      <c r="H35" s="1272"/>
      <c r="I35" s="1273"/>
      <c r="J35" s="3178"/>
      <c r="K35" s="3181"/>
      <c r="L35" s="3178"/>
      <c r="M35" s="3178"/>
      <c r="N35" s="3177"/>
      <c r="O35" s="3177"/>
      <c r="P35" s="3180"/>
      <c r="Q35" s="2790"/>
      <c r="R35" s="3209"/>
      <c r="S35" s="3180"/>
      <c r="T35" s="3180"/>
      <c r="U35" s="1268" t="s">
        <v>1280</v>
      </c>
      <c r="V35" s="1251">
        <f>5750000+10000000</f>
        <v>15750000</v>
      </c>
      <c r="W35" s="3221"/>
      <c r="X35" s="3224"/>
      <c r="Y35" s="3218"/>
      <c r="Z35" s="3218"/>
      <c r="AA35" s="3218"/>
      <c r="AB35" s="3218"/>
      <c r="AC35" s="3218"/>
      <c r="AD35" s="3218"/>
      <c r="AE35" s="3215"/>
      <c r="AF35" s="3215"/>
      <c r="AG35" s="3215"/>
      <c r="AH35" s="3215"/>
      <c r="AI35" s="3215"/>
      <c r="AJ35" s="3218"/>
      <c r="AK35" s="3193"/>
      <c r="AL35" s="3193"/>
      <c r="AM35" s="3196"/>
      <c r="AN35" s="1253"/>
      <c r="AO35" s="1253"/>
      <c r="AP35" s="1253"/>
      <c r="AQ35" s="1253"/>
    </row>
    <row r="36" spans="1:45" s="1254" customFormat="1" ht="63.75" x14ac:dyDescent="0.2">
      <c r="A36" s="1271"/>
      <c r="B36" s="1272"/>
      <c r="C36" s="1273"/>
      <c r="D36" s="1272"/>
      <c r="E36" s="1272"/>
      <c r="F36" s="1273"/>
      <c r="G36" s="1271"/>
      <c r="H36" s="1272"/>
      <c r="I36" s="1273"/>
      <c r="J36" s="3176">
        <v>133</v>
      </c>
      <c r="K36" s="3179" t="s">
        <v>1281</v>
      </c>
      <c r="L36" s="3176" t="s">
        <v>126</v>
      </c>
      <c r="M36" s="3176">
        <v>12</v>
      </c>
      <c r="N36" s="3177"/>
      <c r="O36" s="3177"/>
      <c r="P36" s="3180"/>
      <c r="Q36" s="1953">
        <f>(V36+V37+V38+V40)/R33</f>
        <v>0.10767160161507403</v>
      </c>
      <c r="R36" s="3209"/>
      <c r="S36" s="3180"/>
      <c r="T36" s="3180"/>
      <c r="U36" s="1268" t="s">
        <v>1282</v>
      </c>
      <c r="V36" s="1251">
        <f>7000000-7000000</f>
        <v>0</v>
      </c>
      <c r="W36" s="3221"/>
      <c r="X36" s="3224"/>
      <c r="Y36" s="3218"/>
      <c r="Z36" s="3218"/>
      <c r="AA36" s="3218"/>
      <c r="AB36" s="3218"/>
      <c r="AC36" s="3218"/>
      <c r="AD36" s="3218"/>
      <c r="AE36" s="3215"/>
      <c r="AF36" s="3215"/>
      <c r="AG36" s="3215"/>
      <c r="AH36" s="3215"/>
      <c r="AI36" s="3215"/>
      <c r="AJ36" s="3218"/>
      <c r="AK36" s="3193"/>
      <c r="AL36" s="3193"/>
      <c r="AM36" s="3196"/>
      <c r="AN36" s="1253"/>
      <c r="AO36" s="1253"/>
      <c r="AP36" s="1253"/>
      <c r="AQ36" s="1253"/>
    </row>
    <row r="37" spans="1:45" s="1254" customFormat="1" ht="63.75" x14ac:dyDescent="0.2">
      <c r="A37" s="1271"/>
      <c r="B37" s="1272"/>
      <c r="C37" s="1273"/>
      <c r="D37" s="1272"/>
      <c r="E37" s="1272"/>
      <c r="F37" s="1273"/>
      <c r="G37" s="1271"/>
      <c r="H37" s="1272"/>
      <c r="I37" s="1273"/>
      <c r="J37" s="3177"/>
      <c r="K37" s="3180"/>
      <c r="L37" s="3177"/>
      <c r="M37" s="3177"/>
      <c r="N37" s="3177"/>
      <c r="O37" s="3177"/>
      <c r="P37" s="3180"/>
      <c r="Q37" s="2786"/>
      <c r="R37" s="3209"/>
      <c r="S37" s="3180"/>
      <c r="T37" s="3180"/>
      <c r="U37" s="1268" t="s">
        <v>1283</v>
      </c>
      <c r="V37" s="1251">
        <f>6000000-6000000</f>
        <v>0</v>
      </c>
      <c r="W37" s="3221"/>
      <c r="X37" s="3224"/>
      <c r="Y37" s="3218"/>
      <c r="Z37" s="3218"/>
      <c r="AA37" s="3218"/>
      <c r="AB37" s="3218"/>
      <c r="AC37" s="3218"/>
      <c r="AD37" s="3218"/>
      <c r="AE37" s="3215"/>
      <c r="AF37" s="3215"/>
      <c r="AG37" s="3215"/>
      <c r="AH37" s="3215"/>
      <c r="AI37" s="3215"/>
      <c r="AJ37" s="3218"/>
      <c r="AK37" s="3193"/>
      <c r="AL37" s="3193"/>
      <c r="AM37" s="3196"/>
      <c r="AN37" s="1253"/>
      <c r="AO37" s="1253"/>
      <c r="AP37" s="1253"/>
      <c r="AQ37" s="1253"/>
    </row>
    <row r="38" spans="1:45" s="1254" customFormat="1" ht="63.75" x14ac:dyDescent="0.2">
      <c r="A38" s="1271"/>
      <c r="B38" s="1272"/>
      <c r="C38" s="1273"/>
      <c r="D38" s="1272"/>
      <c r="E38" s="1272"/>
      <c r="F38" s="1273"/>
      <c r="G38" s="1271"/>
      <c r="H38" s="1272"/>
      <c r="I38" s="1273"/>
      <c r="J38" s="3177"/>
      <c r="K38" s="3180"/>
      <c r="L38" s="3177"/>
      <c r="M38" s="3177"/>
      <c r="N38" s="3177"/>
      <c r="O38" s="3177"/>
      <c r="P38" s="3180"/>
      <c r="Q38" s="2786"/>
      <c r="R38" s="3209"/>
      <c r="S38" s="3180"/>
      <c r="T38" s="3180"/>
      <c r="U38" s="1268" t="s">
        <v>1284</v>
      </c>
      <c r="V38" s="1251">
        <f>6750000-6750000</f>
        <v>0</v>
      </c>
      <c r="W38" s="3221"/>
      <c r="X38" s="3224"/>
      <c r="Y38" s="3218"/>
      <c r="Z38" s="3218"/>
      <c r="AA38" s="3218"/>
      <c r="AB38" s="3218"/>
      <c r="AC38" s="3218"/>
      <c r="AD38" s="3218"/>
      <c r="AE38" s="3215"/>
      <c r="AF38" s="3215"/>
      <c r="AG38" s="3215"/>
      <c r="AH38" s="3215"/>
      <c r="AI38" s="3215"/>
      <c r="AJ38" s="3218"/>
      <c r="AK38" s="3193"/>
      <c r="AL38" s="3193"/>
      <c r="AM38" s="3196"/>
      <c r="AN38" s="1253"/>
      <c r="AO38" s="1253"/>
      <c r="AP38" s="1253"/>
      <c r="AQ38" s="1253"/>
    </row>
    <row r="39" spans="1:45" s="1254" customFormat="1" ht="86.25" customHeight="1" x14ac:dyDescent="0.2">
      <c r="A39" s="1271"/>
      <c r="B39" s="1272"/>
      <c r="C39" s="1273"/>
      <c r="D39" s="1272"/>
      <c r="E39" s="1272"/>
      <c r="F39" s="1273"/>
      <c r="G39" s="1271"/>
      <c r="H39" s="1272"/>
      <c r="I39" s="1273"/>
      <c r="J39" s="3177"/>
      <c r="K39" s="3180"/>
      <c r="L39" s="3177"/>
      <c r="M39" s="3177"/>
      <c r="N39" s="3177"/>
      <c r="O39" s="3177"/>
      <c r="P39" s="3180"/>
      <c r="Q39" s="2786"/>
      <c r="R39" s="3209"/>
      <c r="S39" s="3180"/>
      <c r="T39" s="3180"/>
      <c r="U39" s="1277" t="s">
        <v>1285</v>
      </c>
      <c r="V39" s="1251">
        <v>9750000</v>
      </c>
      <c r="W39" s="3221"/>
      <c r="X39" s="3224"/>
      <c r="Y39" s="3218"/>
      <c r="Z39" s="3218"/>
      <c r="AA39" s="3218"/>
      <c r="AB39" s="3218"/>
      <c r="AC39" s="3218"/>
      <c r="AD39" s="3218"/>
      <c r="AE39" s="3215"/>
      <c r="AF39" s="3215"/>
      <c r="AG39" s="3215"/>
      <c r="AH39" s="3215"/>
      <c r="AI39" s="3215"/>
      <c r="AJ39" s="3218"/>
      <c r="AK39" s="3193"/>
      <c r="AL39" s="3193"/>
      <c r="AM39" s="3196"/>
      <c r="AN39" s="1253"/>
      <c r="AO39" s="1253"/>
      <c r="AP39" s="1253"/>
      <c r="AQ39" s="1253"/>
    </row>
    <row r="40" spans="1:45" s="1254" customFormat="1" ht="76.5" x14ac:dyDescent="0.2">
      <c r="A40" s="1271"/>
      <c r="B40" s="1272"/>
      <c r="C40" s="1273"/>
      <c r="D40" s="1272"/>
      <c r="E40" s="1272"/>
      <c r="F40" s="1273"/>
      <c r="G40" s="1271"/>
      <c r="H40" s="1272"/>
      <c r="I40" s="1273"/>
      <c r="J40" s="3178"/>
      <c r="K40" s="3181"/>
      <c r="L40" s="3178"/>
      <c r="M40" s="3178"/>
      <c r="N40" s="3177"/>
      <c r="O40" s="3177"/>
      <c r="P40" s="3180"/>
      <c r="Q40" s="2790"/>
      <c r="R40" s="3209"/>
      <c r="S40" s="3180"/>
      <c r="T40" s="3181"/>
      <c r="U40" s="1268" t="s">
        <v>1286</v>
      </c>
      <c r="V40" s="1251">
        <f>6000000+10000000</f>
        <v>16000000</v>
      </c>
      <c r="W40" s="3221"/>
      <c r="X40" s="3224"/>
      <c r="Y40" s="3218"/>
      <c r="Z40" s="3218"/>
      <c r="AA40" s="3218"/>
      <c r="AB40" s="3218"/>
      <c r="AC40" s="3218"/>
      <c r="AD40" s="3218"/>
      <c r="AE40" s="3215"/>
      <c r="AF40" s="3215"/>
      <c r="AG40" s="3215"/>
      <c r="AH40" s="3215"/>
      <c r="AI40" s="3215"/>
      <c r="AJ40" s="3218"/>
      <c r="AK40" s="3193"/>
      <c r="AL40" s="3193"/>
      <c r="AM40" s="3196"/>
      <c r="AN40" s="1253"/>
      <c r="AO40" s="1253"/>
      <c r="AP40" s="1253"/>
      <c r="AQ40" s="1253"/>
    </row>
    <row r="41" spans="1:45" s="1254" customFormat="1" ht="63.75" x14ac:dyDescent="0.2">
      <c r="A41" s="1271"/>
      <c r="B41" s="1272"/>
      <c r="C41" s="1273"/>
      <c r="D41" s="1272"/>
      <c r="E41" s="1272"/>
      <c r="F41" s="1273"/>
      <c r="G41" s="1271"/>
      <c r="H41" s="1272"/>
      <c r="I41" s="1273"/>
      <c r="J41" s="3176">
        <v>134</v>
      </c>
      <c r="K41" s="3179" t="s">
        <v>1287</v>
      </c>
      <c r="L41" s="3176" t="s">
        <v>126</v>
      </c>
      <c r="M41" s="3176">
        <v>4800</v>
      </c>
      <c r="N41" s="3177"/>
      <c r="O41" s="3177"/>
      <c r="P41" s="3180"/>
      <c r="Q41" s="1953">
        <f>(V41+V42+V43)/R33</f>
        <v>0.36339165545087482</v>
      </c>
      <c r="R41" s="3209"/>
      <c r="S41" s="3180"/>
      <c r="T41" s="3179" t="s">
        <v>1288</v>
      </c>
      <c r="U41" s="1268" t="s">
        <v>1289</v>
      </c>
      <c r="V41" s="1251">
        <v>30000000</v>
      </c>
      <c r="W41" s="3221"/>
      <c r="X41" s="3224"/>
      <c r="Y41" s="3218"/>
      <c r="Z41" s="3218"/>
      <c r="AA41" s="3218"/>
      <c r="AB41" s="3218"/>
      <c r="AC41" s="3218"/>
      <c r="AD41" s="3218"/>
      <c r="AE41" s="3215"/>
      <c r="AF41" s="3215"/>
      <c r="AG41" s="3215"/>
      <c r="AH41" s="3215"/>
      <c r="AI41" s="3215"/>
      <c r="AJ41" s="3218"/>
      <c r="AK41" s="3193"/>
      <c r="AL41" s="3193"/>
      <c r="AM41" s="3196"/>
      <c r="AN41" s="1253"/>
      <c r="AO41" s="1253"/>
      <c r="AP41" s="1253"/>
      <c r="AQ41" s="1253"/>
    </row>
    <row r="42" spans="1:45" s="1254" customFormat="1" ht="63.75" x14ac:dyDescent="0.2">
      <c r="A42" s="1271"/>
      <c r="B42" s="1272"/>
      <c r="C42" s="1273"/>
      <c r="D42" s="1272"/>
      <c r="E42" s="1272"/>
      <c r="F42" s="1273"/>
      <c r="G42" s="1271"/>
      <c r="H42" s="1272"/>
      <c r="I42" s="1273"/>
      <c r="J42" s="3177"/>
      <c r="K42" s="3180"/>
      <c r="L42" s="3177"/>
      <c r="M42" s="3177"/>
      <c r="N42" s="3177"/>
      <c r="O42" s="3177"/>
      <c r="P42" s="3180"/>
      <c r="Q42" s="2786"/>
      <c r="R42" s="3209"/>
      <c r="S42" s="3180"/>
      <c r="T42" s="3180"/>
      <c r="U42" s="1268" t="s">
        <v>1290</v>
      </c>
      <c r="V42" s="1251">
        <f>6350000+7650000</f>
        <v>14000000</v>
      </c>
      <c r="W42" s="3221"/>
      <c r="X42" s="3224"/>
      <c r="Y42" s="3218"/>
      <c r="Z42" s="3218"/>
      <c r="AA42" s="3218"/>
      <c r="AB42" s="3218"/>
      <c r="AC42" s="3218"/>
      <c r="AD42" s="3218"/>
      <c r="AE42" s="3215"/>
      <c r="AF42" s="3215"/>
      <c r="AG42" s="3215"/>
      <c r="AH42" s="3215"/>
      <c r="AI42" s="3215"/>
      <c r="AJ42" s="3218"/>
      <c r="AK42" s="3193"/>
      <c r="AL42" s="3193"/>
      <c r="AM42" s="3196"/>
      <c r="AN42" s="1253"/>
      <c r="AO42" s="1253"/>
      <c r="AP42" s="1253"/>
      <c r="AQ42" s="1253"/>
    </row>
    <row r="43" spans="1:45" s="1254" customFormat="1" ht="51" x14ac:dyDescent="0.2">
      <c r="A43" s="1271"/>
      <c r="B43" s="1272"/>
      <c r="C43" s="1273"/>
      <c r="D43" s="1272"/>
      <c r="E43" s="1272"/>
      <c r="F43" s="1273"/>
      <c r="G43" s="1271"/>
      <c r="H43" s="1272"/>
      <c r="I43" s="1273"/>
      <c r="J43" s="3178"/>
      <c r="K43" s="3181"/>
      <c r="L43" s="3178"/>
      <c r="M43" s="3178"/>
      <c r="N43" s="3177"/>
      <c r="O43" s="3177"/>
      <c r="P43" s="3180"/>
      <c r="Q43" s="2790"/>
      <c r="R43" s="3209"/>
      <c r="S43" s="3180"/>
      <c r="T43" s="3180"/>
      <c r="U43" s="1268" t="s">
        <v>1291</v>
      </c>
      <c r="V43" s="1251">
        <v>10000000</v>
      </c>
      <c r="W43" s="3221"/>
      <c r="X43" s="3224"/>
      <c r="Y43" s="3218"/>
      <c r="Z43" s="3218"/>
      <c r="AA43" s="3218"/>
      <c r="AB43" s="3218"/>
      <c r="AC43" s="3218"/>
      <c r="AD43" s="3218"/>
      <c r="AE43" s="3215"/>
      <c r="AF43" s="3215"/>
      <c r="AG43" s="3215"/>
      <c r="AH43" s="3215"/>
      <c r="AI43" s="3215"/>
      <c r="AJ43" s="3218"/>
      <c r="AK43" s="3193"/>
      <c r="AL43" s="3193"/>
      <c r="AM43" s="3196"/>
      <c r="AN43" s="1253"/>
      <c r="AO43" s="1253"/>
      <c r="AP43" s="1253"/>
      <c r="AQ43" s="1253"/>
    </row>
    <row r="44" spans="1:45" s="1254" customFormat="1" ht="76.5" x14ac:dyDescent="0.2">
      <c r="A44" s="1271"/>
      <c r="B44" s="1272"/>
      <c r="C44" s="1273"/>
      <c r="D44" s="1272"/>
      <c r="E44" s="1272"/>
      <c r="F44" s="1273"/>
      <c r="G44" s="1271"/>
      <c r="H44" s="1272"/>
      <c r="I44" s="1273"/>
      <c r="J44" s="3176">
        <v>135</v>
      </c>
      <c r="K44" s="3179" t="s">
        <v>1292</v>
      </c>
      <c r="L44" s="3176" t="s">
        <v>126</v>
      </c>
      <c r="M44" s="3176">
        <v>12</v>
      </c>
      <c r="N44" s="3177"/>
      <c r="O44" s="3177"/>
      <c r="P44" s="3180"/>
      <c r="Q44" s="1953">
        <f>(V44+V45+V46)/R33</f>
        <v>0.17328398384925975</v>
      </c>
      <c r="R44" s="3209"/>
      <c r="S44" s="3180"/>
      <c r="T44" s="3180"/>
      <c r="U44" s="1268" t="s">
        <v>1293</v>
      </c>
      <c r="V44" s="1255">
        <v>10000000</v>
      </c>
      <c r="W44" s="3221"/>
      <c r="X44" s="3224"/>
      <c r="Y44" s="3218"/>
      <c r="Z44" s="3218"/>
      <c r="AA44" s="3218"/>
      <c r="AB44" s="3218"/>
      <c r="AC44" s="3218"/>
      <c r="AD44" s="3218"/>
      <c r="AE44" s="3215"/>
      <c r="AF44" s="3215"/>
      <c r="AG44" s="3215"/>
      <c r="AH44" s="3215"/>
      <c r="AI44" s="3215"/>
      <c r="AJ44" s="3218"/>
      <c r="AK44" s="3193"/>
      <c r="AL44" s="3193"/>
      <c r="AM44" s="3196"/>
      <c r="AN44" s="1253"/>
      <c r="AO44" s="1253"/>
      <c r="AP44" s="1253"/>
      <c r="AQ44" s="1253"/>
    </row>
    <row r="45" spans="1:45" s="1254" customFormat="1" ht="76.5" x14ac:dyDescent="0.2">
      <c r="A45" s="1271"/>
      <c r="B45" s="1272"/>
      <c r="C45" s="1273"/>
      <c r="D45" s="1272"/>
      <c r="E45" s="1272"/>
      <c r="F45" s="1273"/>
      <c r="G45" s="1271"/>
      <c r="H45" s="1272"/>
      <c r="I45" s="1273"/>
      <c r="J45" s="3177"/>
      <c r="K45" s="3180"/>
      <c r="L45" s="3177"/>
      <c r="M45" s="3177"/>
      <c r="N45" s="3177"/>
      <c r="O45" s="3177"/>
      <c r="P45" s="3180"/>
      <c r="Q45" s="2786"/>
      <c r="R45" s="3209"/>
      <c r="S45" s="3180"/>
      <c r="T45" s="3180"/>
      <c r="U45" s="1268" t="s">
        <v>1294</v>
      </c>
      <c r="V45" s="1255">
        <v>9000000</v>
      </c>
      <c r="W45" s="3221"/>
      <c r="X45" s="3224"/>
      <c r="Y45" s="3218"/>
      <c r="Z45" s="3218"/>
      <c r="AA45" s="3218"/>
      <c r="AB45" s="3218"/>
      <c r="AC45" s="3218"/>
      <c r="AD45" s="3218"/>
      <c r="AE45" s="3215"/>
      <c r="AF45" s="3215"/>
      <c r="AG45" s="3215"/>
      <c r="AH45" s="3215"/>
      <c r="AI45" s="3215"/>
      <c r="AJ45" s="3218"/>
      <c r="AK45" s="3193"/>
      <c r="AL45" s="3193"/>
      <c r="AM45" s="3196"/>
      <c r="AN45" s="1253"/>
      <c r="AO45" s="1253"/>
      <c r="AP45" s="1253"/>
      <c r="AQ45" s="1253"/>
    </row>
    <row r="46" spans="1:45" s="1254" customFormat="1" ht="76.5" x14ac:dyDescent="0.2">
      <c r="A46" s="1271"/>
      <c r="B46" s="1272"/>
      <c r="C46" s="1273"/>
      <c r="D46" s="1272"/>
      <c r="E46" s="1272"/>
      <c r="F46" s="1273"/>
      <c r="G46" s="1278"/>
      <c r="H46" s="1279"/>
      <c r="I46" s="1280"/>
      <c r="J46" s="3178"/>
      <c r="K46" s="3181"/>
      <c r="L46" s="3178"/>
      <c r="M46" s="3178"/>
      <c r="N46" s="3178"/>
      <c r="O46" s="3178"/>
      <c r="P46" s="3181"/>
      <c r="Q46" s="2790"/>
      <c r="R46" s="3210"/>
      <c r="S46" s="3181"/>
      <c r="T46" s="3181"/>
      <c r="U46" s="1268" t="s">
        <v>1295</v>
      </c>
      <c r="V46" s="1255">
        <v>6750000</v>
      </c>
      <c r="W46" s="3222"/>
      <c r="X46" s="3225"/>
      <c r="Y46" s="3219"/>
      <c r="Z46" s="3219"/>
      <c r="AA46" s="3219"/>
      <c r="AB46" s="3219"/>
      <c r="AC46" s="3219"/>
      <c r="AD46" s="3219"/>
      <c r="AE46" s="3216"/>
      <c r="AF46" s="3216"/>
      <c r="AG46" s="3216"/>
      <c r="AH46" s="3216"/>
      <c r="AI46" s="3216"/>
      <c r="AJ46" s="3219"/>
      <c r="AK46" s="3194"/>
      <c r="AL46" s="3194"/>
      <c r="AM46" s="3197"/>
      <c r="AN46" s="1253"/>
      <c r="AO46" s="1253"/>
      <c r="AP46" s="1253"/>
      <c r="AQ46" s="1253"/>
    </row>
    <row r="47" spans="1:45" s="1270" customFormat="1" ht="33" customHeight="1" x14ac:dyDescent="0.2">
      <c r="A47" s="1228"/>
      <c r="B47" s="1229"/>
      <c r="C47" s="1230"/>
      <c r="D47" s="1229"/>
      <c r="E47" s="1229"/>
      <c r="F47" s="1230"/>
      <c r="G47" s="1265">
        <v>38</v>
      </c>
      <c r="H47" s="1234" t="s">
        <v>1296</v>
      </c>
      <c r="I47" s="1234"/>
      <c r="J47" s="1234"/>
      <c r="K47" s="1235"/>
      <c r="L47" s="1234"/>
      <c r="M47" s="1234"/>
      <c r="N47" s="1236"/>
      <c r="O47" s="1234"/>
      <c r="P47" s="1235"/>
      <c r="Q47" s="1234"/>
      <c r="R47" s="1266"/>
      <c r="S47" s="1234"/>
      <c r="T47" s="1235"/>
      <c r="U47" s="1235"/>
      <c r="V47" s="1237"/>
      <c r="W47" s="1267"/>
      <c r="X47" s="1236"/>
      <c r="Y47" s="1236"/>
      <c r="Z47" s="1236"/>
      <c r="AA47" s="1236"/>
      <c r="AB47" s="1236"/>
      <c r="AC47" s="1236"/>
      <c r="AD47" s="1236"/>
      <c r="AE47" s="1236"/>
      <c r="AF47" s="1236"/>
      <c r="AG47" s="1236"/>
      <c r="AH47" s="1236"/>
      <c r="AI47" s="1236"/>
      <c r="AJ47" s="1236"/>
      <c r="AK47" s="1234"/>
      <c r="AL47" s="1234"/>
      <c r="AM47" s="1239"/>
      <c r="AN47" s="1217"/>
      <c r="AO47" s="1217"/>
      <c r="AP47" s="1217"/>
      <c r="AQ47" s="1217"/>
      <c r="AR47" s="1218"/>
      <c r="AS47" s="1218"/>
    </row>
    <row r="48" spans="1:45" s="1254" customFormat="1" ht="124.5" customHeight="1" x14ac:dyDescent="0.2">
      <c r="A48" s="1240"/>
      <c r="B48" s="1241"/>
      <c r="C48" s="1242"/>
      <c r="D48" s="1241"/>
      <c r="E48" s="1241"/>
      <c r="F48" s="1242"/>
      <c r="G48" s="1243"/>
      <c r="H48" s="1244"/>
      <c r="I48" s="1245"/>
      <c r="J48" s="1246">
        <v>136</v>
      </c>
      <c r="K48" s="1247" t="s">
        <v>1297</v>
      </c>
      <c r="L48" s="1281" t="s">
        <v>126</v>
      </c>
      <c r="M48" s="1246">
        <v>12</v>
      </c>
      <c r="N48" s="3176" t="s">
        <v>1298</v>
      </c>
      <c r="O48" s="3176">
        <v>135</v>
      </c>
      <c r="P48" s="3179" t="s">
        <v>1299</v>
      </c>
      <c r="Q48" s="1282">
        <f>V48/R48</f>
        <v>0.45436022819885902</v>
      </c>
      <c r="R48" s="3208">
        <f>SUM(V48:V52)</f>
        <v>122700000</v>
      </c>
      <c r="S48" s="3179" t="s">
        <v>1300</v>
      </c>
      <c r="T48" s="1247" t="s">
        <v>1301</v>
      </c>
      <c r="U48" s="1247" t="s">
        <v>1302</v>
      </c>
      <c r="V48" s="1251">
        <f>25750000+30000000</f>
        <v>55750000</v>
      </c>
      <c r="W48" s="3220">
        <v>61</v>
      </c>
      <c r="X48" s="3223" t="s">
        <v>1244</v>
      </c>
      <c r="Y48" s="3226">
        <f t="shared" ref="Y48:AJ48" si="0">Y28</f>
        <v>64149</v>
      </c>
      <c r="Z48" s="3226">
        <f t="shared" si="0"/>
        <v>72224</v>
      </c>
      <c r="AA48" s="3226">
        <f t="shared" si="0"/>
        <v>27477</v>
      </c>
      <c r="AB48" s="3226">
        <f t="shared" si="0"/>
        <v>86843</v>
      </c>
      <c r="AC48" s="3226">
        <f t="shared" si="0"/>
        <v>236429</v>
      </c>
      <c r="AD48" s="3226">
        <f t="shared" si="0"/>
        <v>81384</v>
      </c>
      <c r="AE48" s="3226">
        <f t="shared" si="0"/>
        <v>13208</v>
      </c>
      <c r="AF48" s="3226">
        <f t="shared" si="0"/>
        <v>2145</v>
      </c>
      <c r="AG48" s="3226">
        <f t="shared" si="0"/>
        <v>413</v>
      </c>
      <c r="AH48" s="3226">
        <f t="shared" si="0"/>
        <v>520</v>
      </c>
      <c r="AI48" s="3226">
        <f t="shared" si="0"/>
        <v>16897</v>
      </c>
      <c r="AJ48" s="3226">
        <f t="shared" si="0"/>
        <v>75612</v>
      </c>
      <c r="AK48" s="3192">
        <v>42948</v>
      </c>
      <c r="AL48" s="3192">
        <v>43100</v>
      </c>
      <c r="AM48" s="3195" t="s">
        <v>1303</v>
      </c>
      <c r="AN48" s="1283"/>
      <c r="AO48" s="1253"/>
      <c r="AP48" s="1253"/>
      <c r="AQ48" s="1253"/>
    </row>
    <row r="49" spans="1:333" s="1254" customFormat="1" ht="165" customHeight="1" x14ac:dyDescent="0.2">
      <c r="A49" s="1240"/>
      <c r="B49" s="1241"/>
      <c r="C49" s="1242"/>
      <c r="D49" s="1241"/>
      <c r="E49" s="1241"/>
      <c r="F49" s="1242"/>
      <c r="G49" s="1240"/>
      <c r="H49" s="1241"/>
      <c r="I49" s="1242"/>
      <c r="J49" s="3176">
        <v>137</v>
      </c>
      <c r="K49" s="3179" t="s">
        <v>1304</v>
      </c>
      <c r="L49" s="3176" t="s">
        <v>126</v>
      </c>
      <c r="M49" s="3176">
        <v>12</v>
      </c>
      <c r="N49" s="3177"/>
      <c r="O49" s="3177"/>
      <c r="P49" s="3180"/>
      <c r="Q49" s="1953">
        <f>(V49+V50)/R48</f>
        <v>0.33577832110839445</v>
      </c>
      <c r="R49" s="3209"/>
      <c r="S49" s="3180"/>
      <c r="T49" s="3179" t="s">
        <v>1305</v>
      </c>
      <c r="U49" s="1284" t="s">
        <v>1306</v>
      </c>
      <c r="V49" s="1255">
        <v>20000000</v>
      </c>
      <c r="W49" s="3221"/>
      <c r="X49" s="3224"/>
      <c r="Y49" s="3227"/>
      <c r="Z49" s="3227"/>
      <c r="AA49" s="3227"/>
      <c r="AB49" s="3227"/>
      <c r="AC49" s="3227"/>
      <c r="AD49" s="3227"/>
      <c r="AE49" s="3227"/>
      <c r="AF49" s="3227"/>
      <c r="AG49" s="3227"/>
      <c r="AH49" s="3227"/>
      <c r="AI49" s="3227"/>
      <c r="AJ49" s="3227"/>
      <c r="AK49" s="3193"/>
      <c r="AL49" s="3193"/>
      <c r="AM49" s="3196"/>
      <c r="AN49" s="1253"/>
      <c r="AO49" s="1253"/>
      <c r="AP49" s="1253"/>
      <c r="AQ49" s="1253"/>
    </row>
    <row r="50" spans="1:333" s="1254" customFormat="1" ht="155.25" customHeight="1" x14ac:dyDescent="0.2">
      <c r="A50" s="1240"/>
      <c r="B50" s="1241"/>
      <c r="C50" s="1242"/>
      <c r="D50" s="1241"/>
      <c r="E50" s="1241"/>
      <c r="F50" s="1242"/>
      <c r="G50" s="1240"/>
      <c r="H50" s="1241"/>
      <c r="I50" s="1242"/>
      <c r="J50" s="3178"/>
      <c r="K50" s="3181"/>
      <c r="L50" s="3178"/>
      <c r="M50" s="3178"/>
      <c r="N50" s="3177"/>
      <c r="O50" s="3177"/>
      <c r="P50" s="3180"/>
      <c r="Q50" s="2790"/>
      <c r="R50" s="3209"/>
      <c r="S50" s="3180"/>
      <c r="T50" s="3181"/>
      <c r="U50" s="1284" t="s">
        <v>1307</v>
      </c>
      <c r="V50" s="1255">
        <v>21200000</v>
      </c>
      <c r="W50" s="3221"/>
      <c r="X50" s="3224"/>
      <c r="Y50" s="3227"/>
      <c r="Z50" s="3227"/>
      <c r="AA50" s="3227"/>
      <c r="AB50" s="3227"/>
      <c r="AC50" s="3227"/>
      <c r="AD50" s="3227"/>
      <c r="AE50" s="3227"/>
      <c r="AF50" s="3227"/>
      <c r="AG50" s="3227"/>
      <c r="AH50" s="3227"/>
      <c r="AI50" s="3227"/>
      <c r="AJ50" s="3227"/>
      <c r="AK50" s="3193"/>
      <c r="AL50" s="3193"/>
      <c r="AM50" s="3196"/>
      <c r="AN50" s="1253"/>
      <c r="AO50" s="1253"/>
      <c r="AP50" s="1253"/>
      <c r="AQ50" s="1253"/>
    </row>
    <row r="51" spans="1:333" s="1254" customFormat="1" ht="97.5" customHeight="1" x14ac:dyDescent="0.2">
      <c r="A51" s="1240"/>
      <c r="B51" s="1241"/>
      <c r="C51" s="1242"/>
      <c r="D51" s="1241"/>
      <c r="E51" s="1241"/>
      <c r="F51" s="1242"/>
      <c r="G51" s="1240"/>
      <c r="H51" s="1241"/>
      <c r="I51" s="1242"/>
      <c r="J51" s="3229">
        <v>138</v>
      </c>
      <c r="K51" s="3232" t="s">
        <v>1308</v>
      </c>
      <c r="L51" s="3229" t="s">
        <v>126</v>
      </c>
      <c r="M51" s="3229">
        <v>12</v>
      </c>
      <c r="N51" s="3177"/>
      <c r="O51" s="3177"/>
      <c r="P51" s="3180"/>
      <c r="Q51" s="3235">
        <f>(V51+V52)/R48</f>
        <v>0.20986145069274653</v>
      </c>
      <c r="R51" s="3209"/>
      <c r="S51" s="3180"/>
      <c r="T51" s="3232" t="s">
        <v>1309</v>
      </c>
      <c r="U51" s="1284" t="s">
        <v>1310</v>
      </c>
      <c r="V51" s="1255">
        <v>12875000</v>
      </c>
      <c r="W51" s="3221"/>
      <c r="X51" s="3224"/>
      <c r="Y51" s="3227"/>
      <c r="Z51" s="3227"/>
      <c r="AA51" s="3227"/>
      <c r="AB51" s="3227"/>
      <c r="AC51" s="3227"/>
      <c r="AD51" s="3227"/>
      <c r="AE51" s="3227"/>
      <c r="AF51" s="3227"/>
      <c r="AG51" s="3227"/>
      <c r="AH51" s="3227"/>
      <c r="AI51" s="3227"/>
      <c r="AJ51" s="3227"/>
      <c r="AK51" s="3193"/>
      <c r="AL51" s="3193"/>
      <c r="AM51" s="3196"/>
      <c r="AN51" s="1253"/>
      <c r="AO51" s="1253"/>
      <c r="AP51" s="1253"/>
      <c r="AQ51" s="1253"/>
    </row>
    <row r="52" spans="1:333" s="1287" customFormat="1" ht="74.25" customHeight="1" x14ac:dyDescent="0.2">
      <c r="A52" s="1240"/>
      <c r="B52" s="1241"/>
      <c r="C52" s="1242"/>
      <c r="D52" s="1241"/>
      <c r="E52" s="1241"/>
      <c r="F52" s="1242"/>
      <c r="G52" s="1259"/>
      <c r="H52" s="1257"/>
      <c r="I52" s="1258"/>
      <c r="J52" s="3231"/>
      <c r="K52" s="3234"/>
      <c r="L52" s="3231"/>
      <c r="M52" s="3231"/>
      <c r="N52" s="3177"/>
      <c r="O52" s="3178"/>
      <c r="P52" s="3181"/>
      <c r="Q52" s="3236"/>
      <c r="R52" s="3210"/>
      <c r="S52" s="3181"/>
      <c r="T52" s="3234"/>
      <c r="U52" s="1284" t="s">
        <v>1311</v>
      </c>
      <c r="V52" s="1255">
        <v>12875000</v>
      </c>
      <c r="W52" s="3222"/>
      <c r="X52" s="3225"/>
      <c r="Y52" s="3228"/>
      <c r="Z52" s="3228"/>
      <c r="AA52" s="3228"/>
      <c r="AB52" s="3228"/>
      <c r="AC52" s="3228"/>
      <c r="AD52" s="3228"/>
      <c r="AE52" s="3228"/>
      <c r="AF52" s="3228"/>
      <c r="AG52" s="3228"/>
      <c r="AH52" s="3228"/>
      <c r="AI52" s="3228"/>
      <c r="AJ52" s="3228"/>
      <c r="AK52" s="3194"/>
      <c r="AL52" s="3194"/>
      <c r="AM52" s="3197"/>
      <c r="AN52" s="1285"/>
      <c r="AO52" s="1285"/>
      <c r="AP52" s="1285"/>
      <c r="AQ52" s="1285"/>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c r="DD52" s="1286"/>
      <c r="DE52" s="1286"/>
      <c r="DF52" s="1286"/>
      <c r="DG52" s="1286"/>
      <c r="DH52" s="1286"/>
      <c r="DI52" s="1286"/>
      <c r="DJ52" s="1286"/>
      <c r="DK52" s="1286"/>
      <c r="DL52" s="1286"/>
      <c r="DM52" s="1286"/>
      <c r="DN52" s="1286"/>
      <c r="DO52" s="1286"/>
      <c r="DP52" s="1286"/>
      <c r="DQ52" s="1286"/>
      <c r="DR52" s="1286"/>
      <c r="DS52" s="1286"/>
      <c r="DT52" s="1286"/>
      <c r="DU52" s="1286"/>
      <c r="DV52" s="1286"/>
      <c r="DW52" s="1286"/>
      <c r="DX52" s="1286"/>
      <c r="DY52" s="1286"/>
      <c r="DZ52" s="1286"/>
      <c r="EA52" s="1286"/>
      <c r="EB52" s="1286"/>
      <c r="EC52" s="1286"/>
      <c r="ED52" s="1286"/>
      <c r="EE52" s="1286"/>
      <c r="EF52" s="1286"/>
      <c r="EG52" s="1286"/>
      <c r="EH52" s="1286"/>
      <c r="EI52" s="1286"/>
      <c r="EJ52" s="1286"/>
      <c r="EK52" s="1286"/>
      <c r="EL52" s="1286"/>
      <c r="EM52" s="1286"/>
      <c r="EN52" s="1286"/>
      <c r="EO52" s="1286"/>
      <c r="EP52" s="1286"/>
      <c r="EQ52" s="1286"/>
      <c r="ER52" s="1286"/>
      <c r="ES52" s="1286"/>
      <c r="ET52" s="1286"/>
      <c r="EU52" s="1286"/>
      <c r="EV52" s="1286"/>
      <c r="EW52" s="1286"/>
      <c r="EX52" s="1286"/>
      <c r="EY52" s="1286"/>
      <c r="EZ52" s="1286"/>
      <c r="FA52" s="1286"/>
      <c r="FB52" s="1286"/>
      <c r="FC52" s="1286"/>
      <c r="FD52" s="1286"/>
      <c r="FE52" s="1286"/>
      <c r="FF52" s="1286"/>
      <c r="FG52" s="1286"/>
      <c r="FH52" s="1286"/>
      <c r="FI52" s="1286"/>
      <c r="FJ52" s="1286"/>
      <c r="FK52" s="1286"/>
      <c r="FL52" s="1286"/>
      <c r="FM52" s="1286"/>
      <c r="FN52" s="1286"/>
      <c r="FO52" s="1286"/>
      <c r="FP52" s="1286"/>
      <c r="FQ52" s="1286"/>
      <c r="FR52" s="1286"/>
      <c r="FS52" s="1286"/>
      <c r="FT52" s="1286"/>
      <c r="FU52" s="1286"/>
      <c r="FV52" s="1286"/>
      <c r="FW52" s="1286"/>
      <c r="FX52" s="1286"/>
      <c r="FY52" s="1286"/>
      <c r="FZ52" s="1286"/>
      <c r="GA52" s="1286"/>
      <c r="GB52" s="1286"/>
      <c r="GC52" s="1286"/>
      <c r="GD52" s="1286"/>
      <c r="GE52" s="1286"/>
      <c r="GF52" s="1286"/>
      <c r="GG52" s="1286"/>
      <c r="GH52" s="1286"/>
      <c r="GI52" s="1286"/>
      <c r="GJ52" s="1286"/>
      <c r="GK52" s="1286"/>
      <c r="GL52" s="1286"/>
      <c r="GM52" s="1286"/>
      <c r="GN52" s="1286"/>
      <c r="GO52" s="1286"/>
      <c r="GP52" s="1286"/>
      <c r="GQ52" s="1286"/>
      <c r="GR52" s="1286"/>
      <c r="GS52" s="1286"/>
      <c r="GT52" s="1286"/>
      <c r="GU52" s="1286"/>
      <c r="GV52" s="1286"/>
      <c r="GW52" s="1286"/>
      <c r="GX52" s="1286"/>
      <c r="GY52" s="1286"/>
      <c r="GZ52" s="1286"/>
      <c r="HA52" s="1286"/>
      <c r="HB52" s="1286"/>
      <c r="HC52" s="1286"/>
      <c r="HD52" s="1286"/>
      <c r="HE52" s="1286"/>
      <c r="HF52" s="1286"/>
      <c r="HG52" s="1286"/>
      <c r="HH52" s="1286"/>
      <c r="HI52" s="1286"/>
      <c r="HJ52" s="1286"/>
      <c r="HK52" s="1286"/>
      <c r="HL52" s="1286"/>
      <c r="HM52" s="1286"/>
      <c r="HN52" s="1286"/>
      <c r="HO52" s="1286"/>
      <c r="HP52" s="1286"/>
      <c r="HQ52" s="1286"/>
      <c r="HR52" s="1286"/>
      <c r="HS52" s="1286"/>
      <c r="HT52" s="1286"/>
      <c r="HU52" s="1286"/>
      <c r="HV52" s="1286"/>
      <c r="HW52" s="1286"/>
      <c r="HX52" s="1286"/>
      <c r="HY52" s="1286"/>
      <c r="HZ52" s="1286"/>
      <c r="IA52" s="1286"/>
      <c r="IB52" s="1286"/>
      <c r="IC52" s="1286"/>
      <c r="ID52" s="1286"/>
      <c r="IE52" s="1286"/>
      <c r="IF52" s="1286"/>
      <c r="IG52" s="1286"/>
      <c r="IH52" s="1286"/>
      <c r="II52" s="1286"/>
      <c r="IJ52" s="1286"/>
      <c r="IK52" s="1286"/>
      <c r="IL52" s="1286"/>
      <c r="IM52" s="1286"/>
      <c r="IN52" s="1286"/>
      <c r="IO52" s="1286"/>
      <c r="IP52" s="1286"/>
      <c r="IQ52" s="1286"/>
      <c r="IR52" s="1286"/>
      <c r="IS52" s="1286"/>
      <c r="IT52" s="1286"/>
      <c r="IU52" s="1286"/>
      <c r="IV52" s="1286"/>
      <c r="IW52" s="1286"/>
      <c r="IX52" s="1286"/>
      <c r="IY52" s="1286"/>
      <c r="IZ52" s="1286"/>
      <c r="JA52" s="1286"/>
      <c r="JB52" s="1286"/>
      <c r="JC52" s="1286"/>
      <c r="JD52" s="1286"/>
      <c r="JE52" s="1286"/>
      <c r="JF52" s="1286"/>
      <c r="JG52" s="1286"/>
      <c r="JH52" s="1286"/>
      <c r="JI52" s="1286"/>
      <c r="JJ52" s="1286"/>
      <c r="JK52" s="1286"/>
      <c r="JL52" s="1286"/>
      <c r="JM52" s="1286"/>
      <c r="JN52" s="1286"/>
      <c r="JO52" s="1286"/>
      <c r="JP52" s="1286"/>
      <c r="JQ52" s="1286"/>
      <c r="JR52" s="1286"/>
      <c r="JS52" s="1286"/>
      <c r="JT52" s="1286"/>
      <c r="JU52" s="1286"/>
      <c r="JV52" s="1286"/>
      <c r="JW52" s="1286"/>
      <c r="JX52" s="1286"/>
      <c r="JY52" s="1286"/>
      <c r="JZ52" s="1286"/>
      <c r="KA52" s="1286"/>
      <c r="KB52" s="1286"/>
      <c r="KC52" s="1286"/>
      <c r="KD52" s="1286"/>
      <c r="KE52" s="1286"/>
      <c r="KF52" s="1286"/>
      <c r="KG52" s="1286"/>
      <c r="KH52" s="1286"/>
      <c r="KI52" s="1286"/>
      <c r="KJ52" s="1286"/>
      <c r="KK52" s="1286"/>
      <c r="KL52" s="1286"/>
      <c r="KM52" s="1286"/>
      <c r="KN52" s="1286"/>
      <c r="KO52" s="1286"/>
      <c r="KP52" s="1286"/>
      <c r="KQ52" s="1286"/>
      <c r="KR52" s="1286"/>
      <c r="KS52" s="1286"/>
      <c r="KT52" s="1286"/>
      <c r="KU52" s="1286"/>
      <c r="KV52" s="1286"/>
      <c r="KW52" s="1286"/>
      <c r="KX52" s="1286"/>
      <c r="KY52" s="1286"/>
      <c r="KZ52" s="1286"/>
      <c r="LA52" s="1286"/>
      <c r="LB52" s="1286"/>
      <c r="LC52" s="1286"/>
      <c r="LD52" s="1286"/>
      <c r="LE52" s="1286"/>
      <c r="LF52" s="1286"/>
      <c r="LG52" s="1286"/>
      <c r="LH52" s="1286"/>
      <c r="LI52" s="1286"/>
      <c r="LJ52" s="1286"/>
      <c r="LK52" s="1286"/>
      <c r="LL52" s="1286"/>
      <c r="LM52" s="1286"/>
      <c r="LN52" s="1286"/>
      <c r="LO52" s="1286"/>
      <c r="LP52" s="1286"/>
      <c r="LQ52" s="1286"/>
      <c r="LR52" s="1286"/>
      <c r="LS52" s="1286"/>
      <c r="LT52" s="1286"/>
      <c r="LU52" s="1286"/>
    </row>
    <row r="53" spans="1:333" s="1270" customFormat="1" ht="36" customHeight="1" x14ac:dyDescent="0.2">
      <c r="A53" s="1228"/>
      <c r="B53" s="1229"/>
      <c r="C53" s="1230"/>
      <c r="D53" s="1229"/>
      <c r="E53" s="1229"/>
      <c r="F53" s="1230"/>
      <c r="G53" s="1265">
        <v>39</v>
      </c>
      <c r="H53" s="1234" t="s">
        <v>1312</v>
      </c>
      <c r="I53" s="1234"/>
      <c r="J53" s="1234"/>
      <c r="K53" s="1235"/>
      <c r="L53" s="1234"/>
      <c r="M53" s="1234"/>
      <c r="N53" s="1236"/>
      <c r="O53" s="1234"/>
      <c r="P53" s="1235"/>
      <c r="Q53" s="1234"/>
      <c r="R53" s="1266"/>
      <c r="S53" s="1234"/>
      <c r="T53" s="1235"/>
      <c r="U53" s="1235"/>
      <c r="V53" s="1237"/>
      <c r="W53" s="1267"/>
      <c r="X53" s="1236"/>
      <c r="Y53" s="1236"/>
      <c r="Z53" s="1236"/>
      <c r="AA53" s="1236"/>
      <c r="AB53" s="1236"/>
      <c r="AC53" s="1236"/>
      <c r="AD53" s="1236"/>
      <c r="AE53" s="1236"/>
      <c r="AF53" s="1236"/>
      <c r="AG53" s="1236"/>
      <c r="AH53" s="1236"/>
      <c r="AI53" s="1236"/>
      <c r="AJ53" s="1236"/>
      <c r="AK53" s="1236"/>
      <c r="AL53" s="1234"/>
      <c r="AM53" s="1239"/>
      <c r="AN53" s="1217"/>
      <c r="AO53" s="1217"/>
      <c r="AP53" s="1217"/>
      <c r="AQ53" s="1217"/>
      <c r="AR53" s="1218"/>
      <c r="AS53" s="1218"/>
    </row>
    <row r="54" spans="1:333" s="1286" customFormat="1" ht="65.25" customHeight="1" x14ac:dyDescent="0.2">
      <c r="A54" s="1288"/>
      <c r="B54" s="1289"/>
      <c r="C54" s="1290"/>
      <c r="D54" s="1289"/>
      <c r="E54" s="1289"/>
      <c r="F54" s="1290"/>
      <c r="G54" s="1291"/>
      <c r="H54" s="1292"/>
      <c r="I54" s="1293"/>
      <c r="J54" s="3229">
        <v>139</v>
      </c>
      <c r="K54" s="3232" t="s">
        <v>1313</v>
      </c>
      <c r="L54" s="3229" t="s">
        <v>126</v>
      </c>
      <c r="M54" s="3229">
        <v>1</v>
      </c>
      <c r="N54" s="3229" t="s">
        <v>1314</v>
      </c>
      <c r="O54" s="3229">
        <v>138</v>
      </c>
      <c r="P54" s="3232" t="s">
        <v>1315</v>
      </c>
      <c r="Q54" s="3235">
        <f>(V54+V55+V56)/R54</f>
        <v>0.6428571428571429</v>
      </c>
      <c r="R54" s="3247">
        <v>144200000</v>
      </c>
      <c r="S54" s="3232" t="s">
        <v>1316</v>
      </c>
      <c r="T54" s="3232" t="s">
        <v>1317</v>
      </c>
      <c r="U54" s="1268" t="s">
        <v>1318</v>
      </c>
      <c r="V54" s="1255">
        <v>30900000</v>
      </c>
      <c r="W54" s="3240">
        <v>61</v>
      </c>
      <c r="X54" s="3243" t="s">
        <v>1244</v>
      </c>
      <c r="Y54" s="3237">
        <v>64149</v>
      </c>
      <c r="Z54" s="3237">
        <v>72224</v>
      </c>
      <c r="AA54" s="3237">
        <v>27477</v>
      </c>
      <c r="AB54" s="3237">
        <v>86843</v>
      </c>
      <c r="AC54" s="3237">
        <v>236429</v>
      </c>
      <c r="AD54" s="3237">
        <v>81384</v>
      </c>
      <c r="AE54" s="3237">
        <v>13208</v>
      </c>
      <c r="AF54" s="3237">
        <v>2145</v>
      </c>
      <c r="AG54" s="3237">
        <v>413</v>
      </c>
      <c r="AH54" s="3237">
        <v>520</v>
      </c>
      <c r="AI54" s="3237">
        <v>16897</v>
      </c>
      <c r="AJ54" s="3237">
        <v>75612</v>
      </c>
      <c r="AK54" s="3253">
        <v>42948</v>
      </c>
      <c r="AL54" s="3253">
        <v>43100</v>
      </c>
      <c r="AM54" s="3250" t="s">
        <v>1303</v>
      </c>
      <c r="AN54" s="1285"/>
      <c r="AO54" s="1285"/>
      <c r="AP54" s="1285"/>
      <c r="AQ54" s="1285"/>
    </row>
    <row r="55" spans="1:333" s="1286" customFormat="1" ht="66.75" customHeight="1" x14ac:dyDescent="0.2">
      <c r="A55" s="1288"/>
      <c r="B55" s="1289"/>
      <c r="C55" s="1290"/>
      <c r="D55" s="1289"/>
      <c r="E55" s="1289"/>
      <c r="F55" s="1290"/>
      <c r="G55" s="1288"/>
      <c r="H55" s="1289"/>
      <c r="I55" s="1290"/>
      <c r="J55" s="3230"/>
      <c r="K55" s="3233"/>
      <c r="L55" s="3230"/>
      <c r="M55" s="3230"/>
      <c r="N55" s="3230"/>
      <c r="O55" s="3230"/>
      <c r="P55" s="3233"/>
      <c r="Q55" s="3246"/>
      <c r="R55" s="3248"/>
      <c r="S55" s="3233"/>
      <c r="T55" s="3233"/>
      <c r="U55" s="1268" t="s">
        <v>1319</v>
      </c>
      <c r="V55" s="1255">
        <v>30900000</v>
      </c>
      <c r="W55" s="3241"/>
      <c r="X55" s="3244"/>
      <c r="Y55" s="3238"/>
      <c r="Z55" s="3238"/>
      <c r="AA55" s="3238"/>
      <c r="AB55" s="3238"/>
      <c r="AC55" s="3238"/>
      <c r="AD55" s="3238"/>
      <c r="AE55" s="3238"/>
      <c r="AF55" s="3238"/>
      <c r="AG55" s="3238"/>
      <c r="AH55" s="3238"/>
      <c r="AI55" s="3238"/>
      <c r="AJ55" s="3238"/>
      <c r="AK55" s="3254"/>
      <c r="AL55" s="3254"/>
      <c r="AM55" s="3251"/>
      <c r="AN55" s="1285"/>
      <c r="AO55" s="1285"/>
      <c r="AP55" s="1285"/>
      <c r="AQ55" s="1285"/>
    </row>
    <row r="56" spans="1:333" s="1286" customFormat="1" ht="61.5" customHeight="1" x14ac:dyDescent="0.2">
      <c r="A56" s="1288"/>
      <c r="B56" s="1289"/>
      <c r="C56" s="1290"/>
      <c r="D56" s="1289"/>
      <c r="E56" s="1289"/>
      <c r="F56" s="1290"/>
      <c r="G56" s="1288"/>
      <c r="H56" s="1289"/>
      <c r="I56" s="1290"/>
      <c r="J56" s="3231"/>
      <c r="K56" s="3234"/>
      <c r="L56" s="3231"/>
      <c r="M56" s="3231"/>
      <c r="N56" s="3230"/>
      <c r="O56" s="3230"/>
      <c r="P56" s="3233"/>
      <c r="Q56" s="3236"/>
      <c r="R56" s="3248"/>
      <c r="S56" s="3233"/>
      <c r="T56" s="3234"/>
      <c r="U56" s="1268" t="s">
        <v>1320</v>
      </c>
      <c r="V56" s="1255">
        <v>30900000</v>
      </c>
      <c r="W56" s="3241"/>
      <c r="X56" s="3244"/>
      <c r="Y56" s="3238"/>
      <c r="Z56" s="3238"/>
      <c r="AA56" s="3238"/>
      <c r="AB56" s="3238"/>
      <c r="AC56" s="3238"/>
      <c r="AD56" s="3238"/>
      <c r="AE56" s="3238"/>
      <c r="AF56" s="3238"/>
      <c r="AG56" s="3238"/>
      <c r="AH56" s="3238"/>
      <c r="AI56" s="3238"/>
      <c r="AJ56" s="3238"/>
      <c r="AK56" s="3254"/>
      <c r="AL56" s="3254"/>
      <c r="AM56" s="3251"/>
      <c r="AN56" s="1285"/>
      <c r="AO56" s="1285"/>
      <c r="AP56" s="1285"/>
      <c r="AQ56" s="1285"/>
    </row>
    <row r="57" spans="1:333" s="1286" customFormat="1" ht="60.75" customHeight="1" x14ac:dyDescent="0.2">
      <c r="A57" s="1288"/>
      <c r="B57" s="1289"/>
      <c r="C57" s="1290"/>
      <c r="D57" s="1289"/>
      <c r="E57" s="1289"/>
      <c r="F57" s="1290"/>
      <c r="G57" s="1288"/>
      <c r="H57" s="1289"/>
      <c r="I57" s="1290"/>
      <c r="J57" s="3229">
        <v>140</v>
      </c>
      <c r="K57" s="3232" t="s">
        <v>1321</v>
      </c>
      <c r="L57" s="3229" t="s">
        <v>126</v>
      </c>
      <c r="M57" s="3229">
        <v>1</v>
      </c>
      <c r="N57" s="3230"/>
      <c r="O57" s="3230"/>
      <c r="P57" s="3233"/>
      <c r="Q57" s="3235">
        <f>(V57+V58+V59)/R54</f>
        <v>0.17857142857142858</v>
      </c>
      <c r="R57" s="3248"/>
      <c r="S57" s="3233"/>
      <c r="T57" s="3232" t="s">
        <v>1322</v>
      </c>
      <c r="U57" s="1268" t="s">
        <v>1323</v>
      </c>
      <c r="V57" s="1255">
        <v>8583333</v>
      </c>
      <c r="W57" s="3241"/>
      <c r="X57" s="3244"/>
      <c r="Y57" s="3238"/>
      <c r="Z57" s="3238"/>
      <c r="AA57" s="3238"/>
      <c r="AB57" s="3238"/>
      <c r="AC57" s="3238"/>
      <c r="AD57" s="3238"/>
      <c r="AE57" s="3238"/>
      <c r="AF57" s="3238"/>
      <c r="AG57" s="3238"/>
      <c r="AH57" s="3238"/>
      <c r="AI57" s="3238"/>
      <c r="AJ57" s="3238"/>
      <c r="AK57" s="3254"/>
      <c r="AL57" s="3254"/>
      <c r="AM57" s="3251"/>
      <c r="AN57" s="1294"/>
      <c r="AO57" s="1285"/>
      <c r="AP57" s="1285"/>
      <c r="AQ57" s="1285"/>
    </row>
    <row r="58" spans="1:333" s="1286" customFormat="1" ht="73.5" customHeight="1" x14ac:dyDescent="0.2">
      <c r="A58" s="1288"/>
      <c r="B58" s="1289"/>
      <c r="C58" s="1290"/>
      <c r="D58" s="1289"/>
      <c r="E58" s="1289"/>
      <c r="F58" s="1290"/>
      <c r="G58" s="1288"/>
      <c r="H58" s="1289"/>
      <c r="I58" s="1290"/>
      <c r="J58" s="3230"/>
      <c r="K58" s="3233"/>
      <c r="L58" s="3230"/>
      <c r="M58" s="3230"/>
      <c r="N58" s="3230"/>
      <c r="O58" s="3230"/>
      <c r="P58" s="3233"/>
      <c r="Q58" s="3246"/>
      <c r="R58" s="3248"/>
      <c r="S58" s="3233"/>
      <c r="T58" s="3233"/>
      <c r="U58" s="1268" t="s">
        <v>1324</v>
      </c>
      <c r="V58" s="1255">
        <v>8583334</v>
      </c>
      <c r="W58" s="3241"/>
      <c r="X58" s="3244"/>
      <c r="Y58" s="3238"/>
      <c r="Z58" s="3238"/>
      <c r="AA58" s="3238"/>
      <c r="AB58" s="3238"/>
      <c r="AC58" s="3238"/>
      <c r="AD58" s="3238"/>
      <c r="AE58" s="3238"/>
      <c r="AF58" s="3238"/>
      <c r="AG58" s="3238"/>
      <c r="AH58" s="3238"/>
      <c r="AI58" s="3238"/>
      <c r="AJ58" s="3238"/>
      <c r="AK58" s="3254"/>
      <c r="AL58" s="3254"/>
      <c r="AM58" s="3251"/>
      <c r="AN58" s="1285"/>
      <c r="AO58" s="1285"/>
      <c r="AP58" s="1285"/>
      <c r="AQ58" s="1285"/>
    </row>
    <row r="59" spans="1:333" s="1286" customFormat="1" ht="68.25" customHeight="1" x14ac:dyDescent="0.2">
      <c r="A59" s="1288"/>
      <c r="B59" s="1289"/>
      <c r="C59" s="1290"/>
      <c r="D59" s="1289"/>
      <c r="E59" s="1289"/>
      <c r="F59" s="1290"/>
      <c r="G59" s="1288"/>
      <c r="H59" s="1289"/>
      <c r="I59" s="1290"/>
      <c r="J59" s="3231"/>
      <c r="K59" s="3234"/>
      <c r="L59" s="3231"/>
      <c r="M59" s="3231"/>
      <c r="N59" s="3230"/>
      <c r="O59" s="3230"/>
      <c r="P59" s="3233"/>
      <c r="Q59" s="3236"/>
      <c r="R59" s="3248"/>
      <c r="S59" s="3233"/>
      <c r="T59" s="3234"/>
      <c r="U59" s="1268" t="s">
        <v>1325</v>
      </c>
      <c r="V59" s="1255">
        <v>8583333</v>
      </c>
      <c r="W59" s="3241"/>
      <c r="X59" s="3244"/>
      <c r="Y59" s="3238"/>
      <c r="Z59" s="3238"/>
      <c r="AA59" s="3238"/>
      <c r="AB59" s="3238"/>
      <c r="AC59" s="3238"/>
      <c r="AD59" s="3238"/>
      <c r="AE59" s="3238"/>
      <c r="AF59" s="3238"/>
      <c r="AG59" s="3238"/>
      <c r="AH59" s="3238"/>
      <c r="AI59" s="3238"/>
      <c r="AJ59" s="3238"/>
      <c r="AK59" s="3254"/>
      <c r="AL59" s="3254"/>
      <c r="AM59" s="3251"/>
      <c r="AN59" s="1285"/>
      <c r="AO59" s="1285"/>
      <c r="AP59" s="1285"/>
      <c r="AQ59" s="1285"/>
    </row>
    <row r="60" spans="1:333" s="1286" customFormat="1" ht="87" customHeight="1" x14ac:dyDescent="0.2">
      <c r="A60" s="1288"/>
      <c r="B60" s="1289"/>
      <c r="C60" s="1290"/>
      <c r="D60" s="1289"/>
      <c r="E60" s="1289"/>
      <c r="F60" s="1290"/>
      <c r="G60" s="1288"/>
      <c r="H60" s="1289"/>
      <c r="I60" s="1290"/>
      <c r="J60" s="3229">
        <v>141</v>
      </c>
      <c r="K60" s="3232" t="s">
        <v>1326</v>
      </c>
      <c r="L60" s="3229" t="s">
        <v>126</v>
      </c>
      <c r="M60" s="3229">
        <v>1</v>
      </c>
      <c r="N60" s="3230"/>
      <c r="O60" s="3230"/>
      <c r="P60" s="3233"/>
      <c r="Q60" s="3235">
        <f>(V60+V61)/R54</f>
        <v>0.17857142857142858</v>
      </c>
      <c r="R60" s="3248"/>
      <c r="S60" s="3233"/>
      <c r="T60" s="3232" t="s">
        <v>1327</v>
      </c>
      <c r="U60" s="1268" t="s">
        <v>1328</v>
      </c>
      <c r="V60" s="1255">
        <v>10750000</v>
      </c>
      <c r="W60" s="3241"/>
      <c r="X60" s="3244"/>
      <c r="Y60" s="3238"/>
      <c r="Z60" s="3238"/>
      <c r="AA60" s="3238"/>
      <c r="AB60" s="3238"/>
      <c r="AC60" s="3238"/>
      <c r="AD60" s="3238"/>
      <c r="AE60" s="3238"/>
      <c r="AF60" s="3238"/>
      <c r="AG60" s="3238"/>
      <c r="AH60" s="3238"/>
      <c r="AI60" s="3238"/>
      <c r="AJ60" s="3238"/>
      <c r="AK60" s="3254"/>
      <c r="AL60" s="3254"/>
      <c r="AM60" s="3251"/>
      <c r="AN60" s="1285"/>
      <c r="AO60" s="1285"/>
      <c r="AP60" s="1285"/>
      <c r="AQ60" s="1285"/>
    </row>
    <row r="61" spans="1:333" s="1286" customFormat="1" ht="81.75" customHeight="1" x14ac:dyDescent="0.2">
      <c r="A61" s="1288"/>
      <c r="B61" s="1289"/>
      <c r="C61" s="1290"/>
      <c r="D61" s="1289"/>
      <c r="E61" s="1289"/>
      <c r="F61" s="1290"/>
      <c r="G61" s="1295"/>
      <c r="H61" s="1296"/>
      <c r="I61" s="1297"/>
      <c r="J61" s="3231"/>
      <c r="K61" s="3234"/>
      <c r="L61" s="3231"/>
      <c r="M61" s="3231"/>
      <c r="N61" s="3231"/>
      <c r="O61" s="3231"/>
      <c r="P61" s="3234"/>
      <c r="Q61" s="3236"/>
      <c r="R61" s="3249"/>
      <c r="S61" s="3234"/>
      <c r="T61" s="3234"/>
      <c r="U61" s="1268" t="s">
        <v>1329</v>
      </c>
      <c r="V61" s="1255">
        <v>15000000</v>
      </c>
      <c r="W61" s="3242"/>
      <c r="X61" s="3245"/>
      <c r="Y61" s="3239"/>
      <c r="Z61" s="3239"/>
      <c r="AA61" s="3239"/>
      <c r="AB61" s="3239"/>
      <c r="AC61" s="3239"/>
      <c r="AD61" s="3239"/>
      <c r="AE61" s="3239"/>
      <c r="AF61" s="3239"/>
      <c r="AG61" s="3239"/>
      <c r="AH61" s="3239"/>
      <c r="AI61" s="3239"/>
      <c r="AJ61" s="3239"/>
      <c r="AK61" s="3255"/>
      <c r="AL61" s="3255"/>
      <c r="AM61" s="3252"/>
      <c r="AN61" s="1285"/>
      <c r="AO61" s="1285"/>
      <c r="AP61" s="1285"/>
      <c r="AQ61" s="1285"/>
    </row>
    <row r="62" spans="1:333" s="1270" customFormat="1" ht="36" customHeight="1" x14ac:dyDescent="0.2">
      <c r="A62" s="1228"/>
      <c r="B62" s="1229"/>
      <c r="C62" s="1230"/>
      <c r="D62" s="1229"/>
      <c r="E62" s="1229"/>
      <c r="F62" s="1230"/>
      <c r="G62" s="1265">
        <v>40</v>
      </c>
      <c r="H62" s="1234" t="s">
        <v>1330</v>
      </c>
      <c r="I62" s="1234"/>
      <c r="J62" s="1234"/>
      <c r="K62" s="1235"/>
      <c r="L62" s="1234"/>
      <c r="M62" s="1234"/>
      <c r="N62" s="1236"/>
      <c r="O62" s="1234"/>
      <c r="P62" s="1235"/>
      <c r="Q62" s="1234"/>
      <c r="R62" s="1266"/>
      <c r="S62" s="1234"/>
      <c r="T62" s="1235"/>
      <c r="U62" s="1235"/>
      <c r="V62" s="1237"/>
      <c r="W62" s="1267"/>
      <c r="X62" s="1236"/>
      <c r="Y62" s="1236"/>
      <c r="Z62" s="1236"/>
      <c r="AA62" s="1236"/>
      <c r="AB62" s="1236"/>
      <c r="AC62" s="1236"/>
      <c r="AD62" s="1236"/>
      <c r="AE62" s="1236"/>
      <c r="AF62" s="1236"/>
      <c r="AG62" s="1236"/>
      <c r="AH62" s="1236"/>
      <c r="AI62" s="1236"/>
      <c r="AJ62" s="1236"/>
      <c r="AK62" s="1236"/>
      <c r="AL62" s="1234"/>
      <c r="AM62" s="1239"/>
      <c r="AN62" s="1217"/>
      <c r="AO62" s="1217"/>
      <c r="AP62" s="1217"/>
      <c r="AQ62" s="1217"/>
      <c r="AR62" s="1218"/>
      <c r="AS62" s="1218"/>
    </row>
    <row r="63" spans="1:333" ht="110.25" customHeight="1" x14ac:dyDescent="0.2">
      <c r="A63" s="1271"/>
      <c r="B63" s="1272"/>
      <c r="C63" s="1273"/>
      <c r="D63" s="1272"/>
      <c r="E63" s="1272"/>
      <c r="F63" s="1273"/>
      <c r="G63" s="1274"/>
      <c r="H63" s="1275"/>
      <c r="I63" s="1276"/>
      <c r="J63" s="1246">
        <v>142</v>
      </c>
      <c r="K63" s="1298" t="s">
        <v>1331</v>
      </c>
      <c r="L63" s="1246" t="s">
        <v>126</v>
      </c>
      <c r="M63" s="1246">
        <v>12</v>
      </c>
      <c r="N63" s="3176" t="s">
        <v>1332</v>
      </c>
      <c r="O63" s="3176">
        <v>139</v>
      </c>
      <c r="P63" s="3179" t="s">
        <v>1333</v>
      </c>
      <c r="Q63" s="1299">
        <v>0.9</v>
      </c>
      <c r="R63" s="3208">
        <f>SUM(V63:V65)</f>
        <v>82147580</v>
      </c>
      <c r="S63" s="3179" t="s">
        <v>1334</v>
      </c>
      <c r="T63" s="1298" t="s">
        <v>1335</v>
      </c>
      <c r="U63" s="1300" t="s">
        <v>1336</v>
      </c>
      <c r="V63" s="1301">
        <f>6147580+56000000</f>
        <v>62147580</v>
      </c>
      <c r="W63" s="3220">
        <v>61</v>
      </c>
      <c r="X63" s="3223" t="s">
        <v>1244</v>
      </c>
      <c r="Y63" s="3256">
        <v>64149</v>
      </c>
      <c r="Z63" s="3198" t="s">
        <v>1245</v>
      </c>
      <c r="AA63" s="3198" t="s">
        <v>1245</v>
      </c>
      <c r="AB63" s="3198" t="s">
        <v>1245</v>
      </c>
      <c r="AC63" s="3198" t="s">
        <v>1245</v>
      </c>
      <c r="AD63" s="3198" t="s">
        <v>1245</v>
      </c>
      <c r="AE63" s="3198" t="s">
        <v>1245</v>
      </c>
      <c r="AF63" s="3198" t="s">
        <v>1245</v>
      </c>
      <c r="AG63" s="3198" t="s">
        <v>1245</v>
      </c>
      <c r="AH63" s="3198" t="s">
        <v>1245</v>
      </c>
      <c r="AI63" s="3198" t="s">
        <v>1245</v>
      </c>
      <c r="AJ63" s="3198" t="s">
        <v>1245</v>
      </c>
      <c r="AK63" s="3192">
        <v>42948</v>
      </c>
      <c r="AL63" s="3192">
        <v>43100</v>
      </c>
      <c r="AM63" s="3195" t="s">
        <v>1303</v>
      </c>
    </row>
    <row r="64" spans="1:333" ht="78" customHeight="1" x14ac:dyDescent="0.2">
      <c r="A64" s="1271"/>
      <c r="B64" s="1272"/>
      <c r="C64" s="1273"/>
      <c r="D64" s="1272"/>
      <c r="E64" s="1272"/>
      <c r="F64" s="1273"/>
      <c r="G64" s="1271"/>
      <c r="H64" s="1272"/>
      <c r="I64" s="1273"/>
      <c r="J64" s="3176">
        <v>143</v>
      </c>
      <c r="K64" s="3191" t="s">
        <v>1337</v>
      </c>
      <c r="L64" s="3176" t="s">
        <v>126</v>
      </c>
      <c r="M64" s="3176">
        <v>1</v>
      </c>
      <c r="N64" s="3177"/>
      <c r="O64" s="3177"/>
      <c r="P64" s="3180"/>
      <c r="Q64" s="1302"/>
      <c r="R64" s="3209"/>
      <c r="S64" s="3180"/>
      <c r="T64" s="3191" t="s">
        <v>1338</v>
      </c>
      <c r="U64" s="1247" t="s">
        <v>1339</v>
      </c>
      <c r="V64" s="1303">
        <v>0</v>
      </c>
      <c r="W64" s="3221"/>
      <c r="X64" s="3224"/>
      <c r="Y64" s="3257"/>
      <c r="Z64" s="3199"/>
      <c r="AA64" s="3199"/>
      <c r="AB64" s="3199"/>
      <c r="AC64" s="3199"/>
      <c r="AD64" s="3199"/>
      <c r="AE64" s="3199"/>
      <c r="AF64" s="3199"/>
      <c r="AG64" s="3199"/>
      <c r="AH64" s="3199"/>
      <c r="AI64" s="3199"/>
      <c r="AJ64" s="3199"/>
      <c r="AK64" s="3193"/>
      <c r="AL64" s="3193"/>
      <c r="AM64" s="3196"/>
    </row>
    <row r="65" spans="1:43" ht="96" customHeight="1" x14ac:dyDescent="0.2">
      <c r="A65" s="1271"/>
      <c r="B65" s="1272"/>
      <c r="C65" s="1273"/>
      <c r="D65" s="1272"/>
      <c r="E65" s="1272"/>
      <c r="F65" s="1273"/>
      <c r="G65" s="1271"/>
      <c r="H65" s="1272"/>
      <c r="I65" s="1273"/>
      <c r="J65" s="3178"/>
      <c r="K65" s="3191"/>
      <c r="L65" s="3178"/>
      <c r="M65" s="3178"/>
      <c r="N65" s="3178"/>
      <c r="O65" s="3178"/>
      <c r="P65" s="3181"/>
      <c r="Q65" s="1304">
        <v>0.1</v>
      </c>
      <c r="R65" s="3210"/>
      <c r="S65" s="3181"/>
      <c r="T65" s="3191"/>
      <c r="U65" s="1247" t="s">
        <v>1340</v>
      </c>
      <c r="V65" s="1301">
        <v>20000000</v>
      </c>
      <c r="W65" s="3222"/>
      <c r="X65" s="3225"/>
      <c r="Y65" s="3258"/>
      <c r="Z65" s="3200"/>
      <c r="AA65" s="3200"/>
      <c r="AB65" s="3200"/>
      <c r="AC65" s="3200"/>
      <c r="AD65" s="3200"/>
      <c r="AE65" s="3200"/>
      <c r="AF65" s="3200"/>
      <c r="AG65" s="3200"/>
      <c r="AH65" s="3200"/>
      <c r="AI65" s="3200"/>
      <c r="AJ65" s="3200"/>
      <c r="AK65" s="3194"/>
      <c r="AL65" s="3194"/>
      <c r="AM65" s="3197"/>
      <c r="AN65" s="1305"/>
      <c r="AO65" s="1306"/>
    </row>
    <row r="66" spans="1:43" s="1314" customFormat="1" ht="89.25" x14ac:dyDescent="0.2">
      <c r="A66" s="1307"/>
      <c r="B66" s="1308"/>
      <c r="C66" s="1309"/>
      <c r="D66" s="1308"/>
      <c r="E66" s="1308"/>
      <c r="F66" s="1309"/>
      <c r="G66" s="1307"/>
      <c r="H66" s="1308"/>
      <c r="I66" s="1309"/>
      <c r="J66" s="3263">
        <v>144</v>
      </c>
      <c r="K66" s="3261" t="s">
        <v>1341</v>
      </c>
      <c r="L66" s="3263" t="s">
        <v>126</v>
      </c>
      <c r="M66" s="3263">
        <v>5</v>
      </c>
      <c r="N66" s="1310"/>
      <c r="O66" s="3263">
        <v>141</v>
      </c>
      <c r="P66" s="3179" t="s">
        <v>1342</v>
      </c>
      <c r="Q66" s="2021">
        <f>(V66+V67+V68+V69+V70)/R66</f>
        <v>0.83251096606464636</v>
      </c>
      <c r="R66" s="3259">
        <f>289708258.45023+198060852+40000000</f>
        <v>527769110.45023</v>
      </c>
      <c r="S66" s="3261" t="s">
        <v>1343</v>
      </c>
      <c r="T66" s="3179" t="s">
        <v>1344</v>
      </c>
      <c r="U66" s="1277" t="s">
        <v>1345</v>
      </c>
      <c r="V66" s="1251">
        <f>48262544+198060852</f>
        <v>246323396</v>
      </c>
      <c r="W66" s="1311"/>
      <c r="X66" s="1312"/>
      <c r="Y66" s="3198">
        <v>64149</v>
      </c>
      <c r="Z66" s="3198">
        <v>72224</v>
      </c>
      <c r="AA66" s="3198">
        <v>27477</v>
      </c>
      <c r="AB66" s="3198">
        <v>86843</v>
      </c>
      <c r="AC66" s="3198">
        <v>236429</v>
      </c>
      <c r="AD66" s="3198">
        <v>81384</v>
      </c>
      <c r="AE66" s="3198">
        <v>13208</v>
      </c>
      <c r="AF66" s="3198">
        <v>2145</v>
      </c>
      <c r="AG66" s="3198">
        <v>413</v>
      </c>
      <c r="AH66" s="3198">
        <v>520</v>
      </c>
      <c r="AI66" s="3198">
        <v>16897</v>
      </c>
      <c r="AJ66" s="3198">
        <v>75612</v>
      </c>
      <c r="AK66" s="3268">
        <v>42948</v>
      </c>
      <c r="AL66" s="3268">
        <v>43100</v>
      </c>
      <c r="AM66" s="3270" t="s">
        <v>1303</v>
      </c>
      <c r="AN66" s="1252"/>
      <c r="AO66" s="1313"/>
      <c r="AP66" s="1313"/>
      <c r="AQ66" s="1198"/>
    </row>
    <row r="67" spans="1:43" s="1314" customFormat="1" ht="38.25" x14ac:dyDescent="0.2">
      <c r="A67" s="1307"/>
      <c r="B67" s="1308"/>
      <c r="C67" s="1309"/>
      <c r="D67" s="1308"/>
      <c r="E67" s="1308"/>
      <c r="F67" s="1309"/>
      <c r="G67" s="1307"/>
      <c r="H67" s="1308"/>
      <c r="I67" s="1309"/>
      <c r="J67" s="3264"/>
      <c r="K67" s="3262"/>
      <c r="L67" s="3264"/>
      <c r="M67" s="3264"/>
      <c r="N67" s="1315"/>
      <c r="O67" s="3264"/>
      <c r="P67" s="3180"/>
      <c r="Q67" s="2022"/>
      <c r="R67" s="3260"/>
      <c r="S67" s="3262"/>
      <c r="T67" s="3180"/>
      <c r="U67" s="1277" t="s">
        <v>1346</v>
      </c>
      <c r="V67" s="1251">
        <v>48262544</v>
      </c>
      <c r="W67" s="1316"/>
      <c r="X67" s="1317"/>
      <c r="Y67" s="3199"/>
      <c r="Z67" s="3199"/>
      <c r="AA67" s="3199"/>
      <c r="AB67" s="3199"/>
      <c r="AC67" s="3199"/>
      <c r="AD67" s="3199"/>
      <c r="AE67" s="3199"/>
      <c r="AF67" s="3199"/>
      <c r="AG67" s="3199"/>
      <c r="AH67" s="3199"/>
      <c r="AI67" s="3199"/>
      <c r="AJ67" s="3199"/>
      <c r="AK67" s="3269"/>
      <c r="AL67" s="3269"/>
      <c r="AM67" s="3271"/>
      <c r="AN67" s="1253"/>
      <c r="AO67" s="1313"/>
      <c r="AP67" s="1313"/>
      <c r="AQ67" s="1198"/>
    </row>
    <row r="68" spans="1:43" s="1314" customFormat="1" ht="60" x14ac:dyDescent="0.2">
      <c r="A68" s="1307"/>
      <c r="B68" s="1308"/>
      <c r="C68" s="1309"/>
      <c r="D68" s="1308"/>
      <c r="E68" s="1308"/>
      <c r="F68" s="1309"/>
      <c r="G68" s="1307"/>
      <c r="H68" s="1308"/>
      <c r="I68" s="1309"/>
      <c r="J68" s="3264"/>
      <c r="K68" s="3262"/>
      <c r="L68" s="3264"/>
      <c r="M68" s="3264"/>
      <c r="N68" s="1315" t="s">
        <v>1347</v>
      </c>
      <c r="O68" s="3264"/>
      <c r="P68" s="3180"/>
      <c r="Q68" s="2022"/>
      <c r="R68" s="3260"/>
      <c r="S68" s="3262"/>
      <c r="T68" s="3180"/>
      <c r="U68" s="1277" t="s">
        <v>1348</v>
      </c>
      <c r="V68" s="1251">
        <v>48262544</v>
      </c>
      <c r="W68" s="1316">
        <v>111</v>
      </c>
      <c r="X68" s="1317" t="s">
        <v>1349</v>
      </c>
      <c r="Y68" s="3199"/>
      <c r="Z68" s="3199"/>
      <c r="AA68" s="3199"/>
      <c r="AB68" s="3199"/>
      <c r="AC68" s="3199"/>
      <c r="AD68" s="3199"/>
      <c r="AE68" s="3199"/>
      <c r="AF68" s="3199"/>
      <c r="AG68" s="3199"/>
      <c r="AH68" s="3199"/>
      <c r="AI68" s="3199"/>
      <c r="AJ68" s="3199"/>
      <c r="AK68" s="3269"/>
      <c r="AL68" s="3269"/>
      <c r="AM68" s="3271"/>
      <c r="AN68" s="1253"/>
      <c r="AO68" s="1313"/>
      <c r="AP68" s="1313"/>
      <c r="AQ68" s="1198"/>
    </row>
    <row r="69" spans="1:43" s="1314" customFormat="1" ht="75" customHeight="1" x14ac:dyDescent="0.2">
      <c r="A69" s="1307"/>
      <c r="B69" s="1308"/>
      <c r="C69" s="1309"/>
      <c r="D69" s="1308"/>
      <c r="E69" s="1308"/>
      <c r="F69" s="1309"/>
      <c r="G69" s="1307"/>
      <c r="H69" s="1308"/>
      <c r="I69" s="1309"/>
      <c r="J69" s="3264"/>
      <c r="K69" s="3262"/>
      <c r="L69" s="3264"/>
      <c r="M69" s="3264"/>
      <c r="N69" s="1315" t="s">
        <v>1350</v>
      </c>
      <c r="O69" s="3264"/>
      <c r="P69" s="3180"/>
      <c r="Q69" s="2022"/>
      <c r="R69" s="3260"/>
      <c r="S69" s="3262"/>
      <c r="T69" s="3180"/>
      <c r="U69" s="1277" t="s">
        <v>1351</v>
      </c>
      <c r="V69" s="1251">
        <v>48262544</v>
      </c>
      <c r="W69" s="1316">
        <v>118</v>
      </c>
      <c r="X69" s="1317" t="s">
        <v>1352</v>
      </c>
      <c r="Y69" s="3199"/>
      <c r="Z69" s="3199"/>
      <c r="AA69" s="3199"/>
      <c r="AB69" s="3199"/>
      <c r="AC69" s="3199"/>
      <c r="AD69" s="3199"/>
      <c r="AE69" s="3199"/>
      <c r="AF69" s="3199"/>
      <c r="AG69" s="3199"/>
      <c r="AH69" s="3199"/>
      <c r="AI69" s="3199"/>
      <c r="AJ69" s="3199"/>
      <c r="AK69" s="3269"/>
      <c r="AL69" s="3269"/>
      <c r="AM69" s="3271"/>
      <c r="AN69" s="1253"/>
      <c r="AO69" s="1318"/>
      <c r="AP69" s="1318"/>
      <c r="AQ69" s="1318"/>
    </row>
    <row r="70" spans="1:43" s="1314" customFormat="1" ht="89.25" x14ac:dyDescent="0.2">
      <c r="A70" s="1307"/>
      <c r="B70" s="1308"/>
      <c r="C70" s="1309"/>
      <c r="D70" s="1308"/>
      <c r="E70" s="1308"/>
      <c r="F70" s="1309"/>
      <c r="G70" s="1307"/>
      <c r="H70" s="1308"/>
      <c r="I70" s="1309"/>
      <c r="J70" s="3265"/>
      <c r="K70" s="3266"/>
      <c r="L70" s="3265"/>
      <c r="M70" s="3265"/>
      <c r="N70" s="1315" t="s">
        <v>1353</v>
      </c>
      <c r="O70" s="3264"/>
      <c r="P70" s="3180"/>
      <c r="Q70" s="2023"/>
      <c r="R70" s="3260"/>
      <c r="S70" s="3262"/>
      <c r="T70" s="3181"/>
      <c r="U70" s="1277" t="s">
        <v>1354</v>
      </c>
      <c r="V70" s="1251">
        <v>48262544</v>
      </c>
      <c r="W70" s="1316">
        <v>61</v>
      </c>
      <c r="X70" s="1317" t="s">
        <v>1244</v>
      </c>
      <c r="Y70" s="3199"/>
      <c r="Z70" s="3199"/>
      <c r="AA70" s="3199"/>
      <c r="AB70" s="3199"/>
      <c r="AC70" s="3199"/>
      <c r="AD70" s="3199"/>
      <c r="AE70" s="3199"/>
      <c r="AF70" s="3199"/>
      <c r="AG70" s="3199"/>
      <c r="AH70" s="3199"/>
      <c r="AI70" s="3199"/>
      <c r="AJ70" s="3199"/>
      <c r="AK70" s="3269"/>
      <c r="AL70" s="3269"/>
      <c r="AM70" s="3271"/>
      <c r="AN70" s="1253"/>
      <c r="AO70" s="1319"/>
      <c r="AP70" s="1313"/>
      <c r="AQ70" s="1313"/>
    </row>
    <row r="71" spans="1:43" s="1314" customFormat="1" ht="63.75" x14ac:dyDescent="0.2">
      <c r="A71" s="1307"/>
      <c r="B71" s="1308"/>
      <c r="C71" s="1309"/>
      <c r="D71" s="1308"/>
      <c r="E71" s="1308"/>
      <c r="F71" s="1309"/>
      <c r="G71" s="1307"/>
      <c r="H71" s="1308"/>
      <c r="I71" s="1309"/>
      <c r="J71" s="1310">
        <v>145</v>
      </c>
      <c r="K71" s="1320" t="s">
        <v>1355</v>
      </c>
      <c r="L71" s="1310" t="s">
        <v>126</v>
      </c>
      <c r="M71" s="1310">
        <v>1</v>
      </c>
      <c r="N71" s="1321"/>
      <c r="O71" s="3265"/>
      <c r="P71" s="3180"/>
      <c r="Q71" s="1322">
        <f>V71/R66</f>
        <v>0.16748903308227231</v>
      </c>
      <c r="R71" s="3260"/>
      <c r="S71" s="3262"/>
      <c r="T71" s="1323" t="s">
        <v>1356</v>
      </c>
      <c r="U71" s="1300" t="s">
        <v>1357</v>
      </c>
      <c r="V71" s="1251">
        <f>48395538+40000000</f>
        <v>88395538</v>
      </c>
      <c r="W71" s="1316"/>
      <c r="X71" s="1317"/>
      <c r="Y71" s="3199"/>
      <c r="Z71" s="3199"/>
      <c r="AA71" s="3199"/>
      <c r="AB71" s="3199"/>
      <c r="AC71" s="3199"/>
      <c r="AD71" s="3199"/>
      <c r="AE71" s="3199"/>
      <c r="AF71" s="3199"/>
      <c r="AG71" s="3199"/>
      <c r="AH71" s="3199"/>
      <c r="AI71" s="3199"/>
      <c r="AJ71" s="3199"/>
      <c r="AK71" s="3269"/>
      <c r="AL71" s="3269"/>
      <c r="AM71" s="3271"/>
      <c r="AN71" s="1252"/>
      <c r="AO71" s="1306"/>
      <c r="AP71" s="1313"/>
      <c r="AQ71" s="1313"/>
    </row>
    <row r="72" spans="1:43" s="1314" customFormat="1" ht="51" customHeight="1" x14ac:dyDescent="0.2">
      <c r="A72" s="1307"/>
      <c r="B72" s="1308"/>
      <c r="C72" s="1309"/>
      <c r="D72" s="1308"/>
      <c r="E72" s="1308"/>
      <c r="F72" s="1309"/>
      <c r="G72" s="1307"/>
      <c r="H72" s="1308"/>
      <c r="I72" s="1309"/>
      <c r="J72" s="3263">
        <v>146</v>
      </c>
      <c r="K72" s="3261" t="s">
        <v>1358</v>
      </c>
      <c r="L72" s="3263" t="s">
        <v>126</v>
      </c>
      <c r="M72" s="3263">
        <v>1</v>
      </c>
      <c r="N72" s="1310"/>
      <c r="O72" s="3263">
        <v>142</v>
      </c>
      <c r="P72" s="3179" t="s">
        <v>1359</v>
      </c>
      <c r="Q72" s="2021">
        <v>1</v>
      </c>
      <c r="R72" s="3259">
        <v>253647465</v>
      </c>
      <c r="S72" s="3261" t="s">
        <v>1360</v>
      </c>
      <c r="T72" s="3179" t="s">
        <v>1361</v>
      </c>
      <c r="U72" s="1277" t="s">
        <v>1362</v>
      </c>
      <c r="V72" s="1324">
        <f>48000000+61389691</f>
        <v>109389691</v>
      </c>
      <c r="W72" s="1311"/>
      <c r="X72" s="1312"/>
      <c r="Y72" s="3217">
        <v>64149</v>
      </c>
      <c r="Z72" s="3217">
        <v>72224</v>
      </c>
      <c r="AA72" s="3217">
        <v>27477</v>
      </c>
      <c r="AB72" s="3217">
        <v>86843</v>
      </c>
      <c r="AC72" s="3217">
        <v>236429</v>
      </c>
      <c r="AD72" s="3217">
        <v>81384</v>
      </c>
      <c r="AE72" s="3217">
        <v>13208</v>
      </c>
      <c r="AF72" s="3217">
        <v>2145</v>
      </c>
      <c r="AG72" s="3217">
        <v>413</v>
      </c>
      <c r="AH72" s="3217">
        <v>520</v>
      </c>
      <c r="AI72" s="3217">
        <v>16897</v>
      </c>
      <c r="AJ72" s="3274">
        <v>75612</v>
      </c>
      <c r="AK72" s="3272">
        <v>42948</v>
      </c>
      <c r="AL72" s="3272">
        <v>43100</v>
      </c>
      <c r="AM72" s="3273" t="s">
        <v>1303</v>
      </c>
      <c r="AN72" s="1198"/>
      <c r="AO72" s="1325"/>
      <c r="AP72" s="1318"/>
      <c r="AQ72" s="1313"/>
    </row>
    <row r="73" spans="1:43" s="1314" customFormat="1" ht="39" customHeight="1" x14ac:dyDescent="0.2">
      <c r="A73" s="1307"/>
      <c r="B73" s="1308"/>
      <c r="C73" s="1309"/>
      <c r="D73" s="1308"/>
      <c r="E73" s="1308"/>
      <c r="F73" s="1309"/>
      <c r="G73" s="1307"/>
      <c r="H73" s="1308"/>
      <c r="I73" s="1309"/>
      <c r="J73" s="3264"/>
      <c r="K73" s="3262"/>
      <c r="L73" s="3264"/>
      <c r="M73" s="3264"/>
      <c r="N73" s="1315"/>
      <c r="O73" s="3264"/>
      <c r="P73" s="3180"/>
      <c r="Q73" s="2022"/>
      <c r="R73" s="3260"/>
      <c r="S73" s="3262"/>
      <c r="T73" s="3180"/>
      <c r="U73" s="1277" t="s">
        <v>1363</v>
      </c>
      <c r="V73" s="1324">
        <v>16500000</v>
      </c>
      <c r="W73" s="1316"/>
      <c r="X73" s="1317"/>
      <c r="Y73" s="3218"/>
      <c r="Z73" s="3218"/>
      <c r="AA73" s="3218"/>
      <c r="AB73" s="3218"/>
      <c r="AC73" s="3218"/>
      <c r="AD73" s="3218"/>
      <c r="AE73" s="3218"/>
      <c r="AF73" s="3218"/>
      <c r="AG73" s="3218"/>
      <c r="AH73" s="3218"/>
      <c r="AI73" s="3218"/>
      <c r="AJ73" s="3275"/>
      <c r="AK73" s="3272"/>
      <c r="AL73" s="3272"/>
      <c r="AM73" s="3273"/>
      <c r="AN73" s="1198"/>
      <c r="AO73" s="1319"/>
      <c r="AP73" s="1313"/>
      <c r="AQ73" s="1313"/>
    </row>
    <row r="74" spans="1:43" s="1314" customFormat="1" ht="64.5" customHeight="1" x14ac:dyDescent="0.2">
      <c r="A74" s="1307"/>
      <c r="B74" s="1308"/>
      <c r="C74" s="1309"/>
      <c r="D74" s="1308"/>
      <c r="E74" s="1308"/>
      <c r="F74" s="1309"/>
      <c r="G74" s="1307"/>
      <c r="H74" s="1308"/>
      <c r="I74" s="1309"/>
      <c r="J74" s="3264"/>
      <c r="K74" s="3262"/>
      <c r="L74" s="3264"/>
      <c r="M74" s="3264"/>
      <c r="N74" s="1315"/>
      <c r="O74" s="3264"/>
      <c r="P74" s="3180"/>
      <c r="Q74" s="2022"/>
      <c r="R74" s="3260"/>
      <c r="S74" s="3262"/>
      <c r="T74" s="3180"/>
      <c r="U74" s="1277" t="s">
        <v>1364</v>
      </c>
      <c r="V74" s="1324">
        <v>36000000</v>
      </c>
      <c r="W74" s="1316"/>
      <c r="X74" s="1317"/>
      <c r="Y74" s="3218"/>
      <c r="Z74" s="3218"/>
      <c r="AA74" s="3218"/>
      <c r="AB74" s="3218"/>
      <c r="AC74" s="3218"/>
      <c r="AD74" s="3218"/>
      <c r="AE74" s="3218"/>
      <c r="AF74" s="3218"/>
      <c r="AG74" s="3218"/>
      <c r="AH74" s="3218"/>
      <c r="AI74" s="3218"/>
      <c r="AJ74" s="3275"/>
      <c r="AK74" s="3272"/>
      <c r="AL74" s="3272"/>
      <c r="AM74" s="3273"/>
      <c r="AN74" s="1198"/>
      <c r="AO74" s="1325"/>
      <c r="AP74" s="1313"/>
      <c r="AQ74" s="1313"/>
    </row>
    <row r="75" spans="1:43" s="1314" customFormat="1" ht="65.25" customHeight="1" x14ac:dyDescent="0.2">
      <c r="A75" s="1307"/>
      <c r="B75" s="1308"/>
      <c r="C75" s="1309"/>
      <c r="D75" s="1308"/>
      <c r="E75" s="1308"/>
      <c r="F75" s="1309"/>
      <c r="G75" s="1307"/>
      <c r="H75" s="1308"/>
      <c r="I75" s="1309"/>
      <c r="J75" s="3264"/>
      <c r="K75" s="3262"/>
      <c r="L75" s="3264"/>
      <c r="M75" s="3264"/>
      <c r="N75" s="1315"/>
      <c r="O75" s="3264"/>
      <c r="P75" s="3180"/>
      <c r="Q75" s="2022"/>
      <c r="R75" s="3260"/>
      <c r="S75" s="3262"/>
      <c r="T75" s="3181"/>
      <c r="U75" s="1277" t="s">
        <v>1365</v>
      </c>
      <c r="V75" s="1324">
        <v>10000000</v>
      </c>
      <c r="W75" s="1316"/>
      <c r="X75" s="1317"/>
      <c r="Y75" s="3218"/>
      <c r="Z75" s="3218"/>
      <c r="AA75" s="3218"/>
      <c r="AB75" s="3218"/>
      <c r="AC75" s="3218"/>
      <c r="AD75" s="3218"/>
      <c r="AE75" s="3218"/>
      <c r="AF75" s="3218"/>
      <c r="AG75" s="3218"/>
      <c r="AH75" s="3218"/>
      <c r="AI75" s="3218"/>
      <c r="AJ75" s="3275"/>
      <c r="AK75" s="3272"/>
      <c r="AL75" s="3272"/>
      <c r="AM75" s="3273"/>
      <c r="AN75" s="1198"/>
      <c r="AO75" s="1325"/>
      <c r="AP75" s="1313"/>
      <c r="AQ75" s="1313"/>
    </row>
    <row r="76" spans="1:43" s="1314" customFormat="1" ht="56.25" customHeight="1" x14ac:dyDescent="0.2">
      <c r="A76" s="1307"/>
      <c r="B76" s="1308"/>
      <c r="C76" s="1309"/>
      <c r="D76" s="1308"/>
      <c r="E76" s="1308"/>
      <c r="F76" s="1309"/>
      <c r="G76" s="1307"/>
      <c r="H76" s="1308"/>
      <c r="I76" s="1309"/>
      <c r="J76" s="3264"/>
      <c r="K76" s="3262"/>
      <c r="L76" s="3264"/>
      <c r="M76" s="3264"/>
      <c r="N76" s="1315" t="s">
        <v>1366</v>
      </c>
      <c r="O76" s="3264"/>
      <c r="P76" s="3180"/>
      <c r="Q76" s="2022"/>
      <c r="R76" s="3260"/>
      <c r="S76" s="3262"/>
      <c r="T76" s="3179" t="s">
        <v>1367</v>
      </c>
      <c r="U76" s="1277" t="s">
        <v>1368</v>
      </c>
      <c r="V76" s="1324">
        <v>10800000</v>
      </c>
      <c r="W76" s="1316">
        <v>113</v>
      </c>
      <c r="X76" s="1317" t="s">
        <v>1369</v>
      </c>
      <c r="Y76" s="3218"/>
      <c r="Z76" s="3218"/>
      <c r="AA76" s="3218"/>
      <c r="AB76" s="3218"/>
      <c r="AC76" s="3218"/>
      <c r="AD76" s="3218"/>
      <c r="AE76" s="3218"/>
      <c r="AF76" s="3218"/>
      <c r="AG76" s="3218"/>
      <c r="AH76" s="3218"/>
      <c r="AI76" s="3218"/>
      <c r="AJ76" s="3275"/>
      <c r="AK76" s="3272"/>
      <c r="AL76" s="3272"/>
      <c r="AM76" s="3273"/>
      <c r="AN76" s="1198"/>
      <c r="AO76" s="1326"/>
      <c r="AP76" s="1327"/>
      <c r="AQ76" s="1313"/>
    </row>
    <row r="77" spans="1:43" s="1314" customFormat="1" ht="95.25" customHeight="1" x14ac:dyDescent="0.2">
      <c r="A77" s="1307"/>
      <c r="B77" s="1308"/>
      <c r="C77" s="1309"/>
      <c r="D77" s="1308"/>
      <c r="E77" s="1308"/>
      <c r="F77" s="1309"/>
      <c r="G77" s="1307"/>
      <c r="H77" s="1308"/>
      <c r="I77" s="1309"/>
      <c r="J77" s="3264"/>
      <c r="K77" s="3262"/>
      <c r="L77" s="3264"/>
      <c r="M77" s="3264"/>
      <c r="N77" s="1315" t="s">
        <v>1370</v>
      </c>
      <c r="O77" s="3264"/>
      <c r="P77" s="3180"/>
      <c r="Q77" s="2022"/>
      <c r="R77" s="3260"/>
      <c r="S77" s="3262"/>
      <c r="T77" s="3180"/>
      <c r="U77" s="1277" t="s">
        <v>1371</v>
      </c>
      <c r="V77" s="1324">
        <v>20000000</v>
      </c>
      <c r="W77" s="1316">
        <v>114</v>
      </c>
      <c r="X77" s="1328" t="s">
        <v>1372</v>
      </c>
      <c r="Y77" s="3218"/>
      <c r="Z77" s="3218"/>
      <c r="AA77" s="3218"/>
      <c r="AB77" s="3218"/>
      <c r="AC77" s="3218"/>
      <c r="AD77" s="3218"/>
      <c r="AE77" s="3218"/>
      <c r="AF77" s="3218"/>
      <c r="AG77" s="3218"/>
      <c r="AH77" s="3218"/>
      <c r="AI77" s="3218"/>
      <c r="AJ77" s="3275"/>
      <c r="AK77" s="3272"/>
      <c r="AL77" s="3272"/>
      <c r="AM77" s="3273"/>
      <c r="AN77" s="1198"/>
      <c r="AO77" s="1319"/>
      <c r="AP77" s="1313"/>
      <c r="AQ77" s="1313"/>
    </row>
    <row r="78" spans="1:43" s="1314" customFormat="1" ht="68.25" customHeight="1" x14ac:dyDescent="0.2">
      <c r="A78" s="1307"/>
      <c r="B78" s="1308"/>
      <c r="C78" s="1309"/>
      <c r="D78" s="1308"/>
      <c r="E78" s="1308"/>
      <c r="F78" s="1309"/>
      <c r="G78" s="1307"/>
      <c r="H78" s="1308"/>
      <c r="I78" s="1309"/>
      <c r="J78" s="3264"/>
      <c r="K78" s="3262"/>
      <c r="L78" s="3264"/>
      <c r="M78" s="3264"/>
      <c r="N78" s="1315" t="s">
        <v>1373</v>
      </c>
      <c r="O78" s="3264"/>
      <c r="P78" s="3180"/>
      <c r="Q78" s="2022"/>
      <c r="R78" s="3260"/>
      <c r="S78" s="3262"/>
      <c r="T78" s="3181"/>
      <c r="U78" s="1277" t="s">
        <v>1374</v>
      </c>
      <c r="V78" s="1324">
        <v>957774</v>
      </c>
      <c r="W78" s="1316">
        <v>61</v>
      </c>
      <c r="X78" s="1317" t="s">
        <v>1244</v>
      </c>
      <c r="Y78" s="3218"/>
      <c r="Z78" s="3218"/>
      <c r="AA78" s="3218"/>
      <c r="AB78" s="3218"/>
      <c r="AC78" s="3218"/>
      <c r="AD78" s="3218"/>
      <c r="AE78" s="3218"/>
      <c r="AF78" s="3218"/>
      <c r="AG78" s="3218"/>
      <c r="AH78" s="3218"/>
      <c r="AI78" s="3218"/>
      <c r="AJ78" s="3275"/>
      <c r="AK78" s="3272"/>
      <c r="AL78" s="3272"/>
      <c r="AM78" s="3273"/>
      <c r="AN78" s="1198"/>
      <c r="AO78" s="1319"/>
      <c r="AP78" s="1313"/>
      <c r="AQ78" s="1313"/>
    </row>
    <row r="79" spans="1:43" s="1314" customFormat="1" ht="58.5" customHeight="1" x14ac:dyDescent="0.2">
      <c r="A79" s="1307"/>
      <c r="B79" s="1308"/>
      <c r="C79" s="1309"/>
      <c r="D79" s="1308"/>
      <c r="E79" s="1308"/>
      <c r="F79" s="1309"/>
      <c r="G79" s="1307"/>
      <c r="H79" s="1308"/>
      <c r="I79" s="1309"/>
      <c r="J79" s="3264"/>
      <c r="K79" s="3262"/>
      <c r="L79" s="3264"/>
      <c r="M79" s="3264"/>
      <c r="N79" s="1315"/>
      <c r="O79" s="3264"/>
      <c r="P79" s="3180"/>
      <c r="Q79" s="2022"/>
      <c r="R79" s="3260"/>
      <c r="S79" s="3262"/>
      <c r="T79" s="3179" t="s">
        <v>1375</v>
      </c>
      <c r="U79" s="1277" t="s">
        <v>1376</v>
      </c>
      <c r="V79" s="1324">
        <v>20000000</v>
      </c>
      <c r="W79" s="1316"/>
      <c r="X79" s="1317"/>
      <c r="Y79" s="3218"/>
      <c r="Z79" s="3218"/>
      <c r="AA79" s="3218"/>
      <c r="AB79" s="3218"/>
      <c r="AC79" s="3218"/>
      <c r="AD79" s="3218"/>
      <c r="AE79" s="3218"/>
      <c r="AF79" s="3218"/>
      <c r="AG79" s="3218"/>
      <c r="AH79" s="3218"/>
      <c r="AI79" s="3218"/>
      <c r="AJ79" s="3275"/>
      <c r="AK79" s="3272"/>
      <c r="AL79" s="3272"/>
      <c r="AM79" s="3273"/>
      <c r="AN79" s="1198"/>
      <c r="AO79" s="1198"/>
      <c r="AP79" s="1313"/>
      <c r="AQ79" s="1198"/>
    </row>
    <row r="80" spans="1:43" s="1314" customFormat="1" ht="74.25" customHeight="1" x14ac:dyDescent="0.2">
      <c r="A80" s="1307"/>
      <c r="B80" s="1308"/>
      <c r="C80" s="1309"/>
      <c r="D80" s="1308"/>
      <c r="E80" s="1308"/>
      <c r="F80" s="1309"/>
      <c r="G80" s="1329"/>
      <c r="H80" s="1330"/>
      <c r="I80" s="1331"/>
      <c r="J80" s="3265"/>
      <c r="K80" s="3266"/>
      <c r="L80" s="3265"/>
      <c r="M80" s="3265"/>
      <c r="N80" s="1321"/>
      <c r="O80" s="3265"/>
      <c r="P80" s="3181"/>
      <c r="Q80" s="2023"/>
      <c r="R80" s="3267"/>
      <c r="S80" s="3266"/>
      <c r="T80" s="3181"/>
      <c r="U80" s="1277" t="s">
        <v>1377</v>
      </c>
      <c r="V80" s="1324">
        <v>30000000</v>
      </c>
      <c r="W80" s="1332"/>
      <c r="X80" s="1333"/>
      <c r="Y80" s="3219"/>
      <c r="Z80" s="3219"/>
      <c r="AA80" s="3219"/>
      <c r="AB80" s="3219"/>
      <c r="AC80" s="3219"/>
      <c r="AD80" s="3219"/>
      <c r="AE80" s="3219"/>
      <c r="AF80" s="3219"/>
      <c r="AG80" s="3219"/>
      <c r="AH80" s="3219"/>
      <c r="AI80" s="3219"/>
      <c r="AJ80" s="3276"/>
      <c r="AK80" s="3272"/>
      <c r="AL80" s="3272"/>
      <c r="AM80" s="3273"/>
      <c r="AN80" s="1198"/>
      <c r="AO80" s="1313"/>
      <c r="AP80" s="1313"/>
      <c r="AQ80" s="1313"/>
    </row>
    <row r="81" spans="1:45" s="1270" customFormat="1" ht="38.25" customHeight="1" x14ac:dyDescent="0.2">
      <c r="A81" s="1228"/>
      <c r="B81" s="1229"/>
      <c r="C81" s="1230"/>
      <c r="D81" s="1229"/>
      <c r="E81" s="1229"/>
      <c r="F81" s="1230"/>
      <c r="G81" s="1265">
        <v>41</v>
      </c>
      <c r="H81" s="1234" t="s">
        <v>1378</v>
      </c>
      <c r="I81" s="1234"/>
      <c r="J81" s="1234"/>
      <c r="K81" s="1235"/>
      <c r="L81" s="1234"/>
      <c r="M81" s="1234"/>
      <c r="N81" s="1236"/>
      <c r="O81" s="1234"/>
      <c r="P81" s="1235"/>
      <c r="Q81" s="1234"/>
      <c r="R81" s="1266"/>
      <c r="S81" s="1234"/>
      <c r="T81" s="1235"/>
      <c r="U81" s="1235"/>
      <c r="V81" s="1237"/>
      <c r="W81" s="1267"/>
      <c r="X81" s="1236"/>
      <c r="Y81" s="1236"/>
      <c r="Z81" s="1236"/>
      <c r="AA81" s="1236"/>
      <c r="AB81" s="1236"/>
      <c r="AC81" s="1236"/>
      <c r="AD81" s="1236"/>
      <c r="AE81" s="1236"/>
      <c r="AF81" s="1236"/>
      <c r="AG81" s="1236"/>
      <c r="AH81" s="1236"/>
      <c r="AI81" s="1236"/>
      <c r="AJ81" s="1236"/>
      <c r="AK81" s="1234"/>
      <c r="AL81" s="1234"/>
      <c r="AM81" s="1239"/>
      <c r="AN81" s="1217"/>
      <c r="AO81" s="1217"/>
      <c r="AP81" s="1217"/>
      <c r="AQ81" s="1217"/>
      <c r="AR81" s="1218"/>
      <c r="AS81" s="1218"/>
    </row>
    <row r="82" spans="1:45" ht="68.25" customHeight="1" x14ac:dyDescent="0.2">
      <c r="A82" s="1240"/>
      <c r="B82" s="1241"/>
      <c r="C82" s="1242"/>
      <c r="D82" s="1241"/>
      <c r="E82" s="1241"/>
      <c r="F82" s="1242"/>
      <c r="G82" s="1243"/>
      <c r="H82" s="1244"/>
      <c r="I82" s="1245"/>
      <c r="J82" s="3176">
        <v>147</v>
      </c>
      <c r="K82" s="3179" t="s">
        <v>1379</v>
      </c>
      <c r="L82" s="3176" t="s">
        <v>126</v>
      </c>
      <c r="M82" s="3176">
        <v>14</v>
      </c>
      <c r="N82" s="3176" t="s">
        <v>1380</v>
      </c>
      <c r="O82" s="3176">
        <v>143</v>
      </c>
      <c r="P82" s="3179" t="s">
        <v>1381</v>
      </c>
      <c r="Q82" s="1953">
        <f>(V82+V83+V84)/R82</f>
        <v>0.5</v>
      </c>
      <c r="R82" s="3208">
        <v>10300000</v>
      </c>
      <c r="S82" s="3179" t="s">
        <v>1382</v>
      </c>
      <c r="T82" s="3179" t="s">
        <v>1383</v>
      </c>
      <c r="U82" s="1268" t="s">
        <v>1384</v>
      </c>
      <c r="V82" s="1324">
        <v>2000000</v>
      </c>
      <c r="W82" s="3220">
        <v>61</v>
      </c>
      <c r="X82" s="3223" t="s">
        <v>1244</v>
      </c>
      <c r="Y82" s="3217">
        <f t="shared" ref="Y82:AJ82" si="1">Y72</f>
        <v>64149</v>
      </c>
      <c r="Z82" s="3217">
        <f t="shared" si="1"/>
        <v>72224</v>
      </c>
      <c r="AA82" s="3217">
        <f t="shared" si="1"/>
        <v>27477</v>
      </c>
      <c r="AB82" s="3217">
        <f t="shared" si="1"/>
        <v>86843</v>
      </c>
      <c r="AC82" s="3217">
        <f t="shared" si="1"/>
        <v>236429</v>
      </c>
      <c r="AD82" s="3217">
        <f t="shared" si="1"/>
        <v>81384</v>
      </c>
      <c r="AE82" s="3217">
        <f t="shared" si="1"/>
        <v>13208</v>
      </c>
      <c r="AF82" s="3217">
        <f t="shared" si="1"/>
        <v>2145</v>
      </c>
      <c r="AG82" s="3217">
        <f t="shared" si="1"/>
        <v>413</v>
      </c>
      <c r="AH82" s="3217">
        <f t="shared" si="1"/>
        <v>520</v>
      </c>
      <c r="AI82" s="3217">
        <f t="shared" si="1"/>
        <v>16897</v>
      </c>
      <c r="AJ82" s="3217">
        <f t="shared" si="1"/>
        <v>75612</v>
      </c>
      <c r="AK82" s="3192">
        <v>42948</v>
      </c>
      <c r="AL82" s="3192">
        <v>43100</v>
      </c>
      <c r="AM82" s="3195" t="s">
        <v>1303</v>
      </c>
      <c r="AP82" s="1334"/>
      <c r="AQ82" s="1334"/>
    </row>
    <row r="83" spans="1:45" ht="84" customHeight="1" x14ac:dyDescent="0.2">
      <c r="A83" s="1240"/>
      <c r="B83" s="1241"/>
      <c r="C83" s="1242"/>
      <c r="D83" s="1241"/>
      <c r="E83" s="1241"/>
      <c r="F83" s="1242"/>
      <c r="G83" s="1240"/>
      <c r="H83" s="1241"/>
      <c r="I83" s="1242"/>
      <c r="J83" s="3177"/>
      <c r="K83" s="3180"/>
      <c r="L83" s="3177"/>
      <c r="M83" s="3177"/>
      <c r="N83" s="3177"/>
      <c r="O83" s="3177"/>
      <c r="P83" s="3180"/>
      <c r="Q83" s="2786"/>
      <c r="R83" s="3209"/>
      <c r="S83" s="3180"/>
      <c r="T83" s="3180"/>
      <c r="U83" s="1268" t="s">
        <v>1385</v>
      </c>
      <c r="V83" s="1324">
        <v>2000000</v>
      </c>
      <c r="W83" s="3221"/>
      <c r="X83" s="3224"/>
      <c r="Y83" s="3218"/>
      <c r="Z83" s="3218"/>
      <c r="AA83" s="3218"/>
      <c r="AB83" s="3218"/>
      <c r="AC83" s="3218"/>
      <c r="AD83" s="3218"/>
      <c r="AE83" s="3218"/>
      <c r="AF83" s="3218"/>
      <c r="AG83" s="3218"/>
      <c r="AH83" s="3218"/>
      <c r="AI83" s="3218"/>
      <c r="AJ83" s="3218"/>
      <c r="AK83" s="3193"/>
      <c r="AL83" s="3193"/>
      <c r="AM83" s="3196"/>
      <c r="AP83" s="1334"/>
    </row>
    <row r="84" spans="1:45" ht="81.75" customHeight="1" x14ac:dyDescent="0.2">
      <c r="A84" s="1240"/>
      <c r="B84" s="1241"/>
      <c r="C84" s="1242"/>
      <c r="D84" s="1241"/>
      <c r="E84" s="1241"/>
      <c r="F84" s="1242"/>
      <c r="G84" s="1240"/>
      <c r="H84" s="1241"/>
      <c r="I84" s="1242"/>
      <c r="J84" s="3178"/>
      <c r="K84" s="3181"/>
      <c r="L84" s="3178"/>
      <c r="M84" s="3178"/>
      <c r="N84" s="3177"/>
      <c r="O84" s="3177"/>
      <c r="P84" s="3180"/>
      <c r="Q84" s="2790"/>
      <c r="R84" s="3209"/>
      <c r="S84" s="3180"/>
      <c r="T84" s="3181"/>
      <c r="U84" s="1268" t="s">
        <v>1386</v>
      </c>
      <c r="V84" s="1324">
        <v>1150000</v>
      </c>
      <c r="W84" s="3221"/>
      <c r="X84" s="3224"/>
      <c r="Y84" s="3218"/>
      <c r="Z84" s="3218"/>
      <c r="AA84" s="3218"/>
      <c r="AB84" s="3218"/>
      <c r="AC84" s="3218"/>
      <c r="AD84" s="3218"/>
      <c r="AE84" s="3218"/>
      <c r="AF84" s="3218"/>
      <c r="AG84" s="3218"/>
      <c r="AH84" s="3218"/>
      <c r="AI84" s="3218"/>
      <c r="AJ84" s="3218"/>
      <c r="AK84" s="3193"/>
      <c r="AL84" s="3193"/>
      <c r="AM84" s="3196"/>
    </row>
    <row r="85" spans="1:45" ht="88.5" customHeight="1" x14ac:dyDescent="0.2">
      <c r="A85" s="1240"/>
      <c r="B85" s="1241"/>
      <c r="C85" s="1242"/>
      <c r="D85" s="1241"/>
      <c r="E85" s="1241"/>
      <c r="F85" s="1242"/>
      <c r="G85" s="1240"/>
      <c r="H85" s="1241"/>
      <c r="I85" s="1242"/>
      <c r="J85" s="3176">
        <v>148</v>
      </c>
      <c r="K85" s="3179" t="s">
        <v>1387</v>
      </c>
      <c r="L85" s="3176" t="s">
        <v>126</v>
      </c>
      <c r="M85" s="3176">
        <v>11</v>
      </c>
      <c r="N85" s="3177"/>
      <c r="O85" s="3177"/>
      <c r="P85" s="3180"/>
      <c r="Q85" s="1953">
        <f>(V85+V86+V87+V88)/R82</f>
        <v>0.5</v>
      </c>
      <c r="R85" s="3209"/>
      <c r="S85" s="3180"/>
      <c r="T85" s="3179" t="s">
        <v>1388</v>
      </c>
      <c r="U85" s="1268" t="s">
        <v>1389</v>
      </c>
      <c r="V85" s="1324">
        <v>3000000</v>
      </c>
      <c r="W85" s="3221"/>
      <c r="X85" s="3224"/>
      <c r="Y85" s="3218"/>
      <c r="Z85" s="3218"/>
      <c r="AA85" s="3218"/>
      <c r="AB85" s="3218"/>
      <c r="AC85" s="3218"/>
      <c r="AD85" s="3218"/>
      <c r="AE85" s="3218"/>
      <c r="AF85" s="3218"/>
      <c r="AG85" s="3218"/>
      <c r="AH85" s="3218"/>
      <c r="AI85" s="3218"/>
      <c r="AJ85" s="3218"/>
      <c r="AK85" s="3193"/>
      <c r="AL85" s="3193"/>
      <c r="AM85" s="3196"/>
    </row>
    <row r="86" spans="1:45" ht="67.5" customHeight="1" x14ac:dyDescent="0.2">
      <c r="A86" s="1240"/>
      <c r="B86" s="1241"/>
      <c r="C86" s="1242"/>
      <c r="D86" s="1241"/>
      <c r="E86" s="1241"/>
      <c r="F86" s="1242"/>
      <c r="G86" s="1240"/>
      <c r="H86" s="1241"/>
      <c r="I86" s="1242"/>
      <c r="J86" s="3177"/>
      <c r="K86" s="3180"/>
      <c r="L86" s="3177"/>
      <c r="M86" s="3177"/>
      <c r="N86" s="3177"/>
      <c r="O86" s="3177"/>
      <c r="P86" s="3180"/>
      <c r="Q86" s="2786"/>
      <c r="R86" s="3209"/>
      <c r="S86" s="3180"/>
      <c r="T86" s="3180"/>
      <c r="U86" s="1268" t="s">
        <v>1390</v>
      </c>
      <c r="V86" s="1324">
        <v>500000</v>
      </c>
      <c r="W86" s="3221"/>
      <c r="X86" s="3224"/>
      <c r="Y86" s="3218"/>
      <c r="Z86" s="3218"/>
      <c r="AA86" s="3218"/>
      <c r="AB86" s="3218"/>
      <c r="AC86" s="3218"/>
      <c r="AD86" s="3218"/>
      <c r="AE86" s="3218"/>
      <c r="AF86" s="3218"/>
      <c r="AG86" s="3218"/>
      <c r="AH86" s="3218"/>
      <c r="AI86" s="3218"/>
      <c r="AJ86" s="3218"/>
      <c r="AK86" s="3193"/>
      <c r="AL86" s="3193"/>
      <c r="AM86" s="3196"/>
    </row>
    <row r="87" spans="1:45" ht="85.5" customHeight="1" x14ac:dyDescent="0.2">
      <c r="A87" s="1240"/>
      <c r="B87" s="1241"/>
      <c r="C87" s="1242"/>
      <c r="D87" s="1241"/>
      <c r="E87" s="1241"/>
      <c r="F87" s="1242"/>
      <c r="G87" s="1240"/>
      <c r="H87" s="1241"/>
      <c r="I87" s="1242"/>
      <c r="J87" s="3177"/>
      <c r="K87" s="3180"/>
      <c r="L87" s="3177"/>
      <c r="M87" s="3177"/>
      <c r="N87" s="3177"/>
      <c r="O87" s="3177"/>
      <c r="P87" s="3180"/>
      <c r="Q87" s="2786"/>
      <c r="R87" s="3209"/>
      <c r="S87" s="3180"/>
      <c r="T87" s="3180"/>
      <c r="U87" s="1268" t="s">
        <v>1391</v>
      </c>
      <c r="V87" s="1324">
        <v>500000</v>
      </c>
      <c r="W87" s="3221"/>
      <c r="X87" s="3224"/>
      <c r="Y87" s="3218"/>
      <c r="Z87" s="3218"/>
      <c r="AA87" s="3218"/>
      <c r="AB87" s="3218"/>
      <c r="AC87" s="3218"/>
      <c r="AD87" s="3218"/>
      <c r="AE87" s="3218"/>
      <c r="AF87" s="3218"/>
      <c r="AG87" s="3218"/>
      <c r="AH87" s="3218"/>
      <c r="AI87" s="3218"/>
      <c r="AJ87" s="3218"/>
      <c r="AK87" s="3193"/>
      <c r="AL87" s="3193"/>
      <c r="AM87" s="3196"/>
    </row>
    <row r="88" spans="1:45" ht="90.75" customHeight="1" x14ac:dyDescent="0.2">
      <c r="A88" s="1240"/>
      <c r="B88" s="1241"/>
      <c r="C88" s="1242"/>
      <c r="D88" s="1241"/>
      <c r="E88" s="1241"/>
      <c r="F88" s="1242"/>
      <c r="G88" s="1259"/>
      <c r="H88" s="1257"/>
      <c r="I88" s="1258"/>
      <c r="J88" s="3178"/>
      <c r="K88" s="3181"/>
      <c r="L88" s="3178"/>
      <c r="M88" s="3178"/>
      <c r="N88" s="3178"/>
      <c r="O88" s="3178"/>
      <c r="P88" s="3181"/>
      <c r="Q88" s="2790"/>
      <c r="R88" s="3210"/>
      <c r="S88" s="3181"/>
      <c r="T88" s="3181"/>
      <c r="U88" s="1268" t="s">
        <v>1392</v>
      </c>
      <c r="V88" s="1324">
        <v>1150000</v>
      </c>
      <c r="W88" s="3222"/>
      <c r="X88" s="3225"/>
      <c r="Y88" s="3219"/>
      <c r="Z88" s="3219"/>
      <c r="AA88" s="3219"/>
      <c r="AB88" s="3219"/>
      <c r="AC88" s="3219"/>
      <c r="AD88" s="3219"/>
      <c r="AE88" s="3219"/>
      <c r="AF88" s="3219"/>
      <c r="AG88" s="3219"/>
      <c r="AH88" s="3219"/>
      <c r="AI88" s="3219"/>
      <c r="AJ88" s="3219"/>
      <c r="AK88" s="3194"/>
      <c r="AL88" s="3194"/>
      <c r="AM88" s="3197"/>
    </row>
    <row r="89" spans="1:45" s="1270" customFormat="1" ht="36" customHeight="1" x14ac:dyDescent="0.2">
      <c r="A89" s="1228"/>
      <c r="B89" s="1229"/>
      <c r="C89" s="1230"/>
      <c r="D89" s="1229"/>
      <c r="E89" s="1229"/>
      <c r="F89" s="1230"/>
      <c r="G89" s="1265">
        <v>42</v>
      </c>
      <c r="H89" s="1234" t="s">
        <v>1393</v>
      </c>
      <c r="I89" s="1234"/>
      <c r="J89" s="1234"/>
      <c r="K89" s="1235"/>
      <c r="L89" s="1234"/>
      <c r="M89" s="1234"/>
      <c r="N89" s="1236"/>
      <c r="O89" s="1234"/>
      <c r="P89" s="1235"/>
      <c r="Q89" s="1234"/>
      <c r="R89" s="1266"/>
      <c r="S89" s="1234"/>
      <c r="T89" s="1235"/>
      <c r="U89" s="1235"/>
      <c r="V89" s="1237"/>
      <c r="W89" s="1267"/>
      <c r="X89" s="1236"/>
      <c r="Y89" s="1236"/>
      <c r="Z89" s="1236"/>
      <c r="AA89" s="1236"/>
      <c r="AB89" s="1236"/>
      <c r="AC89" s="1236"/>
      <c r="AD89" s="1236"/>
      <c r="AE89" s="1236"/>
      <c r="AF89" s="1236"/>
      <c r="AG89" s="1236"/>
      <c r="AH89" s="1236"/>
      <c r="AI89" s="1236"/>
      <c r="AJ89" s="1236"/>
      <c r="AK89" s="1234"/>
      <c r="AL89" s="1234"/>
      <c r="AM89" s="1239"/>
      <c r="AN89" s="1217"/>
      <c r="AO89" s="1217"/>
      <c r="AP89" s="1217"/>
      <c r="AQ89" s="1217"/>
      <c r="AR89" s="1218"/>
      <c r="AS89" s="1218"/>
    </row>
    <row r="90" spans="1:45" ht="55.5" customHeight="1" x14ac:dyDescent="0.2">
      <c r="A90" s="1240"/>
      <c r="B90" s="1241"/>
      <c r="C90" s="1242"/>
      <c r="D90" s="1241"/>
      <c r="E90" s="1241"/>
      <c r="F90" s="1242"/>
      <c r="G90" s="1243"/>
      <c r="H90" s="1244"/>
      <c r="I90" s="1245"/>
      <c r="J90" s="3176">
        <v>149</v>
      </c>
      <c r="K90" s="3179" t="s">
        <v>1394</v>
      </c>
      <c r="L90" s="3176" t="s">
        <v>126</v>
      </c>
      <c r="M90" s="3176">
        <v>8</v>
      </c>
      <c r="N90" s="3176" t="s">
        <v>1395</v>
      </c>
      <c r="O90" s="3176">
        <v>145</v>
      </c>
      <c r="P90" s="3179" t="s">
        <v>1396</v>
      </c>
      <c r="Q90" s="1953">
        <f>(V90+V91+V92)/R90</f>
        <v>0.75</v>
      </c>
      <c r="R90" s="3208">
        <v>51500000</v>
      </c>
      <c r="S90" s="3179" t="s">
        <v>1397</v>
      </c>
      <c r="T90" s="3179" t="s">
        <v>1398</v>
      </c>
      <c r="U90" s="1268" t="s">
        <v>1399</v>
      </c>
      <c r="V90" s="1324">
        <v>16000000</v>
      </c>
      <c r="W90" s="3220">
        <v>61</v>
      </c>
      <c r="X90" s="3223" t="s">
        <v>1244</v>
      </c>
      <c r="Y90" s="3237">
        <f t="shared" ref="Y90:AJ90" si="2">Y82</f>
        <v>64149</v>
      </c>
      <c r="Z90" s="3237">
        <f t="shared" si="2"/>
        <v>72224</v>
      </c>
      <c r="AA90" s="3237">
        <f t="shared" si="2"/>
        <v>27477</v>
      </c>
      <c r="AB90" s="3237">
        <f t="shared" si="2"/>
        <v>86843</v>
      </c>
      <c r="AC90" s="3237">
        <f t="shared" si="2"/>
        <v>236429</v>
      </c>
      <c r="AD90" s="3237">
        <f t="shared" si="2"/>
        <v>81384</v>
      </c>
      <c r="AE90" s="3237">
        <f t="shared" si="2"/>
        <v>13208</v>
      </c>
      <c r="AF90" s="3237">
        <f t="shared" si="2"/>
        <v>2145</v>
      </c>
      <c r="AG90" s="3237">
        <f t="shared" si="2"/>
        <v>413</v>
      </c>
      <c r="AH90" s="3237">
        <f t="shared" si="2"/>
        <v>520</v>
      </c>
      <c r="AI90" s="3237">
        <f t="shared" si="2"/>
        <v>16897</v>
      </c>
      <c r="AJ90" s="3237">
        <f t="shared" si="2"/>
        <v>75612</v>
      </c>
      <c r="AK90" s="3192">
        <v>42948</v>
      </c>
      <c r="AL90" s="3192">
        <v>43100</v>
      </c>
      <c r="AM90" s="3195" t="s">
        <v>1303</v>
      </c>
      <c r="AN90" s="1199"/>
      <c r="AO90" s="1335"/>
      <c r="AP90" s="1335"/>
      <c r="AQ90" s="1334"/>
      <c r="AR90" s="1336">
        <f>SUM(AP90-AQ90)</f>
        <v>0</v>
      </c>
    </row>
    <row r="91" spans="1:45" ht="81" customHeight="1" x14ac:dyDescent="0.2">
      <c r="A91" s="1240"/>
      <c r="B91" s="1241"/>
      <c r="C91" s="1242"/>
      <c r="D91" s="1241"/>
      <c r="E91" s="1241"/>
      <c r="F91" s="1242"/>
      <c r="G91" s="1240"/>
      <c r="H91" s="1241"/>
      <c r="I91" s="1242"/>
      <c r="J91" s="3177"/>
      <c r="K91" s="3180"/>
      <c r="L91" s="3177"/>
      <c r="M91" s="3177"/>
      <c r="N91" s="3177"/>
      <c r="O91" s="3177"/>
      <c r="P91" s="3180"/>
      <c r="Q91" s="2786"/>
      <c r="R91" s="3209"/>
      <c r="S91" s="3180"/>
      <c r="T91" s="3180"/>
      <c r="U91" s="1268" t="s">
        <v>1400</v>
      </c>
      <c r="V91" s="1324">
        <v>11000000</v>
      </c>
      <c r="W91" s="3221"/>
      <c r="X91" s="3224"/>
      <c r="Y91" s="3238"/>
      <c r="Z91" s="3238"/>
      <c r="AA91" s="3238"/>
      <c r="AB91" s="3238"/>
      <c r="AC91" s="3238"/>
      <c r="AD91" s="3238"/>
      <c r="AE91" s="3238"/>
      <c r="AF91" s="3238"/>
      <c r="AG91" s="3238"/>
      <c r="AH91" s="3238"/>
      <c r="AI91" s="3238"/>
      <c r="AJ91" s="3238"/>
      <c r="AK91" s="3193"/>
      <c r="AL91" s="3193"/>
      <c r="AM91" s="3196"/>
      <c r="AN91" s="1199"/>
      <c r="AO91" s="1337"/>
      <c r="AP91" s="1334"/>
      <c r="AQ91" s="1334"/>
    </row>
    <row r="92" spans="1:45" ht="135.75" customHeight="1" x14ac:dyDescent="0.2">
      <c r="A92" s="1240"/>
      <c r="B92" s="1241"/>
      <c r="C92" s="1242"/>
      <c r="D92" s="1241"/>
      <c r="E92" s="1241"/>
      <c r="F92" s="1242"/>
      <c r="G92" s="1240"/>
      <c r="H92" s="1241"/>
      <c r="I92" s="1242"/>
      <c r="J92" s="3178"/>
      <c r="K92" s="3181"/>
      <c r="L92" s="3178"/>
      <c r="M92" s="3178"/>
      <c r="N92" s="3177"/>
      <c r="O92" s="3177"/>
      <c r="P92" s="3180"/>
      <c r="Q92" s="2790"/>
      <c r="R92" s="3209"/>
      <c r="S92" s="3180"/>
      <c r="T92" s="3181"/>
      <c r="U92" s="1268" t="s">
        <v>1401</v>
      </c>
      <c r="V92" s="1324">
        <v>11625000</v>
      </c>
      <c r="W92" s="3221"/>
      <c r="X92" s="3224"/>
      <c r="Y92" s="3238"/>
      <c r="Z92" s="3238"/>
      <c r="AA92" s="3238"/>
      <c r="AB92" s="3238"/>
      <c r="AC92" s="3238"/>
      <c r="AD92" s="3238"/>
      <c r="AE92" s="3238"/>
      <c r="AF92" s="3238"/>
      <c r="AG92" s="3238"/>
      <c r="AH92" s="3238"/>
      <c r="AI92" s="3238"/>
      <c r="AJ92" s="3238"/>
      <c r="AK92" s="3193"/>
      <c r="AL92" s="3193"/>
      <c r="AM92" s="3196"/>
      <c r="AN92" s="1199"/>
      <c r="AO92" s="1338"/>
      <c r="AP92" s="1334"/>
      <c r="AQ92" s="1334"/>
    </row>
    <row r="93" spans="1:45" ht="62.25" customHeight="1" x14ac:dyDescent="0.2">
      <c r="A93" s="1240"/>
      <c r="B93" s="1241"/>
      <c r="C93" s="1242"/>
      <c r="D93" s="1241"/>
      <c r="E93" s="1241"/>
      <c r="F93" s="1242"/>
      <c r="G93" s="1240"/>
      <c r="H93" s="1241"/>
      <c r="I93" s="1242"/>
      <c r="J93" s="3176">
        <v>150</v>
      </c>
      <c r="K93" s="3179" t="s">
        <v>1402</v>
      </c>
      <c r="L93" s="3176" t="s">
        <v>126</v>
      </c>
      <c r="M93" s="3176">
        <v>14</v>
      </c>
      <c r="N93" s="3177"/>
      <c r="O93" s="3177"/>
      <c r="P93" s="3180"/>
      <c r="Q93" s="1953">
        <f>(V93+V94+V95)/R90</f>
        <v>0.25</v>
      </c>
      <c r="R93" s="3209"/>
      <c r="S93" s="3180"/>
      <c r="T93" s="3179" t="s">
        <v>1403</v>
      </c>
      <c r="U93" s="1268" t="s">
        <v>1404</v>
      </c>
      <c r="V93" s="1324">
        <v>4291667</v>
      </c>
      <c r="W93" s="3221"/>
      <c r="X93" s="3224"/>
      <c r="Y93" s="3238"/>
      <c r="Z93" s="3238"/>
      <c r="AA93" s="3238"/>
      <c r="AB93" s="3238"/>
      <c r="AC93" s="3238"/>
      <c r="AD93" s="3238"/>
      <c r="AE93" s="3238"/>
      <c r="AF93" s="3238"/>
      <c r="AG93" s="3238"/>
      <c r="AH93" s="3238"/>
      <c r="AI93" s="3238"/>
      <c r="AJ93" s="3238"/>
      <c r="AK93" s="3193"/>
      <c r="AL93" s="3193"/>
      <c r="AM93" s="3196"/>
      <c r="AN93" s="1334"/>
      <c r="AO93" s="1339"/>
      <c r="AP93" s="1334"/>
      <c r="AQ93" s="1334"/>
    </row>
    <row r="94" spans="1:45" ht="65.25" customHeight="1" x14ac:dyDescent="0.2">
      <c r="A94" s="1240"/>
      <c r="B94" s="1241"/>
      <c r="C94" s="1242"/>
      <c r="D94" s="1241"/>
      <c r="E94" s="1241"/>
      <c r="F94" s="1242"/>
      <c r="G94" s="1240"/>
      <c r="H94" s="1241"/>
      <c r="I94" s="1242"/>
      <c r="J94" s="3177"/>
      <c r="K94" s="3180"/>
      <c r="L94" s="3177"/>
      <c r="M94" s="3177"/>
      <c r="N94" s="3177"/>
      <c r="O94" s="3177"/>
      <c r="P94" s="3180"/>
      <c r="Q94" s="2786"/>
      <c r="R94" s="3209"/>
      <c r="S94" s="3180"/>
      <c r="T94" s="3180"/>
      <c r="U94" s="1268" t="s">
        <v>1405</v>
      </c>
      <c r="V94" s="1324">
        <v>4291667</v>
      </c>
      <c r="W94" s="3221"/>
      <c r="X94" s="3224"/>
      <c r="Y94" s="3238"/>
      <c r="Z94" s="3238"/>
      <c r="AA94" s="3238"/>
      <c r="AB94" s="3238"/>
      <c r="AC94" s="3238"/>
      <c r="AD94" s="3238"/>
      <c r="AE94" s="3238"/>
      <c r="AF94" s="3238"/>
      <c r="AG94" s="3238"/>
      <c r="AH94" s="3238"/>
      <c r="AI94" s="3238"/>
      <c r="AJ94" s="3238"/>
      <c r="AK94" s="3193"/>
      <c r="AL94" s="3193"/>
      <c r="AM94" s="3196"/>
      <c r="AN94" s="1199"/>
      <c r="AO94" s="1339"/>
      <c r="AP94" s="1334"/>
    </row>
    <row r="95" spans="1:45" ht="102" customHeight="1" x14ac:dyDescent="0.2">
      <c r="A95" s="1240"/>
      <c r="B95" s="1241"/>
      <c r="C95" s="1242"/>
      <c r="D95" s="1241"/>
      <c r="E95" s="1241"/>
      <c r="F95" s="1242"/>
      <c r="G95" s="1259"/>
      <c r="H95" s="1257"/>
      <c r="I95" s="1258"/>
      <c r="J95" s="3178"/>
      <c r="K95" s="3181"/>
      <c r="L95" s="3178"/>
      <c r="M95" s="3178"/>
      <c r="N95" s="3178"/>
      <c r="O95" s="3178"/>
      <c r="P95" s="3181"/>
      <c r="Q95" s="2790"/>
      <c r="R95" s="3210"/>
      <c r="S95" s="3181"/>
      <c r="T95" s="3181"/>
      <c r="U95" s="1268" t="s">
        <v>1406</v>
      </c>
      <c r="V95" s="1324">
        <v>4291666</v>
      </c>
      <c r="W95" s="3222"/>
      <c r="X95" s="3225"/>
      <c r="Y95" s="3239"/>
      <c r="Z95" s="3239"/>
      <c r="AA95" s="3239"/>
      <c r="AB95" s="3239"/>
      <c r="AC95" s="3239"/>
      <c r="AD95" s="3239"/>
      <c r="AE95" s="3239"/>
      <c r="AF95" s="3239"/>
      <c r="AG95" s="3239"/>
      <c r="AH95" s="3239"/>
      <c r="AI95" s="3239"/>
      <c r="AJ95" s="3239"/>
      <c r="AK95" s="3194"/>
      <c r="AL95" s="3194"/>
      <c r="AM95" s="3197"/>
      <c r="AN95" s="1199"/>
      <c r="AO95" s="1339"/>
    </row>
    <row r="96" spans="1:45" s="1270" customFormat="1" ht="36" customHeight="1" x14ac:dyDescent="0.2">
      <c r="A96" s="1228"/>
      <c r="B96" s="1229"/>
      <c r="C96" s="1230"/>
      <c r="D96" s="1229"/>
      <c r="E96" s="1229"/>
      <c r="F96" s="1230"/>
      <c r="G96" s="1265">
        <v>43</v>
      </c>
      <c r="H96" s="1234" t="s">
        <v>1407</v>
      </c>
      <c r="I96" s="1234"/>
      <c r="J96" s="1234"/>
      <c r="K96" s="1235"/>
      <c r="L96" s="1234"/>
      <c r="M96" s="1234"/>
      <c r="N96" s="1236"/>
      <c r="O96" s="1234"/>
      <c r="P96" s="1235"/>
      <c r="Q96" s="1234"/>
      <c r="R96" s="1266"/>
      <c r="S96" s="1234"/>
      <c r="T96" s="1235"/>
      <c r="U96" s="1235"/>
      <c r="V96" s="1340"/>
      <c r="W96" s="1267"/>
      <c r="X96" s="1236"/>
      <c r="Y96" s="1236"/>
      <c r="Z96" s="1236"/>
      <c r="AA96" s="1236"/>
      <c r="AB96" s="1236"/>
      <c r="AC96" s="1236"/>
      <c r="AD96" s="1236"/>
      <c r="AE96" s="1236"/>
      <c r="AF96" s="1236"/>
      <c r="AG96" s="1236"/>
      <c r="AH96" s="1236"/>
      <c r="AI96" s="1236"/>
      <c r="AJ96" s="1236"/>
      <c r="AK96" s="1234"/>
      <c r="AL96" s="1234"/>
      <c r="AM96" s="1239"/>
      <c r="AN96" s="1341"/>
      <c r="AO96" s="1217"/>
      <c r="AP96" s="1217"/>
      <c r="AQ96" s="1217"/>
      <c r="AR96" s="1218"/>
      <c r="AS96" s="1218"/>
    </row>
    <row r="97" spans="1:45" ht="63.75" x14ac:dyDescent="0.2">
      <c r="A97" s="1271"/>
      <c r="B97" s="1272"/>
      <c r="C97" s="1273"/>
      <c r="D97" s="1272"/>
      <c r="E97" s="1272"/>
      <c r="F97" s="1273"/>
      <c r="G97" s="1274"/>
      <c r="H97" s="1275"/>
      <c r="I97" s="1276"/>
      <c r="J97" s="3176">
        <v>151</v>
      </c>
      <c r="K97" s="3179" t="s">
        <v>1408</v>
      </c>
      <c r="L97" s="3191" t="s">
        <v>126</v>
      </c>
      <c r="M97" s="3191">
        <v>12</v>
      </c>
      <c r="N97" s="1248"/>
      <c r="O97" s="3176">
        <v>146</v>
      </c>
      <c r="P97" s="3179" t="s">
        <v>1409</v>
      </c>
      <c r="Q97" s="1953">
        <f>+(V97+V98)/R97</f>
        <v>0.13079586870379448</v>
      </c>
      <c r="R97" s="3208">
        <f>SUM(V97:V104)</f>
        <v>1688415254.9200001</v>
      </c>
      <c r="S97" s="3179" t="s">
        <v>1410</v>
      </c>
      <c r="T97" s="3179" t="s">
        <v>1411</v>
      </c>
      <c r="U97" s="1277" t="s">
        <v>1412</v>
      </c>
      <c r="V97" s="1324">
        <v>97618870</v>
      </c>
      <c r="W97" s="1342"/>
      <c r="X97" s="1343"/>
      <c r="Y97" s="3217">
        <f t="shared" ref="Y97:AJ97" si="3">Y90</f>
        <v>64149</v>
      </c>
      <c r="Z97" s="3217">
        <f t="shared" si="3"/>
        <v>72224</v>
      </c>
      <c r="AA97" s="3217">
        <f t="shared" si="3"/>
        <v>27477</v>
      </c>
      <c r="AB97" s="3217">
        <f t="shared" si="3"/>
        <v>86843</v>
      </c>
      <c r="AC97" s="3217">
        <f t="shared" si="3"/>
        <v>236429</v>
      </c>
      <c r="AD97" s="3217">
        <f t="shared" si="3"/>
        <v>81384</v>
      </c>
      <c r="AE97" s="3217">
        <f t="shared" si="3"/>
        <v>13208</v>
      </c>
      <c r="AF97" s="3217">
        <f t="shared" si="3"/>
        <v>2145</v>
      </c>
      <c r="AG97" s="3217">
        <f t="shared" si="3"/>
        <v>413</v>
      </c>
      <c r="AH97" s="3217">
        <f t="shared" si="3"/>
        <v>520</v>
      </c>
      <c r="AI97" s="3217">
        <f t="shared" si="3"/>
        <v>16897</v>
      </c>
      <c r="AJ97" s="3217">
        <f t="shared" si="3"/>
        <v>75612</v>
      </c>
      <c r="AK97" s="3277">
        <v>42948</v>
      </c>
      <c r="AL97" s="3277">
        <v>43100</v>
      </c>
      <c r="AM97" s="3195" t="s">
        <v>1303</v>
      </c>
      <c r="AN97" s="1344"/>
      <c r="AO97" s="1335"/>
      <c r="AP97" s="1334"/>
      <c r="AQ97" s="3280"/>
      <c r="AR97" s="3280"/>
    </row>
    <row r="98" spans="1:45" ht="63.75" x14ac:dyDescent="0.2">
      <c r="A98" s="1271"/>
      <c r="B98" s="1272"/>
      <c r="C98" s="1273"/>
      <c r="D98" s="1272"/>
      <c r="E98" s="1272"/>
      <c r="F98" s="1273"/>
      <c r="G98" s="1271"/>
      <c r="H98" s="1272"/>
      <c r="I98" s="1273"/>
      <c r="J98" s="3178"/>
      <c r="K98" s="3181"/>
      <c r="L98" s="3191"/>
      <c r="M98" s="3191"/>
      <c r="N98" s="1345"/>
      <c r="O98" s="3177"/>
      <c r="P98" s="3180"/>
      <c r="Q98" s="2790"/>
      <c r="R98" s="3209"/>
      <c r="S98" s="3180"/>
      <c r="T98" s="3181"/>
      <c r="U98" s="1277" t="s">
        <v>1413</v>
      </c>
      <c r="V98" s="1324">
        <f>97618870+25600000</f>
        <v>123218870</v>
      </c>
      <c r="W98" s="1346"/>
      <c r="X98" s="1347"/>
      <c r="Y98" s="3218"/>
      <c r="Z98" s="3218"/>
      <c r="AA98" s="3218"/>
      <c r="AB98" s="3218"/>
      <c r="AC98" s="3218"/>
      <c r="AD98" s="3218"/>
      <c r="AE98" s="3218"/>
      <c r="AF98" s="3218"/>
      <c r="AG98" s="3218"/>
      <c r="AH98" s="3218"/>
      <c r="AI98" s="3218"/>
      <c r="AJ98" s="3218"/>
      <c r="AK98" s="3278"/>
      <c r="AL98" s="3278"/>
      <c r="AM98" s="3196"/>
      <c r="AN98" s="1348"/>
      <c r="AO98" s="1349"/>
      <c r="AQ98" s="3280"/>
      <c r="AR98" s="3280"/>
    </row>
    <row r="99" spans="1:45" ht="63.75" x14ac:dyDescent="0.2">
      <c r="A99" s="1271"/>
      <c r="B99" s="1272"/>
      <c r="C99" s="1273"/>
      <c r="D99" s="1272"/>
      <c r="E99" s="1272"/>
      <c r="F99" s="1273"/>
      <c r="G99" s="1271"/>
      <c r="H99" s="1272"/>
      <c r="I99" s="1273"/>
      <c r="J99" s="3176">
        <v>152</v>
      </c>
      <c r="K99" s="3179" t="s">
        <v>1414</v>
      </c>
      <c r="L99" s="3191" t="s">
        <v>126</v>
      </c>
      <c r="M99" s="3191">
        <v>1</v>
      </c>
      <c r="N99" s="1345" t="s">
        <v>1415</v>
      </c>
      <c r="O99" s="3177"/>
      <c r="P99" s="3180"/>
      <c r="Q99" s="1953">
        <f>+(V99+V100)/R97</f>
        <v>5.2724176555854402E-2</v>
      </c>
      <c r="R99" s="3209"/>
      <c r="S99" s="3180"/>
      <c r="T99" s="3179" t="s">
        <v>1416</v>
      </c>
      <c r="U99" s="1277" t="s">
        <v>1417</v>
      </c>
      <c r="V99" s="1324">
        <v>60000000</v>
      </c>
      <c r="W99" s="1350">
        <v>61</v>
      </c>
      <c r="X99" s="1347" t="s">
        <v>1244</v>
      </c>
      <c r="Y99" s="3218"/>
      <c r="Z99" s="3218"/>
      <c r="AA99" s="3218"/>
      <c r="AB99" s="3218"/>
      <c r="AC99" s="3218"/>
      <c r="AD99" s="3218"/>
      <c r="AE99" s="3218"/>
      <c r="AF99" s="3218"/>
      <c r="AG99" s="3218"/>
      <c r="AH99" s="3218"/>
      <c r="AI99" s="3218"/>
      <c r="AJ99" s="3218"/>
      <c r="AK99" s="3278"/>
      <c r="AL99" s="3278"/>
      <c r="AM99" s="3196"/>
      <c r="AN99" s="1252"/>
      <c r="AO99" s="1334"/>
      <c r="AP99" s="1334"/>
      <c r="AQ99" s="1334"/>
    </row>
    <row r="100" spans="1:45" ht="51" x14ac:dyDescent="0.2">
      <c r="A100" s="1271"/>
      <c r="B100" s="1272"/>
      <c r="C100" s="1273"/>
      <c r="D100" s="1272"/>
      <c r="E100" s="1272"/>
      <c r="F100" s="1273"/>
      <c r="G100" s="1271"/>
      <c r="H100" s="1272"/>
      <c r="I100" s="1273"/>
      <c r="J100" s="3178"/>
      <c r="K100" s="3181"/>
      <c r="L100" s="3191"/>
      <c r="M100" s="3191"/>
      <c r="N100" s="1345" t="s">
        <v>1418</v>
      </c>
      <c r="O100" s="3177"/>
      <c r="P100" s="3180"/>
      <c r="Q100" s="2790"/>
      <c r="R100" s="3209"/>
      <c r="S100" s="3180"/>
      <c r="T100" s="3180"/>
      <c r="U100" s="1277" t="s">
        <v>1419</v>
      </c>
      <c r="V100" s="1324">
        <v>29020304</v>
      </c>
      <c r="W100" s="1350">
        <v>63</v>
      </c>
      <c r="X100" s="1347" t="s">
        <v>1420</v>
      </c>
      <c r="Y100" s="3218"/>
      <c r="Z100" s="3218"/>
      <c r="AA100" s="3218"/>
      <c r="AB100" s="3218"/>
      <c r="AC100" s="3218"/>
      <c r="AD100" s="3218"/>
      <c r="AE100" s="3218"/>
      <c r="AF100" s="3218"/>
      <c r="AG100" s="3218"/>
      <c r="AH100" s="3218"/>
      <c r="AI100" s="3218"/>
      <c r="AJ100" s="3218"/>
      <c r="AK100" s="3278"/>
      <c r="AL100" s="3278"/>
      <c r="AM100" s="3196"/>
      <c r="AN100" s="1253"/>
      <c r="AO100" s="1334"/>
      <c r="AP100" s="1334"/>
    </row>
    <row r="101" spans="1:45" ht="38.25" x14ac:dyDescent="0.2">
      <c r="A101" s="1271"/>
      <c r="B101" s="1272"/>
      <c r="C101" s="1273"/>
      <c r="D101" s="1272"/>
      <c r="E101" s="1272"/>
      <c r="F101" s="1273"/>
      <c r="G101" s="1271"/>
      <c r="H101" s="1272"/>
      <c r="I101" s="1273"/>
      <c r="J101" s="3191">
        <v>153</v>
      </c>
      <c r="K101" s="3179" t="s">
        <v>1421</v>
      </c>
      <c r="L101" s="3177" t="s">
        <v>126</v>
      </c>
      <c r="M101" s="3177">
        <v>150</v>
      </c>
      <c r="N101" s="1345" t="s">
        <v>1422</v>
      </c>
      <c r="O101" s="3177"/>
      <c r="P101" s="3180"/>
      <c r="Q101" s="1953">
        <f>SUM(V101:V104)/R97</f>
        <v>0.81647995474035118</v>
      </c>
      <c r="R101" s="3209"/>
      <c r="S101" s="3180"/>
      <c r="T101" s="3180"/>
      <c r="U101" s="1277" t="s">
        <v>1423</v>
      </c>
      <c r="V101" s="1324">
        <f>623214302+405342908.92</f>
        <v>1028557210.9200001</v>
      </c>
      <c r="W101" s="1350">
        <v>20</v>
      </c>
      <c r="X101" s="1347" t="s">
        <v>51</v>
      </c>
      <c r="Y101" s="3218"/>
      <c r="Z101" s="3218"/>
      <c r="AA101" s="3218"/>
      <c r="AB101" s="3218"/>
      <c r="AC101" s="3218"/>
      <c r="AD101" s="3218"/>
      <c r="AE101" s="3218"/>
      <c r="AF101" s="3218"/>
      <c r="AG101" s="3218"/>
      <c r="AH101" s="3218"/>
      <c r="AI101" s="3218"/>
      <c r="AJ101" s="3218"/>
      <c r="AK101" s="3278"/>
      <c r="AL101" s="3278"/>
      <c r="AM101" s="3196"/>
      <c r="AN101" s="1252"/>
      <c r="AO101" s="1334"/>
      <c r="AP101" s="1334"/>
    </row>
    <row r="102" spans="1:45" ht="38.25" x14ac:dyDescent="0.2">
      <c r="A102" s="1271"/>
      <c r="B102" s="1272"/>
      <c r="C102" s="1273"/>
      <c r="D102" s="1272"/>
      <c r="E102" s="1272"/>
      <c r="F102" s="1273"/>
      <c r="G102" s="1271"/>
      <c r="H102" s="1272"/>
      <c r="I102" s="1273"/>
      <c r="J102" s="3191"/>
      <c r="K102" s="3180"/>
      <c r="L102" s="3177"/>
      <c r="M102" s="3177"/>
      <c r="N102" s="1345"/>
      <c r="O102" s="3177"/>
      <c r="P102" s="3180"/>
      <c r="Q102" s="2786"/>
      <c r="R102" s="3209"/>
      <c r="S102" s="3180"/>
      <c r="T102" s="3180"/>
      <c r="U102" s="1277" t="s">
        <v>1424</v>
      </c>
      <c r="V102" s="1324">
        <v>190000000</v>
      </c>
      <c r="W102" s="1350"/>
      <c r="X102" s="1347"/>
      <c r="Y102" s="3218"/>
      <c r="Z102" s="3218"/>
      <c r="AA102" s="3218"/>
      <c r="AB102" s="3218"/>
      <c r="AC102" s="3218"/>
      <c r="AD102" s="3218"/>
      <c r="AE102" s="3218"/>
      <c r="AF102" s="3218"/>
      <c r="AG102" s="3218"/>
      <c r="AH102" s="3218"/>
      <c r="AI102" s="3218"/>
      <c r="AJ102" s="3218"/>
      <c r="AK102" s="3278"/>
      <c r="AL102" s="3278"/>
      <c r="AM102" s="3196"/>
      <c r="AN102" s="1252"/>
      <c r="AO102" s="1334"/>
      <c r="AP102" s="1334"/>
    </row>
    <row r="103" spans="1:45" ht="38.25" x14ac:dyDescent="0.2">
      <c r="A103" s="1240"/>
      <c r="B103" s="1241"/>
      <c r="C103" s="1242"/>
      <c r="D103" s="1272"/>
      <c r="E103" s="1272"/>
      <c r="F103" s="1273"/>
      <c r="G103" s="1271"/>
      <c r="H103" s="1272"/>
      <c r="I103" s="1273"/>
      <c r="J103" s="3191"/>
      <c r="K103" s="3180"/>
      <c r="L103" s="3177"/>
      <c r="M103" s="3177"/>
      <c r="N103" s="1345"/>
      <c r="O103" s="3177"/>
      <c r="P103" s="3180"/>
      <c r="Q103" s="2786"/>
      <c r="R103" s="3209"/>
      <c r="S103" s="3180"/>
      <c r="T103" s="3180"/>
      <c r="U103" s="1277" t="s">
        <v>1425</v>
      </c>
      <c r="V103" s="1324">
        <f>50000000+20000000</f>
        <v>70000000</v>
      </c>
      <c r="W103" s="1346"/>
      <c r="X103" s="1347"/>
      <c r="Y103" s="3218"/>
      <c r="Z103" s="3218"/>
      <c r="AA103" s="3218"/>
      <c r="AB103" s="3218"/>
      <c r="AC103" s="3218"/>
      <c r="AD103" s="3218"/>
      <c r="AE103" s="3218"/>
      <c r="AF103" s="3218"/>
      <c r="AG103" s="3218"/>
      <c r="AH103" s="3218"/>
      <c r="AI103" s="3218"/>
      <c r="AJ103" s="3218"/>
      <c r="AK103" s="3278"/>
      <c r="AL103" s="3278"/>
      <c r="AM103" s="3196"/>
      <c r="AN103" s="1252"/>
      <c r="AO103" s="1199"/>
    </row>
    <row r="104" spans="1:45" ht="51" x14ac:dyDescent="0.2">
      <c r="A104" s="1240"/>
      <c r="B104" s="1241"/>
      <c r="C104" s="1242"/>
      <c r="D104" s="1241"/>
      <c r="E104" s="1241"/>
      <c r="F104" s="1242"/>
      <c r="G104" s="1259"/>
      <c r="H104" s="1257"/>
      <c r="I104" s="1258"/>
      <c r="J104" s="3191"/>
      <c r="K104" s="3181"/>
      <c r="L104" s="3178"/>
      <c r="M104" s="3178"/>
      <c r="N104" s="1281"/>
      <c r="O104" s="3178"/>
      <c r="P104" s="3181"/>
      <c r="Q104" s="2790"/>
      <c r="R104" s="3210"/>
      <c r="S104" s="3181"/>
      <c r="T104" s="3181"/>
      <c r="U104" s="1277" t="s">
        <v>1426</v>
      </c>
      <c r="V104" s="1324">
        <f>50000000+40000000</f>
        <v>90000000</v>
      </c>
      <c r="W104" s="1351"/>
      <c r="X104" s="1352"/>
      <c r="Y104" s="3219"/>
      <c r="Z104" s="3219"/>
      <c r="AA104" s="3219"/>
      <c r="AB104" s="3219"/>
      <c r="AC104" s="3219"/>
      <c r="AD104" s="3219"/>
      <c r="AE104" s="3219"/>
      <c r="AF104" s="3219"/>
      <c r="AG104" s="3219"/>
      <c r="AH104" s="3219"/>
      <c r="AI104" s="3219"/>
      <c r="AJ104" s="3219"/>
      <c r="AK104" s="3279"/>
      <c r="AL104" s="3279"/>
      <c r="AM104" s="3197"/>
      <c r="AN104" s="1252"/>
      <c r="AO104" s="1334"/>
      <c r="AP104" s="1334"/>
    </row>
    <row r="105" spans="1:45" s="1270" customFormat="1" ht="36" customHeight="1" x14ac:dyDescent="0.2">
      <c r="A105" s="1228"/>
      <c r="B105" s="1229"/>
      <c r="C105" s="1230"/>
      <c r="D105" s="1229"/>
      <c r="E105" s="1229"/>
      <c r="F105" s="1230"/>
      <c r="G105" s="1265">
        <v>44</v>
      </c>
      <c r="H105" s="1234" t="s">
        <v>1427</v>
      </c>
      <c r="I105" s="1234"/>
      <c r="J105" s="1234"/>
      <c r="K105" s="1235"/>
      <c r="L105" s="1234"/>
      <c r="M105" s="1234"/>
      <c r="N105" s="1236"/>
      <c r="O105" s="1234"/>
      <c r="P105" s="1235"/>
      <c r="Q105" s="1234"/>
      <c r="R105" s="1266"/>
      <c r="S105" s="1234"/>
      <c r="T105" s="1235"/>
      <c r="U105" s="1234"/>
      <c r="V105" s="1234"/>
      <c r="W105" s="1267"/>
      <c r="X105" s="1236"/>
      <c r="Y105" s="1236"/>
      <c r="Z105" s="1236"/>
      <c r="AA105" s="1236"/>
      <c r="AB105" s="1236"/>
      <c r="AC105" s="1236"/>
      <c r="AD105" s="1236"/>
      <c r="AE105" s="1236"/>
      <c r="AF105" s="1236"/>
      <c r="AG105" s="1236"/>
      <c r="AH105" s="1236"/>
      <c r="AI105" s="1236"/>
      <c r="AJ105" s="1236"/>
      <c r="AK105" s="1236"/>
      <c r="AL105" s="1234"/>
      <c r="AM105" s="1239"/>
      <c r="AN105" s="1217"/>
      <c r="AO105" s="1217"/>
      <c r="AP105" s="1217"/>
      <c r="AQ105" s="1217"/>
      <c r="AR105" s="1218"/>
      <c r="AS105" s="1218"/>
    </row>
    <row r="106" spans="1:45" ht="54" customHeight="1" x14ac:dyDescent="0.2">
      <c r="A106" s="1240"/>
      <c r="B106" s="1241"/>
      <c r="C106" s="1242"/>
      <c r="D106" s="1241"/>
      <c r="E106" s="1241"/>
      <c r="F106" s="1242"/>
      <c r="G106" s="1243"/>
      <c r="H106" s="1244"/>
      <c r="I106" s="1245"/>
      <c r="J106" s="3176">
        <v>154</v>
      </c>
      <c r="K106" s="3179" t="s">
        <v>1428</v>
      </c>
      <c r="L106" s="3176" t="s">
        <v>126</v>
      </c>
      <c r="M106" s="3176">
        <v>5</v>
      </c>
      <c r="N106" s="1248"/>
      <c r="O106" s="3176">
        <v>148</v>
      </c>
      <c r="P106" s="3179" t="s">
        <v>1429</v>
      </c>
      <c r="Q106" s="1953">
        <f>(V106+V107+V108)/R106</f>
        <v>0.39450160823589159</v>
      </c>
      <c r="R106" s="3208">
        <v>404307604</v>
      </c>
      <c r="S106" s="3179" t="s">
        <v>1430</v>
      </c>
      <c r="T106" s="3179" t="s">
        <v>1431</v>
      </c>
      <c r="U106" s="1277" t="s">
        <v>1432</v>
      </c>
      <c r="V106" s="1324">
        <f>17500000+10000000</f>
        <v>27500000</v>
      </c>
      <c r="W106" s="1342"/>
      <c r="X106" s="1353"/>
      <c r="Y106" s="3198" t="s">
        <v>1245</v>
      </c>
      <c r="Z106" s="3198" t="s">
        <v>1245</v>
      </c>
      <c r="AA106" s="3198" t="s">
        <v>1245</v>
      </c>
      <c r="AB106" s="3198" t="s">
        <v>1245</v>
      </c>
      <c r="AC106" s="3198" t="s">
        <v>1245</v>
      </c>
      <c r="AD106" s="3198" t="s">
        <v>1245</v>
      </c>
      <c r="AE106" s="3217">
        <f t="shared" ref="AE106:AJ106" si="4">AE97</f>
        <v>13208</v>
      </c>
      <c r="AF106" s="3217">
        <f t="shared" si="4"/>
        <v>2145</v>
      </c>
      <c r="AG106" s="3217">
        <f t="shared" si="4"/>
        <v>413</v>
      </c>
      <c r="AH106" s="3217">
        <f t="shared" si="4"/>
        <v>520</v>
      </c>
      <c r="AI106" s="3217">
        <f t="shared" si="4"/>
        <v>16897</v>
      </c>
      <c r="AJ106" s="3217">
        <f t="shared" si="4"/>
        <v>75612</v>
      </c>
      <c r="AK106" s="3277">
        <v>42948</v>
      </c>
      <c r="AL106" s="3277">
        <v>43100</v>
      </c>
      <c r="AM106" s="3220" t="s">
        <v>1303</v>
      </c>
      <c r="AO106" s="1318"/>
      <c r="AP106" s="1335"/>
    </row>
    <row r="107" spans="1:45" ht="59.25" customHeight="1" x14ac:dyDescent="0.2">
      <c r="A107" s="1240"/>
      <c r="B107" s="1241"/>
      <c r="C107" s="1242"/>
      <c r="D107" s="1241"/>
      <c r="E107" s="1241"/>
      <c r="F107" s="1242"/>
      <c r="G107" s="1240"/>
      <c r="H107" s="1241"/>
      <c r="I107" s="1242"/>
      <c r="J107" s="3177"/>
      <c r="K107" s="3180"/>
      <c r="L107" s="3177"/>
      <c r="M107" s="3177"/>
      <c r="N107" s="1345"/>
      <c r="O107" s="3177"/>
      <c r="P107" s="3180"/>
      <c r="Q107" s="2786"/>
      <c r="R107" s="3209"/>
      <c r="S107" s="3180"/>
      <c r="T107" s="3180"/>
      <c r="U107" s="1277" t="s">
        <v>1433</v>
      </c>
      <c r="V107" s="1324">
        <f>6000000+10000000</f>
        <v>16000000</v>
      </c>
      <c r="W107" s="1346"/>
      <c r="X107" s="1350"/>
      <c r="Y107" s="3199"/>
      <c r="Z107" s="3199"/>
      <c r="AA107" s="3199"/>
      <c r="AB107" s="3199"/>
      <c r="AC107" s="3199"/>
      <c r="AD107" s="3199"/>
      <c r="AE107" s="3218"/>
      <c r="AF107" s="3218"/>
      <c r="AG107" s="3218"/>
      <c r="AH107" s="3218"/>
      <c r="AI107" s="3218"/>
      <c r="AJ107" s="3218"/>
      <c r="AK107" s="3278"/>
      <c r="AL107" s="3278"/>
      <c r="AM107" s="3221"/>
      <c r="AN107" s="1313"/>
      <c r="AO107" s="1318"/>
      <c r="AP107" s="1334"/>
    </row>
    <row r="108" spans="1:45" ht="35.25" customHeight="1" x14ac:dyDescent="0.2">
      <c r="A108" s="1240"/>
      <c r="B108" s="1241"/>
      <c r="C108" s="1242"/>
      <c r="D108" s="1241"/>
      <c r="E108" s="1241"/>
      <c r="F108" s="1242"/>
      <c r="G108" s="1240"/>
      <c r="H108" s="1241"/>
      <c r="I108" s="1242"/>
      <c r="J108" s="3178"/>
      <c r="K108" s="3181"/>
      <c r="L108" s="3178"/>
      <c r="M108" s="3178"/>
      <c r="N108" s="1345"/>
      <c r="O108" s="3177"/>
      <c r="P108" s="3180"/>
      <c r="Q108" s="2790"/>
      <c r="R108" s="3209"/>
      <c r="S108" s="3180"/>
      <c r="T108" s="3181"/>
      <c r="U108" s="1277" t="s">
        <v>1434</v>
      </c>
      <c r="V108" s="1324">
        <f>6000000+10000000+100000000</f>
        <v>116000000</v>
      </c>
      <c r="W108" s="1346"/>
      <c r="X108" s="1350"/>
      <c r="Y108" s="3199"/>
      <c r="Z108" s="3199"/>
      <c r="AA108" s="3199"/>
      <c r="AB108" s="3199"/>
      <c r="AC108" s="3199"/>
      <c r="AD108" s="3199"/>
      <c r="AE108" s="3218"/>
      <c r="AF108" s="3218"/>
      <c r="AG108" s="3218"/>
      <c r="AH108" s="3218"/>
      <c r="AI108" s="3218"/>
      <c r="AJ108" s="3218"/>
      <c r="AK108" s="3278"/>
      <c r="AL108" s="3278"/>
      <c r="AM108" s="3221"/>
      <c r="AN108" s="1313"/>
    </row>
    <row r="109" spans="1:45" ht="42.75" customHeight="1" x14ac:dyDescent="0.2">
      <c r="A109" s="1240"/>
      <c r="B109" s="1241"/>
      <c r="C109" s="1242"/>
      <c r="D109" s="1241"/>
      <c r="E109" s="1241"/>
      <c r="F109" s="1242"/>
      <c r="G109" s="1240"/>
      <c r="H109" s="1241"/>
      <c r="I109" s="1242"/>
      <c r="J109" s="3176">
        <v>155</v>
      </c>
      <c r="K109" s="3179" t="s">
        <v>1435</v>
      </c>
      <c r="L109" s="3176" t="s">
        <v>126</v>
      </c>
      <c r="M109" s="3176">
        <v>1</v>
      </c>
      <c r="N109" s="1345"/>
      <c r="O109" s="3177"/>
      <c r="P109" s="3180"/>
      <c r="Q109" s="1953">
        <f>(V109+V110+V111)/R106</f>
        <v>8.4094386708591318E-2</v>
      </c>
      <c r="R109" s="3209"/>
      <c r="S109" s="3180"/>
      <c r="T109" s="3179" t="s">
        <v>1436</v>
      </c>
      <c r="U109" s="1277" t="s">
        <v>1437</v>
      </c>
      <c r="V109" s="1324">
        <v>6000000</v>
      </c>
      <c r="W109" s="1346"/>
      <c r="X109" s="1350"/>
      <c r="Y109" s="3199"/>
      <c r="Z109" s="3199"/>
      <c r="AA109" s="3199"/>
      <c r="AB109" s="3199"/>
      <c r="AC109" s="3199"/>
      <c r="AD109" s="3199"/>
      <c r="AE109" s="3218"/>
      <c r="AF109" s="3218"/>
      <c r="AG109" s="3218"/>
      <c r="AH109" s="3218"/>
      <c r="AI109" s="3218"/>
      <c r="AJ109" s="3218"/>
      <c r="AK109" s="3278"/>
      <c r="AL109" s="3278"/>
      <c r="AM109" s="3221"/>
      <c r="AN109" s="1313"/>
    </row>
    <row r="110" spans="1:45" ht="57" customHeight="1" x14ac:dyDescent="0.2">
      <c r="A110" s="1240"/>
      <c r="B110" s="1241"/>
      <c r="C110" s="1242"/>
      <c r="D110" s="1241"/>
      <c r="E110" s="1241"/>
      <c r="F110" s="1242"/>
      <c r="G110" s="1240"/>
      <c r="H110" s="1241"/>
      <c r="I110" s="1242"/>
      <c r="J110" s="3177"/>
      <c r="K110" s="3180"/>
      <c r="L110" s="3177"/>
      <c r="M110" s="3177"/>
      <c r="N110" s="1345"/>
      <c r="O110" s="3177"/>
      <c r="P110" s="3180"/>
      <c r="Q110" s="2786"/>
      <c r="R110" s="3209"/>
      <c r="S110" s="3180"/>
      <c r="T110" s="3180"/>
      <c r="U110" s="1277" t="s">
        <v>1438</v>
      </c>
      <c r="V110" s="1324">
        <v>20000000</v>
      </c>
      <c r="W110" s="1346"/>
      <c r="X110" s="1350"/>
      <c r="Y110" s="3199"/>
      <c r="Z110" s="3199"/>
      <c r="AA110" s="3199"/>
      <c r="AB110" s="3199"/>
      <c r="AC110" s="3199"/>
      <c r="AD110" s="3199"/>
      <c r="AE110" s="3218"/>
      <c r="AF110" s="3218"/>
      <c r="AG110" s="3218"/>
      <c r="AH110" s="3218"/>
      <c r="AI110" s="3218"/>
      <c r="AJ110" s="3218"/>
      <c r="AK110" s="3278"/>
      <c r="AL110" s="3278"/>
      <c r="AM110" s="3221"/>
      <c r="AN110" s="1319"/>
      <c r="AP110" s="1334"/>
    </row>
    <row r="111" spans="1:45" ht="45" customHeight="1" x14ac:dyDescent="0.2">
      <c r="A111" s="1240"/>
      <c r="B111" s="1241"/>
      <c r="C111" s="1242"/>
      <c r="D111" s="1241"/>
      <c r="E111" s="1241"/>
      <c r="F111" s="1242"/>
      <c r="G111" s="1240"/>
      <c r="H111" s="1241"/>
      <c r="I111" s="1242"/>
      <c r="J111" s="3178"/>
      <c r="K111" s="3181"/>
      <c r="L111" s="3178"/>
      <c r="M111" s="3178"/>
      <c r="N111" s="1345" t="s">
        <v>1439</v>
      </c>
      <c r="O111" s="3177"/>
      <c r="P111" s="3180"/>
      <c r="Q111" s="2790"/>
      <c r="R111" s="3209"/>
      <c r="S111" s="3180"/>
      <c r="T111" s="3181"/>
      <c r="U111" s="1277" t="s">
        <v>1440</v>
      </c>
      <c r="V111" s="1324">
        <v>8000000</v>
      </c>
      <c r="W111" s="1350">
        <v>61</v>
      </c>
      <c r="X111" s="1347" t="s">
        <v>1244</v>
      </c>
      <c r="Y111" s="3199"/>
      <c r="Z111" s="3199"/>
      <c r="AA111" s="3199"/>
      <c r="AB111" s="3199"/>
      <c r="AC111" s="3199"/>
      <c r="AD111" s="3199"/>
      <c r="AE111" s="3218"/>
      <c r="AF111" s="3218"/>
      <c r="AG111" s="3218"/>
      <c r="AH111" s="3218"/>
      <c r="AI111" s="3218"/>
      <c r="AJ111" s="3218"/>
      <c r="AK111" s="3278"/>
      <c r="AL111" s="3278"/>
      <c r="AM111" s="3221"/>
      <c r="AN111" s="1319"/>
      <c r="AO111" s="1252"/>
    </row>
    <row r="112" spans="1:45" ht="45.75" customHeight="1" x14ac:dyDescent="0.2">
      <c r="A112" s="1240"/>
      <c r="B112" s="1241"/>
      <c r="C112" s="1242"/>
      <c r="D112" s="1241"/>
      <c r="E112" s="1241"/>
      <c r="F112" s="1242"/>
      <c r="G112" s="1240"/>
      <c r="H112" s="1241"/>
      <c r="I112" s="1242"/>
      <c r="J112" s="3176">
        <v>156</v>
      </c>
      <c r="K112" s="3179" t="s">
        <v>1441</v>
      </c>
      <c r="L112" s="3176" t="s">
        <v>126</v>
      </c>
      <c r="M112" s="3176">
        <v>12</v>
      </c>
      <c r="N112" s="1345" t="s">
        <v>1442</v>
      </c>
      <c r="O112" s="3177"/>
      <c r="P112" s="3180"/>
      <c r="Q112" s="1953">
        <f>(V112+V113)/R106</f>
        <v>0</v>
      </c>
      <c r="R112" s="3209"/>
      <c r="S112" s="3180"/>
      <c r="T112" s="3179" t="s">
        <v>1443</v>
      </c>
      <c r="U112" s="1277" t="s">
        <v>1444</v>
      </c>
      <c r="V112" s="1324">
        <f>50000000-50000000</f>
        <v>0</v>
      </c>
      <c r="W112" s="1350">
        <v>20</v>
      </c>
      <c r="X112" s="1347" t="s">
        <v>51</v>
      </c>
      <c r="Y112" s="3199"/>
      <c r="Z112" s="3199"/>
      <c r="AA112" s="3199"/>
      <c r="AB112" s="3199"/>
      <c r="AC112" s="3199"/>
      <c r="AD112" s="3199"/>
      <c r="AE112" s="3218"/>
      <c r="AF112" s="3218"/>
      <c r="AG112" s="3218"/>
      <c r="AH112" s="3218"/>
      <c r="AI112" s="3218"/>
      <c r="AJ112" s="3218"/>
      <c r="AK112" s="3278"/>
      <c r="AL112" s="3278"/>
      <c r="AM112" s="3221"/>
      <c r="AN112" s="1319"/>
    </row>
    <row r="113" spans="1:45" ht="69" customHeight="1" x14ac:dyDescent="0.2">
      <c r="A113" s="1240"/>
      <c r="B113" s="1241"/>
      <c r="C113" s="1242"/>
      <c r="D113" s="1241"/>
      <c r="E113" s="1241"/>
      <c r="F113" s="1242"/>
      <c r="G113" s="1240"/>
      <c r="H113" s="1241"/>
      <c r="I113" s="1242"/>
      <c r="J113" s="3177"/>
      <c r="K113" s="3180"/>
      <c r="L113" s="3177"/>
      <c r="M113" s="3177"/>
      <c r="N113" s="1345"/>
      <c r="O113" s="3177"/>
      <c r="P113" s="3180"/>
      <c r="Q113" s="2786"/>
      <c r="R113" s="3209"/>
      <c r="S113" s="3180"/>
      <c r="T113" s="3180"/>
      <c r="U113" s="1277" t="s">
        <v>1445</v>
      </c>
      <c r="V113" s="1324">
        <f>99200000-99200000</f>
        <v>0</v>
      </c>
      <c r="W113" s="1350"/>
      <c r="X113" s="1347"/>
      <c r="Y113" s="3199"/>
      <c r="Z113" s="3199"/>
      <c r="AA113" s="3199"/>
      <c r="AB113" s="3199"/>
      <c r="AC113" s="3199"/>
      <c r="AD113" s="3199"/>
      <c r="AE113" s="3218"/>
      <c r="AF113" s="3218"/>
      <c r="AG113" s="3218"/>
      <c r="AH113" s="3218"/>
      <c r="AI113" s="3218"/>
      <c r="AJ113" s="3218"/>
      <c r="AK113" s="3278"/>
      <c r="AL113" s="3278"/>
      <c r="AM113" s="3221"/>
    </row>
    <row r="114" spans="1:45" ht="62.25" customHeight="1" x14ac:dyDescent="0.2">
      <c r="A114" s="1240"/>
      <c r="B114" s="1241"/>
      <c r="C114" s="1242"/>
      <c r="D114" s="1241"/>
      <c r="E114" s="1241"/>
      <c r="F114" s="1242"/>
      <c r="G114" s="1240"/>
      <c r="H114" s="1241"/>
      <c r="I114" s="1242"/>
      <c r="J114" s="3177"/>
      <c r="K114" s="3180"/>
      <c r="L114" s="3177"/>
      <c r="M114" s="3177"/>
      <c r="N114" s="1345"/>
      <c r="O114" s="3177"/>
      <c r="P114" s="3180"/>
      <c r="Q114" s="2786"/>
      <c r="R114" s="3209"/>
      <c r="S114" s="3180"/>
      <c r="T114" s="3180"/>
      <c r="U114" s="1277" t="s">
        <v>1446</v>
      </c>
      <c r="V114" s="1324">
        <v>42000000</v>
      </c>
      <c r="W114" s="1350"/>
      <c r="X114" s="1347"/>
      <c r="Y114" s="3199"/>
      <c r="Z114" s="3199"/>
      <c r="AA114" s="3199"/>
      <c r="AB114" s="3199"/>
      <c r="AC114" s="3199"/>
      <c r="AD114" s="3199"/>
      <c r="AE114" s="3218"/>
      <c r="AF114" s="3218"/>
      <c r="AG114" s="3218"/>
      <c r="AH114" s="3218"/>
      <c r="AI114" s="3218"/>
      <c r="AJ114" s="3218"/>
      <c r="AK114" s="3278"/>
      <c r="AL114" s="3278"/>
      <c r="AM114" s="3221"/>
      <c r="AN114" s="1313"/>
      <c r="AO114" s="1313"/>
    </row>
    <row r="115" spans="1:45" ht="62.25" customHeight="1" x14ac:dyDescent="0.2">
      <c r="A115" s="1240"/>
      <c r="B115" s="1241"/>
      <c r="C115" s="1242"/>
      <c r="D115" s="1241"/>
      <c r="E115" s="1241"/>
      <c r="F115" s="1242"/>
      <c r="G115" s="1240"/>
      <c r="H115" s="1241"/>
      <c r="I115" s="1242"/>
      <c r="J115" s="3177"/>
      <c r="K115" s="3180"/>
      <c r="L115" s="3177"/>
      <c r="M115" s="3177"/>
      <c r="N115" s="1345"/>
      <c r="O115" s="3177"/>
      <c r="P115" s="3180"/>
      <c r="Q115" s="2786"/>
      <c r="R115" s="3209"/>
      <c r="S115" s="3180"/>
      <c r="T115" s="3180"/>
      <c r="U115" s="1277" t="s">
        <v>1447</v>
      </c>
      <c r="V115" s="1324">
        <v>42000000</v>
      </c>
      <c r="W115" s="1350"/>
      <c r="X115" s="1347"/>
      <c r="Y115" s="3199"/>
      <c r="Z115" s="3199"/>
      <c r="AA115" s="3199"/>
      <c r="AB115" s="3199"/>
      <c r="AC115" s="3199"/>
      <c r="AD115" s="3199"/>
      <c r="AE115" s="3218"/>
      <c r="AF115" s="3218"/>
      <c r="AG115" s="3218"/>
      <c r="AH115" s="3218"/>
      <c r="AI115" s="3218"/>
      <c r="AJ115" s="3218"/>
      <c r="AK115" s="3278"/>
      <c r="AL115" s="3278"/>
      <c r="AM115" s="3221"/>
      <c r="AO115" s="1313"/>
      <c r="AP115" s="1334"/>
    </row>
    <row r="116" spans="1:45" ht="62.25" customHeight="1" x14ac:dyDescent="0.2">
      <c r="A116" s="1240"/>
      <c r="B116" s="1241"/>
      <c r="C116" s="1242"/>
      <c r="D116" s="1241"/>
      <c r="E116" s="1241"/>
      <c r="F116" s="1242"/>
      <c r="G116" s="1240"/>
      <c r="H116" s="1241"/>
      <c r="I116" s="1242"/>
      <c r="J116" s="3177"/>
      <c r="K116" s="3180"/>
      <c r="L116" s="3177"/>
      <c r="M116" s="3177"/>
      <c r="N116" s="1345"/>
      <c r="O116" s="3177"/>
      <c r="P116" s="3180"/>
      <c r="Q116" s="2786"/>
      <c r="R116" s="3209"/>
      <c r="S116" s="3180"/>
      <c r="T116" s="3180"/>
      <c r="U116" s="1277" t="s">
        <v>1448</v>
      </c>
      <c r="V116" s="1324">
        <v>42000000</v>
      </c>
      <c r="W116" s="1350"/>
      <c r="X116" s="1347"/>
      <c r="Y116" s="3199"/>
      <c r="Z116" s="3199"/>
      <c r="AA116" s="3199"/>
      <c r="AB116" s="3199"/>
      <c r="AC116" s="3199"/>
      <c r="AD116" s="3199"/>
      <c r="AE116" s="3218"/>
      <c r="AF116" s="3218"/>
      <c r="AG116" s="3218"/>
      <c r="AH116" s="3218"/>
      <c r="AI116" s="3218"/>
      <c r="AJ116" s="3218"/>
      <c r="AK116" s="3278"/>
      <c r="AL116" s="3278"/>
      <c r="AM116" s="3221"/>
      <c r="AO116" s="1313"/>
      <c r="AP116" s="1334"/>
    </row>
    <row r="117" spans="1:45" ht="62.25" customHeight="1" x14ac:dyDescent="0.2">
      <c r="A117" s="1240"/>
      <c r="B117" s="1241"/>
      <c r="C117" s="1242"/>
      <c r="D117" s="1241"/>
      <c r="E117" s="1241"/>
      <c r="F117" s="1242"/>
      <c r="G117" s="1240"/>
      <c r="H117" s="1241"/>
      <c r="I117" s="1242"/>
      <c r="J117" s="3177"/>
      <c r="K117" s="3180"/>
      <c r="L117" s="3177"/>
      <c r="M117" s="3177"/>
      <c r="N117" s="1345"/>
      <c r="O117" s="3177"/>
      <c r="P117" s="3180"/>
      <c r="Q117" s="2786"/>
      <c r="R117" s="3209"/>
      <c r="S117" s="3180"/>
      <c r="T117" s="3180"/>
      <c r="U117" s="1277" t="s">
        <v>1449</v>
      </c>
      <c r="V117" s="1324">
        <v>23200000</v>
      </c>
      <c r="W117" s="1350"/>
      <c r="X117" s="1347"/>
      <c r="Y117" s="3199"/>
      <c r="Z117" s="3199"/>
      <c r="AA117" s="3199"/>
      <c r="AB117" s="3199"/>
      <c r="AC117" s="3199"/>
      <c r="AD117" s="3199"/>
      <c r="AE117" s="3218"/>
      <c r="AF117" s="3218"/>
      <c r="AG117" s="3218"/>
      <c r="AH117" s="3218"/>
      <c r="AI117" s="3218"/>
      <c r="AJ117" s="3218"/>
      <c r="AK117" s="3278"/>
      <c r="AL117" s="3278"/>
      <c r="AM117" s="3221"/>
      <c r="AP117" s="1334"/>
    </row>
    <row r="118" spans="1:45" ht="67.5" customHeight="1" x14ac:dyDescent="0.2">
      <c r="A118" s="1240"/>
      <c r="B118" s="1241"/>
      <c r="C118" s="1242"/>
      <c r="D118" s="1241"/>
      <c r="E118" s="1241"/>
      <c r="F118" s="1242"/>
      <c r="G118" s="1240"/>
      <c r="H118" s="1241"/>
      <c r="I118" s="1242"/>
      <c r="J118" s="3178"/>
      <c r="K118" s="3181"/>
      <c r="L118" s="3178"/>
      <c r="M118" s="3178"/>
      <c r="N118" s="1345"/>
      <c r="O118" s="3177"/>
      <c r="P118" s="3180"/>
      <c r="Q118" s="2790"/>
      <c r="R118" s="3209"/>
      <c r="S118" s="3180"/>
      <c r="T118" s="3181"/>
      <c r="U118" s="1277" t="s">
        <v>1450</v>
      </c>
      <c r="V118" s="1324">
        <v>0</v>
      </c>
      <c r="W118" s="1346"/>
      <c r="X118" s="1350"/>
      <c r="Y118" s="3199"/>
      <c r="Z118" s="3199"/>
      <c r="AA118" s="3199"/>
      <c r="AB118" s="3199"/>
      <c r="AC118" s="3199"/>
      <c r="AD118" s="3199"/>
      <c r="AE118" s="3218"/>
      <c r="AF118" s="3218"/>
      <c r="AG118" s="3218"/>
      <c r="AH118" s="3218"/>
      <c r="AI118" s="3218"/>
      <c r="AJ118" s="3218"/>
      <c r="AK118" s="3278"/>
      <c r="AL118" s="3278"/>
      <c r="AM118" s="3221"/>
    </row>
    <row r="119" spans="1:45" ht="48.75" customHeight="1" x14ac:dyDescent="0.2">
      <c r="A119" s="1240"/>
      <c r="B119" s="1241"/>
      <c r="C119" s="1242"/>
      <c r="D119" s="1241"/>
      <c r="E119" s="1241"/>
      <c r="F119" s="1242"/>
      <c r="G119" s="1240"/>
      <c r="H119" s="1241"/>
      <c r="I119" s="1242"/>
      <c r="J119" s="3176">
        <v>157</v>
      </c>
      <c r="K119" s="3179" t="s">
        <v>1451</v>
      </c>
      <c r="L119" s="3176" t="s">
        <v>126</v>
      </c>
      <c r="M119" s="3176">
        <v>12</v>
      </c>
      <c r="N119" s="1345"/>
      <c r="O119" s="3177"/>
      <c r="P119" s="3180"/>
      <c r="Q119" s="1953">
        <f>(V119+V120)/R106</f>
        <v>0.15237804926369874</v>
      </c>
      <c r="R119" s="3209"/>
      <c r="S119" s="3180"/>
      <c r="T119" s="3179" t="s">
        <v>1452</v>
      </c>
      <c r="U119" s="1277" t="s">
        <v>1453</v>
      </c>
      <c r="V119" s="1354">
        <f>33607604-12500000</f>
        <v>21107604</v>
      </c>
      <c r="W119" s="1346"/>
      <c r="X119" s="1350"/>
      <c r="Y119" s="3199"/>
      <c r="Z119" s="3199"/>
      <c r="AA119" s="3199"/>
      <c r="AB119" s="3199"/>
      <c r="AC119" s="3199"/>
      <c r="AD119" s="3199"/>
      <c r="AE119" s="3218"/>
      <c r="AF119" s="3218"/>
      <c r="AG119" s="3218"/>
      <c r="AH119" s="3218"/>
      <c r="AI119" s="3218"/>
      <c r="AJ119" s="3218"/>
      <c r="AK119" s="3278"/>
      <c r="AL119" s="3278"/>
      <c r="AM119" s="3221"/>
    </row>
    <row r="120" spans="1:45" ht="66" customHeight="1" x14ac:dyDescent="0.2">
      <c r="A120" s="1240"/>
      <c r="B120" s="1241"/>
      <c r="C120" s="1242"/>
      <c r="D120" s="1241"/>
      <c r="E120" s="1241"/>
      <c r="F120" s="1242"/>
      <c r="G120" s="1259"/>
      <c r="H120" s="1257"/>
      <c r="I120" s="1258"/>
      <c r="J120" s="3178"/>
      <c r="K120" s="3181"/>
      <c r="L120" s="3178"/>
      <c r="M120" s="3178"/>
      <c r="N120" s="1281"/>
      <c r="O120" s="3178"/>
      <c r="P120" s="3181"/>
      <c r="Q120" s="2790"/>
      <c r="R120" s="3210"/>
      <c r="S120" s="3181"/>
      <c r="T120" s="3181"/>
      <c r="U120" s="1277" t="s">
        <v>1454</v>
      </c>
      <c r="V120" s="1324">
        <f>12500000+28000000</f>
        <v>40500000</v>
      </c>
      <c r="W120" s="1351"/>
      <c r="X120" s="1355"/>
      <c r="Y120" s="3200"/>
      <c r="Z120" s="3200"/>
      <c r="AA120" s="3200"/>
      <c r="AB120" s="3200"/>
      <c r="AC120" s="3200"/>
      <c r="AD120" s="3200"/>
      <c r="AE120" s="3219"/>
      <c r="AF120" s="3219"/>
      <c r="AG120" s="3219"/>
      <c r="AH120" s="3219"/>
      <c r="AI120" s="3219"/>
      <c r="AJ120" s="3219"/>
      <c r="AK120" s="3279"/>
      <c r="AL120" s="3279"/>
      <c r="AM120" s="3222"/>
    </row>
    <row r="121" spans="1:45" s="1270" customFormat="1" ht="36" customHeight="1" x14ac:dyDescent="0.2">
      <c r="A121" s="1228"/>
      <c r="B121" s="1229"/>
      <c r="C121" s="1230"/>
      <c r="D121" s="1229"/>
      <c r="E121" s="1229"/>
      <c r="F121" s="1230"/>
      <c r="G121" s="1265">
        <v>45</v>
      </c>
      <c r="H121" s="1234" t="s">
        <v>1455</v>
      </c>
      <c r="I121" s="1234"/>
      <c r="J121" s="1234"/>
      <c r="K121" s="1235"/>
      <c r="L121" s="1234"/>
      <c r="M121" s="1234"/>
      <c r="N121" s="1236"/>
      <c r="O121" s="1234"/>
      <c r="P121" s="1235"/>
      <c r="Q121" s="1234"/>
      <c r="R121" s="1266"/>
      <c r="S121" s="1234"/>
      <c r="T121" s="1235"/>
      <c r="U121" s="1235"/>
      <c r="V121" s="1235"/>
      <c r="W121" s="1267"/>
      <c r="X121" s="1236"/>
      <c r="Y121" s="1236"/>
      <c r="Z121" s="1236"/>
      <c r="AA121" s="1236"/>
      <c r="AB121" s="1236"/>
      <c r="AC121" s="1236"/>
      <c r="AD121" s="1236"/>
      <c r="AE121" s="1236"/>
      <c r="AF121" s="1236"/>
      <c r="AG121" s="1236"/>
      <c r="AH121" s="1236"/>
      <c r="AI121" s="1236"/>
      <c r="AJ121" s="1236"/>
      <c r="AK121" s="1236"/>
      <c r="AL121" s="1234"/>
      <c r="AM121" s="1239"/>
      <c r="AN121" s="1217"/>
      <c r="AO121" s="1217"/>
      <c r="AP121" s="1217"/>
      <c r="AQ121" s="1217"/>
      <c r="AR121" s="1218"/>
      <c r="AS121" s="1218"/>
    </row>
    <row r="122" spans="1:45" s="1254" customFormat="1" ht="54.75" customHeight="1" x14ac:dyDescent="0.2">
      <c r="A122" s="1240"/>
      <c r="B122" s="1241"/>
      <c r="C122" s="1242"/>
      <c r="D122" s="1241"/>
      <c r="E122" s="1241"/>
      <c r="F122" s="1242"/>
      <c r="G122" s="1243"/>
      <c r="H122" s="1244"/>
      <c r="I122" s="1245"/>
      <c r="J122" s="3176">
        <v>158</v>
      </c>
      <c r="K122" s="3176" t="s">
        <v>1456</v>
      </c>
      <c r="L122" s="3176" t="s">
        <v>126</v>
      </c>
      <c r="M122" s="3176">
        <v>11</v>
      </c>
      <c r="N122" s="3176" t="s">
        <v>1457</v>
      </c>
      <c r="O122" s="3176">
        <v>150</v>
      </c>
      <c r="P122" s="3179" t="s">
        <v>1458</v>
      </c>
      <c r="Q122" s="1953">
        <v>0.9</v>
      </c>
      <c r="R122" s="3208">
        <f>SUM(V122:V126)</f>
        <v>1396230607</v>
      </c>
      <c r="S122" s="3179" t="s">
        <v>1459</v>
      </c>
      <c r="T122" s="3281" t="s">
        <v>1460</v>
      </c>
      <c r="U122" s="1277" t="s">
        <v>1461</v>
      </c>
      <c r="V122" s="1251">
        <f>215000000+40530000</f>
        <v>255530000</v>
      </c>
      <c r="W122" s="3220">
        <v>61</v>
      </c>
      <c r="X122" s="3223" t="s">
        <v>1244</v>
      </c>
      <c r="Y122" s="3214">
        <v>64149</v>
      </c>
      <c r="Z122" s="3214">
        <v>72224</v>
      </c>
      <c r="AA122" s="3214">
        <v>27477</v>
      </c>
      <c r="AB122" s="3214">
        <v>86843</v>
      </c>
      <c r="AC122" s="3214">
        <v>236429</v>
      </c>
      <c r="AD122" s="3214">
        <v>81384</v>
      </c>
      <c r="AE122" s="3214">
        <v>13208</v>
      </c>
      <c r="AF122" s="3214">
        <v>2145</v>
      </c>
      <c r="AG122" s="3214">
        <v>413</v>
      </c>
      <c r="AH122" s="3214">
        <v>520</v>
      </c>
      <c r="AI122" s="3214">
        <v>16897</v>
      </c>
      <c r="AJ122" s="3214">
        <v>75612</v>
      </c>
      <c r="AK122" s="3192">
        <v>42948</v>
      </c>
      <c r="AL122" s="3192">
        <v>43100</v>
      </c>
      <c r="AM122" s="3195" t="s">
        <v>1303</v>
      </c>
      <c r="AN122" s="1253"/>
      <c r="AO122" s="1356"/>
      <c r="AP122" s="1357"/>
      <c r="AQ122" s="1357"/>
    </row>
    <row r="123" spans="1:45" s="1254" customFormat="1" ht="54.75" customHeight="1" x14ac:dyDescent="0.2">
      <c r="A123" s="1240"/>
      <c r="B123" s="1241"/>
      <c r="C123" s="1242"/>
      <c r="D123" s="1241"/>
      <c r="E123" s="1241"/>
      <c r="F123" s="1242"/>
      <c r="G123" s="1240"/>
      <c r="H123" s="1241"/>
      <c r="I123" s="1242"/>
      <c r="J123" s="3177"/>
      <c r="K123" s="3177"/>
      <c r="L123" s="3177"/>
      <c r="M123" s="3177"/>
      <c r="N123" s="3177"/>
      <c r="O123" s="3177"/>
      <c r="P123" s="3180"/>
      <c r="Q123" s="2786"/>
      <c r="R123" s="3209"/>
      <c r="S123" s="3180"/>
      <c r="T123" s="3282"/>
      <c r="U123" s="1277" t="s">
        <v>1462</v>
      </c>
      <c r="V123" s="1251">
        <v>25920000</v>
      </c>
      <c r="W123" s="3221"/>
      <c r="X123" s="3224"/>
      <c r="Y123" s="3215"/>
      <c r="Z123" s="3215"/>
      <c r="AA123" s="3215"/>
      <c r="AB123" s="3215"/>
      <c r="AC123" s="3215"/>
      <c r="AD123" s="3215"/>
      <c r="AE123" s="3215"/>
      <c r="AF123" s="3215"/>
      <c r="AG123" s="3215"/>
      <c r="AH123" s="3215"/>
      <c r="AI123" s="3215"/>
      <c r="AJ123" s="3215"/>
      <c r="AK123" s="3193"/>
      <c r="AL123" s="3193"/>
      <c r="AM123" s="3196"/>
      <c r="AN123" s="1253"/>
      <c r="AO123" s="1356"/>
      <c r="AP123" s="1357"/>
      <c r="AQ123" s="1357"/>
    </row>
    <row r="124" spans="1:45" s="1254" customFormat="1" ht="54.75" customHeight="1" x14ac:dyDescent="0.2">
      <c r="A124" s="1240"/>
      <c r="B124" s="1241"/>
      <c r="C124" s="1242"/>
      <c r="D124" s="1241"/>
      <c r="E124" s="1241"/>
      <c r="F124" s="1242"/>
      <c r="G124" s="1240"/>
      <c r="H124" s="1241"/>
      <c r="I124" s="1242"/>
      <c r="J124" s="3177"/>
      <c r="K124" s="3177"/>
      <c r="L124" s="3177"/>
      <c r="M124" s="3177"/>
      <c r="N124" s="3177"/>
      <c r="O124" s="3177"/>
      <c r="P124" s="3180"/>
      <c r="Q124" s="2786"/>
      <c r="R124" s="3209"/>
      <c r="S124" s="3180"/>
      <c r="T124" s="3283"/>
      <c r="U124" s="1277" t="s">
        <v>1463</v>
      </c>
      <c r="V124" s="1251">
        <f>656161907+94103700</f>
        <v>750265607</v>
      </c>
      <c r="W124" s="3221"/>
      <c r="X124" s="3224"/>
      <c r="Y124" s="3215"/>
      <c r="Z124" s="3215"/>
      <c r="AA124" s="3215"/>
      <c r="AB124" s="3215"/>
      <c r="AC124" s="3215"/>
      <c r="AD124" s="3215"/>
      <c r="AE124" s="3215"/>
      <c r="AF124" s="3215"/>
      <c r="AG124" s="3215"/>
      <c r="AH124" s="3215"/>
      <c r="AI124" s="3215"/>
      <c r="AJ124" s="3215"/>
      <c r="AK124" s="3193"/>
      <c r="AL124" s="3193"/>
      <c r="AM124" s="3196"/>
      <c r="AN124" s="1253"/>
      <c r="AO124" s="1356"/>
      <c r="AP124" s="1357"/>
      <c r="AQ124" s="1357"/>
    </row>
    <row r="125" spans="1:45" s="1254" customFormat="1" ht="54.75" customHeight="1" x14ac:dyDescent="0.2">
      <c r="A125" s="1240"/>
      <c r="B125" s="1241"/>
      <c r="C125" s="1242"/>
      <c r="D125" s="1241"/>
      <c r="E125" s="1241"/>
      <c r="F125" s="1242"/>
      <c r="G125" s="1240"/>
      <c r="H125" s="1241"/>
      <c r="I125" s="1242"/>
      <c r="J125" s="3178"/>
      <c r="K125" s="3178"/>
      <c r="L125" s="3178"/>
      <c r="M125" s="3178"/>
      <c r="N125" s="3177"/>
      <c r="O125" s="3177"/>
      <c r="P125" s="3180"/>
      <c r="Q125" s="2790"/>
      <c r="R125" s="3209"/>
      <c r="S125" s="3180"/>
      <c r="T125" s="1358" t="s">
        <v>1464</v>
      </c>
      <c r="U125" s="1277" t="s">
        <v>1465</v>
      </c>
      <c r="V125" s="1251">
        <f>160000000+204515000</f>
        <v>364515000</v>
      </c>
      <c r="W125" s="3221"/>
      <c r="X125" s="3224"/>
      <c r="Y125" s="3215"/>
      <c r="Z125" s="3215"/>
      <c r="AA125" s="3215"/>
      <c r="AB125" s="3215"/>
      <c r="AC125" s="3215"/>
      <c r="AD125" s="3215"/>
      <c r="AE125" s="3215"/>
      <c r="AF125" s="3215"/>
      <c r="AG125" s="3215"/>
      <c r="AH125" s="3215"/>
      <c r="AI125" s="3215"/>
      <c r="AJ125" s="3215"/>
      <c r="AK125" s="3193"/>
      <c r="AL125" s="3193"/>
      <c r="AM125" s="3196"/>
      <c r="AN125" s="1253"/>
      <c r="AO125" s="1359"/>
      <c r="AP125" s="1357"/>
      <c r="AQ125" s="1357"/>
    </row>
    <row r="126" spans="1:45" s="1254" customFormat="1" ht="65.25" customHeight="1" x14ac:dyDescent="0.2">
      <c r="A126" s="1240"/>
      <c r="B126" s="1241"/>
      <c r="C126" s="1242"/>
      <c r="D126" s="1241"/>
      <c r="E126" s="1241"/>
      <c r="F126" s="1242"/>
      <c r="G126" s="1259"/>
      <c r="H126" s="1257"/>
      <c r="I126" s="1258"/>
      <c r="J126" s="1246">
        <v>159</v>
      </c>
      <c r="K126" s="1247" t="s">
        <v>1466</v>
      </c>
      <c r="L126" s="1281" t="s">
        <v>126</v>
      </c>
      <c r="M126" s="1246">
        <v>8</v>
      </c>
      <c r="N126" s="3178"/>
      <c r="O126" s="3178"/>
      <c r="P126" s="3181"/>
      <c r="Q126" s="1249">
        <v>0.1</v>
      </c>
      <c r="R126" s="3210"/>
      <c r="S126" s="3181"/>
      <c r="T126" s="1360" t="s">
        <v>1467</v>
      </c>
      <c r="U126" s="1277" t="s">
        <v>1468</v>
      </c>
      <c r="V126" s="1251">
        <v>0</v>
      </c>
      <c r="W126" s="3222"/>
      <c r="X126" s="3225"/>
      <c r="Y126" s="3216"/>
      <c r="Z126" s="3216"/>
      <c r="AA126" s="3216"/>
      <c r="AB126" s="3216"/>
      <c r="AC126" s="3216"/>
      <c r="AD126" s="3216"/>
      <c r="AE126" s="3216"/>
      <c r="AF126" s="3216"/>
      <c r="AG126" s="3216"/>
      <c r="AH126" s="3216"/>
      <c r="AI126" s="3216"/>
      <c r="AJ126" s="3216"/>
      <c r="AK126" s="3194"/>
      <c r="AL126" s="3194"/>
      <c r="AM126" s="3197"/>
      <c r="AN126" s="1253"/>
      <c r="AO126" s="1253"/>
      <c r="AP126" s="1253"/>
      <c r="AQ126" s="1253"/>
    </row>
    <row r="127" spans="1:45" s="1270" customFormat="1" ht="36" customHeight="1" x14ac:dyDescent="0.2">
      <c r="A127" s="1228"/>
      <c r="B127" s="1229"/>
      <c r="C127" s="1230"/>
      <c r="D127" s="1229"/>
      <c r="E127" s="1229"/>
      <c r="F127" s="1230"/>
      <c r="G127" s="1265">
        <v>46</v>
      </c>
      <c r="H127" s="1234" t="s">
        <v>1469</v>
      </c>
      <c r="I127" s="1234"/>
      <c r="J127" s="1234"/>
      <c r="K127" s="1235"/>
      <c r="L127" s="1234"/>
      <c r="M127" s="1234"/>
      <c r="N127" s="1236"/>
      <c r="O127" s="1234"/>
      <c r="P127" s="1235"/>
      <c r="Q127" s="1234"/>
      <c r="R127" s="1266"/>
      <c r="S127" s="1234"/>
      <c r="T127" s="1235"/>
      <c r="U127" s="1235"/>
      <c r="V127" s="1361"/>
      <c r="W127" s="1267"/>
      <c r="X127" s="1236"/>
      <c r="Y127" s="1236"/>
      <c r="Z127" s="1236"/>
      <c r="AA127" s="1236"/>
      <c r="AB127" s="1236"/>
      <c r="AC127" s="1236"/>
      <c r="AD127" s="1236"/>
      <c r="AE127" s="1236"/>
      <c r="AF127" s="1236"/>
      <c r="AG127" s="1236"/>
      <c r="AH127" s="1236"/>
      <c r="AI127" s="1236"/>
      <c r="AJ127" s="1236"/>
      <c r="AK127" s="1234"/>
      <c r="AL127" s="1234"/>
      <c r="AM127" s="1239"/>
      <c r="AN127" s="1341"/>
      <c r="AO127" s="1217"/>
      <c r="AP127" s="1217"/>
      <c r="AQ127" s="1217"/>
      <c r="AR127" s="1218"/>
      <c r="AS127" s="1218"/>
    </row>
    <row r="128" spans="1:45" ht="36.75" customHeight="1" x14ac:dyDescent="0.2">
      <c r="A128" s="1240"/>
      <c r="B128" s="1241"/>
      <c r="C128" s="1242"/>
      <c r="D128" s="1241"/>
      <c r="E128" s="1241"/>
      <c r="F128" s="1242"/>
      <c r="G128" s="1243"/>
      <c r="H128" s="1244"/>
      <c r="I128" s="1245"/>
      <c r="J128" s="3191">
        <v>160</v>
      </c>
      <c r="K128" s="3179" t="s">
        <v>1470</v>
      </c>
      <c r="L128" s="3176" t="s">
        <v>126</v>
      </c>
      <c r="M128" s="3176">
        <v>300</v>
      </c>
      <c r="N128" s="3176" t="s">
        <v>1471</v>
      </c>
      <c r="O128" s="3176">
        <v>151</v>
      </c>
      <c r="P128" s="3179" t="s">
        <v>1472</v>
      </c>
      <c r="Q128" s="1953">
        <v>1</v>
      </c>
      <c r="R128" s="3208">
        <f>SUM(V128:V132)</f>
        <v>1021461289</v>
      </c>
      <c r="S128" s="3179" t="s">
        <v>1473</v>
      </c>
      <c r="T128" s="3179" t="s">
        <v>1474</v>
      </c>
      <c r="U128" s="1268" t="s">
        <v>1475</v>
      </c>
      <c r="V128" s="1251">
        <f>290000000+61826931</f>
        <v>351826931</v>
      </c>
      <c r="W128" s="3220">
        <v>61</v>
      </c>
      <c r="X128" s="3223" t="s">
        <v>1244</v>
      </c>
      <c r="Y128" s="3284">
        <v>64149</v>
      </c>
      <c r="Z128" s="3284">
        <v>72224</v>
      </c>
      <c r="AA128" s="3284">
        <v>27477</v>
      </c>
      <c r="AB128" s="3284">
        <v>86843</v>
      </c>
      <c r="AC128" s="3284">
        <v>236429</v>
      </c>
      <c r="AD128" s="3284">
        <v>81384</v>
      </c>
      <c r="AE128" s="3284">
        <v>13208</v>
      </c>
      <c r="AF128" s="3284">
        <v>2145</v>
      </c>
      <c r="AG128" s="3284">
        <v>413</v>
      </c>
      <c r="AH128" s="3284">
        <v>520</v>
      </c>
      <c r="AI128" s="3284">
        <v>16897</v>
      </c>
      <c r="AJ128" s="3284">
        <v>75612</v>
      </c>
      <c r="AK128" s="3287">
        <v>42948</v>
      </c>
      <c r="AL128" s="3287">
        <v>43100</v>
      </c>
      <c r="AM128" s="3288" t="s">
        <v>1303</v>
      </c>
      <c r="AN128" s="1253"/>
      <c r="AO128" s="1306"/>
      <c r="AP128" s="1362"/>
      <c r="AQ128" s="1362"/>
    </row>
    <row r="129" spans="1:345" ht="51" customHeight="1" x14ac:dyDescent="0.2">
      <c r="A129" s="1240"/>
      <c r="B129" s="1241"/>
      <c r="C129" s="1242"/>
      <c r="D129" s="1241"/>
      <c r="E129" s="1241"/>
      <c r="F129" s="1242"/>
      <c r="G129" s="1240"/>
      <c r="H129" s="1241"/>
      <c r="I129" s="1242"/>
      <c r="J129" s="3191"/>
      <c r="K129" s="3180"/>
      <c r="L129" s="3177"/>
      <c r="M129" s="3177"/>
      <c r="N129" s="3177"/>
      <c r="O129" s="3177"/>
      <c r="P129" s="3180"/>
      <c r="Q129" s="2786"/>
      <c r="R129" s="3209"/>
      <c r="S129" s="3180"/>
      <c r="T129" s="3181"/>
      <c r="U129" s="1268" t="s">
        <v>1476</v>
      </c>
      <c r="V129" s="1251">
        <f>210000000+100000000</f>
        <v>310000000</v>
      </c>
      <c r="W129" s="3221"/>
      <c r="X129" s="3224"/>
      <c r="Y129" s="3285"/>
      <c r="Z129" s="3285"/>
      <c r="AA129" s="3285"/>
      <c r="AB129" s="3285"/>
      <c r="AC129" s="3285"/>
      <c r="AD129" s="3285"/>
      <c r="AE129" s="3285"/>
      <c r="AF129" s="3285"/>
      <c r="AG129" s="3285"/>
      <c r="AH129" s="3285"/>
      <c r="AI129" s="3285"/>
      <c r="AJ129" s="3285"/>
      <c r="AK129" s="3287"/>
      <c r="AL129" s="3287"/>
      <c r="AM129" s="3288"/>
      <c r="AN129" s="1253"/>
      <c r="AO129" s="1313"/>
      <c r="AP129" s="1334"/>
    </row>
    <row r="130" spans="1:345" ht="44.25" customHeight="1" x14ac:dyDescent="0.2">
      <c r="A130" s="1240"/>
      <c r="B130" s="1241"/>
      <c r="C130" s="1242"/>
      <c r="D130" s="1241"/>
      <c r="E130" s="1241"/>
      <c r="F130" s="1242"/>
      <c r="G130" s="1240"/>
      <c r="H130" s="1241"/>
      <c r="I130" s="1242"/>
      <c r="J130" s="3191"/>
      <c r="K130" s="3180"/>
      <c r="L130" s="3177"/>
      <c r="M130" s="3177"/>
      <c r="N130" s="3177"/>
      <c r="O130" s="3177"/>
      <c r="P130" s="3180"/>
      <c r="Q130" s="2786"/>
      <c r="R130" s="3209"/>
      <c r="S130" s="3180"/>
      <c r="T130" s="3289" t="s">
        <v>1477</v>
      </c>
      <c r="U130" s="1268" t="s">
        <v>1478</v>
      </c>
      <c r="V130" s="1251">
        <v>80000000</v>
      </c>
      <c r="W130" s="3221"/>
      <c r="X130" s="3224"/>
      <c r="Y130" s="3285"/>
      <c r="Z130" s="3285"/>
      <c r="AA130" s="3285"/>
      <c r="AB130" s="3285"/>
      <c r="AC130" s="3285"/>
      <c r="AD130" s="3285"/>
      <c r="AE130" s="3285"/>
      <c r="AF130" s="3285"/>
      <c r="AG130" s="3285"/>
      <c r="AH130" s="3285"/>
      <c r="AI130" s="3285"/>
      <c r="AJ130" s="3285"/>
      <c r="AK130" s="3287"/>
      <c r="AL130" s="3287"/>
      <c r="AM130" s="3288"/>
      <c r="AN130" s="1253"/>
      <c r="AO130" s="1313"/>
      <c r="AP130" s="1334"/>
    </row>
    <row r="131" spans="1:345" ht="52.5" customHeight="1" x14ac:dyDescent="0.2">
      <c r="A131" s="1240"/>
      <c r="B131" s="1241"/>
      <c r="C131" s="1242"/>
      <c r="D131" s="1241"/>
      <c r="E131" s="1241"/>
      <c r="F131" s="1242"/>
      <c r="G131" s="1240"/>
      <c r="H131" s="1241"/>
      <c r="I131" s="1242"/>
      <c r="J131" s="3191"/>
      <c r="K131" s="3180"/>
      <c r="L131" s="3177"/>
      <c r="M131" s="3177"/>
      <c r="N131" s="3177"/>
      <c r="O131" s="3177"/>
      <c r="P131" s="3180"/>
      <c r="Q131" s="2786"/>
      <c r="R131" s="3209"/>
      <c r="S131" s="3180"/>
      <c r="T131" s="3290"/>
      <c r="U131" s="1268" t="s">
        <v>1479</v>
      </c>
      <c r="V131" s="1251">
        <v>120000000</v>
      </c>
      <c r="W131" s="3221"/>
      <c r="X131" s="3224"/>
      <c r="Y131" s="3285"/>
      <c r="Z131" s="3285"/>
      <c r="AA131" s="3285"/>
      <c r="AB131" s="3285"/>
      <c r="AC131" s="3285"/>
      <c r="AD131" s="3285"/>
      <c r="AE131" s="3285"/>
      <c r="AF131" s="3285"/>
      <c r="AG131" s="3285"/>
      <c r="AH131" s="3285"/>
      <c r="AI131" s="3285"/>
      <c r="AJ131" s="3285"/>
      <c r="AK131" s="3287"/>
      <c r="AL131" s="3287"/>
      <c r="AM131" s="3288"/>
      <c r="AN131" s="1253"/>
      <c r="AO131" s="1306"/>
      <c r="AP131" s="1334"/>
    </row>
    <row r="132" spans="1:345" ht="57.75" customHeight="1" x14ac:dyDescent="0.2">
      <c r="A132" s="1240"/>
      <c r="B132" s="1241"/>
      <c r="C132" s="1242"/>
      <c r="D132" s="1241"/>
      <c r="E132" s="1241"/>
      <c r="F132" s="1242"/>
      <c r="G132" s="1240"/>
      <c r="H132" s="1241"/>
      <c r="I132" s="1242"/>
      <c r="J132" s="3191"/>
      <c r="K132" s="3181"/>
      <c r="L132" s="3178"/>
      <c r="M132" s="3178"/>
      <c r="N132" s="3178"/>
      <c r="O132" s="3178"/>
      <c r="P132" s="3181"/>
      <c r="Q132" s="2790"/>
      <c r="R132" s="3210"/>
      <c r="S132" s="3181"/>
      <c r="T132" s="1268" t="s">
        <v>1480</v>
      </c>
      <c r="U132" s="1268" t="s">
        <v>1481</v>
      </c>
      <c r="V132" s="1251">
        <v>159634358</v>
      </c>
      <c r="W132" s="3222"/>
      <c r="X132" s="3225"/>
      <c r="Y132" s="3286"/>
      <c r="Z132" s="3286"/>
      <c r="AA132" s="3286"/>
      <c r="AB132" s="3286"/>
      <c r="AC132" s="3286"/>
      <c r="AD132" s="3286"/>
      <c r="AE132" s="3286"/>
      <c r="AF132" s="3286"/>
      <c r="AG132" s="3286"/>
      <c r="AH132" s="3286"/>
      <c r="AI132" s="3286"/>
      <c r="AJ132" s="3286"/>
      <c r="AK132" s="3287"/>
      <c r="AL132" s="3287"/>
      <c r="AM132" s="3288"/>
      <c r="AN132" s="1253"/>
      <c r="AO132" s="1334"/>
      <c r="AP132" s="1334"/>
      <c r="BW132" s="1254"/>
      <c r="BX132" s="1254"/>
      <c r="BY132" s="1254"/>
      <c r="BZ132" s="1254"/>
      <c r="CA132" s="1254"/>
      <c r="CB132" s="1254"/>
      <c r="CC132" s="1254"/>
      <c r="CD132" s="1254"/>
      <c r="CE132" s="1254"/>
      <c r="CF132" s="1254"/>
      <c r="CG132" s="1254"/>
      <c r="CH132" s="1254"/>
      <c r="CI132" s="1254"/>
    </row>
    <row r="133" spans="1:345" s="1363" customFormat="1" ht="50.25" customHeight="1" x14ac:dyDescent="0.2">
      <c r="A133" s="1240"/>
      <c r="B133" s="1241"/>
      <c r="C133" s="1242"/>
      <c r="D133" s="1241"/>
      <c r="E133" s="1241"/>
      <c r="F133" s="1242"/>
      <c r="G133" s="1240"/>
      <c r="H133" s="1241"/>
      <c r="I133" s="1242"/>
      <c r="J133" s="3176">
        <v>161</v>
      </c>
      <c r="K133" s="3179" t="s">
        <v>1482</v>
      </c>
      <c r="L133" s="3176" t="s">
        <v>126</v>
      </c>
      <c r="M133" s="3176">
        <v>100</v>
      </c>
      <c r="N133" s="3176" t="s">
        <v>1483</v>
      </c>
      <c r="O133" s="3176">
        <v>152</v>
      </c>
      <c r="P133" s="3179" t="s">
        <v>1484</v>
      </c>
      <c r="Q133" s="1953">
        <f>(V133+V134+V135)/R133</f>
        <v>0.23854321641378851</v>
      </c>
      <c r="R133" s="3300">
        <f>SUM(V133:V140)</f>
        <v>366809844</v>
      </c>
      <c r="S133" s="3179" t="s">
        <v>1485</v>
      </c>
      <c r="T133" s="3179" t="s">
        <v>1486</v>
      </c>
      <c r="U133" s="1268" t="s">
        <v>1487</v>
      </c>
      <c r="V133" s="1251">
        <v>18750000</v>
      </c>
      <c r="W133" s="3220">
        <v>61</v>
      </c>
      <c r="X133" s="3223" t="s">
        <v>1244</v>
      </c>
      <c r="Y133" s="3217">
        <f t="shared" ref="Y133:AD133" si="5">Y128</f>
        <v>64149</v>
      </c>
      <c r="Z133" s="3217">
        <f t="shared" si="5"/>
        <v>72224</v>
      </c>
      <c r="AA133" s="3217">
        <f t="shared" si="5"/>
        <v>27477</v>
      </c>
      <c r="AB133" s="3217">
        <f t="shared" si="5"/>
        <v>86843</v>
      </c>
      <c r="AC133" s="3217">
        <f t="shared" si="5"/>
        <v>236429</v>
      </c>
      <c r="AD133" s="3217">
        <f t="shared" si="5"/>
        <v>81384</v>
      </c>
      <c r="AE133" s="3217">
        <v>13208</v>
      </c>
      <c r="AF133" s="3217">
        <f>AF128</f>
        <v>2145</v>
      </c>
      <c r="AG133" s="3217">
        <f>AG128</f>
        <v>413</v>
      </c>
      <c r="AH133" s="3217">
        <f>AH128</f>
        <v>520</v>
      </c>
      <c r="AI133" s="3217">
        <v>16897</v>
      </c>
      <c r="AJ133" s="3217">
        <f>AJ128</f>
        <v>75612</v>
      </c>
      <c r="AK133" s="3192">
        <v>42948</v>
      </c>
      <c r="AL133" s="3192">
        <v>43100</v>
      </c>
      <c r="AM133" s="3195" t="s">
        <v>1303</v>
      </c>
      <c r="AN133" s="1253"/>
      <c r="AO133" s="1313"/>
      <c r="AP133" s="1334"/>
      <c r="AQ133" s="1253"/>
      <c r="AR133" s="1254"/>
      <c r="AS133" s="1254"/>
      <c r="AT133" s="1254"/>
      <c r="AU133" s="1254"/>
      <c r="AV133" s="1254"/>
      <c r="AW133" s="1254"/>
      <c r="AX133" s="1254"/>
      <c r="AY133" s="1254"/>
      <c r="AZ133" s="1254"/>
      <c r="BA133" s="1254"/>
      <c r="BB133" s="1254"/>
      <c r="BC133" s="1254"/>
      <c r="BD133" s="1254"/>
      <c r="BE133" s="1254"/>
      <c r="BF133" s="1254"/>
      <c r="BG133" s="1254"/>
      <c r="BH133" s="1254"/>
      <c r="BI133" s="1254"/>
      <c r="BJ133" s="1254"/>
      <c r="BK133" s="1254"/>
      <c r="BL133" s="1254"/>
      <c r="BM133" s="1254"/>
      <c r="BN133" s="1254"/>
      <c r="BO133" s="1254"/>
      <c r="BP133" s="1254"/>
      <c r="BQ133" s="1254"/>
      <c r="BR133" s="1254"/>
      <c r="BS133" s="1254"/>
      <c r="BT133" s="1254"/>
      <c r="BU133" s="1254"/>
      <c r="BV133" s="1254"/>
      <c r="BW133" s="1254"/>
      <c r="BX133" s="1254"/>
      <c r="BY133" s="1254"/>
      <c r="BZ133" s="1254"/>
      <c r="CA133" s="1254"/>
      <c r="CB133" s="1254"/>
      <c r="CC133" s="1254"/>
      <c r="CD133" s="1254"/>
      <c r="CE133" s="1254"/>
      <c r="CF133" s="1254"/>
      <c r="CG133" s="1254"/>
      <c r="CH133" s="1254"/>
      <c r="CI133" s="1254"/>
      <c r="CJ133" s="1200"/>
      <c r="CK133" s="1200"/>
      <c r="CL133" s="1200"/>
      <c r="CM133" s="1200"/>
      <c r="CN133" s="1200"/>
      <c r="CO133" s="1200"/>
      <c r="CP133" s="1200"/>
      <c r="CQ133" s="1200"/>
      <c r="CR133" s="1200"/>
      <c r="CS133" s="1200"/>
      <c r="CT133" s="1200"/>
      <c r="CU133" s="1200"/>
      <c r="CV133" s="1200"/>
      <c r="CW133" s="1200"/>
      <c r="CX133" s="1200"/>
      <c r="CY133" s="1200"/>
      <c r="CZ133" s="1200"/>
      <c r="DA133" s="1200"/>
      <c r="DB133" s="1200"/>
      <c r="DC133" s="1200"/>
      <c r="DD133" s="1200"/>
      <c r="DE133" s="1200"/>
      <c r="DF133" s="1200"/>
      <c r="DG133" s="1200"/>
      <c r="DH133" s="1200"/>
      <c r="DI133" s="1200"/>
      <c r="DJ133" s="1200"/>
      <c r="DK133" s="1200"/>
      <c r="DL133" s="1200"/>
      <c r="DM133" s="1200"/>
      <c r="DN133" s="1200"/>
      <c r="DO133" s="1200"/>
      <c r="DP133" s="1200"/>
      <c r="DQ133" s="1200"/>
      <c r="DR133" s="1200"/>
      <c r="DS133" s="1200"/>
      <c r="DT133" s="1200"/>
      <c r="DU133" s="1200"/>
      <c r="DV133" s="1200"/>
      <c r="DW133" s="1200"/>
      <c r="DX133" s="1200"/>
      <c r="DY133" s="1200"/>
      <c r="DZ133" s="1200"/>
      <c r="EA133" s="1200"/>
      <c r="EB133" s="1200"/>
      <c r="EC133" s="1200"/>
      <c r="ED133" s="1200"/>
      <c r="EE133" s="1200"/>
      <c r="EF133" s="1200"/>
      <c r="EG133" s="1200"/>
      <c r="EH133" s="1200"/>
      <c r="EI133" s="1200"/>
      <c r="EJ133" s="1200"/>
      <c r="EK133" s="1200"/>
      <c r="EL133" s="1200"/>
      <c r="EM133" s="1200"/>
      <c r="EN133" s="1200"/>
      <c r="EO133" s="1200"/>
      <c r="EP133" s="1200"/>
      <c r="EQ133" s="1200"/>
      <c r="ER133" s="1200"/>
      <c r="ES133" s="1200"/>
      <c r="ET133" s="1200"/>
      <c r="EU133" s="1200"/>
      <c r="EV133" s="1200"/>
      <c r="EW133" s="1200"/>
      <c r="EX133" s="1200"/>
      <c r="EY133" s="1200"/>
      <c r="EZ133" s="1200"/>
      <c r="FA133" s="1200"/>
      <c r="FB133" s="1200"/>
      <c r="FC133" s="1200"/>
      <c r="FD133" s="1200"/>
      <c r="FE133" s="1200"/>
      <c r="FF133" s="1200"/>
      <c r="FG133" s="1200"/>
      <c r="FH133" s="1200"/>
      <c r="FI133" s="1200"/>
      <c r="FJ133" s="1200"/>
      <c r="FK133" s="1200"/>
      <c r="FL133" s="1200"/>
      <c r="FM133" s="1200"/>
      <c r="FN133" s="1200"/>
      <c r="FO133" s="1200"/>
      <c r="FP133" s="1200"/>
      <c r="FQ133" s="1200"/>
      <c r="FR133" s="1200"/>
      <c r="FS133" s="1200"/>
      <c r="FT133" s="1200"/>
      <c r="FU133" s="1200"/>
      <c r="FV133" s="1200"/>
      <c r="FW133" s="1200"/>
      <c r="FX133" s="1200"/>
      <c r="FY133" s="1200"/>
      <c r="FZ133" s="1200"/>
      <c r="GA133" s="1200"/>
      <c r="GB133" s="1200"/>
      <c r="GC133" s="1200"/>
      <c r="GD133" s="1200"/>
      <c r="GE133" s="1200"/>
      <c r="GF133" s="1200"/>
      <c r="GG133" s="1200"/>
      <c r="GH133" s="1200"/>
      <c r="GI133" s="1200"/>
      <c r="GJ133" s="1200"/>
      <c r="GK133" s="1200"/>
      <c r="GL133" s="1200"/>
      <c r="GM133" s="1200"/>
      <c r="GN133" s="1200"/>
      <c r="GO133" s="1200"/>
      <c r="GP133" s="1200"/>
      <c r="GQ133" s="1200"/>
      <c r="GR133" s="1200"/>
      <c r="GS133" s="1200"/>
      <c r="GT133" s="1200"/>
      <c r="GU133" s="1200"/>
      <c r="GV133" s="1200"/>
      <c r="GW133" s="1200"/>
      <c r="GX133" s="1200"/>
      <c r="GY133" s="1200"/>
      <c r="GZ133" s="1200"/>
      <c r="HA133" s="1200"/>
      <c r="HB133" s="1200"/>
      <c r="HC133" s="1200"/>
      <c r="HD133" s="1200"/>
      <c r="HE133" s="1200"/>
      <c r="HF133" s="1200"/>
      <c r="HG133" s="1200"/>
      <c r="HH133" s="1200"/>
      <c r="HI133" s="1200"/>
      <c r="HJ133" s="1200"/>
      <c r="HK133" s="1200"/>
      <c r="HL133" s="1200"/>
      <c r="HM133" s="1200"/>
      <c r="HN133" s="1200"/>
      <c r="HO133" s="1200"/>
      <c r="HP133" s="1200"/>
      <c r="HQ133" s="1200"/>
      <c r="HR133" s="1200"/>
      <c r="HS133" s="1200"/>
      <c r="HT133" s="1200"/>
      <c r="HU133" s="1200"/>
      <c r="HV133" s="1200"/>
      <c r="HW133" s="1200"/>
      <c r="HX133" s="1200"/>
      <c r="HY133" s="1200"/>
      <c r="HZ133" s="1200"/>
      <c r="IA133" s="1200"/>
      <c r="IB133" s="1200"/>
      <c r="IC133" s="1200"/>
      <c r="ID133" s="1200"/>
      <c r="IE133" s="1200"/>
      <c r="IF133" s="1200"/>
      <c r="IG133" s="1200"/>
      <c r="IH133" s="1200"/>
      <c r="II133" s="1200"/>
      <c r="IJ133" s="1200"/>
      <c r="IK133" s="1200"/>
      <c r="IL133" s="1200"/>
      <c r="IM133" s="1200"/>
      <c r="IN133" s="1200"/>
      <c r="IO133" s="1200"/>
      <c r="IP133" s="1200"/>
      <c r="IQ133" s="1200"/>
      <c r="IR133" s="1200"/>
      <c r="IS133" s="1200"/>
      <c r="IT133" s="1200"/>
      <c r="IU133" s="1200"/>
      <c r="IV133" s="1200"/>
      <c r="IW133" s="1200"/>
      <c r="IX133" s="1200"/>
      <c r="IY133" s="1200"/>
      <c r="IZ133" s="1200"/>
      <c r="JA133" s="1200"/>
      <c r="JB133" s="1200"/>
      <c r="JC133" s="1200"/>
      <c r="JD133" s="1200"/>
      <c r="JE133" s="1200"/>
      <c r="JF133" s="1200"/>
      <c r="JG133" s="1200"/>
      <c r="JH133" s="1200"/>
      <c r="JI133" s="1200"/>
      <c r="JJ133" s="1200"/>
      <c r="JK133" s="1200"/>
      <c r="JL133" s="1200"/>
      <c r="JM133" s="1200"/>
      <c r="JN133" s="1200"/>
      <c r="JO133" s="1200"/>
      <c r="JP133" s="1200"/>
      <c r="JQ133" s="1200"/>
      <c r="JR133" s="1200"/>
      <c r="JS133" s="1200"/>
      <c r="JT133" s="1200"/>
      <c r="JU133" s="1200"/>
      <c r="JV133" s="1200"/>
      <c r="JW133" s="1200"/>
      <c r="JX133" s="1200"/>
      <c r="JY133" s="1200"/>
      <c r="JZ133" s="1200"/>
      <c r="KA133" s="1200"/>
      <c r="KB133" s="1200"/>
      <c r="KC133" s="1200"/>
      <c r="KD133" s="1200"/>
      <c r="KE133" s="1200"/>
      <c r="KF133" s="1200"/>
      <c r="KG133" s="1200"/>
      <c r="KH133" s="1200"/>
      <c r="KI133" s="1200"/>
      <c r="KJ133" s="1200"/>
      <c r="KK133" s="1200"/>
      <c r="KL133" s="1200"/>
      <c r="KM133" s="1200"/>
      <c r="KN133" s="1200"/>
      <c r="KO133" s="1200"/>
      <c r="KP133" s="1200"/>
      <c r="KQ133" s="1200"/>
      <c r="KR133" s="1200"/>
      <c r="KS133" s="1200"/>
      <c r="KT133" s="1200"/>
      <c r="KU133" s="1200"/>
      <c r="KV133" s="1200"/>
      <c r="KW133" s="1200"/>
      <c r="KX133" s="1200"/>
      <c r="KY133" s="1200"/>
      <c r="KZ133" s="1200"/>
      <c r="LA133" s="1200"/>
      <c r="LB133" s="1200"/>
      <c r="LC133" s="1200"/>
      <c r="LD133" s="1200"/>
      <c r="LE133" s="1200"/>
      <c r="LF133" s="1200"/>
      <c r="LG133" s="1200"/>
      <c r="LH133" s="1200"/>
      <c r="LI133" s="1200"/>
      <c r="LJ133" s="1200"/>
      <c r="LK133" s="1200"/>
      <c r="LL133" s="1200"/>
      <c r="LM133" s="1200"/>
      <c r="LN133" s="1200"/>
      <c r="LO133" s="1200"/>
      <c r="LP133" s="1200"/>
      <c r="LQ133" s="1200"/>
      <c r="LR133" s="1200"/>
      <c r="LS133" s="1200"/>
      <c r="LT133" s="1200"/>
      <c r="LU133" s="1200"/>
      <c r="LV133" s="1200"/>
      <c r="LW133" s="1200"/>
      <c r="LX133" s="1200"/>
      <c r="LY133" s="1200"/>
      <c r="LZ133" s="1200"/>
      <c r="MA133" s="1200"/>
      <c r="MB133" s="1200"/>
      <c r="MC133" s="1200"/>
      <c r="MD133" s="1200"/>
      <c r="ME133" s="1200"/>
      <c r="MF133" s="1200"/>
      <c r="MG133" s="1200"/>
    </row>
    <row r="134" spans="1:345" s="1363" customFormat="1" ht="52.5" customHeight="1" x14ac:dyDescent="0.2">
      <c r="A134" s="1240"/>
      <c r="B134" s="1241"/>
      <c r="C134" s="1242"/>
      <c r="D134" s="1241"/>
      <c r="E134" s="1241"/>
      <c r="F134" s="1242"/>
      <c r="G134" s="1240"/>
      <c r="H134" s="1241"/>
      <c r="I134" s="1242"/>
      <c r="J134" s="3177"/>
      <c r="K134" s="3180"/>
      <c r="L134" s="3177"/>
      <c r="M134" s="3177"/>
      <c r="N134" s="3177"/>
      <c r="O134" s="3177"/>
      <c r="P134" s="3180"/>
      <c r="Q134" s="2786"/>
      <c r="R134" s="3301"/>
      <c r="S134" s="3180"/>
      <c r="T134" s="3180"/>
      <c r="U134" s="1268" t="s">
        <v>1488</v>
      </c>
      <c r="V134" s="1251">
        <f>31250000+25000000</f>
        <v>56250000</v>
      </c>
      <c r="W134" s="3221"/>
      <c r="X134" s="3224"/>
      <c r="Y134" s="3218"/>
      <c r="Z134" s="3218"/>
      <c r="AA134" s="3218"/>
      <c r="AB134" s="3218"/>
      <c r="AC134" s="3218"/>
      <c r="AD134" s="3218"/>
      <c r="AE134" s="3218"/>
      <c r="AF134" s="3218"/>
      <c r="AG134" s="3218"/>
      <c r="AH134" s="3218"/>
      <c r="AI134" s="3218"/>
      <c r="AJ134" s="3218"/>
      <c r="AK134" s="3193"/>
      <c r="AL134" s="3193"/>
      <c r="AM134" s="3196"/>
      <c r="AN134" s="1305"/>
      <c r="AO134" s="1364"/>
      <c r="AP134" s="1364"/>
      <c r="AQ134" s="1253"/>
      <c r="AR134" s="1254"/>
      <c r="AS134" s="1254"/>
      <c r="AT134" s="1254"/>
      <c r="AU134" s="1254"/>
      <c r="AV134" s="1254"/>
      <c r="AW134" s="1254"/>
      <c r="AX134" s="1254"/>
      <c r="AY134" s="1254"/>
      <c r="AZ134" s="1254"/>
      <c r="BA134" s="1254"/>
      <c r="BB134" s="1254"/>
      <c r="BC134" s="1254"/>
      <c r="BD134" s="1254"/>
      <c r="BE134" s="1254"/>
      <c r="BF134" s="1254"/>
      <c r="BG134" s="1254"/>
      <c r="BH134" s="1254"/>
      <c r="BI134" s="1254"/>
      <c r="BJ134" s="1254"/>
      <c r="BK134" s="1254"/>
      <c r="BL134" s="1254"/>
      <c r="BM134" s="1254"/>
      <c r="BN134" s="1254"/>
      <c r="BO134" s="1254"/>
      <c r="BP134" s="1254"/>
      <c r="BQ134" s="1254"/>
      <c r="BR134" s="1254"/>
      <c r="BS134" s="1254"/>
      <c r="BT134" s="1254"/>
      <c r="BU134" s="1254"/>
      <c r="BV134" s="1254"/>
      <c r="BW134" s="1254"/>
      <c r="BX134" s="1254"/>
      <c r="BY134" s="1254"/>
      <c r="BZ134" s="1254"/>
      <c r="CA134" s="1254"/>
      <c r="CB134" s="1254"/>
      <c r="CC134" s="1254"/>
      <c r="CD134" s="1254"/>
      <c r="CE134" s="1254"/>
      <c r="CF134" s="1254"/>
      <c r="CG134" s="1254"/>
      <c r="CH134" s="1254"/>
      <c r="CI134" s="1254"/>
      <c r="CJ134" s="1200"/>
      <c r="CK134" s="1200"/>
      <c r="CL134" s="1200"/>
      <c r="CM134" s="1200"/>
      <c r="CN134" s="1200"/>
      <c r="CO134" s="1200"/>
      <c r="CP134" s="1200"/>
      <c r="CQ134" s="1200"/>
      <c r="CR134" s="1200"/>
      <c r="CS134" s="1200"/>
      <c r="CT134" s="1200"/>
      <c r="CU134" s="1200"/>
      <c r="CV134" s="1200"/>
      <c r="CW134" s="1200"/>
      <c r="CX134" s="1200"/>
      <c r="CY134" s="1200"/>
      <c r="CZ134" s="1200"/>
      <c r="DA134" s="1200"/>
      <c r="DB134" s="1200"/>
      <c r="DC134" s="1200"/>
      <c r="DD134" s="1200"/>
      <c r="DE134" s="1200"/>
      <c r="DF134" s="1200"/>
      <c r="DG134" s="1200"/>
      <c r="DH134" s="1200"/>
      <c r="DI134" s="1200"/>
      <c r="DJ134" s="1200"/>
      <c r="DK134" s="1200"/>
      <c r="DL134" s="1200"/>
      <c r="DM134" s="1200"/>
      <c r="DN134" s="1200"/>
      <c r="DO134" s="1200"/>
      <c r="DP134" s="1200"/>
      <c r="DQ134" s="1200"/>
      <c r="DR134" s="1200"/>
      <c r="DS134" s="1200"/>
      <c r="DT134" s="1200"/>
      <c r="DU134" s="1200"/>
      <c r="DV134" s="1200"/>
      <c r="DW134" s="1200"/>
      <c r="DX134" s="1200"/>
      <c r="DY134" s="1200"/>
      <c r="DZ134" s="1200"/>
      <c r="EA134" s="1200"/>
      <c r="EB134" s="1200"/>
      <c r="EC134" s="1200"/>
      <c r="ED134" s="1200"/>
      <c r="EE134" s="1200"/>
      <c r="EF134" s="1200"/>
      <c r="EG134" s="1200"/>
      <c r="EH134" s="1200"/>
      <c r="EI134" s="1200"/>
      <c r="EJ134" s="1200"/>
      <c r="EK134" s="1200"/>
      <c r="EL134" s="1200"/>
      <c r="EM134" s="1200"/>
      <c r="EN134" s="1200"/>
      <c r="EO134" s="1200"/>
      <c r="EP134" s="1200"/>
      <c r="EQ134" s="1200"/>
      <c r="ER134" s="1200"/>
      <c r="ES134" s="1200"/>
      <c r="ET134" s="1200"/>
      <c r="EU134" s="1200"/>
      <c r="EV134" s="1200"/>
      <c r="EW134" s="1200"/>
      <c r="EX134" s="1200"/>
      <c r="EY134" s="1200"/>
      <c r="EZ134" s="1200"/>
      <c r="FA134" s="1200"/>
      <c r="FB134" s="1200"/>
      <c r="FC134" s="1200"/>
      <c r="FD134" s="1200"/>
      <c r="FE134" s="1200"/>
      <c r="FF134" s="1200"/>
      <c r="FG134" s="1200"/>
      <c r="FH134" s="1200"/>
      <c r="FI134" s="1200"/>
      <c r="FJ134" s="1200"/>
      <c r="FK134" s="1200"/>
      <c r="FL134" s="1200"/>
      <c r="FM134" s="1200"/>
      <c r="FN134" s="1200"/>
      <c r="FO134" s="1200"/>
      <c r="FP134" s="1200"/>
      <c r="FQ134" s="1200"/>
      <c r="FR134" s="1200"/>
      <c r="FS134" s="1200"/>
      <c r="FT134" s="1200"/>
      <c r="FU134" s="1200"/>
      <c r="FV134" s="1200"/>
      <c r="FW134" s="1200"/>
      <c r="FX134" s="1200"/>
      <c r="FY134" s="1200"/>
      <c r="FZ134" s="1200"/>
      <c r="GA134" s="1200"/>
      <c r="GB134" s="1200"/>
      <c r="GC134" s="1200"/>
      <c r="GD134" s="1200"/>
      <c r="GE134" s="1200"/>
      <c r="GF134" s="1200"/>
      <c r="GG134" s="1200"/>
      <c r="GH134" s="1200"/>
      <c r="GI134" s="1200"/>
      <c r="GJ134" s="1200"/>
      <c r="GK134" s="1200"/>
      <c r="GL134" s="1200"/>
      <c r="GM134" s="1200"/>
      <c r="GN134" s="1200"/>
      <c r="GO134" s="1200"/>
      <c r="GP134" s="1200"/>
      <c r="GQ134" s="1200"/>
      <c r="GR134" s="1200"/>
      <c r="GS134" s="1200"/>
      <c r="GT134" s="1200"/>
      <c r="GU134" s="1200"/>
      <c r="GV134" s="1200"/>
      <c r="GW134" s="1200"/>
      <c r="GX134" s="1200"/>
      <c r="GY134" s="1200"/>
      <c r="GZ134" s="1200"/>
      <c r="HA134" s="1200"/>
      <c r="HB134" s="1200"/>
      <c r="HC134" s="1200"/>
      <c r="HD134" s="1200"/>
      <c r="HE134" s="1200"/>
      <c r="HF134" s="1200"/>
      <c r="HG134" s="1200"/>
      <c r="HH134" s="1200"/>
      <c r="HI134" s="1200"/>
      <c r="HJ134" s="1200"/>
      <c r="HK134" s="1200"/>
      <c r="HL134" s="1200"/>
      <c r="HM134" s="1200"/>
      <c r="HN134" s="1200"/>
      <c r="HO134" s="1200"/>
      <c r="HP134" s="1200"/>
      <c r="HQ134" s="1200"/>
      <c r="HR134" s="1200"/>
      <c r="HS134" s="1200"/>
      <c r="HT134" s="1200"/>
      <c r="HU134" s="1200"/>
      <c r="HV134" s="1200"/>
      <c r="HW134" s="1200"/>
      <c r="HX134" s="1200"/>
      <c r="HY134" s="1200"/>
      <c r="HZ134" s="1200"/>
      <c r="IA134" s="1200"/>
      <c r="IB134" s="1200"/>
      <c r="IC134" s="1200"/>
      <c r="ID134" s="1200"/>
      <c r="IE134" s="1200"/>
      <c r="IF134" s="1200"/>
      <c r="IG134" s="1200"/>
      <c r="IH134" s="1200"/>
      <c r="II134" s="1200"/>
      <c r="IJ134" s="1200"/>
      <c r="IK134" s="1200"/>
      <c r="IL134" s="1200"/>
      <c r="IM134" s="1200"/>
      <c r="IN134" s="1200"/>
      <c r="IO134" s="1200"/>
      <c r="IP134" s="1200"/>
      <c r="IQ134" s="1200"/>
      <c r="IR134" s="1200"/>
      <c r="IS134" s="1200"/>
      <c r="IT134" s="1200"/>
      <c r="IU134" s="1200"/>
      <c r="IV134" s="1200"/>
      <c r="IW134" s="1200"/>
      <c r="IX134" s="1200"/>
      <c r="IY134" s="1200"/>
      <c r="IZ134" s="1200"/>
      <c r="JA134" s="1200"/>
      <c r="JB134" s="1200"/>
      <c r="JC134" s="1200"/>
      <c r="JD134" s="1200"/>
      <c r="JE134" s="1200"/>
      <c r="JF134" s="1200"/>
      <c r="JG134" s="1200"/>
      <c r="JH134" s="1200"/>
      <c r="JI134" s="1200"/>
      <c r="JJ134" s="1200"/>
      <c r="JK134" s="1200"/>
      <c r="JL134" s="1200"/>
      <c r="JM134" s="1200"/>
      <c r="JN134" s="1200"/>
      <c r="JO134" s="1200"/>
      <c r="JP134" s="1200"/>
      <c r="JQ134" s="1200"/>
      <c r="JR134" s="1200"/>
      <c r="JS134" s="1200"/>
      <c r="JT134" s="1200"/>
      <c r="JU134" s="1200"/>
      <c r="JV134" s="1200"/>
      <c r="JW134" s="1200"/>
      <c r="JX134" s="1200"/>
      <c r="JY134" s="1200"/>
      <c r="JZ134" s="1200"/>
      <c r="KA134" s="1200"/>
      <c r="KB134" s="1200"/>
      <c r="KC134" s="1200"/>
      <c r="KD134" s="1200"/>
      <c r="KE134" s="1200"/>
      <c r="KF134" s="1200"/>
      <c r="KG134" s="1200"/>
      <c r="KH134" s="1200"/>
      <c r="KI134" s="1200"/>
      <c r="KJ134" s="1200"/>
      <c r="KK134" s="1200"/>
      <c r="KL134" s="1200"/>
      <c r="KM134" s="1200"/>
      <c r="KN134" s="1200"/>
      <c r="KO134" s="1200"/>
      <c r="KP134" s="1200"/>
      <c r="KQ134" s="1200"/>
      <c r="KR134" s="1200"/>
      <c r="KS134" s="1200"/>
      <c r="KT134" s="1200"/>
      <c r="KU134" s="1200"/>
      <c r="KV134" s="1200"/>
      <c r="KW134" s="1200"/>
      <c r="KX134" s="1200"/>
      <c r="KY134" s="1200"/>
      <c r="KZ134" s="1200"/>
      <c r="LA134" s="1200"/>
      <c r="LB134" s="1200"/>
      <c r="LC134" s="1200"/>
      <c r="LD134" s="1200"/>
      <c r="LE134" s="1200"/>
      <c r="LF134" s="1200"/>
      <c r="LG134" s="1200"/>
      <c r="LH134" s="1200"/>
      <c r="LI134" s="1200"/>
      <c r="LJ134" s="1200"/>
      <c r="LK134" s="1200"/>
      <c r="LL134" s="1200"/>
      <c r="LM134" s="1200"/>
      <c r="LN134" s="1200"/>
      <c r="LO134" s="1200"/>
      <c r="LP134" s="1200"/>
      <c r="LQ134" s="1200"/>
      <c r="LR134" s="1200"/>
      <c r="LS134" s="1200"/>
      <c r="LT134" s="1200"/>
      <c r="LU134" s="1200"/>
      <c r="LV134" s="1200"/>
      <c r="LW134" s="1200"/>
      <c r="LX134" s="1200"/>
      <c r="LY134" s="1200"/>
      <c r="LZ134" s="1200"/>
      <c r="MA134" s="1200"/>
      <c r="MB134" s="1200"/>
      <c r="MC134" s="1200"/>
      <c r="MD134" s="1200"/>
      <c r="ME134" s="1200"/>
      <c r="MF134" s="1200"/>
      <c r="MG134" s="1200"/>
    </row>
    <row r="135" spans="1:345" s="1363" customFormat="1" ht="57.75" customHeight="1" x14ac:dyDescent="0.2">
      <c r="A135" s="1240"/>
      <c r="B135" s="1241"/>
      <c r="C135" s="1242"/>
      <c r="D135" s="1241"/>
      <c r="E135" s="1241"/>
      <c r="F135" s="1242"/>
      <c r="G135" s="1240"/>
      <c r="H135" s="1241"/>
      <c r="I135" s="1242"/>
      <c r="J135" s="3178"/>
      <c r="K135" s="3181"/>
      <c r="L135" s="3178"/>
      <c r="M135" s="3178"/>
      <c r="N135" s="3177"/>
      <c r="O135" s="3177"/>
      <c r="P135" s="3180"/>
      <c r="Q135" s="2790"/>
      <c r="R135" s="3301"/>
      <c r="S135" s="3180"/>
      <c r="T135" s="3181"/>
      <c r="U135" s="1268" t="s">
        <v>1489</v>
      </c>
      <c r="V135" s="1251">
        <v>12500000</v>
      </c>
      <c r="W135" s="3221"/>
      <c r="X135" s="3224"/>
      <c r="Y135" s="3218"/>
      <c r="Z135" s="3218"/>
      <c r="AA135" s="3218"/>
      <c r="AB135" s="3218"/>
      <c r="AC135" s="3218"/>
      <c r="AD135" s="3218"/>
      <c r="AE135" s="3218"/>
      <c r="AF135" s="3218"/>
      <c r="AG135" s="3218"/>
      <c r="AH135" s="3218"/>
      <c r="AI135" s="3218"/>
      <c r="AJ135" s="3218"/>
      <c r="AK135" s="3193"/>
      <c r="AL135" s="3193"/>
      <c r="AM135" s="3196"/>
      <c r="AN135" s="1253"/>
      <c r="AO135" s="1364"/>
      <c r="AP135" s="1364"/>
      <c r="AQ135" s="1364"/>
      <c r="AR135" s="1254"/>
      <c r="AS135" s="1254"/>
      <c r="AT135" s="1254"/>
      <c r="AU135" s="1254"/>
      <c r="AV135" s="1254"/>
      <c r="AW135" s="1254"/>
      <c r="AX135" s="1254"/>
      <c r="AY135" s="1254"/>
      <c r="AZ135" s="1254"/>
      <c r="BA135" s="1254"/>
      <c r="BB135" s="1254"/>
      <c r="BC135" s="1254"/>
      <c r="BD135" s="1254"/>
      <c r="BE135" s="1254"/>
      <c r="BF135" s="1254"/>
      <c r="BG135" s="1254"/>
      <c r="BH135" s="1254"/>
      <c r="BI135" s="1254"/>
      <c r="BJ135" s="1254"/>
      <c r="BK135" s="1254"/>
      <c r="BL135" s="1254"/>
      <c r="BM135" s="1254"/>
      <c r="BN135" s="1254"/>
      <c r="BO135" s="1254"/>
      <c r="BP135" s="1254"/>
      <c r="BQ135" s="1254"/>
      <c r="BR135" s="1254"/>
      <c r="BS135" s="1254"/>
      <c r="BT135" s="1254"/>
      <c r="BU135" s="1254"/>
      <c r="BV135" s="1254"/>
      <c r="BW135" s="1254"/>
      <c r="BX135" s="1254"/>
      <c r="BY135" s="1254"/>
      <c r="BZ135" s="1254"/>
      <c r="CA135" s="1254"/>
      <c r="CB135" s="1254"/>
      <c r="CC135" s="1254"/>
      <c r="CD135" s="1254"/>
      <c r="CE135" s="1254"/>
      <c r="CF135" s="1254"/>
      <c r="CG135" s="1254"/>
      <c r="CH135" s="1254"/>
      <c r="CI135" s="1254"/>
      <c r="CJ135" s="1200"/>
      <c r="CK135" s="1200"/>
      <c r="CL135" s="1200"/>
      <c r="CM135" s="1200"/>
      <c r="CN135" s="1200"/>
      <c r="CO135" s="1200"/>
      <c r="CP135" s="1200"/>
      <c r="CQ135" s="1200"/>
      <c r="CR135" s="1200"/>
      <c r="CS135" s="1200"/>
      <c r="CT135" s="1200"/>
      <c r="CU135" s="1200"/>
      <c r="CV135" s="1200"/>
      <c r="CW135" s="1200"/>
      <c r="CX135" s="1200"/>
      <c r="CY135" s="1200"/>
      <c r="CZ135" s="1200"/>
      <c r="DA135" s="1200"/>
      <c r="DB135" s="1200"/>
      <c r="DC135" s="1200"/>
      <c r="DD135" s="1200"/>
      <c r="DE135" s="1200"/>
      <c r="DF135" s="1200"/>
      <c r="DG135" s="1200"/>
      <c r="DH135" s="1200"/>
      <c r="DI135" s="1200"/>
      <c r="DJ135" s="1200"/>
      <c r="DK135" s="1200"/>
      <c r="DL135" s="1200"/>
      <c r="DM135" s="1200"/>
      <c r="DN135" s="1200"/>
      <c r="DO135" s="1200"/>
      <c r="DP135" s="1200"/>
      <c r="DQ135" s="1200"/>
      <c r="DR135" s="1200"/>
      <c r="DS135" s="1200"/>
      <c r="DT135" s="1200"/>
      <c r="DU135" s="1200"/>
      <c r="DV135" s="1200"/>
      <c r="DW135" s="1200"/>
      <c r="DX135" s="1200"/>
      <c r="DY135" s="1200"/>
      <c r="DZ135" s="1200"/>
      <c r="EA135" s="1200"/>
      <c r="EB135" s="1200"/>
      <c r="EC135" s="1200"/>
      <c r="ED135" s="1200"/>
      <c r="EE135" s="1200"/>
      <c r="EF135" s="1200"/>
      <c r="EG135" s="1200"/>
      <c r="EH135" s="1200"/>
      <c r="EI135" s="1200"/>
      <c r="EJ135" s="1200"/>
      <c r="EK135" s="1200"/>
      <c r="EL135" s="1200"/>
      <c r="EM135" s="1200"/>
      <c r="EN135" s="1200"/>
      <c r="EO135" s="1200"/>
      <c r="EP135" s="1200"/>
      <c r="EQ135" s="1200"/>
      <c r="ER135" s="1200"/>
      <c r="ES135" s="1200"/>
      <c r="ET135" s="1200"/>
      <c r="EU135" s="1200"/>
      <c r="EV135" s="1200"/>
      <c r="EW135" s="1200"/>
      <c r="EX135" s="1200"/>
      <c r="EY135" s="1200"/>
      <c r="EZ135" s="1200"/>
      <c r="FA135" s="1200"/>
      <c r="FB135" s="1200"/>
      <c r="FC135" s="1200"/>
      <c r="FD135" s="1200"/>
      <c r="FE135" s="1200"/>
      <c r="FF135" s="1200"/>
      <c r="FG135" s="1200"/>
      <c r="FH135" s="1200"/>
      <c r="FI135" s="1200"/>
      <c r="FJ135" s="1200"/>
      <c r="FK135" s="1200"/>
      <c r="FL135" s="1200"/>
      <c r="FM135" s="1200"/>
      <c r="FN135" s="1200"/>
      <c r="FO135" s="1200"/>
      <c r="FP135" s="1200"/>
      <c r="FQ135" s="1200"/>
      <c r="FR135" s="1200"/>
      <c r="FS135" s="1200"/>
      <c r="FT135" s="1200"/>
      <c r="FU135" s="1200"/>
      <c r="FV135" s="1200"/>
      <c r="FW135" s="1200"/>
      <c r="FX135" s="1200"/>
      <c r="FY135" s="1200"/>
      <c r="FZ135" s="1200"/>
      <c r="GA135" s="1200"/>
      <c r="GB135" s="1200"/>
      <c r="GC135" s="1200"/>
      <c r="GD135" s="1200"/>
      <c r="GE135" s="1200"/>
      <c r="GF135" s="1200"/>
      <c r="GG135" s="1200"/>
      <c r="GH135" s="1200"/>
      <c r="GI135" s="1200"/>
      <c r="GJ135" s="1200"/>
      <c r="GK135" s="1200"/>
      <c r="GL135" s="1200"/>
      <c r="GM135" s="1200"/>
      <c r="GN135" s="1200"/>
      <c r="GO135" s="1200"/>
      <c r="GP135" s="1200"/>
      <c r="GQ135" s="1200"/>
      <c r="GR135" s="1200"/>
      <c r="GS135" s="1200"/>
      <c r="GT135" s="1200"/>
      <c r="GU135" s="1200"/>
      <c r="GV135" s="1200"/>
      <c r="GW135" s="1200"/>
      <c r="GX135" s="1200"/>
      <c r="GY135" s="1200"/>
      <c r="GZ135" s="1200"/>
      <c r="HA135" s="1200"/>
      <c r="HB135" s="1200"/>
      <c r="HC135" s="1200"/>
      <c r="HD135" s="1200"/>
      <c r="HE135" s="1200"/>
      <c r="HF135" s="1200"/>
      <c r="HG135" s="1200"/>
      <c r="HH135" s="1200"/>
      <c r="HI135" s="1200"/>
      <c r="HJ135" s="1200"/>
      <c r="HK135" s="1200"/>
      <c r="HL135" s="1200"/>
      <c r="HM135" s="1200"/>
      <c r="HN135" s="1200"/>
      <c r="HO135" s="1200"/>
      <c r="HP135" s="1200"/>
      <c r="HQ135" s="1200"/>
      <c r="HR135" s="1200"/>
      <c r="HS135" s="1200"/>
      <c r="HT135" s="1200"/>
      <c r="HU135" s="1200"/>
      <c r="HV135" s="1200"/>
      <c r="HW135" s="1200"/>
      <c r="HX135" s="1200"/>
      <c r="HY135" s="1200"/>
      <c r="HZ135" s="1200"/>
      <c r="IA135" s="1200"/>
      <c r="IB135" s="1200"/>
      <c r="IC135" s="1200"/>
      <c r="ID135" s="1200"/>
      <c r="IE135" s="1200"/>
      <c r="IF135" s="1200"/>
      <c r="IG135" s="1200"/>
      <c r="IH135" s="1200"/>
      <c r="II135" s="1200"/>
      <c r="IJ135" s="1200"/>
      <c r="IK135" s="1200"/>
      <c r="IL135" s="1200"/>
      <c r="IM135" s="1200"/>
      <c r="IN135" s="1200"/>
      <c r="IO135" s="1200"/>
      <c r="IP135" s="1200"/>
      <c r="IQ135" s="1200"/>
      <c r="IR135" s="1200"/>
      <c r="IS135" s="1200"/>
      <c r="IT135" s="1200"/>
      <c r="IU135" s="1200"/>
      <c r="IV135" s="1200"/>
      <c r="IW135" s="1200"/>
      <c r="IX135" s="1200"/>
      <c r="IY135" s="1200"/>
      <c r="IZ135" s="1200"/>
      <c r="JA135" s="1200"/>
      <c r="JB135" s="1200"/>
      <c r="JC135" s="1200"/>
      <c r="JD135" s="1200"/>
      <c r="JE135" s="1200"/>
      <c r="JF135" s="1200"/>
      <c r="JG135" s="1200"/>
      <c r="JH135" s="1200"/>
      <c r="JI135" s="1200"/>
      <c r="JJ135" s="1200"/>
      <c r="JK135" s="1200"/>
      <c r="JL135" s="1200"/>
      <c r="JM135" s="1200"/>
      <c r="JN135" s="1200"/>
      <c r="JO135" s="1200"/>
      <c r="JP135" s="1200"/>
      <c r="JQ135" s="1200"/>
      <c r="JR135" s="1200"/>
      <c r="JS135" s="1200"/>
      <c r="JT135" s="1200"/>
      <c r="JU135" s="1200"/>
      <c r="JV135" s="1200"/>
      <c r="JW135" s="1200"/>
      <c r="JX135" s="1200"/>
      <c r="JY135" s="1200"/>
      <c r="JZ135" s="1200"/>
      <c r="KA135" s="1200"/>
      <c r="KB135" s="1200"/>
      <c r="KC135" s="1200"/>
      <c r="KD135" s="1200"/>
      <c r="KE135" s="1200"/>
      <c r="KF135" s="1200"/>
      <c r="KG135" s="1200"/>
      <c r="KH135" s="1200"/>
      <c r="KI135" s="1200"/>
      <c r="KJ135" s="1200"/>
      <c r="KK135" s="1200"/>
      <c r="KL135" s="1200"/>
      <c r="KM135" s="1200"/>
      <c r="KN135" s="1200"/>
      <c r="KO135" s="1200"/>
      <c r="KP135" s="1200"/>
      <c r="KQ135" s="1200"/>
      <c r="KR135" s="1200"/>
      <c r="KS135" s="1200"/>
      <c r="KT135" s="1200"/>
      <c r="KU135" s="1200"/>
      <c r="KV135" s="1200"/>
      <c r="KW135" s="1200"/>
      <c r="KX135" s="1200"/>
      <c r="KY135" s="1200"/>
      <c r="KZ135" s="1200"/>
      <c r="LA135" s="1200"/>
      <c r="LB135" s="1200"/>
      <c r="LC135" s="1200"/>
      <c r="LD135" s="1200"/>
      <c r="LE135" s="1200"/>
      <c r="LF135" s="1200"/>
      <c r="LG135" s="1200"/>
      <c r="LH135" s="1200"/>
      <c r="LI135" s="1200"/>
      <c r="LJ135" s="1200"/>
      <c r="LK135" s="1200"/>
      <c r="LL135" s="1200"/>
      <c r="LM135" s="1200"/>
      <c r="LN135" s="1200"/>
      <c r="LO135" s="1200"/>
      <c r="LP135" s="1200"/>
      <c r="LQ135" s="1200"/>
      <c r="LR135" s="1200"/>
      <c r="LS135" s="1200"/>
      <c r="LT135" s="1200"/>
      <c r="LU135" s="1200"/>
      <c r="LV135" s="1200"/>
      <c r="LW135" s="1200"/>
      <c r="LX135" s="1200"/>
      <c r="LY135" s="1200"/>
      <c r="LZ135" s="1200"/>
      <c r="MA135" s="1200"/>
      <c r="MB135" s="1200"/>
      <c r="MC135" s="1200"/>
      <c r="MD135" s="1200"/>
      <c r="ME135" s="1200"/>
      <c r="MF135" s="1200"/>
      <c r="MG135" s="1200"/>
    </row>
    <row r="136" spans="1:345" s="1363" customFormat="1" ht="88.5" customHeight="1" x14ac:dyDescent="0.2">
      <c r="A136" s="1240"/>
      <c r="B136" s="1241"/>
      <c r="C136" s="1242"/>
      <c r="D136" s="1241"/>
      <c r="E136" s="1241"/>
      <c r="F136" s="1242"/>
      <c r="G136" s="1240"/>
      <c r="H136" s="1241"/>
      <c r="I136" s="1242"/>
      <c r="J136" s="3191">
        <v>162</v>
      </c>
      <c r="K136" s="3179" t="s">
        <v>1490</v>
      </c>
      <c r="L136" s="3176" t="s">
        <v>126</v>
      </c>
      <c r="M136" s="3176">
        <v>83</v>
      </c>
      <c r="N136" s="3177"/>
      <c r="O136" s="3177"/>
      <c r="P136" s="3180"/>
      <c r="Q136" s="1953">
        <f>(V136+V137+V138+V139+V140)/R133</f>
        <v>0.76145678358621149</v>
      </c>
      <c r="R136" s="3301"/>
      <c r="S136" s="3180"/>
      <c r="T136" s="3179" t="s">
        <v>1491</v>
      </c>
      <c r="U136" s="1268" t="s">
        <v>1492</v>
      </c>
      <c r="V136" s="1251">
        <f>100000000+65000000</f>
        <v>165000000</v>
      </c>
      <c r="W136" s="3221"/>
      <c r="X136" s="3224"/>
      <c r="Y136" s="3218"/>
      <c r="Z136" s="3218"/>
      <c r="AA136" s="3218"/>
      <c r="AB136" s="3218"/>
      <c r="AC136" s="3218"/>
      <c r="AD136" s="3218"/>
      <c r="AE136" s="3218"/>
      <c r="AF136" s="3218"/>
      <c r="AG136" s="3218"/>
      <c r="AH136" s="3218"/>
      <c r="AI136" s="3218"/>
      <c r="AJ136" s="3218"/>
      <c r="AK136" s="3193"/>
      <c r="AL136" s="3193"/>
      <c r="AM136" s="3196"/>
      <c r="AN136" s="1253"/>
      <c r="AO136" s="1253"/>
      <c r="AP136" s="1364"/>
      <c r="AQ136" s="1364"/>
      <c r="AR136" s="1254"/>
      <c r="AS136" s="1254"/>
      <c r="AT136" s="1254"/>
      <c r="AU136" s="1254"/>
      <c r="AV136" s="1254"/>
      <c r="AW136" s="1254"/>
      <c r="AX136" s="1254"/>
      <c r="AY136" s="1254"/>
      <c r="AZ136" s="1254"/>
      <c r="BA136" s="1254"/>
      <c r="BB136" s="1254"/>
      <c r="BC136" s="1254"/>
      <c r="BD136" s="1254"/>
      <c r="BE136" s="1254"/>
      <c r="BF136" s="1254"/>
      <c r="BG136" s="1254"/>
      <c r="BH136" s="1254"/>
      <c r="BI136" s="1254"/>
      <c r="BJ136" s="1254"/>
      <c r="BK136" s="1254"/>
      <c r="BL136" s="1254"/>
      <c r="BM136" s="1254"/>
      <c r="BN136" s="1254"/>
      <c r="BO136" s="1254"/>
      <c r="BP136" s="1254"/>
      <c r="BQ136" s="1254"/>
      <c r="BR136" s="1254"/>
      <c r="BS136" s="1254"/>
      <c r="BT136" s="1254"/>
      <c r="BU136" s="1254"/>
      <c r="BV136" s="1254"/>
      <c r="BW136" s="1254"/>
      <c r="BX136" s="1254"/>
      <c r="BY136" s="1254"/>
      <c r="BZ136" s="1254"/>
      <c r="CA136" s="1254"/>
      <c r="CB136" s="1254"/>
      <c r="CC136" s="1254"/>
      <c r="CD136" s="1254"/>
      <c r="CE136" s="1254"/>
      <c r="CF136" s="1254"/>
      <c r="CG136" s="1254"/>
      <c r="CH136" s="1254"/>
      <c r="CI136" s="1254"/>
      <c r="CJ136" s="1200"/>
      <c r="CK136" s="1200"/>
      <c r="CL136" s="1200"/>
      <c r="CM136" s="1200"/>
      <c r="CN136" s="1200"/>
      <c r="CO136" s="1200"/>
      <c r="CP136" s="1200"/>
      <c r="CQ136" s="1200"/>
      <c r="CR136" s="1200"/>
      <c r="CS136" s="1200"/>
      <c r="CT136" s="1200"/>
      <c r="CU136" s="1200"/>
      <c r="CV136" s="1200"/>
      <c r="CW136" s="1200"/>
      <c r="CX136" s="1200"/>
      <c r="CY136" s="1200"/>
      <c r="CZ136" s="1200"/>
      <c r="DA136" s="1200"/>
      <c r="DB136" s="1200"/>
      <c r="DC136" s="1200"/>
      <c r="DD136" s="1200"/>
      <c r="DE136" s="1200"/>
      <c r="DF136" s="1200"/>
      <c r="DG136" s="1200"/>
      <c r="DH136" s="1200"/>
      <c r="DI136" s="1200"/>
      <c r="DJ136" s="1200"/>
      <c r="DK136" s="1200"/>
      <c r="DL136" s="1200"/>
      <c r="DM136" s="1200"/>
      <c r="DN136" s="1200"/>
      <c r="DO136" s="1200"/>
      <c r="DP136" s="1200"/>
      <c r="DQ136" s="1200"/>
      <c r="DR136" s="1200"/>
      <c r="DS136" s="1200"/>
      <c r="DT136" s="1200"/>
      <c r="DU136" s="1200"/>
      <c r="DV136" s="1200"/>
      <c r="DW136" s="1200"/>
      <c r="DX136" s="1200"/>
      <c r="DY136" s="1200"/>
      <c r="DZ136" s="1200"/>
      <c r="EA136" s="1200"/>
      <c r="EB136" s="1200"/>
      <c r="EC136" s="1200"/>
      <c r="ED136" s="1200"/>
      <c r="EE136" s="1200"/>
      <c r="EF136" s="1200"/>
      <c r="EG136" s="1200"/>
      <c r="EH136" s="1200"/>
      <c r="EI136" s="1200"/>
      <c r="EJ136" s="1200"/>
      <c r="EK136" s="1200"/>
      <c r="EL136" s="1200"/>
      <c r="EM136" s="1200"/>
      <c r="EN136" s="1200"/>
      <c r="EO136" s="1200"/>
      <c r="EP136" s="1200"/>
      <c r="EQ136" s="1200"/>
      <c r="ER136" s="1200"/>
      <c r="ES136" s="1200"/>
      <c r="ET136" s="1200"/>
      <c r="EU136" s="1200"/>
      <c r="EV136" s="1200"/>
      <c r="EW136" s="1200"/>
      <c r="EX136" s="1200"/>
      <c r="EY136" s="1200"/>
      <c r="EZ136" s="1200"/>
      <c r="FA136" s="1200"/>
      <c r="FB136" s="1200"/>
      <c r="FC136" s="1200"/>
      <c r="FD136" s="1200"/>
      <c r="FE136" s="1200"/>
      <c r="FF136" s="1200"/>
      <c r="FG136" s="1200"/>
      <c r="FH136" s="1200"/>
      <c r="FI136" s="1200"/>
      <c r="FJ136" s="1200"/>
      <c r="FK136" s="1200"/>
      <c r="FL136" s="1200"/>
      <c r="FM136" s="1200"/>
      <c r="FN136" s="1200"/>
      <c r="FO136" s="1200"/>
      <c r="FP136" s="1200"/>
      <c r="FQ136" s="1200"/>
      <c r="FR136" s="1200"/>
      <c r="FS136" s="1200"/>
      <c r="FT136" s="1200"/>
      <c r="FU136" s="1200"/>
      <c r="FV136" s="1200"/>
      <c r="FW136" s="1200"/>
      <c r="FX136" s="1200"/>
      <c r="FY136" s="1200"/>
      <c r="FZ136" s="1200"/>
      <c r="GA136" s="1200"/>
      <c r="GB136" s="1200"/>
      <c r="GC136" s="1200"/>
      <c r="GD136" s="1200"/>
      <c r="GE136" s="1200"/>
      <c r="GF136" s="1200"/>
      <c r="GG136" s="1200"/>
      <c r="GH136" s="1200"/>
      <c r="GI136" s="1200"/>
      <c r="GJ136" s="1200"/>
      <c r="GK136" s="1200"/>
      <c r="GL136" s="1200"/>
      <c r="GM136" s="1200"/>
      <c r="GN136" s="1200"/>
      <c r="GO136" s="1200"/>
      <c r="GP136" s="1200"/>
      <c r="GQ136" s="1200"/>
      <c r="GR136" s="1200"/>
      <c r="GS136" s="1200"/>
      <c r="GT136" s="1200"/>
      <c r="GU136" s="1200"/>
      <c r="GV136" s="1200"/>
      <c r="GW136" s="1200"/>
      <c r="GX136" s="1200"/>
      <c r="GY136" s="1200"/>
      <c r="GZ136" s="1200"/>
      <c r="HA136" s="1200"/>
      <c r="HB136" s="1200"/>
      <c r="HC136" s="1200"/>
      <c r="HD136" s="1200"/>
      <c r="HE136" s="1200"/>
      <c r="HF136" s="1200"/>
      <c r="HG136" s="1200"/>
      <c r="HH136" s="1200"/>
      <c r="HI136" s="1200"/>
      <c r="HJ136" s="1200"/>
      <c r="HK136" s="1200"/>
      <c r="HL136" s="1200"/>
      <c r="HM136" s="1200"/>
      <c r="HN136" s="1200"/>
      <c r="HO136" s="1200"/>
      <c r="HP136" s="1200"/>
      <c r="HQ136" s="1200"/>
      <c r="HR136" s="1200"/>
      <c r="HS136" s="1200"/>
      <c r="HT136" s="1200"/>
      <c r="HU136" s="1200"/>
      <c r="HV136" s="1200"/>
      <c r="HW136" s="1200"/>
      <c r="HX136" s="1200"/>
      <c r="HY136" s="1200"/>
      <c r="HZ136" s="1200"/>
      <c r="IA136" s="1200"/>
      <c r="IB136" s="1200"/>
      <c r="IC136" s="1200"/>
      <c r="ID136" s="1200"/>
      <c r="IE136" s="1200"/>
      <c r="IF136" s="1200"/>
      <c r="IG136" s="1200"/>
      <c r="IH136" s="1200"/>
      <c r="II136" s="1200"/>
      <c r="IJ136" s="1200"/>
      <c r="IK136" s="1200"/>
      <c r="IL136" s="1200"/>
      <c r="IM136" s="1200"/>
      <c r="IN136" s="1200"/>
      <c r="IO136" s="1200"/>
      <c r="IP136" s="1200"/>
      <c r="IQ136" s="1200"/>
      <c r="IR136" s="1200"/>
      <c r="IS136" s="1200"/>
      <c r="IT136" s="1200"/>
      <c r="IU136" s="1200"/>
      <c r="IV136" s="1200"/>
      <c r="IW136" s="1200"/>
      <c r="IX136" s="1200"/>
      <c r="IY136" s="1200"/>
      <c r="IZ136" s="1200"/>
      <c r="JA136" s="1200"/>
      <c r="JB136" s="1200"/>
      <c r="JC136" s="1200"/>
      <c r="JD136" s="1200"/>
      <c r="JE136" s="1200"/>
      <c r="JF136" s="1200"/>
      <c r="JG136" s="1200"/>
      <c r="JH136" s="1200"/>
      <c r="JI136" s="1200"/>
      <c r="JJ136" s="1200"/>
      <c r="JK136" s="1200"/>
      <c r="JL136" s="1200"/>
      <c r="JM136" s="1200"/>
      <c r="JN136" s="1200"/>
      <c r="JO136" s="1200"/>
      <c r="JP136" s="1200"/>
      <c r="JQ136" s="1200"/>
      <c r="JR136" s="1200"/>
      <c r="JS136" s="1200"/>
      <c r="JT136" s="1200"/>
      <c r="JU136" s="1200"/>
      <c r="JV136" s="1200"/>
      <c r="JW136" s="1200"/>
      <c r="JX136" s="1200"/>
      <c r="JY136" s="1200"/>
      <c r="JZ136" s="1200"/>
      <c r="KA136" s="1200"/>
      <c r="KB136" s="1200"/>
      <c r="KC136" s="1200"/>
      <c r="KD136" s="1200"/>
      <c r="KE136" s="1200"/>
      <c r="KF136" s="1200"/>
      <c r="KG136" s="1200"/>
      <c r="KH136" s="1200"/>
      <c r="KI136" s="1200"/>
      <c r="KJ136" s="1200"/>
      <c r="KK136" s="1200"/>
      <c r="KL136" s="1200"/>
      <c r="KM136" s="1200"/>
      <c r="KN136" s="1200"/>
      <c r="KO136" s="1200"/>
      <c r="KP136" s="1200"/>
      <c r="KQ136" s="1200"/>
      <c r="KR136" s="1200"/>
      <c r="KS136" s="1200"/>
      <c r="KT136" s="1200"/>
      <c r="KU136" s="1200"/>
      <c r="KV136" s="1200"/>
      <c r="KW136" s="1200"/>
      <c r="KX136" s="1200"/>
      <c r="KY136" s="1200"/>
      <c r="KZ136" s="1200"/>
      <c r="LA136" s="1200"/>
      <c r="LB136" s="1200"/>
      <c r="LC136" s="1200"/>
      <c r="LD136" s="1200"/>
      <c r="LE136" s="1200"/>
      <c r="LF136" s="1200"/>
      <c r="LG136" s="1200"/>
      <c r="LH136" s="1200"/>
      <c r="LI136" s="1200"/>
      <c r="LJ136" s="1200"/>
      <c r="LK136" s="1200"/>
      <c r="LL136" s="1200"/>
      <c r="LM136" s="1200"/>
      <c r="LN136" s="1200"/>
      <c r="LO136" s="1200"/>
      <c r="LP136" s="1200"/>
      <c r="LQ136" s="1200"/>
      <c r="LR136" s="1200"/>
      <c r="LS136" s="1200"/>
      <c r="LT136" s="1200"/>
      <c r="LU136" s="1200"/>
      <c r="LV136" s="1200"/>
      <c r="LW136" s="1200"/>
      <c r="LX136" s="1200"/>
      <c r="LY136" s="1200"/>
      <c r="LZ136" s="1200"/>
      <c r="MA136" s="1200"/>
      <c r="MB136" s="1200"/>
      <c r="MC136" s="1200"/>
      <c r="MD136" s="1200"/>
      <c r="ME136" s="1200"/>
      <c r="MF136" s="1200"/>
      <c r="MG136" s="1200"/>
    </row>
    <row r="137" spans="1:345" s="1363" customFormat="1" ht="52.5" customHeight="1" x14ac:dyDescent="0.2">
      <c r="A137" s="1240"/>
      <c r="B137" s="1241"/>
      <c r="C137" s="1242"/>
      <c r="D137" s="1241"/>
      <c r="E137" s="1241"/>
      <c r="F137" s="1242"/>
      <c r="G137" s="1240"/>
      <c r="H137" s="1241"/>
      <c r="I137" s="1242"/>
      <c r="J137" s="3191"/>
      <c r="K137" s="3180"/>
      <c r="L137" s="3177"/>
      <c r="M137" s="3177"/>
      <c r="N137" s="3177"/>
      <c r="O137" s="3177"/>
      <c r="P137" s="3180"/>
      <c r="Q137" s="2786"/>
      <c r="R137" s="3301"/>
      <c r="S137" s="3180"/>
      <c r="T137" s="3180"/>
      <c r="U137" s="1268" t="s">
        <v>1493</v>
      </c>
      <c r="V137" s="1255">
        <v>50000000</v>
      </c>
      <c r="W137" s="3221"/>
      <c r="X137" s="3224"/>
      <c r="Y137" s="3218"/>
      <c r="Z137" s="3218"/>
      <c r="AA137" s="3218"/>
      <c r="AB137" s="3218"/>
      <c r="AC137" s="3218"/>
      <c r="AD137" s="3218"/>
      <c r="AE137" s="3218"/>
      <c r="AF137" s="3218"/>
      <c r="AG137" s="3218"/>
      <c r="AH137" s="3218"/>
      <c r="AI137" s="3218"/>
      <c r="AJ137" s="3218"/>
      <c r="AK137" s="3193"/>
      <c r="AL137" s="3193"/>
      <c r="AM137" s="3196"/>
      <c r="AN137" s="1253"/>
      <c r="AO137" s="1253"/>
      <c r="AP137" s="1364"/>
      <c r="AQ137" s="1364"/>
      <c r="AR137" s="1254"/>
      <c r="AS137" s="1254"/>
      <c r="AT137" s="1254"/>
      <c r="AU137" s="1254"/>
      <c r="AV137" s="1254"/>
      <c r="AW137" s="1254"/>
      <c r="AX137" s="1254"/>
      <c r="AY137" s="1254"/>
      <c r="AZ137" s="1254"/>
      <c r="BA137" s="1254"/>
      <c r="BB137" s="1254"/>
      <c r="BC137" s="1254"/>
      <c r="BD137" s="1254"/>
      <c r="BE137" s="1254"/>
      <c r="BF137" s="1254"/>
      <c r="BG137" s="1254"/>
      <c r="BH137" s="1254"/>
      <c r="BI137" s="1254"/>
      <c r="BJ137" s="1254"/>
      <c r="BK137" s="1254"/>
      <c r="BL137" s="1254"/>
      <c r="BM137" s="1254"/>
      <c r="BN137" s="1254"/>
      <c r="BO137" s="1254"/>
      <c r="BP137" s="1254"/>
      <c r="BQ137" s="1254"/>
      <c r="BR137" s="1254"/>
      <c r="BS137" s="1254"/>
      <c r="BT137" s="1254"/>
      <c r="BU137" s="1254"/>
      <c r="BV137" s="1254"/>
      <c r="BW137" s="1254"/>
      <c r="BX137" s="1254"/>
      <c r="BY137" s="1254"/>
      <c r="BZ137" s="1254"/>
      <c r="CA137" s="1254"/>
      <c r="CB137" s="1200"/>
      <c r="CC137" s="1200"/>
      <c r="CD137" s="1200"/>
      <c r="CE137" s="1200"/>
      <c r="CF137" s="1200"/>
      <c r="CG137" s="1200"/>
      <c r="CH137" s="1200"/>
      <c r="CI137" s="1200"/>
      <c r="CJ137" s="1200"/>
      <c r="CK137" s="1200"/>
      <c r="CL137" s="1200"/>
      <c r="CM137" s="1200"/>
      <c r="CN137" s="1200"/>
      <c r="CO137" s="1200"/>
      <c r="CP137" s="1200"/>
      <c r="CQ137" s="1200"/>
      <c r="CR137" s="1200"/>
      <c r="CS137" s="1200"/>
      <c r="CT137" s="1200"/>
      <c r="CU137" s="1200"/>
      <c r="CV137" s="1200"/>
      <c r="CW137" s="1200"/>
      <c r="CX137" s="1200"/>
      <c r="CY137" s="1200"/>
      <c r="CZ137" s="1200"/>
      <c r="DA137" s="1200"/>
      <c r="DB137" s="1200"/>
      <c r="DC137" s="1200"/>
      <c r="DD137" s="1200"/>
      <c r="DE137" s="1200"/>
      <c r="DF137" s="1200"/>
      <c r="DG137" s="1200"/>
      <c r="DH137" s="1200"/>
      <c r="DI137" s="1200"/>
      <c r="DJ137" s="1200"/>
      <c r="DK137" s="1200"/>
      <c r="DL137" s="1200"/>
      <c r="DM137" s="1200"/>
      <c r="DN137" s="1200"/>
      <c r="DO137" s="1200"/>
      <c r="DP137" s="1200"/>
      <c r="DQ137" s="1200"/>
      <c r="DR137" s="1200"/>
      <c r="DS137" s="1200"/>
      <c r="DT137" s="1200"/>
      <c r="DU137" s="1200"/>
      <c r="DV137" s="1200"/>
      <c r="DW137" s="1200"/>
      <c r="DX137" s="1200"/>
      <c r="DY137" s="1200"/>
      <c r="DZ137" s="1200"/>
      <c r="EA137" s="1200"/>
      <c r="EB137" s="1200"/>
      <c r="EC137" s="1200"/>
      <c r="ED137" s="1200"/>
      <c r="EE137" s="1200"/>
      <c r="EF137" s="1200"/>
      <c r="EG137" s="1200"/>
      <c r="EH137" s="1200"/>
      <c r="EI137" s="1200"/>
      <c r="EJ137" s="1200"/>
      <c r="EK137" s="1200"/>
      <c r="EL137" s="1200"/>
      <c r="EM137" s="1200"/>
      <c r="EN137" s="1200"/>
      <c r="EO137" s="1200"/>
      <c r="EP137" s="1200"/>
      <c r="EQ137" s="1200"/>
      <c r="ER137" s="1200"/>
      <c r="ES137" s="1200"/>
      <c r="ET137" s="1200"/>
      <c r="EU137" s="1200"/>
      <c r="EV137" s="1200"/>
      <c r="EW137" s="1200"/>
      <c r="EX137" s="1200"/>
      <c r="EY137" s="1200"/>
      <c r="EZ137" s="1200"/>
      <c r="FA137" s="1200"/>
      <c r="FB137" s="1200"/>
      <c r="FC137" s="1200"/>
      <c r="FD137" s="1200"/>
      <c r="FE137" s="1200"/>
      <c r="FF137" s="1200"/>
      <c r="FG137" s="1200"/>
      <c r="FH137" s="1200"/>
      <c r="FI137" s="1200"/>
      <c r="FJ137" s="1200"/>
      <c r="FK137" s="1200"/>
      <c r="FL137" s="1200"/>
      <c r="FM137" s="1200"/>
      <c r="FN137" s="1200"/>
      <c r="FO137" s="1200"/>
      <c r="FP137" s="1200"/>
      <c r="FQ137" s="1200"/>
      <c r="FR137" s="1200"/>
      <c r="FS137" s="1200"/>
      <c r="FT137" s="1200"/>
      <c r="FU137" s="1200"/>
      <c r="FV137" s="1200"/>
      <c r="FW137" s="1200"/>
      <c r="FX137" s="1200"/>
      <c r="FY137" s="1200"/>
      <c r="FZ137" s="1200"/>
      <c r="GA137" s="1200"/>
      <c r="GB137" s="1200"/>
      <c r="GC137" s="1200"/>
      <c r="GD137" s="1200"/>
      <c r="GE137" s="1200"/>
      <c r="GF137" s="1200"/>
      <c r="GG137" s="1200"/>
      <c r="GH137" s="1200"/>
      <c r="GI137" s="1200"/>
      <c r="GJ137" s="1200"/>
      <c r="GK137" s="1200"/>
      <c r="GL137" s="1200"/>
      <c r="GM137" s="1200"/>
      <c r="GN137" s="1200"/>
      <c r="GO137" s="1200"/>
      <c r="GP137" s="1200"/>
      <c r="GQ137" s="1200"/>
      <c r="GR137" s="1200"/>
      <c r="GS137" s="1200"/>
      <c r="GT137" s="1200"/>
      <c r="GU137" s="1200"/>
      <c r="GV137" s="1200"/>
      <c r="GW137" s="1200"/>
      <c r="GX137" s="1200"/>
      <c r="GY137" s="1200"/>
      <c r="GZ137" s="1200"/>
      <c r="HA137" s="1200"/>
      <c r="HB137" s="1200"/>
      <c r="HC137" s="1200"/>
      <c r="HD137" s="1200"/>
      <c r="HE137" s="1200"/>
      <c r="HF137" s="1200"/>
      <c r="HG137" s="1200"/>
      <c r="HH137" s="1200"/>
      <c r="HI137" s="1200"/>
      <c r="HJ137" s="1200"/>
      <c r="HK137" s="1200"/>
      <c r="HL137" s="1200"/>
      <c r="HM137" s="1200"/>
      <c r="HN137" s="1200"/>
      <c r="HO137" s="1200"/>
      <c r="HP137" s="1200"/>
      <c r="HQ137" s="1200"/>
      <c r="HR137" s="1200"/>
      <c r="HS137" s="1200"/>
      <c r="HT137" s="1200"/>
      <c r="HU137" s="1200"/>
      <c r="HV137" s="1200"/>
      <c r="HW137" s="1200"/>
      <c r="HX137" s="1200"/>
      <c r="HY137" s="1200"/>
      <c r="HZ137" s="1200"/>
      <c r="IA137" s="1200"/>
      <c r="IB137" s="1200"/>
      <c r="IC137" s="1200"/>
      <c r="ID137" s="1200"/>
      <c r="IE137" s="1200"/>
      <c r="IF137" s="1200"/>
      <c r="IG137" s="1200"/>
      <c r="IH137" s="1200"/>
      <c r="II137" s="1200"/>
      <c r="IJ137" s="1200"/>
      <c r="IK137" s="1200"/>
      <c r="IL137" s="1200"/>
      <c r="IM137" s="1200"/>
      <c r="IN137" s="1200"/>
      <c r="IO137" s="1200"/>
      <c r="IP137" s="1200"/>
      <c r="IQ137" s="1200"/>
      <c r="IR137" s="1200"/>
      <c r="IS137" s="1200"/>
      <c r="IT137" s="1200"/>
      <c r="IU137" s="1200"/>
      <c r="IV137" s="1200"/>
      <c r="IW137" s="1200"/>
      <c r="IX137" s="1200"/>
      <c r="IY137" s="1200"/>
      <c r="IZ137" s="1200"/>
      <c r="JA137" s="1200"/>
      <c r="JB137" s="1200"/>
      <c r="JC137" s="1200"/>
      <c r="JD137" s="1200"/>
      <c r="JE137" s="1200"/>
      <c r="JF137" s="1200"/>
      <c r="JG137" s="1200"/>
      <c r="JH137" s="1200"/>
      <c r="JI137" s="1200"/>
      <c r="JJ137" s="1200"/>
      <c r="JK137" s="1200"/>
      <c r="JL137" s="1200"/>
      <c r="JM137" s="1200"/>
      <c r="JN137" s="1200"/>
      <c r="JO137" s="1200"/>
      <c r="JP137" s="1200"/>
      <c r="JQ137" s="1200"/>
      <c r="JR137" s="1200"/>
      <c r="JS137" s="1200"/>
      <c r="JT137" s="1200"/>
      <c r="JU137" s="1200"/>
      <c r="JV137" s="1200"/>
      <c r="JW137" s="1200"/>
      <c r="JX137" s="1200"/>
      <c r="JY137" s="1200"/>
      <c r="JZ137" s="1200"/>
      <c r="KA137" s="1200"/>
      <c r="KB137" s="1200"/>
      <c r="KC137" s="1200"/>
      <c r="KD137" s="1200"/>
      <c r="KE137" s="1200"/>
      <c r="KF137" s="1200"/>
      <c r="KG137" s="1200"/>
      <c r="KH137" s="1200"/>
      <c r="KI137" s="1200"/>
      <c r="KJ137" s="1200"/>
      <c r="KK137" s="1200"/>
      <c r="KL137" s="1200"/>
      <c r="KM137" s="1200"/>
      <c r="KN137" s="1200"/>
      <c r="KO137" s="1200"/>
      <c r="KP137" s="1200"/>
      <c r="KQ137" s="1200"/>
      <c r="KR137" s="1200"/>
      <c r="KS137" s="1200"/>
      <c r="KT137" s="1200"/>
      <c r="KU137" s="1200"/>
      <c r="KV137" s="1200"/>
      <c r="KW137" s="1200"/>
      <c r="KX137" s="1200"/>
      <c r="KY137" s="1200"/>
      <c r="KZ137" s="1200"/>
      <c r="LA137" s="1200"/>
      <c r="LB137" s="1200"/>
      <c r="LC137" s="1200"/>
      <c r="LD137" s="1200"/>
      <c r="LE137" s="1200"/>
      <c r="LF137" s="1200"/>
      <c r="LG137" s="1200"/>
      <c r="LH137" s="1200"/>
      <c r="LI137" s="1200"/>
      <c r="LJ137" s="1200"/>
      <c r="LK137" s="1200"/>
      <c r="LL137" s="1200"/>
      <c r="LM137" s="1200"/>
      <c r="LN137" s="1200"/>
      <c r="LO137" s="1200"/>
      <c r="LP137" s="1200"/>
      <c r="LQ137" s="1200"/>
      <c r="LR137" s="1200"/>
      <c r="LS137" s="1200"/>
      <c r="LT137" s="1200"/>
      <c r="LU137" s="1200"/>
      <c r="LV137" s="1200"/>
      <c r="LW137" s="1200"/>
      <c r="LX137" s="1200"/>
      <c r="LY137" s="1200"/>
      <c r="LZ137" s="1200"/>
      <c r="MA137" s="1200"/>
      <c r="MB137" s="1200"/>
      <c r="MC137" s="1200"/>
      <c r="MD137" s="1200"/>
      <c r="ME137" s="1200"/>
      <c r="MF137" s="1200"/>
      <c r="MG137" s="1200"/>
    </row>
    <row r="138" spans="1:345" s="1363" customFormat="1" ht="66" customHeight="1" x14ac:dyDescent="0.2">
      <c r="A138" s="1240"/>
      <c r="B138" s="1241"/>
      <c r="C138" s="1242"/>
      <c r="D138" s="1241"/>
      <c r="E138" s="1241"/>
      <c r="F138" s="1242"/>
      <c r="G138" s="1240"/>
      <c r="H138" s="1241"/>
      <c r="I138" s="1242"/>
      <c r="J138" s="3191"/>
      <c r="K138" s="3180"/>
      <c r="L138" s="3177"/>
      <c r="M138" s="3177"/>
      <c r="N138" s="3177"/>
      <c r="O138" s="3177"/>
      <c r="P138" s="3180"/>
      <c r="Q138" s="2786"/>
      <c r="R138" s="3301"/>
      <c r="S138" s="3180"/>
      <c r="T138" s="3180"/>
      <c r="U138" s="1268" t="s">
        <v>1494</v>
      </c>
      <c r="V138" s="1255">
        <v>30000000</v>
      </c>
      <c r="W138" s="3221"/>
      <c r="X138" s="3224"/>
      <c r="Y138" s="3218"/>
      <c r="Z138" s="3218"/>
      <c r="AA138" s="3218"/>
      <c r="AB138" s="3218"/>
      <c r="AC138" s="3218"/>
      <c r="AD138" s="3218"/>
      <c r="AE138" s="3218"/>
      <c r="AF138" s="3218"/>
      <c r="AG138" s="3218"/>
      <c r="AH138" s="3218"/>
      <c r="AI138" s="3218"/>
      <c r="AJ138" s="3218"/>
      <c r="AK138" s="3193"/>
      <c r="AL138" s="3193"/>
      <c r="AM138" s="3196"/>
      <c r="AN138" s="1253"/>
      <c r="AO138" s="1253"/>
      <c r="AP138" s="1253"/>
      <c r="AQ138" s="1364"/>
      <c r="AR138" s="1254"/>
      <c r="AS138" s="1254"/>
      <c r="AT138" s="1254"/>
      <c r="AU138" s="1254"/>
      <c r="AV138" s="1254"/>
      <c r="AW138" s="1254"/>
      <c r="AX138" s="1254"/>
      <c r="AY138" s="1254"/>
      <c r="AZ138" s="1254"/>
      <c r="BA138" s="1254"/>
      <c r="BB138" s="1254"/>
      <c r="BC138" s="1254"/>
      <c r="BD138" s="1254"/>
      <c r="BE138" s="1254"/>
      <c r="BF138" s="1254"/>
      <c r="BG138" s="1254"/>
      <c r="BH138" s="1254"/>
      <c r="BI138" s="1254"/>
      <c r="BJ138" s="1254"/>
      <c r="BK138" s="1254"/>
      <c r="BL138" s="1254"/>
      <c r="BM138" s="1254"/>
      <c r="BN138" s="1254"/>
      <c r="BO138" s="1254"/>
      <c r="BP138" s="1254"/>
      <c r="BQ138" s="1254"/>
      <c r="BR138" s="1254"/>
      <c r="BS138" s="1254"/>
      <c r="BT138" s="1254"/>
      <c r="BU138" s="1254"/>
      <c r="BV138" s="1254"/>
      <c r="BW138" s="1254"/>
      <c r="BX138" s="1254"/>
      <c r="BY138" s="1254"/>
      <c r="BZ138" s="1254"/>
      <c r="CA138" s="1254"/>
      <c r="CB138" s="1200"/>
      <c r="CC138" s="1200"/>
      <c r="CD138" s="1200"/>
      <c r="CE138" s="1200"/>
      <c r="CF138" s="1200"/>
      <c r="CG138" s="1200"/>
      <c r="CH138" s="1200"/>
      <c r="CI138" s="1200"/>
      <c r="CJ138" s="1200"/>
      <c r="CK138" s="1200"/>
      <c r="CL138" s="1200"/>
      <c r="CM138" s="1200"/>
      <c r="CN138" s="1200"/>
      <c r="CO138" s="1200"/>
      <c r="CP138" s="1200"/>
      <c r="CQ138" s="1200"/>
      <c r="CR138" s="1200"/>
      <c r="CS138" s="1200"/>
      <c r="CT138" s="1200"/>
      <c r="CU138" s="1200"/>
      <c r="CV138" s="1200"/>
      <c r="CW138" s="1200"/>
      <c r="CX138" s="1200"/>
      <c r="CY138" s="1200"/>
      <c r="CZ138" s="1200"/>
      <c r="DA138" s="1200"/>
      <c r="DB138" s="1200"/>
      <c r="DC138" s="1200"/>
      <c r="DD138" s="1200"/>
      <c r="DE138" s="1200"/>
      <c r="DF138" s="1200"/>
      <c r="DG138" s="1200"/>
      <c r="DH138" s="1200"/>
      <c r="DI138" s="1200"/>
      <c r="DJ138" s="1200"/>
      <c r="DK138" s="1200"/>
      <c r="DL138" s="1200"/>
      <c r="DM138" s="1200"/>
      <c r="DN138" s="1200"/>
      <c r="DO138" s="1200"/>
      <c r="DP138" s="1200"/>
      <c r="DQ138" s="1200"/>
      <c r="DR138" s="1200"/>
      <c r="DS138" s="1200"/>
      <c r="DT138" s="1200"/>
      <c r="DU138" s="1200"/>
      <c r="DV138" s="1200"/>
      <c r="DW138" s="1200"/>
      <c r="DX138" s="1200"/>
      <c r="DY138" s="1200"/>
      <c r="DZ138" s="1200"/>
      <c r="EA138" s="1200"/>
      <c r="EB138" s="1200"/>
      <c r="EC138" s="1200"/>
      <c r="ED138" s="1200"/>
      <c r="EE138" s="1200"/>
      <c r="EF138" s="1200"/>
      <c r="EG138" s="1200"/>
      <c r="EH138" s="1200"/>
      <c r="EI138" s="1200"/>
      <c r="EJ138" s="1200"/>
      <c r="EK138" s="1200"/>
      <c r="EL138" s="1200"/>
      <c r="EM138" s="1200"/>
      <c r="EN138" s="1200"/>
      <c r="EO138" s="1200"/>
      <c r="EP138" s="1200"/>
      <c r="EQ138" s="1200"/>
      <c r="ER138" s="1200"/>
      <c r="ES138" s="1200"/>
      <c r="ET138" s="1200"/>
      <c r="EU138" s="1200"/>
      <c r="EV138" s="1200"/>
      <c r="EW138" s="1200"/>
      <c r="EX138" s="1200"/>
      <c r="EY138" s="1200"/>
      <c r="EZ138" s="1200"/>
      <c r="FA138" s="1200"/>
      <c r="FB138" s="1200"/>
      <c r="FC138" s="1200"/>
      <c r="FD138" s="1200"/>
      <c r="FE138" s="1200"/>
      <c r="FF138" s="1200"/>
      <c r="FG138" s="1200"/>
      <c r="FH138" s="1200"/>
      <c r="FI138" s="1200"/>
      <c r="FJ138" s="1200"/>
      <c r="FK138" s="1200"/>
      <c r="FL138" s="1200"/>
      <c r="FM138" s="1200"/>
      <c r="FN138" s="1200"/>
      <c r="FO138" s="1200"/>
      <c r="FP138" s="1200"/>
      <c r="FQ138" s="1200"/>
      <c r="FR138" s="1200"/>
      <c r="FS138" s="1200"/>
      <c r="FT138" s="1200"/>
      <c r="FU138" s="1200"/>
      <c r="FV138" s="1200"/>
      <c r="FW138" s="1200"/>
      <c r="FX138" s="1200"/>
      <c r="FY138" s="1200"/>
      <c r="FZ138" s="1200"/>
      <c r="GA138" s="1200"/>
      <c r="GB138" s="1200"/>
      <c r="GC138" s="1200"/>
      <c r="GD138" s="1200"/>
      <c r="GE138" s="1200"/>
      <c r="GF138" s="1200"/>
      <c r="GG138" s="1200"/>
      <c r="GH138" s="1200"/>
      <c r="GI138" s="1200"/>
      <c r="GJ138" s="1200"/>
      <c r="GK138" s="1200"/>
      <c r="GL138" s="1200"/>
      <c r="GM138" s="1200"/>
      <c r="GN138" s="1200"/>
      <c r="GO138" s="1200"/>
      <c r="GP138" s="1200"/>
      <c r="GQ138" s="1200"/>
      <c r="GR138" s="1200"/>
      <c r="GS138" s="1200"/>
      <c r="GT138" s="1200"/>
      <c r="GU138" s="1200"/>
      <c r="GV138" s="1200"/>
      <c r="GW138" s="1200"/>
      <c r="GX138" s="1200"/>
      <c r="GY138" s="1200"/>
      <c r="GZ138" s="1200"/>
      <c r="HA138" s="1200"/>
      <c r="HB138" s="1200"/>
      <c r="HC138" s="1200"/>
      <c r="HD138" s="1200"/>
      <c r="HE138" s="1200"/>
      <c r="HF138" s="1200"/>
      <c r="HG138" s="1200"/>
      <c r="HH138" s="1200"/>
      <c r="HI138" s="1200"/>
      <c r="HJ138" s="1200"/>
      <c r="HK138" s="1200"/>
      <c r="HL138" s="1200"/>
      <c r="HM138" s="1200"/>
      <c r="HN138" s="1200"/>
      <c r="HO138" s="1200"/>
      <c r="HP138" s="1200"/>
      <c r="HQ138" s="1200"/>
      <c r="HR138" s="1200"/>
      <c r="HS138" s="1200"/>
      <c r="HT138" s="1200"/>
      <c r="HU138" s="1200"/>
      <c r="HV138" s="1200"/>
      <c r="HW138" s="1200"/>
      <c r="HX138" s="1200"/>
      <c r="HY138" s="1200"/>
      <c r="HZ138" s="1200"/>
      <c r="IA138" s="1200"/>
      <c r="IB138" s="1200"/>
      <c r="IC138" s="1200"/>
      <c r="ID138" s="1200"/>
      <c r="IE138" s="1200"/>
      <c r="IF138" s="1200"/>
      <c r="IG138" s="1200"/>
      <c r="IH138" s="1200"/>
      <c r="II138" s="1200"/>
      <c r="IJ138" s="1200"/>
      <c r="IK138" s="1200"/>
      <c r="IL138" s="1200"/>
      <c r="IM138" s="1200"/>
      <c r="IN138" s="1200"/>
      <c r="IO138" s="1200"/>
      <c r="IP138" s="1200"/>
      <c r="IQ138" s="1200"/>
      <c r="IR138" s="1200"/>
      <c r="IS138" s="1200"/>
      <c r="IT138" s="1200"/>
      <c r="IU138" s="1200"/>
      <c r="IV138" s="1200"/>
      <c r="IW138" s="1200"/>
      <c r="IX138" s="1200"/>
      <c r="IY138" s="1200"/>
      <c r="IZ138" s="1200"/>
      <c r="JA138" s="1200"/>
      <c r="JB138" s="1200"/>
      <c r="JC138" s="1200"/>
      <c r="JD138" s="1200"/>
      <c r="JE138" s="1200"/>
      <c r="JF138" s="1200"/>
      <c r="JG138" s="1200"/>
      <c r="JH138" s="1200"/>
      <c r="JI138" s="1200"/>
      <c r="JJ138" s="1200"/>
      <c r="JK138" s="1200"/>
      <c r="JL138" s="1200"/>
      <c r="JM138" s="1200"/>
      <c r="JN138" s="1200"/>
      <c r="JO138" s="1200"/>
      <c r="JP138" s="1200"/>
      <c r="JQ138" s="1200"/>
      <c r="JR138" s="1200"/>
      <c r="JS138" s="1200"/>
      <c r="JT138" s="1200"/>
      <c r="JU138" s="1200"/>
      <c r="JV138" s="1200"/>
      <c r="JW138" s="1200"/>
      <c r="JX138" s="1200"/>
      <c r="JY138" s="1200"/>
      <c r="JZ138" s="1200"/>
      <c r="KA138" s="1200"/>
      <c r="KB138" s="1200"/>
      <c r="KC138" s="1200"/>
      <c r="KD138" s="1200"/>
      <c r="KE138" s="1200"/>
      <c r="KF138" s="1200"/>
      <c r="KG138" s="1200"/>
      <c r="KH138" s="1200"/>
      <c r="KI138" s="1200"/>
      <c r="KJ138" s="1200"/>
      <c r="KK138" s="1200"/>
      <c r="KL138" s="1200"/>
      <c r="KM138" s="1200"/>
      <c r="KN138" s="1200"/>
      <c r="KO138" s="1200"/>
      <c r="KP138" s="1200"/>
      <c r="KQ138" s="1200"/>
      <c r="KR138" s="1200"/>
      <c r="KS138" s="1200"/>
      <c r="KT138" s="1200"/>
      <c r="KU138" s="1200"/>
      <c r="KV138" s="1200"/>
      <c r="KW138" s="1200"/>
      <c r="KX138" s="1200"/>
      <c r="KY138" s="1200"/>
      <c r="KZ138" s="1200"/>
      <c r="LA138" s="1200"/>
      <c r="LB138" s="1200"/>
      <c r="LC138" s="1200"/>
      <c r="LD138" s="1200"/>
      <c r="LE138" s="1200"/>
      <c r="LF138" s="1200"/>
      <c r="LG138" s="1200"/>
      <c r="LH138" s="1200"/>
      <c r="LI138" s="1200"/>
      <c r="LJ138" s="1200"/>
      <c r="LK138" s="1200"/>
      <c r="LL138" s="1200"/>
      <c r="LM138" s="1200"/>
      <c r="LN138" s="1200"/>
      <c r="LO138" s="1200"/>
      <c r="LP138" s="1200"/>
      <c r="LQ138" s="1200"/>
      <c r="LR138" s="1200"/>
      <c r="LS138" s="1200"/>
      <c r="LT138" s="1200"/>
      <c r="LU138" s="1200"/>
      <c r="LV138" s="1200"/>
      <c r="LW138" s="1200"/>
      <c r="LX138" s="1200"/>
      <c r="LY138" s="1200"/>
      <c r="LZ138" s="1200"/>
      <c r="MA138" s="1200"/>
      <c r="MB138" s="1200"/>
      <c r="MC138" s="1200"/>
      <c r="MD138" s="1200"/>
      <c r="ME138" s="1200"/>
      <c r="MF138" s="1200"/>
      <c r="MG138" s="1200"/>
    </row>
    <row r="139" spans="1:345" s="1363" customFormat="1" ht="62.25" customHeight="1" x14ac:dyDescent="0.2">
      <c r="A139" s="1240"/>
      <c r="B139" s="1241"/>
      <c r="C139" s="1242"/>
      <c r="D139" s="1241"/>
      <c r="E139" s="1241"/>
      <c r="F139" s="1242"/>
      <c r="G139" s="1240"/>
      <c r="H139" s="1241"/>
      <c r="I139" s="1242"/>
      <c r="J139" s="3191"/>
      <c r="K139" s="3180"/>
      <c r="L139" s="3177"/>
      <c r="M139" s="3177"/>
      <c r="N139" s="3177"/>
      <c r="O139" s="3177"/>
      <c r="P139" s="3180"/>
      <c r="Q139" s="2786"/>
      <c r="R139" s="3301"/>
      <c r="S139" s="3180"/>
      <c r="T139" s="3180"/>
      <c r="U139" s="1268" t="s">
        <v>1495</v>
      </c>
      <c r="V139" s="1255">
        <v>7309844</v>
      </c>
      <c r="W139" s="3221"/>
      <c r="X139" s="3224"/>
      <c r="Y139" s="3218"/>
      <c r="Z139" s="3218"/>
      <c r="AA139" s="3218"/>
      <c r="AB139" s="3218"/>
      <c r="AC139" s="3218"/>
      <c r="AD139" s="3218"/>
      <c r="AE139" s="3218"/>
      <c r="AF139" s="3218"/>
      <c r="AG139" s="3218"/>
      <c r="AH139" s="3218"/>
      <c r="AI139" s="3218"/>
      <c r="AJ139" s="3218"/>
      <c r="AK139" s="3193"/>
      <c r="AL139" s="3193"/>
      <c r="AM139" s="3196"/>
      <c r="AN139" s="1253"/>
      <c r="AO139" s="1253"/>
      <c r="AP139" s="1253"/>
      <c r="AQ139" s="1364"/>
      <c r="AR139" s="1254"/>
      <c r="AS139" s="1254"/>
      <c r="AT139" s="1254"/>
      <c r="AU139" s="1254"/>
      <c r="AV139" s="1254"/>
      <c r="AW139" s="1254"/>
      <c r="AX139" s="1254"/>
      <c r="AY139" s="1254"/>
      <c r="AZ139" s="1254"/>
      <c r="BA139" s="1254"/>
      <c r="BB139" s="1254"/>
      <c r="BC139" s="1254"/>
      <c r="BD139" s="1254"/>
      <c r="BE139" s="1254"/>
      <c r="BF139" s="1254"/>
      <c r="BG139" s="1254"/>
      <c r="BH139" s="1254"/>
      <c r="BI139" s="1254"/>
      <c r="BJ139" s="1254"/>
      <c r="BK139" s="1254"/>
      <c r="BL139" s="1254"/>
      <c r="BM139" s="1254"/>
      <c r="BN139" s="1254"/>
      <c r="BO139" s="1254"/>
      <c r="BP139" s="1254"/>
      <c r="BQ139" s="1254"/>
      <c r="BR139" s="1254"/>
      <c r="BS139" s="1254"/>
      <c r="BT139" s="1254"/>
      <c r="BU139" s="1254"/>
      <c r="BV139" s="1254"/>
      <c r="BW139" s="1254"/>
      <c r="BX139" s="1254"/>
      <c r="BY139" s="1254"/>
      <c r="BZ139" s="1254"/>
      <c r="CA139" s="1254"/>
      <c r="CB139" s="1200"/>
      <c r="CC139" s="1200"/>
      <c r="CD139" s="1200"/>
      <c r="CE139" s="1200"/>
      <c r="CF139" s="1200"/>
      <c r="CG139" s="1200"/>
      <c r="CH139" s="1200"/>
      <c r="CI139" s="1200"/>
      <c r="CJ139" s="1200"/>
      <c r="CK139" s="1200"/>
      <c r="CL139" s="1200"/>
      <c r="CM139" s="1200"/>
      <c r="CN139" s="1200"/>
      <c r="CO139" s="1200"/>
      <c r="CP139" s="1200"/>
      <c r="CQ139" s="1200"/>
      <c r="CR139" s="1200"/>
      <c r="CS139" s="1200"/>
      <c r="CT139" s="1200"/>
      <c r="CU139" s="1200"/>
      <c r="CV139" s="1200"/>
      <c r="CW139" s="1200"/>
      <c r="CX139" s="1200"/>
      <c r="CY139" s="1200"/>
      <c r="CZ139" s="1200"/>
      <c r="DA139" s="1200"/>
      <c r="DB139" s="1200"/>
      <c r="DC139" s="1200"/>
      <c r="DD139" s="1200"/>
      <c r="DE139" s="1200"/>
      <c r="DF139" s="1200"/>
      <c r="DG139" s="1200"/>
      <c r="DH139" s="1200"/>
      <c r="DI139" s="1200"/>
      <c r="DJ139" s="1200"/>
      <c r="DK139" s="1200"/>
      <c r="DL139" s="1200"/>
      <c r="DM139" s="1200"/>
      <c r="DN139" s="1200"/>
      <c r="DO139" s="1200"/>
      <c r="DP139" s="1200"/>
      <c r="DQ139" s="1200"/>
      <c r="DR139" s="1200"/>
      <c r="DS139" s="1200"/>
      <c r="DT139" s="1200"/>
      <c r="DU139" s="1200"/>
      <c r="DV139" s="1200"/>
      <c r="DW139" s="1200"/>
      <c r="DX139" s="1200"/>
      <c r="DY139" s="1200"/>
      <c r="DZ139" s="1200"/>
      <c r="EA139" s="1200"/>
      <c r="EB139" s="1200"/>
      <c r="EC139" s="1200"/>
      <c r="ED139" s="1200"/>
      <c r="EE139" s="1200"/>
      <c r="EF139" s="1200"/>
      <c r="EG139" s="1200"/>
      <c r="EH139" s="1200"/>
      <c r="EI139" s="1200"/>
      <c r="EJ139" s="1200"/>
      <c r="EK139" s="1200"/>
      <c r="EL139" s="1200"/>
      <c r="EM139" s="1200"/>
      <c r="EN139" s="1200"/>
      <c r="EO139" s="1200"/>
      <c r="EP139" s="1200"/>
      <c r="EQ139" s="1200"/>
      <c r="ER139" s="1200"/>
      <c r="ES139" s="1200"/>
      <c r="ET139" s="1200"/>
      <c r="EU139" s="1200"/>
      <c r="EV139" s="1200"/>
      <c r="EW139" s="1200"/>
      <c r="EX139" s="1200"/>
      <c r="EY139" s="1200"/>
      <c r="EZ139" s="1200"/>
      <c r="FA139" s="1200"/>
      <c r="FB139" s="1200"/>
      <c r="FC139" s="1200"/>
      <c r="FD139" s="1200"/>
      <c r="FE139" s="1200"/>
      <c r="FF139" s="1200"/>
      <c r="FG139" s="1200"/>
      <c r="FH139" s="1200"/>
      <c r="FI139" s="1200"/>
      <c r="FJ139" s="1200"/>
      <c r="FK139" s="1200"/>
      <c r="FL139" s="1200"/>
      <c r="FM139" s="1200"/>
      <c r="FN139" s="1200"/>
      <c r="FO139" s="1200"/>
      <c r="FP139" s="1200"/>
      <c r="FQ139" s="1200"/>
      <c r="FR139" s="1200"/>
      <c r="FS139" s="1200"/>
      <c r="FT139" s="1200"/>
      <c r="FU139" s="1200"/>
      <c r="FV139" s="1200"/>
      <c r="FW139" s="1200"/>
      <c r="FX139" s="1200"/>
      <c r="FY139" s="1200"/>
      <c r="FZ139" s="1200"/>
      <c r="GA139" s="1200"/>
      <c r="GB139" s="1200"/>
      <c r="GC139" s="1200"/>
      <c r="GD139" s="1200"/>
      <c r="GE139" s="1200"/>
      <c r="GF139" s="1200"/>
      <c r="GG139" s="1200"/>
      <c r="GH139" s="1200"/>
      <c r="GI139" s="1200"/>
      <c r="GJ139" s="1200"/>
      <c r="GK139" s="1200"/>
      <c r="GL139" s="1200"/>
      <c r="GM139" s="1200"/>
      <c r="GN139" s="1200"/>
      <c r="GO139" s="1200"/>
      <c r="GP139" s="1200"/>
      <c r="GQ139" s="1200"/>
      <c r="GR139" s="1200"/>
      <c r="GS139" s="1200"/>
      <c r="GT139" s="1200"/>
      <c r="GU139" s="1200"/>
      <c r="GV139" s="1200"/>
      <c r="GW139" s="1200"/>
      <c r="GX139" s="1200"/>
      <c r="GY139" s="1200"/>
      <c r="GZ139" s="1200"/>
      <c r="HA139" s="1200"/>
      <c r="HB139" s="1200"/>
      <c r="HC139" s="1200"/>
      <c r="HD139" s="1200"/>
      <c r="HE139" s="1200"/>
      <c r="HF139" s="1200"/>
      <c r="HG139" s="1200"/>
      <c r="HH139" s="1200"/>
      <c r="HI139" s="1200"/>
      <c r="HJ139" s="1200"/>
      <c r="HK139" s="1200"/>
      <c r="HL139" s="1200"/>
      <c r="HM139" s="1200"/>
      <c r="HN139" s="1200"/>
      <c r="HO139" s="1200"/>
      <c r="HP139" s="1200"/>
      <c r="HQ139" s="1200"/>
      <c r="HR139" s="1200"/>
      <c r="HS139" s="1200"/>
      <c r="HT139" s="1200"/>
      <c r="HU139" s="1200"/>
      <c r="HV139" s="1200"/>
      <c r="HW139" s="1200"/>
      <c r="HX139" s="1200"/>
      <c r="HY139" s="1200"/>
      <c r="HZ139" s="1200"/>
      <c r="IA139" s="1200"/>
      <c r="IB139" s="1200"/>
      <c r="IC139" s="1200"/>
      <c r="ID139" s="1200"/>
      <c r="IE139" s="1200"/>
      <c r="IF139" s="1200"/>
      <c r="IG139" s="1200"/>
      <c r="IH139" s="1200"/>
      <c r="II139" s="1200"/>
      <c r="IJ139" s="1200"/>
      <c r="IK139" s="1200"/>
      <c r="IL139" s="1200"/>
      <c r="IM139" s="1200"/>
      <c r="IN139" s="1200"/>
      <c r="IO139" s="1200"/>
      <c r="IP139" s="1200"/>
      <c r="IQ139" s="1200"/>
      <c r="IR139" s="1200"/>
      <c r="IS139" s="1200"/>
      <c r="IT139" s="1200"/>
      <c r="IU139" s="1200"/>
      <c r="IV139" s="1200"/>
      <c r="IW139" s="1200"/>
      <c r="IX139" s="1200"/>
      <c r="IY139" s="1200"/>
      <c r="IZ139" s="1200"/>
      <c r="JA139" s="1200"/>
      <c r="JB139" s="1200"/>
      <c r="JC139" s="1200"/>
      <c r="JD139" s="1200"/>
      <c r="JE139" s="1200"/>
      <c r="JF139" s="1200"/>
      <c r="JG139" s="1200"/>
      <c r="JH139" s="1200"/>
      <c r="JI139" s="1200"/>
      <c r="JJ139" s="1200"/>
      <c r="JK139" s="1200"/>
      <c r="JL139" s="1200"/>
      <c r="JM139" s="1200"/>
      <c r="JN139" s="1200"/>
      <c r="JO139" s="1200"/>
      <c r="JP139" s="1200"/>
      <c r="JQ139" s="1200"/>
      <c r="JR139" s="1200"/>
      <c r="JS139" s="1200"/>
      <c r="JT139" s="1200"/>
      <c r="JU139" s="1200"/>
      <c r="JV139" s="1200"/>
      <c r="JW139" s="1200"/>
      <c r="JX139" s="1200"/>
      <c r="JY139" s="1200"/>
      <c r="JZ139" s="1200"/>
      <c r="KA139" s="1200"/>
      <c r="KB139" s="1200"/>
      <c r="KC139" s="1200"/>
      <c r="KD139" s="1200"/>
      <c r="KE139" s="1200"/>
      <c r="KF139" s="1200"/>
      <c r="KG139" s="1200"/>
      <c r="KH139" s="1200"/>
      <c r="KI139" s="1200"/>
      <c r="KJ139" s="1200"/>
      <c r="KK139" s="1200"/>
      <c r="KL139" s="1200"/>
      <c r="KM139" s="1200"/>
      <c r="KN139" s="1200"/>
      <c r="KO139" s="1200"/>
      <c r="KP139" s="1200"/>
      <c r="KQ139" s="1200"/>
      <c r="KR139" s="1200"/>
      <c r="KS139" s="1200"/>
      <c r="KT139" s="1200"/>
      <c r="KU139" s="1200"/>
      <c r="KV139" s="1200"/>
      <c r="KW139" s="1200"/>
      <c r="KX139" s="1200"/>
      <c r="KY139" s="1200"/>
      <c r="KZ139" s="1200"/>
      <c r="LA139" s="1200"/>
      <c r="LB139" s="1200"/>
      <c r="LC139" s="1200"/>
      <c r="LD139" s="1200"/>
      <c r="LE139" s="1200"/>
      <c r="LF139" s="1200"/>
      <c r="LG139" s="1200"/>
      <c r="LH139" s="1200"/>
      <c r="LI139" s="1200"/>
      <c r="LJ139" s="1200"/>
      <c r="LK139" s="1200"/>
      <c r="LL139" s="1200"/>
      <c r="LM139" s="1200"/>
      <c r="LN139" s="1200"/>
      <c r="LO139" s="1200"/>
      <c r="LP139" s="1200"/>
      <c r="LQ139" s="1200"/>
      <c r="LR139" s="1200"/>
      <c r="LS139" s="1200"/>
      <c r="LT139" s="1200"/>
      <c r="LU139" s="1200"/>
      <c r="LV139" s="1200"/>
      <c r="LW139" s="1200"/>
      <c r="LX139" s="1200"/>
      <c r="LY139" s="1200"/>
      <c r="LZ139" s="1200"/>
      <c r="MA139" s="1200"/>
      <c r="MB139" s="1200"/>
      <c r="MC139" s="1200"/>
      <c r="MD139" s="1200"/>
      <c r="ME139" s="1200"/>
      <c r="MF139" s="1200"/>
      <c r="MG139" s="1200"/>
    </row>
    <row r="140" spans="1:345" s="1363" customFormat="1" ht="125.25" customHeight="1" x14ac:dyDescent="0.2">
      <c r="A140" s="1240"/>
      <c r="B140" s="1241"/>
      <c r="C140" s="1242"/>
      <c r="D140" s="1257"/>
      <c r="E140" s="1257"/>
      <c r="F140" s="1258"/>
      <c r="G140" s="1259"/>
      <c r="H140" s="1257"/>
      <c r="I140" s="1258"/>
      <c r="J140" s="3191"/>
      <c r="K140" s="3180"/>
      <c r="L140" s="3177"/>
      <c r="M140" s="3177"/>
      <c r="N140" s="3177"/>
      <c r="O140" s="3177"/>
      <c r="P140" s="3180"/>
      <c r="Q140" s="2786"/>
      <c r="R140" s="3301"/>
      <c r="S140" s="3180"/>
      <c r="T140" s="3180"/>
      <c r="U140" s="1268" t="s">
        <v>1496</v>
      </c>
      <c r="V140" s="1255">
        <v>27000000</v>
      </c>
      <c r="W140" s="3221"/>
      <c r="X140" s="3224"/>
      <c r="Y140" s="3218"/>
      <c r="Z140" s="3218"/>
      <c r="AA140" s="3218"/>
      <c r="AB140" s="3218"/>
      <c r="AC140" s="3218"/>
      <c r="AD140" s="3218"/>
      <c r="AE140" s="3218"/>
      <c r="AF140" s="3218"/>
      <c r="AG140" s="3218"/>
      <c r="AH140" s="3218"/>
      <c r="AI140" s="3218"/>
      <c r="AJ140" s="3218"/>
      <c r="AK140" s="3193"/>
      <c r="AL140" s="3193"/>
      <c r="AM140" s="3196"/>
      <c r="AN140" s="1253"/>
      <c r="AO140" s="1253"/>
      <c r="AP140" s="1253"/>
      <c r="AQ140" s="1364"/>
      <c r="AR140" s="1254"/>
      <c r="AS140" s="1254"/>
      <c r="AT140" s="1254"/>
      <c r="AU140" s="1254"/>
      <c r="AV140" s="1254"/>
      <c r="AW140" s="1254"/>
      <c r="AX140" s="1254"/>
      <c r="AY140" s="1254"/>
      <c r="AZ140" s="1254"/>
      <c r="BA140" s="1254"/>
      <c r="BB140" s="1254"/>
      <c r="BC140" s="1254"/>
      <c r="BD140" s="1254"/>
      <c r="BE140" s="1254"/>
      <c r="BF140" s="1254"/>
      <c r="BG140" s="1254"/>
      <c r="BH140" s="1254"/>
      <c r="BI140" s="1254"/>
      <c r="BJ140" s="1254"/>
      <c r="BK140" s="1254"/>
      <c r="BL140" s="1254"/>
      <c r="BM140" s="1254"/>
      <c r="BN140" s="1254"/>
      <c r="BO140" s="1254"/>
      <c r="BP140" s="1254"/>
      <c r="BQ140" s="1254"/>
      <c r="BR140" s="1254"/>
      <c r="BS140" s="1254"/>
      <c r="BT140" s="1254"/>
      <c r="BU140" s="1254"/>
      <c r="BV140" s="1254"/>
      <c r="BW140" s="1254"/>
      <c r="BX140" s="1254"/>
      <c r="BY140" s="1254"/>
      <c r="BZ140" s="1254"/>
      <c r="CA140" s="1254"/>
      <c r="CB140" s="1200"/>
      <c r="CC140" s="1200"/>
      <c r="CD140" s="1200"/>
      <c r="CE140" s="1200"/>
      <c r="CF140" s="1200"/>
      <c r="CG140" s="1200"/>
      <c r="CH140" s="1200"/>
      <c r="CI140" s="1200"/>
      <c r="CJ140" s="1200"/>
      <c r="CK140" s="1200"/>
      <c r="CL140" s="1200"/>
      <c r="CM140" s="1200"/>
      <c r="CN140" s="1200"/>
      <c r="CO140" s="1200"/>
      <c r="CP140" s="1200"/>
      <c r="CQ140" s="1200"/>
      <c r="CR140" s="1200"/>
      <c r="CS140" s="1200"/>
      <c r="CT140" s="1200"/>
      <c r="CU140" s="1200"/>
      <c r="CV140" s="1200"/>
      <c r="CW140" s="1200"/>
      <c r="CX140" s="1200"/>
      <c r="CY140" s="1200"/>
      <c r="CZ140" s="1200"/>
      <c r="DA140" s="1200"/>
      <c r="DB140" s="1200"/>
      <c r="DC140" s="1200"/>
      <c r="DD140" s="1200"/>
      <c r="DE140" s="1200"/>
      <c r="DF140" s="1200"/>
      <c r="DG140" s="1200"/>
      <c r="DH140" s="1200"/>
      <c r="DI140" s="1200"/>
      <c r="DJ140" s="1200"/>
      <c r="DK140" s="1200"/>
      <c r="DL140" s="1200"/>
      <c r="DM140" s="1200"/>
      <c r="DN140" s="1200"/>
      <c r="DO140" s="1200"/>
      <c r="DP140" s="1200"/>
      <c r="DQ140" s="1200"/>
      <c r="DR140" s="1200"/>
      <c r="DS140" s="1200"/>
      <c r="DT140" s="1200"/>
      <c r="DU140" s="1200"/>
      <c r="DV140" s="1200"/>
      <c r="DW140" s="1200"/>
      <c r="DX140" s="1200"/>
      <c r="DY140" s="1200"/>
      <c r="DZ140" s="1200"/>
      <c r="EA140" s="1200"/>
      <c r="EB140" s="1200"/>
      <c r="EC140" s="1200"/>
      <c r="ED140" s="1200"/>
      <c r="EE140" s="1200"/>
      <c r="EF140" s="1200"/>
      <c r="EG140" s="1200"/>
      <c r="EH140" s="1200"/>
      <c r="EI140" s="1200"/>
      <c r="EJ140" s="1200"/>
      <c r="EK140" s="1200"/>
      <c r="EL140" s="1200"/>
      <c r="EM140" s="1200"/>
      <c r="EN140" s="1200"/>
      <c r="EO140" s="1200"/>
      <c r="EP140" s="1200"/>
      <c r="EQ140" s="1200"/>
      <c r="ER140" s="1200"/>
      <c r="ES140" s="1200"/>
      <c r="ET140" s="1200"/>
      <c r="EU140" s="1200"/>
      <c r="EV140" s="1200"/>
      <c r="EW140" s="1200"/>
      <c r="EX140" s="1200"/>
      <c r="EY140" s="1200"/>
      <c r="EZ140" s="1200"/>
      <c r="FA140" s="1200"/>
      <c r="FB140" s="1200"/>
      <c r="FC140" s="1200"/>
      <c r="FD140" s="1200"/>
      <c r="FE140" s="1200"/>
      <c r="FF140" s="1200"/>
      <c r="FG140" s="1200"/>
      <c r="FH140" s="1200"/>
      <c r="FI140" s="1200"/>
      <c r="FJ140" s="1200"/>
      <c r="FK140" s="1200"/>
      <c r="FL140" s="1200"/>
      <c r="FM140" s="1200"/>
      <c r="FN140" s="1200"/>
      <c r="FO140" s="1200"/>
      <c r="FP140" s="1200"/>
      <c r="FQ140" s="1200"/>
      <c r="FR140" s="1200"/>
      <c r="FS140" s="1200"/>
      <c r="FT140" s="1200"/>
      <c r="FU140" s="1200"/>
      <c r="FV140" s="1200"/>
      <c r="FW140" s="1200"/>
      <c r="FX140" s="1200"/>
      <c r="FY140" s="1200"/>
      <c r="FZ140" s="1200"/>
      <c r="GA140" s="1200"/>
      <c r="GB140" s="1200"/>
      <c r="GC140" s="1200"/>
      <c r="GD140" s="1200"/>
      <c r="GE140" s="1200"/>
      <c r="GF140" s="1200"/>
      <c r="GG140" s="1200"/>
      <c r="GH140" s="1200"/>
      <c r="GI140" s="1200"/>
      <c r="GJ140" s="1200"/>
      <c r="GK140" s="1200"/>
      <c r="GL140" s="1200"/>
      <c r="GM140" s="1200"/>
      <c r="GN140" s="1200"/>
      <c r="GO140" s="1200"/>
      <c r="GP140" s="1200"/>
      <c r="GQ140" s="1200"/>
      <c r="GR140" s="1200"/>
      <c r="GS140" s="1200"/>
      <c r="GT140" s="1200"/>
      <c r="GU140" s="1200"/>
      <c r="GV140" s="1200"/>
      <c r="GW140" s="1200"/>
      <c r="GX140" s="1200"/>
      <c r="GY140" s="1200"/>
      <c r="GZ140" s="1200"/>
      <c r="HA140" s="1200"/>
      <c r="HB140" s="1200"/>
      <c r="HC140" s="1200"/>
      <c r="HD140" s="1200"/>
      <c r="HE140" s="1200"/>
      <c r="HF140" s="1200"/>
      <c r="HG140" s="1200"/>
      <c r="HH140" s="1200"/>
      <c r="HI140" s="1200"/>
      <c r="HJ140" s="1200"/>
      <c r="HK140" s="1200"/>
      <c r="HL140" s="1200"/>
      <c r="HM140" s="1200"/>
      <c r="HN140" s="1200"/>
      <c r="HO140" s="1200"/>
      <c r="HP140" s="1200"/>
      <c r="HQ140" s="1200"/>
      <c r="HR140" s="1200"/>
      <c r="HS140" s="1200"/>
      <c r="HT140" s="1200"/>
      <c r="HU140" s="1200"/>
      <c r="HV140" s="1200"/>
      <c r="HW140" s="1200"/>
      <c r="HX140" s="1200"/>
      <c r="HY140" s="1200"/>
      <c r="HZ140" s="1200"/>
      <c r="IA140" s="1200"/>
      <c r="IB140" s="1200"/>
      <c r="IC140" s="1200"/>
      <c r="ID140" s="1200"/>
      <c r="IE140" s="1200"/>
      <c r="IF140" s="1200"/>
      <c r="IG140" s="1200"/>
      <c r="IH140" s="1200"/>
      <c r="II140" s="1200"/>
      <c r="IJ140" s="1200"/>
      <c r="IK140" s="1200"/>
      <c r="IL140" s="1200"/>
      <c r="IM140" s="1200"/>
      <c r="IN140" s="1200"/>
      <c r="IO140" s="1200"/>
      <c r="IP140" s="1200"/>
      <c r="IQ140" s="1200"/>
      <c r="IR140" s="1200"/>
      <c r="IS140" s="1200"/>
      <c r="IT140" s="1200"/>
      <c r="IU140" s="1200"/>
      <c r="IV140" s="1200"/>
      <c r="IW140" s="1200"/>
      <c r="IX140" s="1200"/>
      <c r="IY140" s="1200"/>
      <c r="IZ140" s="1200"/>
      <c r="JA140" s="1200"/>
      <c r="JB140" s="1200"/>
      <c r="JC140" s="1200"/>
      <c r="JD140" s="1200"/>
      <c r="JE140" s="1200"/>
      <c r="JF140" s="1200"/>
      <c r="JG140" s="1200"/>
      <c r="JH140" s="1200"/>
      <c r="JI140" s="1200"/>
      <c r="JJ140" s="1200"/>
      <c r="JK140" s="1200"/>
      <c r="JL140" s="1200"/>
      <c r="JM140" s="1200"/>
      <c r="JN140" s="1200"/>
      <c r="JO140" s="1200"/>
      <c r="JP140" s="1200"/>
      <c r="JQ140" s="1200"/>
      <c r="JR140" s="1200"/>
      <c r="JS140" s="1200"/>
      <c r="JT140" s="1200"/>
      <c r="JU140" s="1200"/>
      <c r="JV140" s="1200"/>
      <c r="JW140" s="1200"/>
      <c r="JX140" s="1200"/>
      <c r="JY140" s="1200"/>
      <c r="JZ140" s="1200"/>
      <c r="KA140" s="1200"/>
      <c r="KB140" s="1200"/>
      <c r="KC140" s="1200"/>
      <c r="KD140" s="1200"/>
      <c r="KE140" s="1200"/>
      <c r="KF140" s="1200"/>
      <c r="KG140" s="1200"/>
      <c r="KH140" s="1200"/>
      <c r="KI140" s="1200"/>
      <c r="KJ140" s="1200"/>
      <c r="KK140" s="1200"/>
      <c r="KL140" s="1200"/>
      <c r="KM140" s="1200"/>
      <c r="KN140" s="1200"/>
      <c r="KO140" s="1200"/>
      <c r="KP140" s="1200"/>
      <c r="KQ140" s="1200"/>
      <c r="KR140" s="1200"/>
      <c r="KS140" s="1200"/>
      <c r="KT140" s="1200"/>
      <c r="KU140" s="1200"/>
      <c r="KV140" s="1200"/>
      <c r="KW140" s="1200"/>
      <c r="KX140" s="1200"/>
      <c r="KY140" s="1200"/>
      <c r="KZ140" s="1200"/>
      <c r="LA140" s="1200"/>
      <c r="LB140" s="1200"/>
      <c r="LC140" s="1200"/>
      <c r="LD140" s="1200"/>
      <c r="LE140" s="1200"/>
      <c r="LF140" s="1200"/>
      <c r="LG140" s="1200"/>
      <c r="LH140" s="1200"/>
      <c r="LI140" s="1200"/>
      <c r="LJ140" s="1200"/>
      <c r="LK140" s="1200"/>
      <c r="LL140" s="1200"/>
      <c r="LM140" s="1200"/>
      <c r="LN140" s="1200"/>
      <c r="LO140" s="1200"/>
      <c r="LP140" s="1200"/>
      <c r="LQ140" s="1200"/>
      <c r="LR140" s="1200"/>
      <c r="LS140" s="1200"/>
      <c r="LT140" s="1200"/>
      <c r="LU140" s="1200"/>
      <c r="LV140" s="1200"/>
      <c r="LW140" s="1200"/>
      <c r="LX140" s="1200"/>
      <c r="LY140" s="1200"/>
      <c r="LZ140" s="1200"/>
      <c r="MA140" s="1200"/>
      <c r="MB140" s="1200"/>
      <c r="MC140" s="1200"/>
      <c r="MD140" s="1200"/>
      <c r="ME140" s="1200"/>
      <c r="MF140" s="1200"/>
      <c r="MG140" s="1200"/>
    </row>
    <row r="141" spans="1:345" s="1219" customFormat="1" ht="18" x14ac:dyDescent="0.2">
      <c r="A141" s="1228"/>
      <c r="C141" s="1260"/>
      <c r="D141" s="1365">
        <v>13</v>
      </c>
      <c r="E141" s="1366" t="s">
        <v>1497</v>
      </c>
      <c r="F141" s="1366"/>
      <c r="G141" s="1367"/>
      <c r="H141" s="1367"/>
      <c r="I141" s="1367"/>
      <c r="J141" s="1367"/>
      <c r="K141" s="1368"/>
      <c r="L141" s="1367"/>
      <c r="M141" s="1367"/>
      <c r="N141" s="1369"/>
      <c r="O141" s="1367"/>
      <c r="P141" s="1368"/>
      <c r="Q141" s="1367"/>
      <c r="R141" s="1370"/>
      <c r="S141" s="1367"/>
      <c r="T141" s="1368"/>
      <c r="U141" s="1368"/>
      <c r="V141" s="1371"/>
      <c r="W141" s="1372"/>
      <c r="X141" s="1369"/>
      <c r="Y141" s="1369"/>
      <c r="Z141" s="1369"/>
      <c r="AA141" s="1369"/>
      <c r="AB141" s="1369"/>
      <c r="AC141" s="1369"/>
      <c r="AD141" s="1369"/>
      <c r="AE141" s="1369"/>
      <c r="AF141" s="1369"/>
      <c r="AG141" s="1369"/>
      <c r="AH141" s="1369"/>
      <c r="AI141" s="1369"/>
      <c r="AJ141" s="1369"/>
      <c r="AK141" s="1367"/>
      <c r="AL141" s="1367"/>
      <c r="AM141" s="1373"/>
      <c r="AN141" s="1217"/>
      <c r="AO141" s="1217"/>
      <c r="AP141" s="1217"/>
      <c r="AQ141" s="1217"/>
      <c r="AR141" s="1218"/>
      <c r="AS141" s="1218"/>
    </row>
    <row r="142" spans="1:345" s="1219" customFormat="1" ht="18" x14ac:dyDescent="0.2">
      <c r="A142" s="1228"/>
      <c r="B142" s="1229"/>
      <c r="C142" s="1230"/>
      <c r="D142" s="3291"/>
      <c r="E142" s="3291"/>
      <c r="F142" s="3292"/>
      <c r="G142" s="1265">
        <v>47</v>
      </c>
      <c r="H142" s="1234" t="s">
        <v>1498</v>
      </c>
      <c r="I142" s="1234"/>
      <c r="J142" s="1234"/>
      <c r="K142" s="1235"/>
      <c r="L142" s="1234"/>
      <c r="M142" s="1234"/>
      <c r="N142" s="1236"/>
      <c r="O142" s="1234"/>
      <c r="P142" s="1235"/>
      <c r="Q142" s="1234"/>
      <c r="R142" s="1266"/>
      <c r="S142" s="1234"/>
      <c r="T142" s="1235"/>
      <c r="U142" s="1235"/>
      <c r="V142" s="1237"/>
      <c r="W142" s="1267"/>
      <c r="X142" s="1236"/>
      <c r="Y142" s="1236"/>
      <c r="Z142" s="1236"/>
      <c r="AA142" s="1236"/>
      <c r="AB142" s="1236"/>
      <c r="AC142" s="1236"/>
      <c r="AD142" s="1236"/>
      <c r="AE142" s="1236"/>
      <c r="AF142" s="1236"/>
      <c r="AG142" s="1236"/>
      <c r="AH142" s="1236"/>
      <c r="AI142" s="1236"/>
      <c r="AJ142" s="1236"/>
      <c r="AK142" s="1234"/>
      <c r="AL142" s="1234"/>
      <c r="AM142" s="1239"/>
      <c r="AN142" s="1217"/>
      <c r="AO142" s="1217"/>
      <c r="AP142" s="1217"/>
      <c r="AQ142" s="1217"/>
      <c r="AR142" s="1218"/>
      <c r="AS142" s="1218"/>
    </row>
    <row r="143" spans="1:345" ht="99" customHeight="1" x14ac:dyDescent="0.2">
      <c r="A143" s="1228"/>
      <c r="B143" s="1229"/>
      <c r="C143" s="1230"/>
      <c r="D143" s="3293"/>
      <c r="E143" s="3293"/>
      <c r="F143" s="3294"/>
      <c r="G143" s="1374"/>
      <c r="H143" s="1375"/>
      <c r="I143" s="1376"/>
      <c r="J143" s="1377">
        <v>163</v>
      </c>
      <c r="K143" s="1247" t="s">
        <v>1499</v>
      </c>
      <c r="L143" s="1281" t="s">
        <v>126</v>
      </c>
      <c r="M143" s="1378">
        <v>12</v>
      </c>
      <c r="N143" s="1246" t="s">
        <v>1500</v>
      </c>
      <c r="O143" s="3176">
        <v>153</v>
      </c>
      <c r="P143" s="3297" t="s">
        <v>1501</v>
      </c>
      <c r="Q143" s="1379">
        <f>V143/R143</f>
        <v>1.8274773108713273E-3</v>
      </c>
      <c r="R143" s="3298">
        <v>15894041380</v>
      </c>
      <c r="S143" s="3297" t="s">
        <v>1502</v>
      </c>
      <c r="T143" s="1380" t="s">
        <v>1503</v>
      </c>
      <c r="U143" s="1381" t="s">
        <v>1504</v>
      </c>
      <c r="V143" s="1255">
        <v>29046000</v>
      </c>
      <c r="W143" s="1382">
        <v>72</v>
      </c>
      <c r="X143" s="1383" t="s">
        <v>1505</v>
      </c>
      <c r="Y143" s="3201">
        <v>64149</v>
      </c>
      <c r="Z143" s="3201">
        <v>72224</v>
      </c>
      <c r="AA143" s="3201">
        <v>27477</v>
      </c>
      <c r="AB143" s="3201">
        <v>86843</v>
      </c>
      <c r="AC143" s="3201">
        <v>236429</v>
      </c>
      <c r="AD143" s="3201">
        <v>81384</v>
      </c>
      <c r="AE143" s="3201">
        <v>13208</v>
      </c>
      <c r="AF143" s="3201">
        <v>2145</v>
      </c>
      <c r="AG143" s="3201">
        <v>413</v>
      </c>
      <c r="AH143" s="3201">
        <v>520</v>
      </c>
      <c r="AI143" s="3201">
        <v>16897</v>
      </c>
      <c r="AJ143" s="3201">
        <v>75612</v>
      </c>
      <c r="AK143" s="3287">
        <v>42948</v>
      </c>
      <c r="AL143" s="3287">
        <v>43100</v>
      </c>
      <c r="AM143" s="3288" t="s">
        <v>1303</v>
      </c>
    </row>
    <row r="144" spans="1:345" s="1270" customFormat="1" ht="35.1" customHeight="1" x14ac:dyDescent="0.2">
      <c r="A144" s="1228"/>
      <c r="B144" s="1229"/>
      <c r="C144" s="1230"/>
      <c r="D144" s="3293"/>
      <c r="E144" s="3293"/>
      <c r="F144" s="3294"/>
      <c r="G144" s="1265">
        <v>48</v>
      </c>
      <c r="H144" s="1234" t="s">
        <v>1506</v>
      </c>
      <c r="I144" s="1234"/>
      <c r="J144" s="1234"/>
      <c r="K144" s="1235"/>
      <c r="L144" s="1234"/>
      <c r="M144" s="1234"/>
      <c r="N144" s="1236"/>
      <c r="O144" s="3177"/>
      <c r="P144" s="3297"/>
      <c r="Q144" s="1234"/>
      <c r="R144" s="3298"/>
      <c r="S144" s="3297"/>
      <c r="T144" s="1235"/>
      <c r="U144" s="1235"/>
      <c r="V144" s="1237"/>
      <c r="W144" s="1237"/>
      <c r="X144" s="1236"/>
      <c r="Y144" s="3202"/>
      <c r="Z144" s="3202"/>
      <c r="AA144" s="3202"/>
      <c r="AB144" s="3202"/>
      <c r="AC144" s="3202"/>
      <c r="AD144" s="3202"/>
      <c r="AE144" s="3202"/>
      <c r="AF144" s="3202"/>
      <c r="AG144" s="3202"/>
      <c r="AH144" s="3202"/>
      <c r="AI144" s="3202"/>
      <c r="AJ144" s="3202"/>
      <c r="AK144" s="3287"/>
      <c r="AL144" s="3287"/>
      <c r="AM144" s="3288"/>
      <c r="AN144" s="1217"/>
      <c r="AO144" s="1217"/>
      <c r="AP144" s="1217"/>
      <c r="AQ144" s="1217"/>
      <c r="AR144" s="1218"/>
      <c r="AS144" s="1218"/>
    </row>
    <row r="145" spans="1:216" ht="32.25" customHeight="1" x14ac:dyDescent="0.2">
      <c r="A145" s="1228"/>
      <c r="B145" s="1229"/>
      <c r="C145" s="1230"/>
      <c r="D145" s="3293"/>
      <c r="E145" s="3293"/>
      <c r="F145" s="3294"/>
      <c r="G145" s="1243"/>
      <c r="H145" s="1244"/>
      <c r="I145" s="1245"/>
      <c r="J145" s="3191">
        <v>164</v>
      </c>
      <c r="K145" s="3297" t="s">
        <v>1507</v>
      </c>
      <c r="L145" s="3191" t="s">
        <v>126</v>
      </c>
      <c r="M145" s="3191">
        <v>12</v>
      </c>
      <c r="N145" s="1248" t="s">
        <v>1508</v>
      </c>
      <c r="O145" s="3177"/>
      <c r="P145" s="3297"/>
      <c r="Q145" s="3308">
        <f>V145/R143</f>
        <v>0.99685673902530136</v>
      </c>
      <c r="R145" s="3298"/>
      <c r="S145" s="3297"/>
      <c r="T145" s="3297" t="s">
        <v>1509</v>
      </c>
      <c r="U145" s="3297" t="s">
        <v>1510</v>
      </c>
      <c r="V145" s="3299">
        <v>15844082260</v>
      </c>
      <c r="W145" s="1384">
        <v>64</v>
      </c>
      <c r="X145" s="1248" t="s">
        <v>1511</v>
      </c>
      <c r="Y145" s="3202"/>
      <c r="Z145" s="3202"/>
      <c r="AA145" s="3202"/>
      <c r="AB145" s="3202"/>
      <c r="AC145" s="3202"/>
      <c r="AD145" s="3202"/>
      <c r="AE145" s="3202"/>
      <c r="AF145" s="3202"/>
      <c r="AG145" s="3202"/>
      <c r="AH145" s="3202"/>
      <c r="AI145" s="3202"/>
      <c r="AJ145" s="3202"/>
      <c r="AK145" s="3287"/>
      <c r="AL145" s="3287"/>
      <c r="AM145" s="3288"/>
    </row>
    <row r="146" spans="1:216" ht="57.75" customHeight="1" x14ac:dyDescent="0.2">
      <c r="A146" s="1228"/>
      <c r="B146" s="1229"/>
      <c r="C146" s="1230"/>
      <c r="D146" s="3293"/>
      <c r="E146" s="3293"/>
      <c r="F146" s="3294"/>
      <c r="G146" s="1259"/>
      <c r="H146" s="1257"/>
      <c r="I146" s="1258"/>
      <c r="J146" s="3191"/>
      <c r="K146" s="3297"/>
      <c r="L146" s="3191"/>
      <c r="M146" s="3191"/>
      <c r="N146" s="1281" t="s">
        <v>1512</v>
      </c>
      <c r="O146" s="3177"/>
      <c r="P146" s="3297"/>
      <c r="Q146" s="3309"/>
      <c r="R146" s="3298"/>
      <c r="S146" s="3297"/>
      <c r="T146" s="3297"/>
      <c r="U146" s="3297"/>
      <c r="V146" s="3299"/>
      <c r="W146" s="1385">
        <v>71</v>
      </c>
      <c r="X146" s="1281" t="s">
        <v>1513</v>
      </c>
      <c r="Y146" s="3202"/>
      <c r="Z146" s="3202"/>
      <c r="AA146" s="3202"/>
      <c r="AB146" s="3202"/>
      <c r="AC146" s="3202"/>
      <c r="AD146" s="3202"/>
      <c r="AE146" s="3202"/>
      <c r="AF146" s="3202"/>
      <c r="AG146" s="3202"/>
      <c r="AH146" s="3202"/>
      <c r="AI146" s="3202"/>
      <c r="AJ146" s="3202"/>
      <c r="AK146" s="3287"/>
      <c r="AL146" s="3287"/>
      <c r="AM146" s="3288"/>
      <c r="AO146" s="1252"/>
    </row>
    <row r="147" spans="1:216" s="1270" customFormat="1" ht="35.1" customHeight="1" x14ac:dyDescent="0.2">
      <c r="A147" s="1228"/>
      <c r="B147" s="1229"/>
      <c r="C147" s="1230"/>
      <c r="D147" s="3293"/>
      <c r="E147" s="3293"/>
      <c r="F147" s="3294"/>
      <c r="G147" s="1265">
        <v>49</v>
      </c>
      <c r="H147" s="1234" t="s">
        <v>1514</v>
      </c>
      <c r="I147" s="1234"/>
      <c r="J147" s="1234"/>
      <c r="K147" s="1235"/>
      <c r="L147" s="1234"/>
      <c r="M147" s="1234"/>
      <c r="N147" s="1236"/>
      <c r="O147" s="3177"/>
      <c r="P147" s="3297"/>
      <c r="Q147" s="1234"/>
      <c r="R147" s="3298"/>
      <c r="S147" s="3297"/>
      <c r="T147" s="1235"/>
      <c r="U147" s="1235"/>
      <c r="V147" s="1237"/>
      <c r="W147" s="1237"/>
      <c r="X147" s="1236"/>
      <c r="Y147" s="3202"/>
      <c r="Z147" s="3202"/>
      <c r="AA147" s="3202"/>
      <c r="AB147" s="3202"/>
      <c r="AC147" s="3202"/>
      <c r="AD147" s="3202"/>
      <c r="AE147" s="3202"/>
      <c r="AF147" s="3202"/>
      <c r="AG147" s="3202"/>
      <c r="AH147" s="3202"/>
      <c r="AI147" s="3202"/>
      <c r="AJ147" s="3202"/>
      <c r="AK147" s="3287"/>
      <c r="AL147" s="3287"/>
      <c r="AM147" s="3288"/>
      <c r="AN147" s="1217"/>
      <c r="AO147" s="1217"/>
      <c r="AP147" s="1217"/>
      <c r="AQ147" s="1217"/>
      <c r="AR147" s="1218"/>
      <c r="AS147" s="1218"/>
    </row>
    <row r="148" spans="1:216" ht="85.5" customHeight="1" x14ac:dyDescent="0.2">
      <c r="A148" s="1228"/>
      <c r="B148" s="1229"/>
      <c r="C148" s="1230"/>
      <c r="D148" s="3295"/>
      <c r="E148" s="3295"/>
      <c r="F148" s="3296"/>
      <c r="G148" s="1374"/>
      <c r="H148" s="1375"/>
      <c r="I148" s="1376"/>
      <c r="J148" s="1377">
        <v>165</v>
      </c>
      <c r="K148" s="1247" t="s">
        <v>1515</v>
      </c>
      <c r="L148" s="1281" t="s">
        <v>126</v>
      </c>
      <c r="M148" s="1378">
        <v>12</v>
      </c>
      <c r="N148" s="1246" t="s">
        <v>1516</v>
      </c>
      <c r="O148" s="3178"/>
      <c r="P148" s="3297"/>
      <c r="Q148" s="1379">
        <f>V148/R143</f>
        <v>1.3157836638273556E-3</v>
      </c>
      <c r="R148" s="3298"/>
      <c r="S148" s="3297"/>
      <c r="T148" s="1380" t="s">
        <v>1517</v>
      </c>
      <c r="U148" s="1380" t="s">
        <v>1518</v>
      </c>
      <c r="V148" s="1255">
        <v>20913120</v>
      </c>
      <c r="W148" s="1382">
        <v>72</v>
      </c>
      <c r="X148" s="1383" t="s">
        <v>1505</v>
      </c>
      <c r="Y148" s="3203"/>
      <c r="Z148" s="3203"/>
      <c r="AA148" s="3203"/>
      <c r="AB148" s="3203"/>
      <c r="AC148" s="3203"/>
      <c r="AD148" s="3203"/>
      <c r="AE148" s="3203"/>
      <c r="AF148" s="3203"/>
      <c r="AG148" s="3203"/>
      <c r="AH148" s="3203"/>
      <c r="AI148" s="3203"/>
      <c r="AJ148" s="3203"/>
      <c r="AK148" s="3287"/>
      <c r="AL148" s="3287"/>
      <c r="AM148" s="3288"/>
    </row>
    <row r="149" spans="1:216" s="1219" customFormat="1" ht="36" customHeight="1" x14ac:dyDescent="0.2">
      <c r="A149" s="1228"/>
      <c r="C149" s="1260"/>
      <c r="D149" s="1386">
        <v>14</v>
      </c>
      <c r="E149" s="1221" t="s">
        <v>1519</v>
      </c>
      <c r="F149" s="1221"/>
      <c r="G149" s="1222"/>
      <c r="H149" s="1222"/>
      <c r="I149" s="1222"/>
      <c r="J149" s="1222"/>
      <c r="K149" s="1223"/>
      <c r="L149" s="1222"/>
      <c r="M149" s="1222"/>
      <c r="N149" s="1224"/>
      <c r="O149" s="1222"/>
      <c r="P149" s="1223"/>
      <c r="Q149" s="1222"/>
      <c r="R149" s="1263"/>
      <c r="S149" s="1222"/>
      <c r="T149" s="1223"/>
      <c r="U149" s="1223"/>
      <c r="V149" s="1387"/>
      <c r="W149" s="1264"/>
      <c r="X149" s="1224"/>
      <c r="Y149" s="1224"/>
      <c r="Z149" s="1224"/>
      <c r="AA149" s="1224"/>
      <c r="AB149" s="1224"/>
      <c r="AC149" s="1224"/>
      <c r="AD149" s="1224"/>
      <c r="AE149" s="1224"/>
      <c r="AF149" s="1224"/>
      <c r="AG149" s="1224"/>
      <c r="AH149" s="1224"/>
      <c r="AI149" s="1224"/>
      <c r="AJ149" s="1224"/>
      <c r="AK149" s="1222"/>
      <c r="AL149" s="1222"/>
      <c r="AM149" s="1227"/>
      <c r="AN149" s="1217"/>
      <c r="AO149" s="1217"/>
      <c r="AP149" s="1217"/>
      <c r="AQ149" s="1217"/>
      <c r="AR149" s="1218"/>
      <c r="AS149" s="1218"/>
    </row>
    <row r="150" spans="1:216" s="1219" customFormat="1" ht="36" customHeight="1" x14ac:dyDescent="0.2">
      <c r="A150" s="1228"/>
      <c r="B150" s="1229"/>
      <c r="C150" s="1230"/>
      <c r="D150" s="1231"/>
      <c r="E150" s="1231"/>
      <c r="F150" s="1232"/>
      <c r="G150" s="1388">
        <v>50</v>
      </c>
      <c r="H150" s="1389" t="s">
        <v>1520</v>
      </c>
      <c r="I150" s="1389"/>
      <c r="J150" s="1389"/>
      <c r="K150" s="1390"/>
      <c r="L150" s="1389"/>
      <c r="M150" s="1389"/>
      <c r="N150" s="1391"/>
      <c r="O150" s="1389"/>
      <c r="P150" s="1390"/>
      <c r="Q150" s="1389"/>
      <c r="R150" s="1392"/>
      <c r="S150" s="1389"/>
      <c r="T150" s="1390"/>
      <c r="U150" s="1390"/>
      <c r="V150" s="1393"/>
      <c r="W150" s="1394"/>
      <c r="X150" s="1391"/>
      <c r="Y150" s="1391"/>
      <c r="Z150" s="1391"/>
      <c r="AA150" s="1391"/>
      <c r="AB150" s="1391"/>
      <c r="AC150" s="1391"/>
      <c r="AD150" s="1391"/>
      <c r="AE150" s="1391"/>
      <c r="AF150" s="1391"/>
      <c r="AG150" s="1391"/>
      <c r="AH150" s="1391"/>
      <c r="AI150" s="1391"/>
      <c r="AJ150" s="1391"/>
      <c r="AK150" s="1389"/>
      <c r="AL150" s="1389"/>
      <c r="AM150" s="1395"/>
      <c r="AN150" s="1217"/>
      <c r="AO150" s="1217"/>
      <c r="AP150" s="1217"/>
      <c r="AQ150" s="1217"/>
      <c r="AR150" s="1218"/>
      <c r="AS150" s="1218"/>
    </row>
    <row r="151" spans="1:216" s="1396" customFormat="1" ht="61.5" customHeight="1" x14ac:dyDescent="0.2">
      <c r="A151" s="1228"/>
      <c r="B151" s="1229"/>
      <c r="C151" s="1230"/>
      <c r="D151" s="1229"/>
      <c r="E151" s="1229"/>
      <c r="F151" s="1230"/>
      <c r="G151" s="1231"/>
      <c r="H151" s="1231"/>
      <c r="I151" s="1232"/>
      <c r="J151" s="3176">
        <v>166</v>
      </c>
      <c r="K151" s="3179" t="s">
        <v>1521</v>
      </c>
      <c r="L151" s="3176" t="s">
        <v>126</v>
      </c>
      <c r="M151" s="3302">
        <v>1</v>
      </c>
      <c r="N151" s="1248" t="s">
        <v>1522</v>
      </c>
      <c r="O151" s="3304">
        <v>154</v>
      </c>
      <c r="P151" s="3179" t="s">
        <v>1523</v>
      </c>
      <c r="Q151" s="1953">
        <v>0.05</v>
      </c>
      <c r="R151" s="3306">
        <v>19974190243</v>
      </c>
      <c r="S151" s="3179" t="s">
        <v>1524</v>
      </c>
      <c r="T151" s="3315" t="s">
        <v>1525</v>
      </c>
      <c r="U151" s="3312" t="s">
        <v>1526</v>
      </c>
      <c r="V151" s="3313">
        <v>0</v>
      </c>
      <c r="W151" s="1384">
        <v>110</v>
      </c>
      <c r="X151" s="1248" t="s">
        <v>1527</v>
      </c>
      <c r="Y151" s="3217">
        <v>64149</v>
      </c>
      <c r="Z151" s="3217">
        <v>72224</v>
      </c>
      <c r="AA151" s="3217">
        <v>27477</v>
      </c>
      <c r="AB151" s="3217">
        <v>86843</v>
      </c>
      <c r="AC151" s="3217">
        <v>236429</v>
      </c>
      <c r="AD151" s="3217">
        <v>81384</v>
      </c>
      <c r="AE151" s="3217">
        <v>13208</v>
      </c>
      <c r="AF151" s="3310">
        <v>2145</v>
      </c>
      <c r="AG151" s="3310">
        <v>413</v>
      </c>
      <c r="AH151" s="3310">
        <v>520</v>
      </c>
      <c r="AI151" s="3310">
        <v>16897</v>
      </c>
      <c r="AJ151" s="3310">
        <v>75612</v>
      </c>
      <c r="AK151" s="3192">
        <v>42948</v>
      </c>
      <c r="AL151" s="3192">
        <v>43100</v>
      </c>
      <c r="AM151" s="3195" t="s">
        <v>1303</v>
      </c>
      <c r="AN151" s="1199"/>
      <c r="AO151" s="1253"/>
      <c r="AP151" s="1199"/>
      <c r="AQ151" s="1199"/>
      <c r="AR151" s="1200"/>
      <c r="AS151" s="1200"/>
      <c r="AT151" s="1200"/>
      <c r="AU151" s="1200"/>
      <c r="AV151" s="1200"/>
      <c r="AW151" s="1200"/>
      <c r="AX151" s="1200"/>
      <c r="AY151" s="1200"/>
      <c r="AZ151" s="1200"/>
      <c r="BA151" s="1200"/>
      <c r="BB151" s="1200"/>
      <c r="BC151" s="1200"/>
      <c r="BD151" s="1200"/>
      <c r="BE151" s="1200"/>
      <c r="BF151" s="1200"/>
      <c r="BG151" s="1200"/>
      <c r="BH151" s="1200"/>
      <c r="BI151" s="1200"/>
      <c r="BJ151" s="1200"/>
      <c r="BK151" s="1200"/>
      <c r="BL151" s="1200"/>
      <c r="BM151" s="1200"/>
      <c r="BN151" s="1200"/>
      <c r="BO151" s="1200"/>
      <c r="BP151" s="1200"/>
      <c r="BQ151" s="1200"/>
      <c r="BR151" s="1200"/>
      <c r="BS151" s="1200"/>
      <c r="BT151" s="1200"/>
      <c r="BU151" s="1200"/>
      <c r="BV151" s="1200"/>
      <c r="BW151" s="1200"/>
      <c r="BX151" s="1200"/>
      <c r="BY151" s="1200"/>
      <c r="BZ151" s="1200"/>
      <c r="CA151" s="1200"/>
      <c r="CB151" s="1200"/>
      <c r="CC151" s="1200"/>
      <c r="CD151" s="1200"/>
      <c r="CE151" s="1200"/>
      <c r="CF151" s="1200"/>
      <c r="CG151" s="1200"/>
      <c r="CH151" s="1200"/>
      <c r="CI151" s="1200"/>
      <c r="CJ151" s="1200"/>
      <c r="CK151" s="1200"/>
      <c r="CL151" s="1200"/>
      <c r="CM151" s="1200"/>
      <c r="CN151" s="1200"/>
      <c r="CO151" s="1200"/>
      <c r="CP151" s="1200"/>
      <c r="CQ151" s="1200"/>
      <c r="CR151" s="1200"/>
      <c r="CS151" s="1200"/>
      <c r="CT151" s="1200"/>
      <c r="CU151" s="1200"/>
      <c r="CV151" s="1200"/>
      <c r="CW151" s="1200"/>
      <c r="CX151" s="1200"/>
      <c r="CY151" s="1200"/>
      <c r="CZ151" s="1200"/>
      <c r="DA151" s="1200"/>
      <c r="DB151" s="1200"/>
      <c r="DC151" s="1200"/>
      <c r="DD151" s="1200"/>
      <c r="DE151" s="1200"/>
      <c r="DF151" s="1200"/>
      <c r="DG151" s="1200"/>
      <c r="DH151" s="1200"/>
      <c r="DI151" s="1200"/>
      <c r="DJ151" s="1200"/>
      <c r="DK151" s="1200"/>
      <c r="DL151" s="1200"/>
      <c r="DM151" s="1200"/>
      <c r="DN151" s="1200"/>
      <c r="DO151" s="1200"/>
      <c r="DP151" s="1200"/>
      <c r="DQ151" s="1200"/>
      <c r="DR151" s="1200"/>
      <c r="DS151" s="1200"/>
      <c r="DT151" s="1200"/>
      <c r="DU151" s="1200"/>
      <c r="DV151" s="1200"/>
      <c r="DW151" s="1200"/>
      <c r="DX151" s="1200"/>
      <c r="DY151" s="1200"/>
      <c r="DZ151" s="1200"/>
      <c r="EA151" s="1200"/>
      <c r="EB151" s="1200"/>
      <c r="EC151" s="1200"/>
      <c r="ED151" s="1200"/>
      <c r="EE151" s="1200"/>
      <c r="EF151" s="1200"/>
      <c r="EG151" s="1200"/>
      <c r="EH151" s="1200"/>
      <c r="EI151" s="1200"/>
      <c r="EJ151" s="1200"/>
      <c r="EK151" s="1200"/>
      <c r="EL151" s="1200"/>
      <c r="EM151" s="1200"/>
      <c r="EN151" s="1200"/>
      <c r="EO151" s="1200"/>
      <c r="EP151" s="1200"/>
      <c r="EQ151" s="1200"/>
      <c r="ER151" s="1200"/>
      <c r="ES151" s="1200"/>
      <c r="ET151" s="1200"/>
      <c r="EU151" s="1200"/>
      <c r="EV151" s="1200"/>
      <c r="EW151" s="1200"/>
      <c r="EX151" s="1200"/>
      <c r="EY151" s="1200"/>
      <c r="EZ151" s="1200"/>
      <c r="FA151" s="1200"/>
      <c r="FB151" s="1200"/>
      <c r="FC151" s="1200"/>
      <c r="FD151" s="1200"/>
      <c r="FE151" s="1200"/>
      <c r="FF151" s="1200"/>
      <c r="FG151" s="1200"/>
      <c r="FH151" s="1200"/>
      <c r="FI151" s="1200"/>
      <c r="FJ151" s="1200"/>
      <c r="FK151" s="1200"/>
      <c r="FL151" s="1200"/>
      <c r="FM151" s="1200"/>
      <c r="FN151" s="1200"/>
      <c r="FO151" s="1200"/>
      <c r="FP151" s="1200"/>
      <c r="FQ151" s="1200"/>
      <c r="FR151" s="1200"/>
      <c r="FS151" s="1200"/>
      <c r="FT151" s="1200"/>
      <c r="FU151" s="1200"/>
      <c r="FV151" s="1200"/>
      <c r="FW151" s="1200"/>
      <c r="FX151" s="1200"/>
      <c r="FY151" s="1200"/>
      <c r="FZ151" s="1200"/>
      <c r="GA151" s="1200"/>
      <c r="GB151" s="1200"/>
      <c r="GC151" s="1200"/>
      <c r="GD151" s="1200"/>
      <c r="GE151" s="1200"/>
      <c r="GF151" s="1200"/>
      <c r="GG151" s="1200"/>
      <c r="GH151" s="1200"/>
      <c r="GI151" s="1200"/>
      <c r="GJ151" s="1200"/>
      <c r="GK151" s="1200"/>
      <c r="GL151" s="1200"/>
      <c r="GM151" s="1200"/>
      <c r="GN151" s="1200"/>
      <c r="GO151" s="1200"/>
      <c r="GP151" s="1200"/>
      <c r="GQ151" s="1200"/>
      <c r="GR151" s="1200"/>
      <c r="GS151" s="1200"/>
      <c r="GT151" s="1200"/>
      <c r="GU151" s="1200"/>
      <c r="GV151" s="1200"/>
      <c r="GW151" s="1200"/>
      <c r="GX151" s="1200"/>
      <c r="GY151" s="1200"/>
      <c r="GZ151" s="1200"/>
      <c r="HA151" s="1200"/>
      <c r="HB151" s="1200"/>
      <c r="HC151" s="1200"/>
      <c r="HD151" s="1200"/>
      <c r="HE151" s="1200"/>
      <c r="HF151" s="1200"/>
      <c r="HG151" s="1200"/>
      <c r="HH151" s="1200"/>
    </row>
    <row r="152" spans="1:216" s="1398" customFormat="1" ht="46.5" customHeight="1" x14ac:dyDescent="0.2">
      <c r="A152" s="1228"/>
      <c r="B152" s="1229"/>
      <c r="C152" s="1230"/>
      <c r="D152" s="1229"/>
      <c r="E152" s="1229"/>
      <c r="F152" s="1230"/>
      <c r="G152" s="1229"/>
      <c r="H152" s="1229"/>
      <c r="I152" s="1230"/>
      <c r="J152" s="3178"/>
      <c r="K152" s="3181"/>
      <c r="L152" s="3178"/>
      <c r="M152" s="3303"/>
      <c r="N152" s="1345" t="s">
        <v>1528</v>
      </c>
      <c r="O152" s="3305"/>
      <c r="P152" s="3180"/>
      <c r="Q152" s="2790"/>
      <c r="R152" s="3307"/>
      <c r="S152" s="3180"/>
      <c r="T152" s="3315"/>
      <c r="U152" s="3312"/>
      <c r="V152" s="3314"/>
      <c r="W152" s="1397">
        <v>58</v>
      </c>
      <c r="X152" s="1345" t="s">
        <v>1529</v>
      </c>
      <c r="Y152" s="3218"/>
      <c r="Z152" s="3218"/>
      <c r="AA152" s="3218"/>
      <c r="AB152" s="3218"/>
      <c r="AC152" s="3218"/>
      <c r="AD152" s="3218"/>
      <c r="AE152" s="3218"/>
      <c r="AF152" s="3310"/>
      <c r="AG152" s="3310"/>
      <c r="AH152" s="3310"/>
      <c r="AI152" s="3310"/>
      <c r="AJ152" s="3310"/>
      <c r="AK152" s="3193"/>
      <c r="AL152" s="3193"/>
      <c r="AM152" s="3196"/>
      <c r="AN152" s="1199"/>
      <c r="AO152" s="1252"/>
      <c r="AP152" s="1199"/>
      <c r="AQ152" s="1199"/>
      <c r="AR152" s="1200"/>
      <c r="AS152" s="1200"/>
      <c r="AT152" s="1200"/>
      <c r="AU152" s="1200"/>
      <c r="AV152" s="1200"/>
      <c r="AW152" s="1200"/>
      <c r="AX152" s="1200"/>
      <c r="AY152" s="1200"/>
      <c r="AZ152" s="1200"/>
      <c r="BA152" s="1200"/>
      <c r="BB152" s="1200"/>
      <c r="BC152" s="1200"/>
      <c r="BD152" s="1200"/>
      <c r="BE152" s="1200"/>
      <c r="BF152" s="1200"/>
      <c r="BG152" s="1200"/>
      <c r="BH152" s="1200"/>
      <c r="BI152" s="1200"/>
      <c r="BJ152" s="1200"/>
      <c r="BK152" s="1200"/>
      <c r="BL152" s="1200"/>
      <c r="BM152" s="1200"/>
      <c r="BN152" s="1200"/>
      <c r="BO152" s="1200"/>
      <c r="BP152" s="1200"/>
      <c r="BQ152" s="1200"/>
      <c r="BR152" s="1200"/>
      <c r="BS152" s="1200"/>
      <c r="BT152" s="1200"/>
      <c r="BU152" s="1200"/>
      <c r="BV152" s="1200"/>
      <c r="BW152" s="1200"/>
      <c r="BX152" s="1200"/>
      <c r="BY152" s="1200"/>
      <c r="BZ152" s="1200"/>
      <c r="CA152" s="1200"/>
      <c r="CB152" s="1200"/>
      <c r="CC152" s="1200"/>
      <c r="CD152" s="1200"/>
      <c r="CE152" s="1200"/>
      <c r="CF152" s="1200"/>
      <c r="CG152" s="1200"/>
      <c r="CH152" s="1200"/>
      <c r="CI152" s="1200"/>
      <c r="CJ152" s="1200"/>
      <c r="CK152" s="1200"/>
      <c r="CL152" s="1200"/>
      <c r="CM152" s="1200"/>
      <c r="CN152" s="1200"/>
      <c r="CO152" s="1200"/>
      <c r="CP152" s="1200"/>
      <c r="CQ152" s="1200"/>
      <c r="CR152" s="1200"/>
      <c r="CS152" s="1200"/>
      <c r="CT152" s="1200"/>
      <c r="CU152" s="1200"/>
      <c r="CV152" s="1200"/>
      <c r="CW152" s="1200"/>
      <c r="CX152" s="1200"/>
      <c r="CY152" s="1200"/>
      <c r="CZ152" s="1200"/>
      <c r="DA152" s="1200"/>
      <c r="DB152" s="1200"/>
      <c r="DC152" s="1200"/>
      <c r="DD152" s="1200"/>
      <c r="DE152" s="1200"/>
      <c r="DF152" s="1200"/>
      <c r="DG152" s="1200"/>
      <c r="DH152" s="1200"/>
      <c r="DI152" s="1200"/>
      <c r="DJ152" s="1200"/>
      <c r="DK152" s="1200"/>
      <c r="DL152" s="1200"/>
      <c r="DM152" s="1200"/>
      <c r="DN152" s="1200"/>
      <c r="DO152" s="1200"/>
      <c r="DP152" s="1200"/>
      <c r="DQ152" s="1200"/>
      <c r="DR152" s="1200"/>
      <c r="DS152" s="1200"/>
      <c r="DT152" s="1200"/>
      <c r="DU152" s="1200"/>
      <c r="DV152" s="1200"/>
      <c r="DW152" s="1200"/>
      <c r="DX152" s="1200"/>
      <c r="DY152" s="1200"/>
      <c r="DZ152" s="1200"/>
      <c r="EA152" s="1200"/>
      <c r="EB152" s="1200"/>
      <c r="EC152" s="1200"/>
      <c r="ED152" s="1200"/>
      <c r="EE152" s="1200"/>
      <c r="EF152" s="1200"/>
      <c r="EG152" s="1200"/>
      <c r="EH152" s="1200"/>
      <c r="EI152" s="1200"/>
      <c r="EJ152" s="1200"/>
      <c r="EK152" s="1200"/>
      <c r="EL152" s="1200"/>
      <c r="EM152" s="1200"/>
      <c r="EN152" s="1200"/>
      <c r="EO152" s="1200"/>
      <c r="EP152" s="1200"/>
      <c r="EQ152" s="1200"/>
      <c r="ER152" s="1200"/>
      <c r="ES152" s="1200"/>
      <c r="ET152" s="1200"/>
      <c r="EU152" s="1200"/>
      <c r="EV152" s="1200"/>
      <c r="EW152" s="1200"/>
      <c r="EX152" s="1200"/>
      <c r="EY152" s="1200"/>
      <c r="EZ152" s="1200"/>
      <c r="FA152" s="1200"/>
      <c r="FB152" s="1200"/>
      <c r="FC152" s="1200"/>
      <c r="FD152" s="1200"/>
      <c r="FE152" s="1200"/>
      <c r="FF152" s="1200"/>
      <c r="FG152" s="1200"/>
      <c r="FH152" s="1200"/>
      <c r="FI152" s="1200"/>
      <c r="FJ152" s="1200"/>
      <c r="FK152" s="1200"/>
      <c r="FL152" s="1200"/>
      <c r="FM152" s="1200"/>
      <c r="FN152" s="1200"/>
      <c r="FO152" s="1200"/>
      <c r="FP152" s="1200"/>
      <c r="FQ152" s="1200"/>
      <c r="FR152" s="1200"/>
      <c r="FS152" s="1200"/>
      <c r="FT152" s="1200"/>
      <c r="FU152" s="1200"/>
      <c r="FV152" s="1200"/>
      <c r="FW152" s="1200"/>
      <c r="FX152" s="1200"/>
      <c r="FY152" s="1200"/>
      <c r="FZ152" s="1200"/>
      <c r="GA152" s="1200"/>
      <c r="GB152" s="1200"/>
      <c r="GC152" s="1200"/>
      <c r="GD152" s="1200"/>
      <c r="GE152" s="1200"/>
      <c r="GF152" s="1200"/>
      <c r="GG152" s="1200"/>
      <c r="GH152" s="1200"/>
      <c r="GI152" s="1200"/>
      <c r="GJ152" s="1200"/>
      <c r="GK152" s="1200"/>
      <c r="GL152" s="1200"/>
      <c r="GM152" s="1200"/>
      <c r="GN152" s="1200"/>
      <c r="GO152" s="1200"/>
      <c r="GP152" s="1200"/>
      <c r="GQ152" s="1200"/>
      <c r="GR152" s="1200"/>
      <c r="GS152" s="1200"/>
      <c r="GT152" s="1200"/>
      <c r="GU152" s="1200"/>
      <c r="GV152" s="1200"/>
      <c r="GW152" s="1200"/>
      <c r="GX152" s="1200"/>
      <c r="GY152" s="1200"/>
      <c r="GZ152" s="1200"/>
      <c r="HA152" s="1200"/>
      <c r="HB152" s="1200"/>
      <c r="HC152" s="1200"/>
      <c r="HD152" s="1200"/>
      <c r="HE152" s="1200"/>
      <c r="HF152" s="1200"/>
      <c r="HG152" s="1200"/>
      <c r="HH152" s="1200"/>
    </row>
    <row r="153" spans="1:216" s="1398" customFormat="1" ht="62.25" customHeight="1" x14ac:dyDescent="0.2">
      <c r="A153" s="1228"/>
      <c r="B153" s="1229"/>
      <c r="C153" s="1230"/>
      <c r="D153" s="1229"/>
      <c r="E153" s="1229"/>
      <c r="F153" s="1230"/>
      <c r="G153" s="1229"/>
      <c r="H153" s="1229"/>
      <c r="I153" s="1230"/>
      <c r="J153" s="1248">
        <v>167</v>
      </c>
      <c r="K153" s="1323" t="s">
        <v>1530</v>
      </c>
      <c r="L153" s="1248" t="s">
        <v>126</v>
      </c>
      <c r="M153" s="1399">
        <v>15</v>
      </c>
      <c r="N153" s="1345" t="s">
        <v>1531</v>
      </c>
      <c r="O153" s="3305"/>
      <c r="P153" s="3180"/>
      <c r="Q153" s="1249">
        <v>0.9</v>
      </c>
      <c r="R153" s="3307"/>
      <c r="S153" s="3180"/>
      <c r="T153" s="1358" t="s">
        <v>1532</v>
      </c>
      <c r="U153" s="1400" t="s">
        <v>1533</v>
      </c>
      <c r="V153" s="1401">
        <f>11595195274+8378994970</f>
        <v>19974190244</v>
      </c>
      <c r="W153" s="1397">
        <v>59</v>
      </c>
      <c r="X153" s="1345" t="s">
        <v>1534</v>
      </c>
      <c r="Y153" s="3218"/>
      <c r="Z153" s="3218"/>
      <c r="AA153" s="3218"/>
      <c r="AB153" s="3218"/>
      <c r="AC153" s="3218"/>
      <c r="AD153" s="3218"/>
      <c r="AE153" s="3218"/>
      <c r="AF153" s="3310"/>
      <c r="AG153" s="3310"/>
      <c r="AH153" s="3310"/>
      <c r="AI153" s="3310"/>
      <c r="AJ153" s="3310"/>
      <c r="AK153" s="3193"/>
      <c r="AL153" s="3193"/>
      <c r="AM153" s="3196"/>
      <c r="AN153" s="1199"/>
      <c r="AO153" s="1252"/>
      <c r="AP153" s="1199"/>
      <c r="AQ153" s="1199"/>
      <c r="AR153" s="1200"/>
      <c r="AS153" s="1200"/>
      <c r="AT153" s="1200"/>
      <c r="AU153" s="1200"/>
      <c r="AV153" s="1200"/>
      <c r="AW153" s="1200"/>
      <c r="AX153" s="1200"/>
      <c r="AY153" s="1200"/>
      <c r="AZ153" s="1200"/>
      <c r="BA153" s="1200"/>
      <c r="BB153" s="1200"/>
      <c r="BC153" s="1200"/>
      <c r="BD153" s="1200"/>
      <c r="BE153" s="1200"/>
      <c r="BF153" s="1200"/>
      <c r="BG153" s="1200"/>
      <c r="BH153" s="1200"/>
      <c r="BI153" s="1200"/>
      <c r="BJ153" s="1200"/>
      <c r="BK153" s="1200"/>
      <c r="BL153" s="1200"/>
      <c r="BM153" s="1200"/>
      <c r="BN153" s="1200"/>
      <c r="BO153" s="1200"/>
      <c r="BP153" s="1200"/>
      <c r="BQ153" s="1200"/>
      <c r="BR153" s="1200"/>
      <c r="BS153" s="1200"/>
      <c r="BT153" s="1200"/>
      <c r="BU153" s="1200"/>
      <c r="BV153" s="1200"/>
      <c r="BW153" s="1200"/>
      <c r="BX153" s="1200"/>
      <c r="BY153" s="1200"/>
      <c r="BZ153" s="1200"/>
      <c r="CA153" s="1200"/>
      <c r="CB153" s="1200"/>
      <c r="CC153" s="1200"/>
      <c r="CD153" s="1200"/>
      <c r="CE153" s="1200"/>
      <c r="CF153" s="1200"/>
      <c r="CG153" s="1200"/>
      <c r="CH153" s="1200"/>
      <c r="CI153" s="1200"/>
      <c r="CJ153" s="1200"/>
      <c r="CK153" s="1200"/>
      <c r="CL153" s="1200"/>
      <c r="CM153" s="1200"/>
      <c r="CN153" s="1200"/>
      <c r="CO153" s="1200"/>
      <c r="CP153" s="1200"/>
      <c r="CQ153" s="1200"/>
      <c r="CR153" s="1200"/>
      <c r="CS153" s="1200"/>
      <c r="CT153" s="1200"/>
      <c r="CU153" s="1200"/>
      <c r="CV153" s="1200"/>
      <c r="CW153" s="1200"/>
      <c r="CX153" s="1200"/>
      <c r="CY153" s="1200"/>
      <c r="CZ153" s="1200"/>
      <c r="DA153" s="1200"/>
      <c r="DB153" s="1200"/>
      <c r="DC153" s="1200"/>
      <c r="DD153" s="1200"/>
      <c r="DE153" s="1200"/>
      <c r="DF153" s="1200"/>
      <c r="DG153" s="1200"/>
      <c r="DH153" s="1200"/>
      <c r="DI153" s="1200"/>
      <c r="DJ153" s="1200"/>
      <c r="DK153" s="1200"/>
      <c r="DL153" s="1200"/>
      <c r="DM153" s="1200"/>
      <c r="DN153" s="1200"/>
      <c r="DO153" s="1200"/>
      <c r="DP153" s="1200"/>
      <c r="DQ153" s="1200"/>
      <c r="DR153" s="1200"/>
      <c r="DS153" s="1200"/>
      <c r="DT153" s="1200"/>
      <c r="DU153" s="1200"/>
      <c r="DV153" s="1200"/>
      <c r="DW153" s="1200"/>
      <c r="DX153" s="1200"/>
      <c r="DY153" s="1200"/>
      <c r="DZ153" s="1200"/>
      <c r="EA153" s="1200"/>
      <c r="EB153" s="1200"/>
      <c r="EC153" s="1200"/>
      <c r="ED153" s="1200"/>
      <c r="EE153" s="1200"/>
      <c r="EF153" s="1200"/>
      <c r="EG153" s="1200"/>
      <c r="EH153" s="1200"/>
      <c r="EI153" s="1200"/>
      <c r="EJ153" s="1200"/>
      <c r="EK153" s="1200"/>
      <c r="EL153" s="1200"/>
      <c r="EM153" s="1200"/>
      <c r="EN153" s="1200"/>
      <c r="EO153" s="1200"/>
      <c r="EP153" s="1200"/>
      <c r="EQ153" s="1200"/>
      <c r="ER153" s="1200"/>
      <c r="ES153" s="1200"/>
      <c r="ET153" s="1200"/>
      <c r="EU153" s="1200"/>
      <c r="EV153" s="1200"/>
      <c r="EW153" s="1200"/>
      <c r="EX153" s="1200"/>
      <c r="EY153" s="1200"/>
      <c r="EZ153" s="1200"/>
      <c r="FA153" s="1200"/>
      <c r="FB153" s="1200"/>
      <c r="FC153" s="1200"/>
      <c r="FD153" s="1200"/>
      <c r="FE153" s="1200"/>
      <c r="FF153" s="1200"/>
      <c r="FG153" s="1200"/>
      <c r="FH153" s="1200"/>
      <c r="FI153" s="1200"/>
      <c r="FJ153" s="1200"/>
      <c r="FK153" s="1200"/>
      <c r="FL153" s="1200"/>
      <c r="FM153" s="1200"/>
      <c r="FN153" s="1200"/>
      <c r="FO153" s="1200"/>
      <c r="FP153" s="1200"/>
      <c r="FQ153" s="1200"/>
      <c r="FR153" s="1200"/>
      <c r="FS153" s="1200"/>
      <c r="FT153" s="1200"/>
      <c r="FU153" s="1200"/>
      <c r="FV153" s="1200"/>
      <c r="FW153" s="1200"/>
      <c r="FX153" s="1200"/>
      <c r="FY153" s="1200"/>
      <c r="FZ153" s="1200"/>
      <c r="GA153" s="1200"/>
      <c r="GB153" s="1200"/>
      <c r="GC153" s="1200"/>
      <c r="GD153" s="1200"/>
      <c r="GE153" s="1200"/>
      <c r="GF153" s="1200"/>
      <c r="GG153" s="1200"/>
      <c r="GH153" s="1200"/>
      <c r="GI153" s="1200"/>
      <c r="GJ153" s="1200"/>
      <c r="GK153" s="1200"/>
      <c r="GL153" s="1200"/>
      <c r="GM153" s="1200"/>
      <c r="GN153" s="1200"/>
      <c r="GO153" s="1200"/>
      <c r="GP153" s="1200"/>
      <c r="GQ153" s="1200"/>
      <c r="GR153" s="1200"/>
      <c r="GS153" s="1200"/>
      <c r="GT153" s="1200"/>
      <c r="GU153" s="1200"/>
      <c r="GV153" s="1200"/>
      <c r="GW153" s="1200"/>
      <c r="GX153" s="1200"/>
      <c r="GY153" s="1200"/>
      <c r="GZ153" s="1200"/>
      <c r="HA153" s="1200"/>
      <c r="HB153" s="1200"/>
      <c r="HC153" s="1200"/>
      <c r="HD153" s="1200"/>
      <c r="HE153" s="1200"/>
      <c r="HF153" s="1200"/>
      <c r="HG153" s="1200"/>
      <c r="HH153" s="1200"/>
    </row>
    <row r="154" spans="1:216" ht="48.75" customHeight="1" x14ac:dyDescent="0.2">
      <c r="A154" s="1228"/>
      <c r="B154" s="1229"/>
      <c r="C154" s="1230"/>
      <c r="D154" s="1229"/>
      <c r="E154" s="1229"/>
      <c r="F154" s="1230"/>
      <c r="G154" s="1229"/>
      <c r="H154" s="1229"/>
      <c r="I154" s="1230"/>
      <c r="J154" s="3176">
        <v>168</v>
      </c>
      <c r="K154" s="3179" t="s">
        <v>1535</v>
      </c>
      <c r="L154" s="3176" t="s">
        <v>126</v>
      </c>
      <c r="M154" s="3176">
        <v>14</v>
      </c>
      <c r="N154" s="1345" t="s">
        <v>1536</v>
      </c>
      <c r="O154" s="3305"/>
      <c r="P154" s="3180"/>
      <c r="Q154" s="1953">
        <v>0.05</v>
      </c>
      <c r="R154" s="3307"/>
      <c r="S154" s="3180"/>
      <c r="T154" s="3281" t="s">
        <v>1537</v>
      </c>
      <c r="U154" s="3312" t="s">
        <v>1538</v>
      </c>
      <c r="V154" s="3313">
        <v>0</v>
      </c>
      <c r="W154" s="1397">
        <v>60</v>
      </c>
      <c r="X154" s="1345" t="s">
        <v>1539</v>
      </c>
      <c r="Y154" s="3218"/>
      <c r="Z154" s="3218"/>
      <c r="AA154" s="3218"/>
      <c r="AB154" s="3218"/>
      <c r="AC154" s="3218"/>
      <c r="AD154" s="3218"/>
      <c r="AE154" s="3218"/>
      <c r="AF154" s="3310"/>
      <c r="AG154" s="3310"/>
      <c r="AH154" s="3310"/>
      <c r="AI154" s="3310"/>
      <c r="AJ154" s="3310"/>
      <c r="AK154" s="3193"/>
      <c r="AL154" s="3193"/>
      <c r="AM154" s="3196"/>
      <c r="AO154" s="1252"/>
    </row>
    <row r="155" spans="1:216" ht="49.5" customHeight="1" x14ac:dyDescent="0.2">
      <c r="A155" s="1228"/>
      <c r="B155" s="1229"/>
      <c r="C155" s="1230"/>
      <c r="D155" s="1229"/>
      <c r="E155" s="1229"/>
      <c r="F155" s="1230"/>
      <c r="G155" s="1402"/>
      <c r="H155" s="1402"/>
      <c r="I155" s="1403"/>
      <c r="J155" s="3178"/>
      <c r="K155" s="3181"/>
      <c r="L155" s="3177"/>
      <c r="M155" s="3177"/>
      <c r="N155" s="1345" t="s">
        <v>1540</v>
      </c>
      <c r="O155" s="3305"/>
      <c r="P155" s="3180"/>
      <c r="Q155" s="2790"/>
      <c r="R155" s="3307"/>
      <c r="S155" s="3180"/>
      <c r="T155" s="3283"/>
      <c r="U155" s="3312"/>
      <c r="V155" s="3314"/>
      <c r="W155" s="1397">
        <v>35</v>
      </c>
      <c r="X155" s="1281" t="s">
        <v>1541</v>
      </c>
      <c r="Y155" s="3219"/>
      <c r="Z155" s="3219"/>
      <c r="AA155" s="3219"/>
      <c r="AB155" s="3219"/>
      <c r="AC155" s="3219"/>
      <c r="AD155" s="3219"/>
      <c r="AE155" s="3219"/>
      <c r="AF155" s="3217"/>
      <c r="AG155" s="3217"/>
      <c r="AH155" s="3217"/>
      <c r="AI155" s="3217"/>
      <c r="AJ155" s="3217"/>
      <c r="AK155" s="3193"/>
      <c r="AL155" s="3193"/>
      <c r="AM155" s="3196"/>
      <c r="AO155" s="1253"/>
    </row>
    <row r="156" spans="1:216" s="1270" customFormat="1" ht="36" customHeight="1" x14ac:dyDescent="0.2">
      <c r="A156" s="1228"/>
      <c r="B156" s="1229"/>
      <c r="C156" s="1230"/>
      <c r="D156" s="1229"/>
      <c r="E156" s="1229"/>
      <c r="F156" s="1230"/>
      <c r="G156" s="1404">
        <v>51</v>
      </c>
      <c r="H156" s="1405" t="s">
        <v>1542</v>
      </c>
      <c r="I156" s="1405"/>
      <c r="J156" s="1406"/>
      <c r="K156" s="1407"/>
      <c r="L156" s="1234"/>
      <c r="M156" s="1234"/>
      <c r="N156" s="1236"/>
      <c r="O156" s="1234"/>
      <c r="P156" s="1235"/>
      <c r="Q156" s="1234"/>
      <c r="R156" s="1266"/>
      <c r="S156" s="1234"/>
      <c r="T156" s="1235"/>
      <c r="U156" s="1235"/>
      <c r="V156" s="1237"/>
      <c r="W156" s="1267"/>
      <c r="X156" s="1236"/>
      <c r="Y156" s="3311"/>
      <c r="Z156" s="3311"/>
      <c r="AA156" s="3311"/>
      <c r="AB156" s="3311"/>
      <c r="AC156" s="3311"/>
      <c r="AD156" s="3311"/>
      <c r="AE156" s="3311"/>
      <c r="AF156" s="3311"/>
      <c r="AG156" s="3311"/>
      <c r="AH156" s="3311"/>
      <c r="AI156" s="3311"/>
      <c r="AJ156" s="3311"/>
      <c r="AK156" s="1234"/>
      <c r="AL156" s="1234"/>
      <c r="AM156" s="1239"/>
      <c r="AN156" s="1217"/>
      <c r="AO156" s="1217"/>
      <c r="AP156" s="1217"/>
      <c r="AQ156" s="1217"/>
      <c r="AR156" s="1218"/>
      <c r="AS156" s="1218"/>
    </row>
    <row r="157" spans="1:216" ht="85.5" customHeight="1" x14ac:dyDescent="0.2">
      <c r="A157" s="1408"/>
      <c r="B157" s="1409"/>
      <c r="C157" s="1410"/>
      <c r="D157" s="1409"/>
      <c r="E157" s="1409"/>
      <c r="F157" s="1410"/>
      <c r="G157" s="1411"/>
      <c r="H157" s="1411"/>
      <c r="I157" s="1412"/>
      <c r="J157" s="3176">
        <v>169</v>
      </c>
      <c r="K157" s="3179" t="s">
        <v>1543</v>
      </c>
      <c r="L157" s="3176" t="s">
        <v>126</v>
      </c>
      <c r="M157" s="3176">
        <v>12</v>
      </c>
      <c r="N157" s="3176" t="s">
        <v>1544</v>
      </c>
      <c r="O157" s="3176">
        <v>155</v>
      </c>
      <c r="P157" s="3179" t="s">
        <v>1545</v>
      </c>
      <c r="Q157" s="1953">
        <v>1</v>
      </c>
      <c r="R157" s="3208">
        <v>44149920</v>
      </c>
      <c r="S157" s="3179" t="s">
        <v>1546</v>
      </c>
      <c r="T157" s="1247" t="s">
        <v>1547</v>
      </c>
      <c r="U157" s="1247" t="s">
        <v>1548</v>
      </c>
      <c r="V157" s="1413">
        <v>14716640</v>
      </c>
      <c r="W157" s="3185">
        <v>72</v>
      </c>
      <c r="X157" s="3176" t="s">
        <v>1505</v>
      </c>
      <c r="Y157" s="3217">
        <v>64149</v>
      </c>
      <c r="Z157" s="3217">
        <v>72224</v>
      </c>
      <c r="AA157" s="3217">
        <v>27477</v>
      </c>
      <c r="AB157" s="3217">
        <v>86843</v>
      </c>
      <c r="AC157" s="3217">
        <v>236429</v>
      </c>
      <c r="AD157" s="3217">
        <v>81384</v>
      </c>
      <c r="AE157" s="3217">
        <v>13208</v>
      </c>
      <c r="AF157" s="3217">
        <v>2145</v>
      </c>
      <c r="AG157" s="3217">
        <v>413</v>
      </c>
      <c r="AH157" s="3217">
        <v>520</v>
      </c>
      <c r="AI157" s="3217">
        <v>16897</v>
      </c>
      <c r="AJ157" s="3217">
        <v>75612</v>
      </c>
      <c r="AK157" s="3287">
        <v>42948</v>
      </c>
      <c r="AL157" s="3287">
        <v>43100</v>
      </c>
      <c r="AM157" s="3288" t="s">
        <v>1303</v>
      </c>
    </row>
    <row r="158" spans="1:216" ht="85.5" customHeight="1" x14ac:dyDescent="0.2">
      <c r="A158" s="1408"/>
      <c r="B158" s="1409"/>
      <c r="C158" s="1410"/>
      <c r="D158" s="1409"/>
      <c r="E158" s="1409"/>
      <c r="F158" s="1410"/>
      <c r="G158" s="1409"/>
      <c r="H158" s="1409"/>
      <c r="I158" s="1410"/>
      <c r="J158" s="3177"/>
      <c r="K158" s="3180"/>
      <c r="L158" s="3177"/>
      <c r="M158" s="3177"/>
      <c r="N158" s="3177"/>
      <c r="O158" s="3177"/>
      <c r="P158" s="3180"/>
      <c r="Q158" s="2786"/>
      <c r="R158" s="3209"/>
      <c r="S158" s="3180"/>
      <c r="T158" s="1247" t="s">
        <v>1549</v>
      </c>
      <c r="U158" s="1247" t="s">
        <v>1550</v>
      </c>
      <c r="V158" s="1413">
        <v>14716640</v>
      </c>
      <c r="W158" s="3186"/>
      <c r="X158" s="3177"/>
      <c r="Y158" s="3218"/>
      <c r="Z158" s="3218"/>
      <c r="AA158" s="3218"/>
      <c r="AB158" s="3218"/>
      <c r="AC158" s="3218"/>
      <c r="AD158" s="3218"/>
      <c r="AE158" s="3218"/>
      <c r="AF158" s="3218"/>
      <c r="AG158" s="3218"/>
      <c r="AH158" s="3218"/>
      <c r="AI158" s="3218"/>
      <c r="AJ158" s="3218"/>
      <c r="AK158" s="3287"/>
      <c r="AL158" s="3287"/>
      <c r="AM158" s="3288"/>
    </row>
    <row r="159" spans="1:216" ht="75.75" customHeight="1" x14ac:dyDescent="0.2">
      <c r="A159" s="1240"/>
      <c r="B159" s="1241"/>
      <c r="C159" s="1242"/>
      <c r="D159" s="1241"/>
      <c r="E159" s="1241"/>
      <c r="F159" s="1242"/>
      <c r="G159" s="1257"/>
      <c r="H159" s="1257"/>
      <c r="I159" s="1258"/>
      <c r="J159" s="3178"/>
      <c r="K159" s="3181"/>
      <c r="L159" s="3178"/>
      <c r="M159" s="3178"/>
      <c r="N159" s="3178"/>
      <c r="O159" s="3178"/>
      <c r="P159" s="3181"/>
      <c r="Q159" s="2790"/>
      <c r="R159" s="3210"/>
      <c r="S159" s="3181"/>
      <c r="T159" s="1247" t="s">
        <v>1535</v>
      </c>
      <c r="U159" s="1247" t="s">
        <v>1551</v>
      </c>
      <c r="V159" s="1413">
        <v>14716640</v>
      </c>
      <c r="W159" s="3187"/>
      <c r="X159" s="3178"/>
      <c r="Y159" s="3218"/>
      <c r="Z159" s="3218"/>
      <c r="AA159" s="3218"/>
      <c r="AB159" s="3218"/>
      <c r="AC159" s="3218"/>
      <c r="AD159" s="3218"/>
      <c r="AE159" s="3218"/>
      <c r="AF159" s="3218"/>
      <c r="AG159" s="3218"/>
      <c r="AH159" s="3218"/>
      <c r="AI159" s="3218"/>
      <c r="AJ159" s="3218"/>
      <c r="AK159" s="3287"/>
      <c r="AL159" s="3287"/>
      <c r="AM159" s="3288"/>
    </row>
    <row r="160" spans="1:216" s="1270" customFormat="1" ht="36" customHeight="1" x14ac:dyDescent="0.2">
      <c r="A160" s="1228"/>
      <c r="B160" s="1229"/>
      <c r="C160" s="1230"/>
      <c r="D160" s="1229"/>
      <c r="E160" s="1229"/>
      <c r="F160" s="1230"/>
      <c r="G160" s="1265">
        <v>52</v>
      </c>
      <c r="H160" s="1234" t="s">
        <v>1552</v>
      </c>
      <c r="I160" s="1234"/>
      <c r="J160" s="1234"/>
      <c r="K160" s="1235"/>
      <c r="L160" s="1234"/>
      <c r="M160" s="1234"/>
      <c r="N160" s="1236"/>
      <c r="O160" s="1234"/>
      <c r="P160" s="1235"/>
      <c r="Q160" s="1234"/>
      <c r="R160" s="1266"/>
      <c r="S160" s="1234"/>
      <c r="T160" s="1235"/>
      <c r="U160" s="1235"/>
      <c r="V160" s="1237"/>
      <c r="W160" s="1267"/>
      <c r="X160" s="1236"/>
      <c r="Y160" s="3316"/>
      <c r="Z160" s="3311"/>
      <c r="AA160" s="3311"/>
      <c r="AB160" s="3311"/>
      <c r="AC160" s="3311"/>
      <c r="AD160" s="3311"/>
      <c r="AE160" s="3311"/>
      <c r="AF160" s="3311"/>
      <c r="AG160" s="3311"/>
      <c r="AH160" s="3311"/>
      <c r="AI160" s="3311"/>
      <c r="AJ160" s="3317"/>
      <c r="AK160" s="1234"/>
      <c r="AL160" s="1234"/>
      <c r="AM160" s="1239"/>
      <c r="AN160" s="1217"/>
      <c r="AO160" s="1217"/>
      <c r="AP160" s="1217"/>
      <c r="AQ160" s="1217"/>
      <c r="AR160" s="1218"/>
      <c r="AS160" s="1218"/>
    </row>
    <row r="161" spans="1:45" ht="75" customHeight="1" x14ac:dyDescent="0.2">
      <c r="A161" s="1271"/>
      <c r="B161" s="1272"/>
      <c r="C161" s="1273"/>
      <c r="D161" s="1272"/>
      <c r="E161" s="1272"/>
      <c r="F161" s="1273"/>
      <c r="G161" s="1275"/>
      <c r="H161" s="1275"/>
      <c r="I161" s="1276"/>
      <c r="J161" s="3176">
        <v>170</v>
      </c>
      <c r="K161" s="3179" t="s">
        <v>1553</v>
      </c>
      <c r="L161" s="3176" t="s">
        <v>126</v>
      </c>
      <c r="M161" s="3176">
        <v>14</v>
      </c>
      <c r="N161" s="3176" t="s">
        <v>1554</v>
      </c>
      <c r="O161" s="3176">
        <v>156</v>
      </c>
      <c r="P161" s="3179" t="s">
        <v>1555</v>
      </c>
      <c r="Q161" s="1953">
        <f>(V161+V162)/R161</f>
        <v>0.28571428157935846</v>
      </c>
      <c r="R161" s="3208">
        <v>138195556</v>
      </c>
      <c r="S161" s="3179" t="s">
        <v>1556</v>
      </c>
      <c r="T161" s="3179" t="s">
        <v>1557</v>
      </c>
      <c r="U161" s="1414" t="s">
        <v>1558</v>
      </c>
      <c r="V161" s="1415">
        <v>25000000</v>
      </c>
      <c r="W161" s="3318">
        <v>72</v>
      </c>
      <c r="X161" s="3176" t="s">
        <v>1505</v>
      </c>
      <c r="Y161" s="3217">
        <v>64149</v>
      </c>
      <c r="Z161" s="3217">
        <v>72224</v>
      </c>
      <c r="AA161" s="3217">
        <v>27477</v>
      </c>
      <c r="AB161" s="3217">
        <v>86843</v>
      </c>
      <c r="AC161" s="3217">
        <v>236429</v>
      </c>
      <c r="AD161" s="3217">
        <v>81384</v>
      </c>
      <c r="AE161" s="3217">
        <v>13208</v>
      </c>
      <c r="AF161" s="3217">
        <v>2145</v>
      </c>
      <c r="AG161" s="3217">
        <v>413</v>
      </c>
      <c r="AH161" s="3217">
        <v>520</v>
      </c>
      <c r="AI161" s="3217">
        <v>16897</v>
      </c>
      <c r="AJ161" s="3217">
        <v>75612</v>
      </c>
      <c r="AK161" s="3192">
        <v>42948</v>
      </c>
      <c r="AL161" s="3192">
        <v>43100</v>
      </c>
      <c r="AM161" s="3195" t="s">
        <v>1303</v>
      </c>
    </row>
    <row r="162" spans="1:45" ht="52.5" customHeight="1" x14ac:dyDescent="0.2">
      <c r="A162" s="1271"/>
      <c r="B162" s="1272"/>
      <c r="C162" s="1273"/>
      <c r="D162" s="1272"/>
      <c r="E162" s="1272"/>
      <c r="F162" s="1273"/>
      <c r="G162" s="1272"/>
      <c r="H162" s="1272"/>
      <c r="I162" s="1273"/>
      <c r="J162" s="3178"/>
      <c r="K162" s="3181"/>
      <c r="L162" s="3178"/>
      <c r="M162" s="3178"/>
      <c r="N162" s="3177"/>
      <c r="O162" s="3177"/>
      <c r="P162" s="3180"/>
      <c r="Q162" s="2790"/>
      <c r="R162" s="3209"/>
      <c r="S162" s="3180"/>
      <c r="T162" s="3181"/>
      <c r="U162" s="1414" t="s">
        <v>1559</v>
      </c>
      <c r="V162" s="1416">
        <v>14484444</v>
      </c>
      <c r="W162" s="3319"/>
      <c r="X162" s="3177"/>
      <c r="Y162" s="3218"/>
      <c r="Z162" s="3218"/>
      <c r="AA162" s="3218"/>
      <c r="AB162" s="3218"/>
      <c r="AC162" s="3218"/>
      <c r="AD162" s="3218"/>
      <c r="AE162" s="3218"/>
      <c r="AF162" s="3218"/>
      <c r="AG162" s="3218"/>
      <c r="AH162" s="3218"/>
      <c r="AI162" s="3218"/>
      <c r="AJ162" s="3218"/>
      <c r="AK162" s="3193"/>
      <c r="AL162" s="3193"/>
      <c r="AM162" s="3196"/>
    </row>
    <row r="163" spans="1:45" ht="74.25" customHeight="1" x14ac:dyDescent="0.2">
      <c r="A163" s="1271"/>
      <c r="B163" s="1272"/>
      <c r="C163" s="1273"/>
      <c r="D163" s="1272"/>
      <c r="E163" s="1272"/>
      <c r="F163" s="1273"/>
      <c r="G163" s="1272"/>
      <c r="H163" s="1272"/>
      <c r="I163" s="1273"/>
      <c r="J163" s="1246">
        <v>171</v>
      </c>
      <c r="K163" s="1247" t="s">
        <v>1560</v>
      </c>
      <c r="L163" s="1281" t="s">
        <v>126</v>
      </c>
      <c r="M163" s="1246">
        <v>1</v>
      </c>
      <c r="N163" s="3178"/>
      <c r="O163" s="3178"/>
      <c r="P163" s="3181"/>
      <c r="Q163" s="1249">
        <f>V163/R161</f>
        <v>0.71428571118451889</v>
      </c>
      <c r="R163" s="3210"/>
      <c r="S163" s="3181"/>
      <c r="T163" s="1247" t="s">
        <v>1561</v>
      </c>
      <c r="U163" s="1414" t="s">
        <v>1562</v>
      </c>
      <c r="V163" s="1416">
        <v>98711111</v>
      </c>
      <c r="W163" s="3320"/>
      <c r="X163" s="3178"/>
      <c r="Y163" s="3218"/>
      <c r="Z163" s="3218"/>
      <c r="AA163" s="3218"/>
      <c r="AB163" s="3218"/>
      <c r="AC163" s="3218"/>
      <c r="AD163" s="3218"/>
      <c r="AE163" s="3218"/>
      <c r="AF163" s="3218"/>
      <c r="AG163" s="3218"/>
      <c r="AH163" s="3218"/>
      <c r="AI163" s="3218"/>
      <c r="AJ163" s="3218"/>
      <c r="AK163" s="3194"/>
      <c r="AL163" s="3194"/>
      <c r="AM163" s="3197"/>
    </row>
    <row r="164" spans="1:45" ht="78.599999999999994" customHeight="1" x14ac:dyDescent="0.2">
      <c r="A164" s="1271"/>
      <c r="B164" s="1272"/>
      <c r="C164" s="1273"/>
      <c r="D164" s="1272"/>
      <c r="E164" s="1272"/>
      <c r="F164" s="1273"/>
      <c r="G164" s="1272"/>
      <c r="H164" s="1272"/>
      <c r="I164" s="1273"/>
      <c r="J164" s="3176">
        <v>172</v>
      </c>
      <c r="K164" s="3179" t="s">
        <v>1563</v>
      </c>
      <c r="L164" s="3176" t="s">
        <v>126</v>
      </c>
      <c r="M164" s="3176">
        <v>12</v>
      </c>
      <c r="N164" s="1248"/>
      <c r="O164" s="3176">
        <v>157</v>
      </c>
      <c r="P164" s="3179" t="s">
        <v>1564</v>
      </c>
      <c r="Q164" s="1953">
        <v>1</v>
      </c>
      <c r="R164" s="3208">
        <v>706004444</v>
      </c>
      <c r="S164" s="3179" t="s">
        <v>1565</v>
      </c>
      <c r="T164" s="3179" t="s">
        <v>1566</v>
      </c>
      <c r="U164" s="1417" t="s">
        <v>1567</v>
      </c>
      <c r="V164" s="1416">
        <v>42000000</v>
      </c>
      <c r="W164" s="1418"/>
      <c r="X164" s="1419"/>
      <c r="Y164" s="3217">
        <v>64149</v>
      </c>
      <c r="Z164" s="3217">
        <v>72224</v>
      </c>
      <c r="AA164" s="3217">
        <v>27477</v>
      </c>
      <c r="AB164" s="3217">
        <v>86843</v>
      </c>
      <c r="AC164" s="3217">
        <v>236429</v>
      </c>
      <c r="AD164" s="3217">
        <v>81384</v>
      </c>
      <c r="AE164" s="3217">
        <v>13208</v>
      </c>
      <c r="AF164" s="3217">
        <v>2145</v>
      </c>
      <c r="AG164" s="3217">
        <v>413</v>
      </c>
      <c r="AH164" s="3217">
        <v>520</v>
      </c>
      <c r="AI164" s="3217">
        <v>16897</v>
      </c>
      <c r="AJ164" s="3217">
        <v>75612</v>
      </c>
      <c r="AK164" s="3192">
        <v>42948</v>
      </c>
      <c r="AL164" s="3192">
        <v>43100</v>
      </c>
      <c r="AM164" s="3195" t="s">
        <v>1303</v>
      </c>
    </row>
    <row r="165" spans="1:45" ht="78.599999999999994" customHeight="1" x14ac:dyDescent="0.2">
      <c r="A165" s="1271"/>
      <c r="B165" s="1272"/>
      <c r="C165" s="1273"/>
      <c r="D165" s="1272"/>
      <c r="E165" s="1272"/>
      <c r="F165" s="1273"/>
      <c r="G165" s="1272"/>
      <c r="H165" s="1272"/>
      <c r="I165" s="1273"/>
      <c r="J165" s="3177"/>
      <c r="K165" s="3180"/>
      <c r="L165" s="3177"/>
      <c r="M165" s="3177"/>
      <c r="N165" s="1345" t="s">
        <v>1568</v>
      </c>
      <c r="O165" s="3177"/>
      <c r="P165" s="3180"/>
      <c r="Q165" s="2786"/>
      <c r="R165" s="3209"/>
      <c r="S165" s="3180"/>
      <c r="T165" s="3180"/>
      <c r="U165" s="1417" t="s">
        <v>1569</v>
      </c>
      <c r="V165" s="1416">
        <v>199004444</v>
      </c>
      <c r="W165" s="1420">
        <v>72</v>
      </c>
      <c r="X165" s="1421" t="s">
        <v>1505</v>
      </c>
      <c r="Y165" s="3218"/>
      <c r="Z165" s="3218"/>
      <c r="AA165" s="3218"/>
      <c r="AB165" s="3218"/>
      <c r="AC165" s="3218"/>
      <c r="AD165" s="3218"/>
      <c r="AE165" s="3218"/>
      <c r="AF165" s="3218"/>
      <c r="AG165" s="3218"/>
      <c r="AH165" s="3218"/>
      <c r="AI165" s="3218"/>
      <c r="AJ165" s="3218"/>
      <c r="AK165" s="3193"/>
      <c r="AL165" s="3193"/>
      <c r="AM165" s="3196"/>
      <c r="AO165" s="1252"/>
    </row>
    <row r="166" spans="1:45" ht="78.599999999999994" customHeight="1" x14ac:dyDescent="0.2">
      <c r="A166" s="1271"/>
      <c r="B166" s="1272"/>
      <c r="C166" s="1273"/>
      <c r="D166" s="1272"/>
      <c r="E166" s="1272"/>
      <c r="F166" s="1273"/>
      <c r="G166" s="1272"/>
      <c r="H166" s="1272"/>
      <c r="I166" s="1273"/>
      <c r="J166" s="3177"/>
      <c r="K166" s="3180"/>
      <c r="L166" s="3177"/>
      <c r="M166" s="3177"/>
      <c r="N166" s="1345"/>
      <c r="O166" s="3177"/>
      <c r="P166" s="3180"/>
      <c r="Q166" s="2786"/>
      <c r="R166" s="3209"/>
      <c r="S166" s="3180"/>
      <c r="T166" s="3180"/>
      <c r="U166" s="1417" t="s">
        <v>1570</v>
      </c>
      <c r="V166" s="1416">
        <v>50000000</v>
      </c>
      <c r="W166" s="1420"/>
      <c r="X166" s="1421"/>
      <c r="Y166" s="3218"/>
      <c r="Z166" s="3218"/>
      <c r="AA166" s="3218"/>
      <c r="AB166" s="3218"/>
      <c r="AC166" s="3218"/>
      <c r="AD166" s="3218"/>
      <c r="AE166" s="3218"/>
      <c r="AF166" s="3218"/>
      <c r="AG166" s="3218"/>
      <c r="AH166" s="3218"/>
      <c r="AI166" s="3218"/>
      <c r="AJ166" s="3218"/>
      <c r="AK166" s="3193"/>
      <c r="AL166" s="3193"/>
      <c r="AM166" s="3196"/>
      <c r="AO166" s="1252"/>
    </row>
    <row r="167" spans="1:45" ht="78.599999999999994" customHeight="1" x14ac:dyDescent="0.2">
      <c r="A167" s="1271"/>
      <c r="B167" s="1272"/>
      <c r="C167" s="1273"/>
      <c r="D167" s="1272"/>
      <c r="E167" s="1272"/>
      <c r="F167" s="1273"/>
      <c r="G167" s="1272"/>
      <c r="H167" s="1272"/>
      <c r="I167" s="1273"/>
      <c r="J167" s="3177"/>
      <c r="K167" s="3180"/>
      <c r="L167" s="3177"/>
      <c r="M167" s="3177"/>
      <c r="N167" s="1345"/>
      <c r="O167" s="3177"/>
      <c r="P167" s="3180"/>
      <c r="Q167" s="2786"/>
      <c r="R167" s="3209"/>
      <c r="S167" s="3180"/>
      <c r="T167" s="3180"/>
      <c r="U167" s="1422" t="s">
        <v>1571</v>
      </c>
      <c r="V167" s="1423">
        <v>20000000</v>
      </c>
      <c r="W167" s="1420"/>
      <c r="X167" s="1421"/>
      <c r="Y167" s="3218"/>
      <c r="Z167" s="3218"/>
      <c r="AA167" s="3218"/>
      <c r="AB167" s="3218"/>
      <c r="AC167" s="3218"/>
      <c r="AD167" s="3218"/>
      <c r="AE167" s="3218"/>
      <c r="AF167" s="3218"/>
      <c r="AG167" s="3218"/>
      <c r="AH167" s="3218"/>
      <c r="AI167" s="3218"/>
      <c r="AJ167" s="3218"/>
      <c r="AK167" s="3193"/>
      <c r="AL167" s="3193"/>
      <c r="AM167" s="3196"/>
      <c r="AO167" s="1252"/>
    </row>
    <row r="168" spans="1:45" ht="78.599999999999994" customHeight="1" x14ac:dyDescent="0.2">
      <c r="A168" s="1271"/>
      <c r="B168" s="1272"/>
      <c r="C168" s="1273"/>
      <c r="D168" s="1272"/>
      <c r="E168" s="1272"/>
      <c r="F168" s="1273"/>
      <c r="G168" s="1272"/>
      <c r="H168" s="1272"/>
      <c r="I168" s="1273"/>
      <c r="J168" s="3177"/>
      <c r="K168" s="3180"/>
      <c r="L168" s="3177"/>
      <c r="M168" s="3177"/>
      <c r="N168" s="1345"/>
      <c r="O168" s="3177"/>
      <c r="P168" s="3180"/>
      <c r="Q168" s="2786"/>
      <c r="R168" s="3209"/>
      <c r="S168" s="3180"/>
      <c r="T168" s="3180"/>
      <c r="U168" s="1422" t="s">
        <v>1572</v>
      </c>
      <c r="V168" s="1423">
        <v>50000000</v>
      </c>
      <c r="W168" s="1420"/>
      <c r="X168" s="1421"/>
      <c r="Y168" s="3218"/>
      <c r="Z168" s="3218"/>
      <c r="AA168" s="3218"/>
      <c r="AB168" s="3218"/>
      <c r="AC168" s="3218"/>
      <c r="AD168" s="3218"/>
      <c r="AE168" s="3218"/>
      <c r="AF168" s="3218"/>
      <c r="AG168" s="3218"/>
      <c r="AH168" s="3218"/>
      <c r="AI168" s="3218"/>
      <c r="AJ168" s="3218"/>
      <c r="AK168" s="3193"/>
      <c r="AL168" s="3193"/>
      <c r="AM168" s="3196"/>
      <c r="AO168" s="1252"/>
    </row>
    <row r="169" spans="1:45" ht="78.599999999999994" customHeight="1" x14ac:dyDescent="0.2">
      <c r="A169" s="1271"/>
      <c r="B169" s="1272"/>
      <c r="C169" s="1273"/>
      <c r="D169" s="1272"/>
      <c r="E169" s="1272"/>
      <c r="F169" s="1273"/>
      <c r="G169" s="1272"/>
      <c r="H169" s="1272"/>
      <c r="I169" s="1273"/>
      <c r="J169" s="3177"/>
      <c r="K169" s="3180"/>
      <c r="L169" s="3177"/>
      <c r="M169" s="3177"/>
      <c r="N169" s="1345" t="s">
        <v>1573</v>
      </c>
      <c r="O169" s="3177"/>
      <c r="P169" s="3180"/>
      <c r="Q169" s="2786"/>
      <c r="R169" s="3209"/>
      <c r="S169" s="3180"/>
      <c r="T169" s="3181"/>
      <c r="U169" s="1422" t="s">
        <v>1574</v>
      </c>
      <c r="V169" s="1423">
        <v>330000000</v>
      </c>
      <c r="W169" s="1420">
        <v>20</v>
      </c>
      <c r="X169" s="1345" t="s">
        <v>51</v>
      </c>
      <c r="Y169" s="3218"/>
      <c r="Z169" s="3218"/>
      <c r="AA169" s="3218"/>
      <c r="AB169" s="3218"/>
      <c r="AC169" s="3218"/>
      <c r="AD169" s="3218"/>
      <c r="AE169" s="3218"/>
      <c r="AF169" s="3218"/>
      <c r="AG169" s="3218"/>
      <c r="AH169" s="3218"/>
      <c r="AI169" s="3218"/>
      <c r="AJ169" s="3218"/>
      <c r="AK169" s="3193"/>
      <c r="AL169" s="3193"/>
      <c r="AM169" s="3196"/>
    </row>
    <row r="170" spans="1:45" ht="108" customHeight="1" x14ac:dyDescent="0.2">
      <c r="A170" s="1271"/>
      <c r="B170" s="1272"/>
      <c r="C170" s="1273"/>
      <c r="D170" s="1272"/>
      <c r="E170" s="1272"/>
      <c r="F170" s="1273"/>
      <c r="G170" s="1279"/>
      <c r="H170" s="1279"/>
      <c r="I170" s="1280"/>
      <c r="J170" s="3178"/>
      <c r="K170" s="3181"/>
      <c r="L170" s="3178"/>
      <c r="M170" s="3178"/>
      <c r="N170" s="1281"/>
      <c r="O170" s="3178"/>
      <c r="P170" s="3181"/>
      <c r="Q170" s="2790"/>
      <c r="R170" s="3210"/>
      <c r="S170" s="3181"/>
      <c r="T170" s="1247" t="s">
        <v>1575</v>
      </c>
      <c r="U170" s="1424" t="s">
        <v>1576</v>
      </c>
      <c r="V170" s="1416">
        <v>15000000</v>
      </c>
      <c r="W170" s="1425"/>
      <c r="X170" s="1426"/>
      <c r="Y170" s="3219"/>
      <c r="Z170" s="3219"/>
      <c r="AA170" s="3219"/>
      <c r="AB170" s="3219"/>
      <c r="AC170" s="3219"/>
      <c r="AD170" s="3219"/>
      <c r="AE170" s="3219"/>
      <c r="AF170" s="3219"/>
      <c r="AG170" s="3219"/>
      <c r="AH170" s="3219"/>
      <c r="AI170" s="3219"/>
      <c r="AJ170" s="3219"/>
      <c r="AK170" s="3194"/>
      <c r="AL170" s="3194"/>
      <c r="AM170" s="3197"/>
    </row>
    <row r="171" spans="1:45" s="1270" customFormat="1" ht="36" customHeight="1" x14ac:dyDescent="0.2">
      <c r="A171" s="1228"/>
      <c r="B171" s="1229"/>
      <c r="C171" s="1230"/>
      <c r="D171" s="1229"/>
      <c r="E171" s="1229"/>
      <c r="F171" s="1230"/>
      <c r="G171" s="1265">
        <v>53</v>
      </c>
      <c r="H171" s="1234" t="s">
        <v>1577</v>
      </c>
      <c r="I171" s="1234"/>
      <c r="J171" s="1234"/>
      <c r="K171" s="1235"/>
      <c r="L171" s="1234"/>
      <c r="M171" s="1234"/>
      <c r="N171" s="1236"/>
      <c r="O171" s="1234"/>
      <c r="P171" s="1235"/>
      <c r="Q171" s="1234"/>
      <c r="R171" s="1266"/>
      <c r="S171" s="1234"/>
      <c r="T171" s="1235"/>
      <c r="U171" s="1235"/>
      <c r="V171" s="1237"/>
      <c r="W171" s="1267"/>
      <c r="X171" s="1236"/>
      <c r="Y171" s="1427"/>
      <c r="Z171" s="1427"/>
      <c r="AA171" s="1427"/>
      <c r="AB171" s="1427"/>
      <c r="AC171" s="1427"/>
      <c r="AD171" s="1427"/>
      <c r="AE171" s="1427"/>
      <c r="AF171" s="1427"/>
      <c r="AG171" s="1427"/>
      <c r="AH171" s="1427"/>
      <c r="AI171" s="1427"/>
      <c r="AJ171" s="1427"/>
      <c r="AK171" s="1234"/>
      <c r="AL171" s="1234"/>
      <c r="AM171" s="1239"/>
      <c r="AN171" s="1217"/>
      <c r="AO171" s="1217"/>
      <c r="AP171" s="1217"/>
      <c r="AQ171" s="1217"/>
      <c r="AR171" s="1218"/>
      <c r="AS171" s="1218"/>
    </row>
    <row r="172" spans="1:45" ht="66" customHeight="1" x14ac:dyDescent="0.2">
      <c r="A172" s="1240"/>
      <c r="B172" s="1241"/>
      <c r="C172" s="1242"/>
      <c r="D172" s="1241"/>
      <c r="E172" s="1241"/>
      <c r="F172" s="1242"/>
      <c r="G172" s="1244"/>
      <c r="H172" s="1244"/>
      <c r="I172" s="1245"/>
      <c r="J172" s="3176">
        <v>173</v>
      </c>
      <c r="K172" s="3281" t="s">
        <v>1578</v>
      </c>
      <c r="L172" s="3176" t="s">
        <v>126</v>
      </c>
      <c r="M172" s="3176">
        <v>7</v>
      </c>
      <c r="N172" s="3176" t="s">
        <v>1579</v>
      </c>
      <c r="O172" s="3176">
        <v>158</v>
      </c>
      <c r="P172" s="3179" t="s">
        <v>1580</v>
      </c>
      <c r="Q172" s="1953">
        <v>0.9</v>
      </c>
      <c r="R172" s="3208">
        <v>35436120</v>
      </c>
      <c r="S172" s="3179" t="s">
        <v>1581</v>
      </c>
      <c r="T172" s="1247" t="s">
        <v>1582</v>
      </c>
      <c r="U172" s="1428" t="s">
        <v>1583</v>
      </c>
      <c r="V172" s="1354">
        <v>8859030</v>
      </c>
      <c r="W172" s="3185">
        <v>72</v>
      </c>
      <c r="X172" s="3223" t="s">
        <v>1505</v>
      </c>
      <c r="Y172" s="3217">
        <f t="shared" ref="Y172:AD172" si="6">Y164</f>
        <v>64149</v>
      </c>
      <c r="Z172" s="3217">
        <f t="shared" si="6"/>
        <v>72224</v>
      </c>
      <c r="AA172" s="3217">
        <f t="shared" si="6"/>
        <v>27477</v>
      </c>
      <c r="AB172" s="3217">
        <f t="shared" si="6"/>
        <v>86843</v>
      </c>
      <c r="AC172" s="3217">
        <f t="shared" si="6"/>
        <v>236429</v>
      </c>
      <c r="AD172" s="3217">
        <f t="shared" si="6"/>
        <v>81384</v>
      </c>
      <c r="AE172" s="3217">
        <v>13208</v>
      </c>
      <c r="AF172" s="3217">
        <v>2145</v>
      </c>
      <c r="AG172" s="3217">
        <v>413</v>
      </c>
      <c r="AH172" s="3217">
        <v>520</v>
      </c>
      <c r="AI172" s="3217">
        <v>16897</v>
      </c>
      <c r="AJ172" s="3217">
        <v>75612</v>
      </c>
      <c r="AK172" s="3192">
        <v>42948</v>
      </c>
      <c r="AL172" s="3192">
        <v>43100</v>
      </c>
      <c r="AM172" s="3195" t="s">
        <v>1303</v>
      </c>
    </row>
    <row r="173" spans="1:45" ht="69" customHeight="1" x14ac:dyDescent="0.2">
      <c r="A173" s="1240"/>
      <c r="B173" s="1241"/>
      <c r="C173" s="1242"/>
      <c r="D173" s="1241"/>
      <c r="E173" s="1241"/>
      <c r="F173" s="1242"/>
      <c r="G173" s="1241"/>
      <c r="H173" s="1241"/>
      <c r="I173" s="1242"/>
      <c r="J173" s="3177"/>
      <c r="K173" s="3282"/>
      <c r="L173" s="3177"/>
      <c r="M173" s="3177"/>
      <c r="N173" s="3177"/>
      <c r="O173" s="3177"/>
      <c r="P173" s="3180"/>
      <c r="Q173" s="2786"/>
      <c r="R173" s="3209"/>
      <c r="S173" s="3180"/>
      <c r="T173" s="3281" t="s">
        <v>1584</v>
      </c>
      <c r="U173" s="1428" t="s">
        <v>1585</v>
      </c>
      <c r="V173" s="1354">
        <v>8859030</v>
      </c>
      <c r="W173" s="3186"/>
      <c r="X173" s="3224"/>
      <c r="Y173" s="3218"/>
      <c r="Z173" s="3218"/>
      <c r="AA173" s="3218"/>
      <c r="AB173" s="3218"/>
      <c r="AC173" s="3218"/>
      <c r="AD173" s="3218"/>
      <c r="AE173" s="3218"/>
      <c r="AF173" s="3218"/>
      <c r="AG173" s="3218"/>
      <c r="AH173" s="3218"/>
      <c r="AI173" s="3218"/>
      <c r="AJ173" s="3218"/>
      <c r="AK173" s="3193"/>
      <c r="AL173" s="3193"/>
      <c r="AM173" s="3196"/>
    </row>
    <row r="174" spans="1:45" ht="65.25" customHeight="1" x14ac:dyDescent="0.2">
      <c r="A174" s="1240"/>
      <c r="B174" s="1241"/>
      <c r="C174" s="1242"/>
      <c r="D174" s="1241"/>
      <c r="E174" s="1241"/>
      <c r="F174" s="1242"/>
      <c r="G174" s="1241"/>
      <c r="H174" s="1241"/>
      <c r="I174" s="1242"/>
      <c r="J174" s="3177"/>
      <c r="K174" s="3282"/>
      <c r="L174" s="3177"/>
      <c r="M174" s="3177"/>
      <c r="N174" s="3177"/>
      <c r="O174" s="3177"/>
      <c r="P174" s="3180"/>
      <c r="Q174" s="2786"/>
      <c r="R174" s="3209"/>
      <c r="S174" s="3180"/>
      <c r="T174" s="3283"/>
      <c r="U174" s="1428" t="s">
        <v>1586</v>
      </c>
      <c r="V174" s="1354">
        <v>8859030</v>
      </c>
      <c r="W174" s="3186"/>
      <c r="X174" s="3224"/>
      <c r="Y174" s="3218"/>
      <c r="Z174" s="3218"/>
      <c r="AA174" s="3218"/>
      <c r="AB174" s="3218"/>
      <c r="AC174" s="3218"/>
      <c r="AD174" s="3218"/>
      <c r="AE174" s="3218"/>
      <c r="AF174" s="3218"/>
      <c r="AG174" s="3218"/>
      <c r="AH174" s="3218"/>
      <c r="AI174" s="3218"/>
      <c r="AJ174" s="3218"/>
      <c r="AK174" s="3193"/>
      <c r="AL174" s="3193"/>
      <c r="AM174" s="3196"/>
    </row>
    <row r="175" spans="1:45" ht="74.25" customHeight="1" x14ac:dyDescent="0.2">
      <c r="A175" s="1240"/>
      <c r="B175" s="1241"/>
      <c r="C175" s="1242"/>
      <c r="D175" s="1241"/>
      <c r="E175" s="1241"/>
      <c r="F175" s="1242"/>
      <c r="G175" s="1241"/>
      <c r="H175" s="1241"/>
      <c r="I175" s="1242"/>
      <c r="J175" s="3177"/>
      <c r="K175" s="3282"/>
      <c r="L175" s="3177"/>
      <c r="M175" s="3177"/>
      <c r="N175" s="3177"/>
      <c r="O175" s="3177"/>
      <c r="P175" s="3180"/>
      <c r="Q175" s="2786"/>
      <c r="R175" s="3209"/>
      <c r="S175" s="3180"/>
      <c r="T175" s="1323" t="s">
        <v>1587</v>
      </c>
      <c r="U175" s="1428" t="s">
        <v>1588</v>
      </c>
      <c r="V175" s="1354">
        <v>8859030</v>
      </c>
      <c r="W175" s="3186"/>
      <c r="X175" s="3224"/>
      <c r="Y175" s="3218"/>
      <c r="Z175" s="3218"/>
      <c r="AA175" s="3218"/>
      <c r="AB175" s="3218"/>
      <c r="AC175" s="3218"/>
      <c r="AD175" s="3218"/>
      <c r="AE175" s="3218"/>
      <c r="AF175" s="3218"/>
      <c r="AG175" s="3218"/>
      <c r="AH175" s="3218"/>
      <c r="AI175" s="3218"/>
      <c r="AJ175" s="3218"/>
      <c r="AK175" s="3193"/>
      <c r="AL175" s="3193"/>
      <c r="AM175" s="3196"/>
    </row>
    <row r="176" spans="1:45" ht="93.75" customHeight="1" x14ac:dyDescent="0.2">
      <c r="A176" s="1408"/>
      <c r="B176" s="1409"/>
      <c r="C176" s="1410"/>
      <c r="D176" s="1409"/>
      <c r="E176" s="1409"/>
      <c r="F176" s="1410"/>
      <c r="G176" s="1429"/>
      <c r="H176" s="1429"/>
      <c r="I176" s="1383"/>
      <c r="J176" s="1246">
        <v>174</v>
      </c>
      <c r="K176" s="1247" t="s">
        <v>1589</v>
      </c>
      <c r="L176" s="1246" t="s">
        <v>126</v>
      </c>
      <c r="M176" s="1246">
        <v>150</v>
      </c>
      <c r="N176" s="3178"/>
      <c r="O176" s="3178"/>
      <c r="P176" s="3181"/>
      <c r="Q176" s="1249">
        <v>0.1</v>
      </c>
      <c r="R176" s="3210"/>
      <c r="S176" s="3181"/>
      <c r="T176" s="1323" t="s">
        <v>1590</v>
      </c>
      <c r="U176" s="1247" t="s">
        <v>1591</v>
      </c>
      <c r="V176" s="1354">
        <v>0</v>
      </c>
      <c r="W176" s="3187"/>
      <c r="X176" s="3225"/>
      <c r="Y176" s="3219"/>
      <c r="Z176" s="3219"/>
      <c r="AA176" s="3219"/>
      <c r="AB176" s="3219"/>
      <c r="AC176" s="3219"/>
      <c r="AD176" s="3219"/>
      <c r="AE176" s="3219"/>
      <c r="AF176" s="3219"/>
      <c r="AG176" s="3219"/>
      <c r="AH176" s="3219"/>
      <c r="AI176" s="3219"/>
      <c r="AJ176" s="3219"/>
      <c r="AK176" s="3194"/>
      <c r="AL176" s="3194"/>
      <c r="AM176" s="3197"/>
    </row>
    <row r="177" spans="1:349" s="1270" customFormat="1" ht="36" customHeight="1" x14ac:dyDescent="0.2">
      <c r="A177" s="1228"/>
      <c r="B177" s="1229"/>
      <c r="C177" s="1230"/>
      <c r="D177" s="1229"/>
      <c r="E177" s="1229"/>
      <c r="F177" s="1230"/>
      <c r="G177" s="1388">
        <v>54</v>
      </c>
      <c r="H177" s="1389" t="s">
        <v>1592</v>
      </c>
      <c r="I177" s="1389"/>
      <c r="J177" s="1234"/>
      <c r="K177" s="1235"/>
      <c r="L177" s="1234"/>
      <c r="M177" s="1234"/>
      <c r="N177" s="1236"/>
      <c r="O177" s="1234"/>
      <c r="P177" s="1235"/>
      <c r="Q177" s="1234"/>
      <c r="R177" s="1266"/>
      <c r="S177" s="1234"/>
      <c r="T177" s="1235"/>
      <c r="U177" s="1235"/>
      <c r="V177" s="1237"/>
      <c r="W177" s="1267"/>
      <c r="X177" s="1236"/>
      <c r="Y177" s="1427"/>
      <c r="Z177" s="1427"/>
      <c r="AA177" s="1427"/>
      <c r="AB177" s="1427"/>
      <c r="AC177" s="1427"/>
      <c r="AD177" s="1427"/>
      <c r="AE177" s="1427"/>
      <c r="AF177" s="1427"/>
      <c r="AG177" s="1427"/>
      <c r="AH177" s="1427"/>
      <c r="AI177" s="1427"/>
      <c r="AJ177" s="1427"/>
      <c r="AK177" s="1234"/>
      <c r="AL177" s="1234"/>
      <c r="AM177" s="1239"/>
      <c r="AN177" s="1217"/>
      <c r="AO177" s="1217"/>
      <c r="AP177" s="1217"/>
      <c r="AQ177" s="1217"/>
      <c r="AR177" s="1218"/>
      <c r="AS177" s="1218"/>
    </row>
    <row r="178" spans="1:349" ht="64.5" customHeight="1" x14ac:dyDescent="0.2">
      <c r="A178" s="1240"/>
      <c r="B178" s="1241"/>
      <c r="C178" s="1242"/>
      <c r="D178" s="1241"/>
      <c r="E178" s="1241"/>
      <c r="F178" s="1241"/>
      <c r="G178" s="1243"/>
      <c r="H178" s="1244"/>
      <c r="I178" s="1245"/>
      <c r="J178" s="3263">
        <v>175</v>
      </c>
      <c r="K178" s="3263" t="s">
        <v>1593</v>
      </c>
      <c r="L178" s="3263" t="s">
        <v>126</v>
      </c>
      <c r="M178" s="3263">
        <v>14</v>
      </c>
      <c r="N178" s="3263" t="s">
        <v>1594</v>
      </c>
      <c r="O178" s="3263">
        <v>159</v>
      </c>
      <c r="P178" s="3261" t="s">
        <v>1595</v>
      </c>
      <c r="Q178" s="2008">
        <v>1</v>
      </c>
      <c r="R178" s="3325">
        <v>23817720</v>
      </c>
      <c r="S178" s="3261" t="s">
        <v>1596</v>
      </c>
      <c r="T178" s="3326" t="s">
        <v>1597</v>
      </c>
      <c r="U178" s="1430" t="s">
        <v>1598</v>
      </c>
      <c r="V178" s="1431">
        <v>20000000</v>
      </c>
      <c r="W178" s="3322">
        <v>72</v>
      </c>
      <c r="X178" s="3323" t="s">
        <v>1505</v>
      </c>
      <c r="Y178" s="3321">
        <f t="shared" ref="Y178:AD178" si="7">Y172</f>
        <v>64149</v>
      </c>
      <c r="Z178" s="3321">
        <f t="shared" si="7"/>
        <v>72224</v>
      </c>
      <c r="AA178" s="3321">
        <f t="shared" si="7"/>
        <v>27477</v>
      </c>
      <c r="AB178" s="3321">
        <f t="shared" si="7"/>
        <v>86843</v>
      </c>
      <c r="AC178" s="3321">
        <f t="shared" si="7"/>
        <v>236429</v>
      </c>
      <c r="AD178" s="3321">
        <f t="shared" si="7"/>
        <v>81384</v>
      </c>
      <c r="AE178" s="3321">
        <v>13208</v>
      </c>
      <c r="AF178" s="3321">
        <v>2145</v>
      </c>
      <c r="AG178" s="3321">
        <v>413</v>
      </c>
      <c r="AH178" s="3321">
        <v>520</v>
      </c>
      <c r="AI178" s="3321">
        <v>16897</v>
      </c>
      <c r="AJ178" s="3321">
        <v>75612</v>
      </c>
      <c r="AK178" s="3331">
        <v>42948</v>
      </c>
      <c r="AL178" s="3331">
        <v>43100</v>
      </c>
      <c r="AM178" s="3327" t="s">
        <v>1303</v>
      </c>
    </row>
    <row r="179" spans="1:349" ht="59.45" customHeight="1" x14ac:dyDescent="0.2">
      <c r="A179" s="1240"/>
      <c r="B179" s="1241"/>
      <c r="C179" s="1242"/>
      <c r="D179" s="1241"/>
      <c r="E179" s="1241"/>
      <c r="F179" s="1241"/>
      <c r="G179" s="1240"/>
      <c r="H179" s="1241"/>
      <c r="I179" s="1242"/>
      <c r="J179" s="3264"/>
      <c r="K179" s="3264"/>
      <c r="L179" s="3264"/>
      <c r="M179" s="3264"/>
      <c r="N179" s="3264"/>
      <c r="O179" s="3264"/>
      <c r="P179" s="3262"/>
      <c r="Q179" s="2008"/>
      <c r="R179" s="3325"/>
      <c r="S179" s="3262"/>
      <c r="T179" s="3326"/>
      <c r="U179" s="1430" t="s">
        <v>1599</v>
      </c>
      <c r="V179" s="1432">
        <v>3817720</v>
      </c>
      <c r="W179" s="3322"/>
      <c r="X179" s="3324"/>
      <c r="Y179" s="3321"/>
      <c r="Z179" s="3321"/>
      <c r="AA179" s="3321"/>
      <c r="AB179" s="3321"/>
      <c r="AC179" s="3321"/>
      <c r="AD179" s="3321"/>
      <c r="AE179" s="3321"/>
      <c r="AF179" s="3321"/>
      <c r="AG179" s="3321"/>
      <c r="AH179" s="3321"/>
      <c r="AI179" s="3321"/>
      <c r="AJ179" s="3321"/>
      <c r="AK179" s="3321"/>
      <c r="AL179" s="3321"/>
      <c r="AM179" s="3327"/>
      <c r="AO179" s="1269"/>
    </row>
    <row r="180" spans="1:349" ht="64.5" customHeight="1" x14ac:dyDescent="0.2">
      <c r="A180" s="1240"/>
      <c r="B180" s="1241"/>
      <c r="C180" s="1242"/>
      <c r="D180" s="1257"/>
      <c r="E180" s="1257"/>
      <c r="F180" s="1257"/>
      <c r="G180" s="1240"/>
      <c r="H180" s="1241"/>
      <c r="I180" s="1242"/>
      <c r="J180" s="1433">
        <v>176</v>
      </c>
      <c r="K180" s="1434" t="s">
        <v>1600</v>
      </c>
      <c r="L180" s="1433" t="s">
        <v>16</v>
      </c>
      <c r="M180" s="1433">
        <v>2</v>
      </c>
      <c r="N180" s="3265"/>
      <c r="O180" s="3265"/>
      <c r="P180" s="3266"/>
      <c r="Q180" s="2008"/>
      <c r="R180" s="3325"/>
      <c r="S180" s="3262"/>
      <c r="T180" s="1435" t="s">
        <v>1601</v>
      </c>
      <c r="U180" s="1430" t="s">
        <v>1602</v>
      </c>
      <c r="V180" s="1413">
        <v>0</v>
      </c>
      <c r="W180" s="3322"/>
      <c r="X180" s="3324"/>
      <c r="Y180" s="3321"/>
      <c r="Z180" s="3321"/>
      <c r="AA180" s="3321"/>
      <c r="AB180" s="3321"/>
      <c r="AC180" s="3321"/>
      <c r="AD180" s="3321"/>
      <c r="AE180" s="3321"/>
      <c r="AF180" s="3321"/>
      <c r="AG180" s="3321"/>
      <c r="AH180" s="3321"/>
      <c r="AI180" s="3321"/>
      <c r="AJ180" s="3321"/>
      <c r="AK180" s="3321"/>
      <c r="AL180" s="3321"/>
      <c r="AM180" s="3327"/>
    </row>
    <row r="181" spans="1:349" s="1219" customFormat="1" ht="36" customHeight="1" x14ac:dyDescent="0.2">
      <c r="A181" s="1228"/>
      <c r="C181" s="1260"/>
      <c r="D181" s="1386">
        <v>15</v>
      </c>
      <c r="E181" s="1221" t="s">
        <v>1603</v>
      </c>
      <c r="F181" s="1221"/>
      <c r="G181" s="1367"/>
      <c r="H181" s="1367"/>
      <c r="I181" s="1367"/>
      <c r="J181" s="1222"/>
      <c r="K181" s="1223"/>
      <c r="L181" s="1222"/>
      <c r="M181" s="1222"/>
      <c r="N181" s="1224"/>
      <c r="O181" s="1222"/>
      <c r="P181" s="1223"/>
      <c r="Q181" s="1222"/>
      <c r="R181" s="1263"/>
      <c r="S181" s="1222"/>
      <c r="T181" s="1223"/>
      <c r="U181" s="1223"/>
      <c r="V181" s="1225"/>
      <c r="W181" s="1264"/>
      <c r="X181" s="1224"/>
      <c r="Y181" s="1436"/>
      <c r="Z181" s="1436"/>
      <c r="AA181" s="1436"/>
      <c r="AB181" s="1436"/>
      <c r="AC181" s="1436"/>
      <c r="AD181" s="1436"/>
      <c r="AE181" s="1436"/>
      <c r="AF181" s="1436"/>
      <c r="AG181" s="1436"/>
      <c r="AH181" s="1436"/>
      <c r="AI181" s="1436"/>
      <c r="AJ181" s="1436"/>
      <c r="AK181" s="1222"/>
      <c r="AL181" s="1222"/>
      <c r="AM181" s="1227"/>
      <c r="AN181" s="1217"/>
      <c r="AO181" s="1217"/>
      <c r="AP181" s="1217"/>
      <c r="AQ181" s="1217"/>
      <c r="AR181" s="1218"/>
      <c r="AS181" s="1218"/>
    </row>
    <row r="182" spans="1:349" s="1219" customFormat="1" ht="36" customHeight="1" x14ac:dyDescent="0.2">
      <c r="A182" s="1228"/>
      <c r="B182" s="1229"/>
      <c r="C182" s="1230"/>
      <c r="D182" s="1231"/>
      <c r="E182" s="1231"/>
      <c r="F182" s="1232"/>
      <c r="G182" s="1265">
        <v>55</v>
      </c>
      <c r="H182" s="1234" t="s">
        <v>1604</v>
      </c>
      <c r="I182" s="1234"/>
      <c r="J182" s="1234"/>
      <c r="K182" s="1235"/>
      <c r="L182" s="1234"/>
      <c r="M182" s="1234"/>
      <c r="N182" s="1236"/>
      <c r="O182" s="1234"/>
      <c r="P182" s="1235"/>
      <c r="Q182" s="1234"/>
      <c r="R182" s="1266"/>
      <c r="S182" s="1234"/>
      <c r="T182" s="1235"/>
      <c r="U182" s="1235"/>
      <c r="V182" s="1237"/>
      <c r="W182" s="1267"/>
      <c r="X182" s="1437"/>
      <c r="Y182" s="1438"/>
      <c r="Z182" s="1438"/>
      <c r="AA182" s="1438"/>
      <c r="AB182" s="1438"/>
      <c r="AC182" s="1438"/>
      <c r="AD182" s="1438"/>
      <c r="AE182" s="1438"/>
      <c r="AF182" s="1438"/>
      <c r="AG182" s="1438"/>
      <c r="AH182" s="1438"/>
      <c r="AI182" s="1438"/>
      <c r="AJ182" s="1438"/>
      <c r="AK182" s="1234"/>
      <c r="AL182" s="1234"/>
      <c r="AM182" s="1239"/>
      <c r="AN182" s="1217"/>
      <c r="AO182" s="1217"/>
      <c r="AP182" s="1217"/>
      <c r="AQ182" s="1217"/>
      <c r="AR182" s="1218"/>
      <c r="AS182" s="1218"/>
    </row>
    <row r="183" spans="1:349" s="1442" customFormat="1" ht="96" customHeight="1" x14ac:dyDescent="0.2">
      <c r="A183" s="1271"/>
      <c r="B183" s="1272"/>
      <c r="C183" s="1273"/>
      <c r="D183" s="1272"/>
      <c r="E183" s="1272"/>
      <c r="F183" s="1273"/>
      <c r="G183" s="1275"/>
      <c r="H183" s="1275"/>
      <c r="I183" s="1276"/>
      <c r="J183" s="1281">
        <v>177</v>
      </c>
      <c r="K183" s="1300" t="s">
        <v>1605</v>
      </c>
      <c r="L183" s="1281" t="s">
        <v>126</v>
      </c>
      <c r="M183" s="1281">
        <v>2</v>
      </c>
      <c r="N183" s="3176" t="s">
        <v>1606</v>
      </c>
      <c r="O183" s="3176">
        <v>160</v>
      </c>
      <c r="P183" s="3179" t="s">
        <v>1607</v>
      </c>
      <c r="Q183" s="1439">
        <v>0.1</v>
      </c>
      <c r="R183" s="3208">
        <v>137595160</v>
      </c>
      <c r="S183" s="3281" t="s">
        <v>1608</v>
      </c>
      <c r="T183" s="1419" t="s">
        <v>1609</v>
      </c>
      <c r="U183" s="1247" t="s">
        <v>1610</v>
      </c>
      <c r="V183" s="1440">
        <v>0</v>
      </c>
      <c r="W183" s="3328">
        <v>72</v>
      </c>
      <c r="X183" s="3176" t="s">
        <v>1505</v>
      </c>
      <c r="Y183" s="3217">
        <v>64149</v>
      </c>
      <c r="Z183" s="3217">
        <v>72224</v>
      </c>
      <c r="AA183" s="3217">
        <v>27477</v>
      </c>
      <c r="AB183" s="3217">
        <v>86843</v>
      </c>
      <c r="AC183" s="3217">
        <v>236429</v>
      </c>
      <c r="AD183" s="3217">
        <v>81384</v>
      </c>
      <c r="AE183" s="3217">
        <v>13208</v>
      </c>
      <c r="AF183" s="3217">
        <v>2145</v>
      </c>
      <c r="AG183" s="3217">
        <v>413</v>
      </c>
      <c r="AH183" s="3217">
        <v>520</v>
      </c>
      <c r="AI183" s="3217">
        <v>16897</v>
      </c>
      <c r="AJ183" s="3217">
        <v>75612</v>
      </c>
      <c r="AK183" s="3192">
        <v>42948</v>
      </c>
      <c r="AL183" s="3192">
        <v>43100</v>
      </c>
      <c r="AM183" s="3195" t="s">
        <v>1303</v>
      </c>
      <c r="AN183" s="1341"/>
      <c r="AO183" s="1341"/>
      <c r="AP183" s="1341"/>
      <c r="AQ183" s="1341"/>
      <c r="AR183" s="1441"/>
      <c r="AS183" s="1441"/>
    </row>
    <row r="184" spans="1:349" ht="83.45" customHeight="1" x14ac:dyDescent="0.2">
      <c r="A184" s="1271"/>
      <c r="B184" s="1272"/>
      <c r="C184" s="1273"/>
      <c r="D184" s="1272"/>
      <c r="E184" s="1272"/>
      <c r="F184" s="1273"/>
      <c r="G184" s="1272"/>
      <c r="H184" s="1272"/>
      <c r="I184" s="1273"/>
      <c r="J184" s="3176">
        <v>178</v>
      </c>
      <c r="K184" s="3179" t="s">
        <v>1611</v>
      </c>
      <c r="L184" s="3176" t="s">
        <v>126</v>
      </c>
      <c r="M184" s="3176">
        <v>3</v>
      </c>
      <c r="N184" s="3177"/>
      <c r="O184" s="3177"/>
      <c r="P184" s="3180"/>
      <c r="Q184" s="1953">
        <v>0.8</v>
      </c>
      <c r="R184" s="3209"/>
      <c r="S184" s="3282"/>
      <c r="T184" s="3315" t="s">
        <v>1612</v>
      </c>
      <c r="U184" s="1443" t="s">
        <v>1613</v>
      </c>
      <c r="V184" s="1444">
        <v>48050000</v>
      </c>
      <c r="W184" s="3329"/>
      <c r="X184" s="3177"/>
      <c r="Y184" s="3218"/>
      <c r="Z184" s="3218"/>
      <c r="AA184" s="3218"/>
      <c r="AB184" s="3218"/>
      <c r="AC184" s="3218"/>
      <c r="AD184" s="3218"/>
      <c r="AE184" s="3218"/>
      <c r="AF184" s="3218"/>
      <c r="AG184" s="3218"/>
      <c r="AH184" s="3218"/>
      <c r="AI184" s="3218"/>
      <c r="AJ184" s="3218"/>
      <c r="AK184" s="3193"/>
      <c r="AL184" s="3193"/>
      <c r="AM184" s="3196"/>
    </row>
    <row r="185" spans="1:349" ht="54" customHeight="1" x14ac:dyDescent="0.2">
      <c r="A185" s="1271"/>
      <c r="B185" s="1272"/>
      <c r="C185" s="1273"/>
      <c r="D185" s="1272"/>
      <c r="E185" s="1272"/>
      <c r="F185" s="1273"/>
      <c r="G185" s="1272"/>
      <c r="H185" s="1272"/>
      <c r="I185" s="1273"/>
      <c r="J185" s="3177"/>
      <c r="K185" s="3180"/>
      <c r="L185" s="3177"/>
      <c r="M185" s="3177"/>
      <c r="N185" s="3177"/>
      <c r="O185" s="3177"/>
      <c r="P185" s="3180"/>
      <c r="Q185" s="2786"/>
      <c r="R185" s="3209"/>
      <c r="S185" s="3282"/>
      <c r="T185" s="3315"/>
      <c r="U185" s="1443" t="s">
        <v>1614</v>
      </c>
      <c r="V185" s="1444">
        <v>40000000</v>
      </c>
      <c r="W185" s="3329"/>
      <c r="X185" s="3177"/>
      <c r="Y185" s="3218"/>
      <c r="Z185" s="3218"/>
      <c r="AA185" s="3218"/>
      <c r="AB185" s="3218"/>
      <c r="AC185" s="3218"/>
      <c r="AD185" s="3218"/>
      <c r="AE185" s="3218"/>
      <c r="AF185" s="3218"/>
      <c r="AG185" s="3218"/>
      <c r="AH185" s="3218"/>
      <c r="AI185" s="3218"/>
      <c r="AJ185" s="3218"/>
      <c r="AK185" s="3193"/>
      <c r="AL185" s="3193"/>
      <c r="AM185" s="3196"/>
    </row>
    <row r="186" spans="1:349" ht="57" customHeight="1" x14ac:dyDescent="0.2">
      <c r="A186" s="1271"/>
      <c r="B186" s="1272"/>
      <c r="C186" s="1273"/>
      <c r="D186" s="1272"/>
      <c r="E186" s="1272"/>
      <c r="F186" s="1273"/>
      <c r="G186" s="1272"/>
      <c r="H186" s="1272"/>
      <c r="I186" s="1273"/>
      <c r="J186" s="3177"/>
      <c r="K186" s="3180"/>
      <c r="L186" s="3177"/>
      <c r="M186" s="3177"/>
      <c r="N186" s="3177"/>
      <c r="O186" s="3177"/>
      <c r="P186" s="3180"/>
      <c r="Q186" s="2786"/>
      <c r="R186" s="3209"/>
      <c r="S186" s="3282"/>
      <c r="T186" s="3315"/>
      <c r="U186" s="1443" t="s">
        <v>1615</v>
      </c>
      <c r="V186" s="1444">
        <v>20000000</v>
      </c>
      <c r="W186" s="3329"/>
      <c r="X186" s="3177"/>
      <c r="Y186" s="3218"/>
      <c r="Z186" s="3218"/>
      <c r="AA186" s="3218"/>
      <c r="AB186" s="3218"/>
      <c r="AC186" s="3218"/>
      <c r="AD186" s="3218"/>
      <c r="AE186" s="3218"/>
      <c r="AF186" s="3218"/>
      <c r="AG186" s="3218"/>
      <c r="AH186" s="3218"/>
      <c r="AI186" s="3218"/>
      <c r="AJ186" s="3218"/>
      <c r="AK186" s="3193"/>
      <c r="AL186" s="3193"/>
      <c r="AM186" s="3196"/>
      <c r="AO186" s="1445"/>
      <c r="AP186" s="1445"/>
    </row>
    <row r="187" spans="1:349" ht="57" customHeight="1" x14ac:dyDescent="0.2">
      <c r="A187" s="1271"/>
      <c r="B187" s="1272"/>
      <c r="C187" s="1273"/>
      <c r="D187" s="1272"/>
      <c r="E187" s="1272"/>
      <c r="F187" s="1273"/>
      <c r="G187" s="1272"/>
      <c r="H187" s="1272"/>
      <c r="I187" s="1273"/>
      <c r="J187" s="3177"/>
      <c r="K187" s="3180"/>
      <c r="L187" s="3177"/>
      <c r="M187" s="3177"/>
      <c r="N187" s="3177"/>
      <c r="O187" s="3177"/>
      <c r="P187" s="3180"/>
      <c r="Q187" s="2786"/>
      <c r="R187" s="3209"/>
      <c r="S187" s="3282"/>
      <c r="T187" s="3315" t="s">
        <v>1616</v>
      </c>
      <c r="U187" s="1446" t="s">
        <v>1617</v>
      </c>
      <c r="V187" s="1444">
        <v>15000000</v>
      </c>
      <c r="W187" s="3329"/>
      <c r="X187" s="3177"/>
      <c r="Y187" s="3218"/>
      <c r="Z187" s="3218"/>
      <c r="AA187" s="3218"/>
      <c r="AB187" s="3218"/>
      <c r="AC187" s="3218"/>
      <c r="AD187" s="3218"/>
      <c r="AE187" s="3218"/>
      <c r="AF187" s="3218"/>
      <c r="AG187" s="3218"/>
      <c r="AH187" s="3218"/>
      <c r="AI187" s="3218"/>
      <c r="AJ187" s="3218"/>
      <c r="AK187" s="3193"/>
      <c r="AL187" s="3193"/>
      <c r="AM187" s="3196"/>
      <c r="AP187" s="1447"/>
    </row>
    <row r="188" spans="1:349" ht="57" customHeight="1" x14ac:dyDescent="0.2">
      <c r="A188" s="1271"/>
      <c r="B188" s="1272"/>
      <c r="C188" s="1273"/>
      <c r="D188" s="1272"/>
      <c r="E188" s="1272"/>
      <c r="F188" s="1273"/>
      <c r="G188" s="1272"/>
      <c r="H188" s="1272"/>
      <c r="I188" s="1273"/>
      <c r="J188" s="3178"/>
      <c r="K188" s="3181"/>
      <c r="L188" s="3178"/>
      <c r="M188" s="3178"/>
      <c r="N188" s="3177"/>
      <c r="O188" s="3177"/>
      <c r="P188" s="3180"/>
      <c r="Q188" s="2790"/>
      <c r="R188" s="3209"/>
      <c r="S188" s="3282"/>
      <c r="T188" s="3315"/>
      <c r="U188" s="1446" t="s">
        <v>1618</v>
      </c>
      <c r="V188" s="1444">
        <v>14545160</v>
      </c>
      <c r="W188" s="3329"/>
      <c r="X188" s="3177"/>
      <c r="Y188" s="3218"/>
      <c r="Z188" s="3218"/>
      <c r="AA188" s="3218"/>
      <c r="AB188" s="3218"/>
      <c r="AC188" s="3218"/>
      <c r="AD188" s="3218"/>
      <c r="AE188" s="3218"/>
      <c r="AF188" s="3218"/>
      <c r="AG188" s="3218"/>
      <c r="AH188" s="3218"/>
      <c r="AI188" s="3218"/>
      <c r="AJ188" s="3218"/>
      <c r="AK188" s="3193"/>
      <c r="AL188" s="3193"/>
      <c r="AM188" s="3196"/>
    </row>
    <row r="189" spans="1:349" s="1448" customFormat="1" ht="107.45" customHeight="1" x14ac:dyDescent="0.2">
      <c r="A189" s="1278"/>
      <c r="B189" s="1279"/>
      <c r="C189" s="1280"/>
      <c r="D189" s="1279"/>
      <c r="E189" s="1279"/>
      <c r="F189" s="1280"/>
      <c r="G189" s="1279"/>
      <c r="H189" s="1279"/>
      <c r="I189" s="1280"/>
      <c r="J189" s="1246">
        <v>179</v>
      </c>
      <c r="K189" s="1358" t="s">
        <v>1619</v>
      </c>
      <c r="L189" s="1246" t="s">
        <v>126</v>
      </c>
      <c r="M189" s="1246">
        <v>4</v>
      </c>
      <c r="N189" s="3178"/>
      <c r="O189" s="3178"/>
      <c r="P189" s="3181"/>
      <c r="Q189" s="1249">
        <v>0.1</v>
      </c>
      <c r="R189" s="3210"/>
      <c r="S189" s="3283"/>
      <c r="T189" s="1358" t="s">
        <v>1620</v>
      </c>
      <c r="U189" s="1446" t="s">
        <v>1621</v>
      </c>
      <c r="V189" s="1444">
        <v>0</v>
      </c>
      <c r="W189" s="3330"/>
      <c r="X189" s="3178"/>
      <c r="Y189" s="3219"/>
      <c r="Z189" s="3219"/>
      <c r="AA189" s="3219"/>
      <c r="AB189" s="3219"/>
      <c r="AC189" s="3219"/>
      <c r="AD189" s="3219"/>
      <c r="AE189" s="3219"/>
      <c r="AF189" s="3219"/>
      <c r="AG189" s="3219"/>
      <c r="AH189" s="3219"/>
      <c r="AI189" s="3219"/>
      <c r="AJ189" s="3219"/>
      <c r="AK189" s="3194"/>
      <c r="AL189" s="3194"/>
      <c r="AM189" s="3197"/>
      <c r="AN189" s="1198"/>
      <c r="AO189" s="1199"/>
      <c r="AP189" s="1198"/>
      <c r="AQ189" s="1199"/>
      <c r="AR189" s="1314"/>
      <c r="AS189" s="1200"/>
      <c r="AT189" s="1314"/>
      <c r="AU189" s="1200"/>
      <c r="AV189" s="1314"/>
      <c r="AW189" s="1200"/>
      <c r="AX189" s="1314"/>
      <c r="AY189" s="1200"/>
      <c r="AZ189" s="1314"/>
      <c r="BA189" s="1200"/>
      <c r="BB189" s="1314"/>
      <c r="BC189" s="1200"/>
      <c r="BD189" s="1314"/>
      <c r="BE189" s="1200"/>
      <c r="BF189" s="1314"/>
      <c r="BG189" s="1200"/>
      <c r="BH189" s="1314"/>
      <c r="BI189" s="1200"/>
      <c r="BJ189" s="1314"/>
      <c r="BK189" s="1200"/>
      <c r="BL189" s="1314"/>
      <c r="BM189" s="1200"/>
      <c r="BN189" s="1314"/>
      <c r="BO189" s="1200"/>
      <c r="BP189" s="1314"/>
      <c r="BQ189" s="1200"/>
      <c r="BR189" s="1314"/>
      <c r="BS189" s="1200"/>
      <c r="BT189" s="1314"/>
      <c r="BU189" s="1200"/>
      <c r="BV189" s="1314"/>
      <c r="BW189" s="1200"/>
      <c r="BX189" s="1314"/>
      <c r="BY189" s="1200"/>
      <c r="BZ189" s="1200"/>
      <c r="CA189" s="1200"/>
      <c r="CB189" s="1200"/>
      <c r="CC189" s="1200"/>
      <c r="CD189" s="1200"/>
      <c r="CE189" s="1200"/>
      <c r="CF189" s="1200"/>
      <c r="CG189" s="1200"/>
      <c r="CH189" s="1200"/>
      <c r="CI189" s="1200"/>
      <c r="CJ189" s="1200"/>
      <c r="CK189" s="1200"/>
      <c r="CL189" s="1200"/>
      <c r="CM189" s="1200"/>
      <c r="CN189" s="1200"/>
      <c r="CO189" s="1200"/>
      <c r="CP189" s="1200"/>
      <c r="CQ189" s="1200"/>
      <c r="CR189" s="1200"/>
      <c r="CS189" s="1200"/>
      <c r="CT189" s="1200"/>
      <c r="CU189" s="1200"/>
      <c r="CV189" s="1200"/>
      <c r="CW189" s="1200"/>
      <c r="CX189" s="1200"/>
      <c r="CY189" s="1200"/>
      <c r="CZ189" s="1200"/>
      <c r="DA189" s="1200"/>
      <c r="DB189" s="1200"/>
      <c r="DC189" s="1200"/>
      <c r="DD189" s="1200"/>
      <c r="DE189" s="1200"/>
      <c r="DF189" s="1200"/>
      <c r="DG189" s="1200"/>
      <c r="DH189" s="1200"/>
      <c r="DI189" s="1200"/>
      <c r="DJ189" s="1200"/>
      <c r="DK189" s="1200"/>
      <c r="DL189" s="1200"/>
      <c r="DM189" s="1200"/>
      <c r="DN189" s="1200"/>
      <c r="DO189" s="1200"/>
      <c r="DP189" s="1200"/>
      <c r="DQ189" s="1200"/>
      <c r="DR189" s="1200"/>
      <c r="DS189" s="1200"/>
      <c r="DT189" s="1200"/>
      <c r="DU189" s="1200"/>
      <c r="DV189" s="1200"/>
      <c r="DW189" s="1200"/>
      <c r="DX189" s="1200"/>
      <c r="DY189" s="1200"/>
      <c r="DZ189" s="1200"/>
      <c r="EA189" s="1200"/>
      <c r="EB189" s="1200"/>
      <c r="EC189" s="1200"/>
      <c r="ED189" s="1200"/>
      <c r="EE189" s="1200"/>
      <c r="EF189" s="1200"/>
      <c r="EG189" s="1200"/>
      <c r="EH189" s="1200"/>
      <c r="EI189" s="1200"/>
      <c r="EJ189" s="1200"/>
      <c r="EK189" s="1200"/>
      <c r="EL189" s="1200"/>
      <c r="EM189" s="1200"/>
      <c r="EN189" s="1200"/>
      <c r="EO189" s="1200"/>
      <c r="EP189" s="1200"/>
      <c r="EQ189" s="1200"/>
      <c r="ER189" s="1200"/>
      <c r="ES189" s="1200"/>
      <c r="ET189" s="1200"/>
      <c r="EU189" s="1200"/>
      <c r="EV189" s="1200"/>
      <c r="EW189" s="1200"/>
      <c r="EX189" s="1200"/>
      <c r="EY189" s="1200"/>
      <c r="EZ189" s="1200"/>
      <c r="FA189" s="1200"/>
      <c r="FB189" s="1200"/>
      <c r="FC189" s="1200"/>
      <c r="FD189" s="1200"/>
      <c r="FE189" s="1200"/>
      <c r="FF189" s="1200"/>
      <c r="FG189" s="1200"/>
      <c r="FH189" s="1200"/>
      <c r="FI189" s="1200"/>
      <c r="FJ189" s="1200"/>
      <c r="FK189" s="1200"/>
      <c r="FL189" s="1200"/>
      <c r="FM189" s="1200"/>
      <c r="FN189" s="1200"/>
      <c r="FO189" s="1200"/>
      <c r="FP189" s="1200"/>
      <c r="FQ189" s="1200"/>
      <c r="FR189" s="1200"/>
      <c r="FS189" s="1200"/>
      <c r="FT189" s="1200"/>
      <c r="FU189" s="1200"/>
      <c r="FV189" s="1200"/>
      <c r="FW189" s="1200"/>
      <c r="FX189" s="1200"/>
      <c r="FY189" s="1200"/>
      <c r="FZ189" s="1200"/>
      <c r="GA189" s="1200"/>
      <c r="GB189" s="1200"/>
      <c r="GC189" s="1200"/>
      <c r="GD189" s="1200"/>
      <c r="GE189" s="1200"/>
      <c r="GF189" s="1200"/>
      <c r="GG189" s="1200"/>
      <c r="GH189" s="1200"/>
      <c r="GI189" s="1200"/>
      <c r="GJ189" s="1200"/>
      <c r="GK189" s="1200"/>
      <c r="GL189" s="1200"/>
      <c r="GM189" s="1200"/>
      <c r="GN189" s="1200"/>
      <c r="GO189" s="1200"/>
      <c r="GP189" s="1200"/>
      <c r="GQ189" s="1200"/>
      <c r="GR189" s="1200"/>
      <c r="GS189" s="1200"/>
      <c r="GT189" s="1200"/>
      <c r="GU189" s="1200"/>
      <c r="GV189" s="1200"/>
      <c r="GW189" s="1200"/>
      <c r="GX189" s="1200"/>
      <c r="GY189" s="1200"/>
      <c r="GZ189" s="1200"/>
      <c r="HA189" s="1200"/>
      <c r="HB189" s="1200"/>
      <c r="HC189" s="1200"/>
      <c r="HD189" s="1200"/>
      <c r="HE189" s="1200"/>
      <c r="HF189" s="1200"/>
      <c r="HG189" s="1200"/>
      <c r="HH189" s="1200"/>
      <c r="HI189" s="1200"/>
      <c r="HJ189" s="1200"/>
      <c r="HK189" s="1200"/>
      <c r="HL189" s="1200"/>
      <c r="HM189" s="1200"/>
      <c r="HN189" s="1200"/>
      <c r="HO189" s="1200"/>
      <c r="HP189" s="1200"/>
      <c r="HQ189" s="1200"/>
      <c r="HR189" s="1200"/>
      <c r="HS189" s="1200"/>
      <c r="HT189" s="1200"/>
      <c r="HU189" s="1200"/>
      <c r="HV189" s="1200"/>
      <c r="HW189" s="1200"/>
      <c r="HX189" s="1200"/>
      <c r="HY189" s="1200"/>
      <c r="HZ189" s="1200"/>
      <c r="IA189" s="1200"/>
      <c r="IB189" s="1200"/>
      <c r="IC189" s="1200"/>
      <c r="ID189" s="1200"/>
      <c r="IE189" s="1200"/>
      <c r="IF189" s="1200"/>
      <c r="IG189" s="1200"/>
      <c r="IH189" s="1200"/>
      <c r="II189" s="1200"/>
      <c r="IJ189" s="1200"/>
      <c r="IK189" s="1200"/>
      <c r="IL189" s="1200"/>
      <c r="IM189" s="1200"/>
      <c r="IN189" s="1200"/>
      <c r="IO189" s="1200"/>
      <c r="IP189" s="1200"/>
      <c r="IQ189" s="1200"/>
      <c r="IR189" s="1200"/>
      <c r="IS189" s="1200"/>
      <c r="IT189" s="1200"/>
      <c r="IU189" s="1200"/>
      <c r="IV189" s="1200"/>
      <c r="IW189" s="1200"/>
      <c r="IX189" s="1200"/>
      <c r="IY189" s="1200"/>
      <c r="IZ189" s="1200"/>
      <c r="JA189" s="1200"/>
      <c r="JB189" s="1200"/>
      <c r="JC189" s="1200"/>
      <c r="JD189" s="1200"/>
      <c r="JE189" s="1200"/>
      <c r="JF189" s="1200"/>
      <c r="JG189" s="1200"/>
      <c r="JH189" s="1200"/>
      <c r="JI189" s="1200"/>
      <c r="JJ189" s="1200"/>
      <c r="JK189" s="1200"/>
      <c r="JL189" s="1200"/>
      <c r="JM189" s="1200"/>
      <c r="JN189" s="1200"/>
      <c r="JO189" s="1200"/>
      <c r="JP189" s="1200"/>
      <c r="JQ189" s="1200"/>
      <c r="JR189" s="1200"/>
      <c r="JS189" s="1200"/>
      <c r="JT189" s="1200"/>
      <c r="JU189" s="1200"/>
      <c r="JV189" s="1200"/>
      <c r="JW189" s="1200"/>
      <c r="JX189" s="1200"/>
      <c r="JY189" s="1200"/>
      <c r="JZ189" s="1200"/>
      <c r="KA189" s="1200"/>
      <c r="KB189" s="1200"/>
      <c r="KC189" s="1200"/>
      <c r="KD189" s="1200"/>
      <c r="KE189" s="1200"/>
      <c r="KF189" s="1200"/>
      <c r="KG189" s="1200"/>
      <c r="KH189" s="1200"/>
      <c r="KI189" s="1200"/>
      <c r="KJ189" s="1200"/>
      <c r="KK189" s="1200"/>
      <c r="KL189" s="1200"/>
      <c r="KM189" s="1200"/>
      <c r="KN189" s="1200"/>
      <c r="KO189" s="1200"/>
      <c r="KP189" s="1200"/>
      <c r="KQ189" s="1200"/>
      <c r="KR189" s="1200"/>
      <c r="KS189" s="1200"/>
      <c r="KT189" s="1200"/>
      <c r="KU189" s="1200"/>
      <c r="KV189" s="1200"/>
      <c r="KW189" s="1200"/>
      <c r="KX189" s="1200"/>
      <c r="KY189" s="1200"/>
      <c r="KZ189" s="1200"/>
      <c r="LA189" s="1200"/>
      <c r="LB189" s="1200"/>
      <c r="LC189" s="1200"/>
      <c r="LD189" s="1200"/>
      <c r="LE189" s="1200"/>
      <c r="LF189" s="1200"/>
      <c r="LG189" s="1200"/>
      <c r="LH189" s="1200"/>
      <c r="LI189" s="1200"/>
      <c r="LJ189" s="1200"/>
      <c r="LK189" s="1200"/>
      <c r="LL189" s="1200"/>
      <c r="LM189" s="1200"/>
      <c r="LN189" s="1200"/>
      <c r="LO189" s="1200"/>
      <c r="LP189" s="1200"/>
      <c r="LQ189" s="1200"/>
      <c r="LR189" s="1200"/>
      <c r="LS189" s="1200"/>
      <c r="LT189" s="1200"/>
      <c r="LU189" s="1200"/>
      <c r="LV189" s="1200"/>
      <c r="LW189" s="1200"/>
      <c r="LX189" s="1200"/>
      <c r="LY189" s="1200"/>
      <c r="LZ189" s="1200"/>
      <c r="MA189" s="1200"/>
      <c r="MB189" s="1200"/>
      <c r="MC189" s="1200"/>
      <c r="MD189" s="1200"/>
      <c r="ME189" s="1200"/>
      <c r="MF189" s="1200"/>
      <c r="MG189" s="1200"/>
      <c r="MH189" s="1200"/>
      <c r="MI189" s="1200"/>
      <c r="MJ189" s="1200"/>
      <c r="MK189" s="1200"/>
    </row>
    <row r="190" spans="1:349" x14ac:dyDescent="0.2">
      <c r="A190" s="3333"/>
      <c r="B190" s="3333"/>
      <c r="C190" s="3333"/>
      <c r="D190" s="3333"/>
      <c r="E190" s="3333"/>
      <c r="F190" s="3333"/>
      <c r="G190" s="3333"/>
      <c r="H190" s="3333"/>
      <c r="I190" s="3333"/>
      <c r="J190" s="3333"/>
      <c r="K190" s="3333"/>
      <c r="L190" s="3333"/>
      <c r="M190" s="3333"/>
      <c r="N190" s="3333"/>
      <c r="O190" s="3333"/>
      <c r="P190" s="3333"/>
      <c r="Q190" s="3333"/>
    </row>
    <row r="191" spans="1:349" s="1456" customFormat="1" ht="38.25" customHeight="1" x14ac:dyDescent="0.25">
      <c r="K191" s="1457"/>
      <c r="L191" s="1457"/>
      <c r="M191" s="1457"/>
      <c r="N191" s="1457"/>
      <c r="O191" s="1457"/>
      <c r="P191" s="1457"/>
      <c r="Q191" s="1457"/>
      <c r="R191" s="1458">
        <f>SUM(R183+R178+R172+R164+R161+R157+R151+R143+R133+R128+R122+R106+R97+R90+R82+R72+R66+R63+R54+R48+R33+R28+R18)</f>
        <v>43515419297.370232</v>
      </c>
      <c r="S191" s="1457"/>
      <c r="T191" s="1457"/>
      <c r="U191" s="1457"/>
      <c r="V191" s="1458">
        <f>SUM(V18:V189)</f>
        <v>43515419296.919998</v>
      </c>
      <c r="W191" s="1457"/>
      <c r="X191" s="1457"/>
      <c r="Y191" s="1459"/>
      <c r="Z191" s="1459"/>
      <c r="AA191" s="1459"/>
      <c r="AB191" s="1459"/>
      <c r="AC191" s="1459"/>
      <c r="AD191" s="1459"/>
      <c r="AE191" s="1459"/>
      <c r="AF191" s="1459"/>
      <c r="AG191" s="1459"/>
      <c r="AH191" s="1459"/>
      <c r="AI191" s="1459"/>
      <c r="AJ191" s="1459"/>
      <c r="AK191" s="1460"/>
      <c r="AL191" s="1461"/>
      <c r="AN191" s="1460"/>
      <c r="AO191" s="1460"/>
    </row>
    <row r="193" spans="3:62" ht="15.75" customHeight="1" x14ac:dyDescent="0.2">
      <c r="V193" s="3334">
        <v>43515419296</v>
      </c>
    </row>
    <row r="194" spans="3:62" s="50" customFormat="1" ht="15.75" customHeight="1" x14ac:dyDescent="0.25">
      <c r="C194" s="3332"/>
      <c r="D194" s="3332"/>
      <c r="E194" s="3332"/>
      <c r="F194" s="3332"/>
      <c r="G194" s="3332"/>
      <c r="H194" s="3332"/>
      <c r="I194" s="3332"/>
      <c r="J194" s="3332"/>
      <c r="K194" s="1062"/>
      <c r="L194" s="1463"/>
      <c r="M194" s="1463"/>
      <c r="N194" s="1464"/>
      <c r="O194" s="1062"/>
      <c r="P194" s="1463"/>
      <c r="Q194" s="1062"/>
      <c r="R194" s="1463"/>
      <c r="S194" s="1062"/>
      <c r="T194" s="1062"/>
      <c r="U194" s="1062"/>
      <c r="V194" s="3334"/>
      <c r="W194" s="1465"/>
      <c r="X194" s="1466"/>
      <c r="Y194" s="1466"/>
      <c r="Z194" s="1463"/>
      <c r="AA194" s="1062"/>
      <c r="AB194" s="1467"/>
      <c r="AC194" s="1468"/>
      <c r="AD194" s="1467"/>
      <c r="AE194" s="1468"/>
      <c r="AF194" s="1467"/>
      <c r="AG194" s="1468"/>
      <c r="AH194" s="1467"/>
      <c r="AI194" s="1468"/>
      <c r="AJ194" s="1467"/>
      <c r="AK194" s="1468"/>
      <c r="AL194" s="1467"/>
      <c r="AM194" s="1468"/>
      <c r="AN194" s="1469"/>
      <c r="AO194" s="1470"/>
      <c r="AP194" s="1469"/>
      <c r="AQ194" s="1470"/>
      <c r="AR194" s="1467"/>
      <c r="AS194" s="1468"/>
      <c r="AT194" s="1467"/>
      <c r="AU194" s="1468"/>
      <c r="AV194" s="1467"/>
      <c r="AW194" s="1468"/>
      <c r="AX194" s="1467"/>
      <c r="AY194" s="1468"/>
      <c r="BA194" s="1471"/>
      <c r="BB194" s="1471"/>
      <c r="BC194" s="1472"/>
      <c r="BD194" s="1467"/>
      <c r="BE194" s="1467"/>
      <c r="BF194" s="1473"/>
      <c r="BG194" s="1474"/>
      <c r="BH194" s="1475"/>
      <c r="BI194" s="1476"/>
      <c r="BJ194" s="1477"/>
    </row>
    <row r="195" spans="3:62" s="50" customFormat="1" ht="30.75" customHeight="1" x14ac:dyDescent="0.25">
      <c r="C195" s="3332"/>
      <c r="D195" s="3332"/>
      <c r="E195" s="3332"/>
      <c r="F195" s="3332"/>
      <c r="G195" s="3332"/>
      <c r="H195" s="3332"/>
      <c r="I195" s="3332"/>
      <c r="J195" s="3332"/>
      <c r="K195" s="1062"/>
      <c r="L195" s="1463"/>
      <c r="M195" s="1463"/>
      <c r="N195" s="1464"/>
      <c r="O195" s="1062"/>
      <c r="P195" s="1463"/>
      <c r="Q195" s="1062"/>
      <c r="R195" s="1463"/>
      <c r="S195" s="1478"/>
      <c r="T195" s="1062"/>
      <c r="U195" s="1062" t="s">
        <v>1622</v>
      </c>
      <c r="V195" s="1479">
        <f>+V191-V193</f>
        <v>0.9199981689453125</v>
      </c>
      <c r="W195" s="1480"/>
      <c r="X195" s="1481"/>
      <c r="Y195" s="1481"/>
      <c r="Z195" s="1463"/>
      <c r="AA195" s="1062"/>
      <c r="AB195" s="1467"/>
      <c r="AC195" s="1468"/>
      <c r="AD195" s="1467"/>
      <c r="AE195" s="1482"/>
      <c r="AF195" s="1467"/>
      <c r="AG195" s="1468"/>
      <c r="AH195" s="1467"/>
      <c r="AI195" s="1468"/>
      <c r="AJ195" s="1483"/>
      <c r="AK195" s="1468"/>
      <c r="AL195" s="1467"/>
      <c r="AM195" s="1468"/>
      <c r="AN195" s="1469"/>
      <c r="AO195" s="1470"/>
      <c r="AP195" s="1469"/>
      <c r="AQ195" s="1470"/>
      <c r="AR195" s="1467"/>
      <c r="AS195" s="1468"/>
      <c r="AT195" s="1467"/>
      <c r="AU195" s="1468"/>
      <c r="AV195" s="1467"/>
      <c r="AW195" s="1468"/>
      <c r="AX195" s="1467"/>
      <c r="AY195" s="1468"/>
      <c r="BA195" s="1471"/>
      <c r="BB195" s="1471"/>
      <c r="BC195" s="1472"/>
      <c r="BD195" s="1467"/>
      <c r="BE195" s="1467"/>
      <c r="BF195" s="1473"/>
      <c r="BG195" s="1474"/>
      <c r="BH195" s="1475"/>
      <c r="BI195" s="1476"/>
      <c r="BJ195" s="1477"/>
    </row>
    <row r="196" spans="3:62" s="50" customFormat="1" ht="30.75" customHeight="1" x14ac:dyDescent="0.2">
      <c r="K196" s="1062"/>
      <c r="L196" s="1463"/>
      <c r="M196" s="1463"/>
      <c r="N196" s="1464"/>
      <c r="O196" s="1062"/>
      <c r="P196" s="1463"/>
      <c r="Q196" s="1484"/>
      <c r="R196" s="1463"/>
      <c r="S196" s="1485"/>
      <c r="T196" s="1062"/>
      <c r="U196" s="1062" t="s">
        <v>1712</v>
      </c>
      <c r="V196" s="1596">
        <v>43515419299.986916</v>
      </c>
      <c r="X196" s="1486"/>
      <c r="Y196" s="1486"/>
      <c r="AB196" s="1467"/>
      <c r="AC196" s="1468"/>
      <c r="AD196" s="1467"/>
      <c r="AE196" s="1468"/>
      <c r="AF196" s="1467"/>
      <c r="AG196" s="1468"/>
      <c r="AH196" s="1467"/>
      <c r="AI196" s="1468"/>
      <c r="AJ196" s="1467"/>
      <c r="AK196" s="1468"/>
      <c r="AL196" s="1467"/>
      <c r="AM196" s="1468"/>
      <c r="AN196" s="1469"/>
      <c r="AO196" s="1470"/>
      <c r="AP196" s="1469"/>
      <c r="AQ196" s="1470"/>
      <c r="AR196" s="1467"/>
      <c r="AS196" s="1468"/>
      <c r="AT196" s="1467"/>
      <c r="AU196" s="1468"/>
      <c r="AV196" s="1467"/>
      <c r="AW196" s="1468"/>
      <c r="AX196" s="1472"/>
      <c r="AY196" s="1468"/>
      <c r="BA196" s="1471"/>
      <c r="BB196" s="1471"/>
      <c r="BC196" s="1475"/>
      <c r="BD196" s="1475"/>
      <c r="BE196" s="1477"/>
      <c r="BG196" s="1486"/>
      <c r="BI196" s="1486"/>
    </row>
    <row r="197" spans="3:62" x14ac:dyDescent="0.2">
      <c r="V197" s="1487"/>
    </row>
  </sheetData>
  <mergeCells count="769">
    <mergeCell ref="AL183:AL189"/>
    <mergeCell ref="AM183:AM189"/>
    <mergeCell ref="J184:J188"/>
    <mergeCell ref="K184:K188"/>
    <mergeCell ref="L184:L188"/>
    <mergeCell ref="M184:M188"/>
    <mergeCell ref="Q184:Q188"/>
    <mergeCell ref="T184:T186"/>
    <mergeCell ref="AK183:AK189"/>
    <mergeCell ref="AI183:AI189"/>
    <mergeCell ref="AJ183:AJ189"/>
    <mergeCell ref="AF183:AF189"/>
    <mergeCell ref="AE183:AE189"/>
    <mergeCell ref="Z183:Z189"/>
    <mergeCell ref="AA183:AA189"/>
    <mergeCell ref="AB183:AB189"/>
    <mergeCell ref="C194:J194"/>
    <mergeCell ref="C195:J195"/>
    <mergeCell ref="T187:T188"/>
    <mergeCell ref="A190:Q190"/>
    <mergeCell ref="V193:V194"/>
    <mergeCell ref="R178:R180"/>
    <mergeCell ref="S178:S180"/>
    <mergeCell ref="T178:T179"/>
    <mergeCell ref="AM178:AM180"/>
    <mergeCell ref="N183:N189"/>
    <mergeCell ref="O183:O189"/>
    <mergeCell ref="P183:P189"/>
    <mergeCell ref="R183:R189"/>
    <mergeCell ref="S183:S189"/>
    <mergeCell ref="W183:W189"/>
    <mergeCell ref="X183:X189"/>
    <mergeCell ref="Y183:Y189"/>
    <mergeCell ref="AK178:AK180"/>
    <mergeCell ref="AL178:AL180"/>
    <mergeCell ref="AJ178:AJ180"/>
    <mergeCell ref="AG178:AG180"/>
    <mergeCell ref="AH178:AH180"/>
    <mergeCell ref="AI178:AI180"/>
    <mergeCell ref="AD178:AD180"/>
    <mergeCell ref="AE178:AE180"/>
    <mergeCell ref="AG183:AG189"/>
    <mergeCell ref="AH183:AH189"/>
    <mergeCell ref="AC183:AC189"/>
    <mergeCell ref="AD183:AD189"/>
    <mergeCell ref="J178:J179"/>
    <mergeCell ref="K178:K179"/>
    <mergeCell ref="L178:L179"/>
    <mergeCell ref="M178:M179"/>
    <mergeCell ref="N178:N180"/>
    <mergeCell ref="AK172:AK176"/>
    <mergeCell ref="AI172:AI176"/>
    <mergeCell ref="AJ172:AJ176"/>
    <mergeCell ref="AF172:AF176"/>
    <mergeCell ref="AG172:AG176"/>
    <mergeCell ref="AH172:AH176"/>
    <mergeCell ref="AC172:AC176"/>
    <mergeCell ref="AD172:AD176"/>
    <mergeCell ref="AF178:AF180"/>
    <mergeCell ref="AA178:AA180"/>
    <mergeCell ref="AB178:AB180"/>
    <mergeCell ref="AC178:AC180"/>
    <mergeCell ref="W178:W180"/>
    <mergeCell ref="X178:X180"/>
    <mergeCell ref="Y178:Y180"/>
    <mergeCell ref="Z178:Z180"/>
    <mergeCell ref="O178:O180"/>
    <mergeCell ref="P178:P180"/>
    <mergeCell ref="Q178:Q180"/>
    <mergeCell ref="AM164:AM170"/>
    <mergeCell ref="J172:J175"/>
    <mergeCell ref="K172:K175"/>
    <mergeCell ref="L172:L175"/>
    <mergeCell ref="M172:M175"/>
    <mergeCell ref="N172:N176"/>
    <mergeCell ref="O172:O176"/>
    <mergeCell ref="P172:P176"/>
    <mergeCell ref="Q172:Q175"/>
    <mergeCell ref="AK164:AK170"/>
    <mergeCell ref="AL164:AL170"/>
    <mergeCell ref="AJ164:AJ170"/>
    <mergeCell ref="AL172:AL176"/>
    <mergeCell ref="AM172:AM176"/>
    <mergeCell ref="T173:T174"/>
    <mergeCell ref="AA164:AA170"/>
    <mergeCell ref="AB164:AB170"/>
    <mergeCell ref="AC164:AC170"/>
    <mergeCell ref="AE172:AE176"/>
    <mergeCell ref="Z172:Z176"/>
    <mergeCell ref="AA172:AA176"/>
    <mergeCell ref="AB172:AB176"/>
    <mergeCell ref="R172:R176"/>
    <mergeCell ref="S172:S176"/>
    <mergeCell ref="W172:W176"/>
    <mergeCell ref="X172:X176"/>
    <mergeCell ref="Y172:Y176"/>
    <mergeCell ref="S164:S170"/>
    <mergeCell ref="T164:T169"/>
    <mergeCell ref="Y164:Y170"/>
    <mergeCell ref="Z164:Z170"/>
    <mergeCell ref="AM161:AM163"/>
    <mergeCell ref="J164:J170"/>
    <mergeCell ref="K164:K170"/>
    <mergeCell ref="L164:L170"/>
    <mergeCell ref="M164:M170"/>
    <mergeCell ref="O164:O170"/>
    <mergeCell ref="P164:P170"/>
    <mergeCell ref="Q164:Q170"/>
    <mergeCell ref="R164:R170"/>
    <mergeCell ref="AK161:AK163"/>
    <mergeCell ref="AL161:AL163"/>
    <mergeCell ref="AJ161:AJ163"/>
    <mergeCell ref="AG161:AG163"/>
    <mergeCell ref="AH161:AH163"/>
    <mergeCell ref="AG164:AG170"/>
    <mergeCell ref="AH164:AH170"/>
    <mergeCell ref="AI164:AI170"/>
    <mergeCell ref="AD164:AD170"/>
    <mergeCell ref="AE164:AE170"/>
    <mergeCell ref="AF164:AF170"/>
    <mergeCell ref="J161:J162"/>
    <mergeCell ref="K161:K162"/>
    <mergeCell ref="L161:L162"/>
    <mergeCell ref="M161:M162"/>
    <mergeCell ref="N161:N163"/>
    <mergeCell ref="AK157:AK159"/>
    <mergeCell ref="AI157:AI159"/>
    <mergeCell ref="AJ157:AJ159"/>
    <mergeCell ref="AF157:AF159"/>
    <mergeCell ref="AG157:AG159"/>
    <mergeCell ref="AI161:AI163"/>
    <mergeCell ref="AD161:AD163"/>
    <mergeCell ref="AE161:AE163"/>
    <mergeCell ref="AF161:AF163"/>
    <mergeCell ref="AA161:AA163"/>
    <mergeCell ref="AB161:AB163"/>
    <mergeCell ref="AC161:AC163"/>
    <mergeCell ref="W161:W163"/>
    <mergeCell ref="X161:X163"/>
    <mergeCell ref="Y161:Y163"/>
    <mergeCell ref="Z161:Z163"/>
    <mergeCell ref="O161:O163"/>
    <mergeCell ref="P161:P163"/>
    <mergeCell ref="Q161:Q162"/>
    <mergeCell ref="R161:R163"/>
    <mergeCell ref="S161:S163"/>
    <mergeCell ref="T161:T162"/>
    <mergeCell ref="AL157:AL159"/>
    <mergeCell ref="AM157:AM159"/>
    <mergeCell ref="Y160:AJ160"/>
    <mergeCell ref="Y156:AJ156"/>
    <mergeCell ref="J157:J159"/>
    <mergeCell ref="K157:K159"/>
    <mergeCell ref="L157:L159"/>
    <mergeCell ref="M157:M159"/>
    <mergeCell ref="N157:N159"/>
    <mergeCell ref="O157:O159"/>
    <mergeCell ref="P157:P159"/>
    <mergeCell ref="Q157:Q159"/>
    <mergeCell ref="AH157:AH159"/>
    <mergeCell ref="AC157:AC159"/>
    <mergeCell ref="AD157:AD159"/>
    <mergeCell ref="AE157:AE159"/>
    <mergeCell ref="Z157:Z159"/>
    <mergeCell ref="AA157:AA159"/>
    <mergeCell ref="AB157:AB159"/>
    <mergeCell ref="R157:R159"/>
    <mergeCell ref="S157:S159"/>
    <mergeCell ref="W157:W159"/>
    <mergeCell ref="X157:X159"/>
    <mergeCell ref="Y157:Y159"/>
    <mergeCell ref="AL151:AL155"/>
    <mergeCell ref="AM151:AM155"/>
    <mergeCell ref="J154:J155"/>
    <mergeCell ref="K154:K155"/>
    <mergeCell ref="L154:L155"/>
    <mergeCell ref="M154:M155"/>
    <mergeCell ref="AH151:AH155"/>
    <mergeCell ref="AI151:AI155"/>
    <mergeCell ref="AJ151:AJ155"/>
    <mergeCell ref="AE151:AE155"/>
    <mergeCell ref="AF151:AF155"/>
    <mergeCell ref="AG151:AG155"/>
    <mergeCell ref="AB151:AB155"/>
    <mergeCell ref="AC151:AC155"/>
    <mergeCell ref="AD151:AD155"/>
    <mergeCell ref="J151:J152"/>
    <mergeCell ref="Q154:Q155"/>
    <mergeCell ref="T154:T155"/>
    <mergeCell ref="U154:U155"/>
    <mergeCell ref="V154:V155"/>
    <mergeCell ref="AK151:AK155"/>
    <mergeCell ref="Y151:Y155"/>
    <mergeCell ref="Z151:Z155"/>
    <mergeCell ref="AA151:AA155"/>
    <mergeCell ref="AL143:AL148"/>
    <mergeCell ref="AM143:AM148"/>
    <mergeCell ref="J145:J146"/>
    <mergeCell ref="K145:K146"/>
    <mergeCell ref="L145:L146"/>
    <mergeCell ref="M145:M146"/>
    <mergeCell ref="Q145:Q146"/>
    <mergeCell ref="AK143:AK148"/>
    <mergeCell ref="AI143:AI148"/>
    <mergeCell ref="AJ143:AJ148"/>
    <mergeCell ref="AG143:AG148"/>
    <mergeCell ref="AH143:AH148"/>
    <mergeCell ref="AC143:AC148"/>
    <mergeCell ref="AD143:AD148"/>
    <mergeCell ref="AE143:AE148"/>
    <mergeCell ref="Z143:Z148"/>
    <mergeCell ref="AA143:AA148"/>
    <mergeCell ref="AB143:AB148"/>
    <mergeCell ref="K151:K152"/>
    <mergeCell ref="L151:L152"/>
    <mergeCell ref="M151:M152"/>
    <mergeCell ref="O151:O155"/>
    <mergeCell ref="P151:P155"/>
    <mergeCell ref="Q151:Q152"/>
    <mergeCell ref="R151:R155"/>
    <mergeCell ref="S151:S155"/>
    <mergeCell ref="T151:T152"/>
    <mergeCell ref="U151:U152"/>
    <mergeCell ref="V151:V152"/>
    <mergeCell ref="J133:J135"/>
    <mergeCell ref="K133:K135"/>
    <mergeCell ref="L133:L135"/>
    <mergeCell ref="M133:M135"/>
    <mergeCell ref="AM133:AM140"/>
    <mergeCell ref="J136:J140"/>
    <mergeCell ref="K136:K140"/>
    <mergeCell ref="L136:L140"/>
    <mergeCell ref="M136:M140"/>
    <mergeCell ref="Q136:Q140"/>
    <mergeCell ref="T136:T140"/>
    <mergeCell ref="AK133:AK140"/>
    <mergeCell ref="AL133:AL140"/>
    <mergeCell ref="AJ133:AJ140"/>
    <mergeCell ref="AD133:AD140"/>
    <mergeCell ref="AE133:AE140"/>
    <mergeCell ref="AF133:AF140"/>
    <mergeCell ref="AA133:AA140"/>
    <mergeCell ref="AB133:AB140"/>
    <mergeCell ref="AC133:AC140"/>
    <mergeCell ref="AF143:AF148"/>
    <mergeCell ref="T133:T135"/>
    <mergeCell ref="W133:W140"/>
    <mergeCell ref="X133:X140"/>
    <mergeCell ref="Y133:Y140"/>
    <mergeCell ref="Z133:Z140"/>
    <mergeCell ref="N133:N140"/>
    <mergeCell ref="O133:O140"/>
    <mergeCell ref="P133:P140"/>
    <mergeCell ref="Q133:Q135"/>
    <mergeCell ref="R133:R140"/>
    <mergeCell ref="S133:S140"/>
    <mergeCell ref="D142:F148"/>
    <mergeCell ref="O143:O148"/>
    <mergeCell ref="P143:P148"/>
    <mergeCell ref="R143:R148"/>
    <mergeCell ref="S143:S148"/>
    <mergeCell ref="Y143:Y148"/>
    <mergeCell ref="T145:T146"/>
    <mergeCell ref="U145:U146"/>
    <mergeCell ref="V145:V146"/>
    <mergeCell ref="W128:W132"/>
    <mergeCell ref="X128:X132"/>
    <mergeCell ref="Y128:Y132"/>
    <mergeCell ref="AG133:AG140"/>
    <mergeCell ref="AH133:AH140"/>
    <mergeCell ref="AI133:AI140"/>
    <mergeCell ref="AK128:AK132"/>
    <mergeCell ref="AI128:AI132"/>
    <mergeCell ref="AJ128:AJ132"/>
    <mergeCell ref="AC128:AC132"/>
    <mergeCell ref="AD128:AD132"/>
    <mergeCell ref="AE128:AE132"/>
    <mergeCell ref="Z128:Z132"/>
    <mergeCell ref="AM122:AM126"/>
    <mergeCell ref="J128:J132"/>
    <mergeCell ref="K128:K132"/>
    <mergeCell ref="L128:L132"/>
    <mergeCell ref="M128:M132"/>
    <mergeCell ref="N128:N132"/>
    <mergeCell ref="O128:O132"/>
    <mergeCell ref="P128:P132"/>
    <mergeCell ref="Q128:Q132"/>
    <mergeCell ref="AK122:AK126"/>
    <mergeCell ref="AL122:AL126"/>
    <mergeCell ref="AJ122:AJ126"/>
    <mergeCell ref="AL128:AL132"/>
    <mergeCell ref="AM128:AM132"/>
    <mergeCell ref="T130:T131"/>
    <mergeCell ref="AA128:AA132"/>
    <mergeCell ref="AB128:AB132"/>
    <mergeCell ref="R128:R132"/>
    <mergeCell ref="S128:S132"/>
    <mergeCell ref="T128:T129"/>
    <mergeCell ref="AG122:AG126"/>
    <mergeCell ref="AH122:AH126"/>
    <mergeCell ref="AI122:AI126"/>
    <mergeCell ref="AD122:AD126"/>
    <mergeCell ref="AE122:AE126"/>
    <mergeCell ref="AF122:AF126"/>
    <mergeCell ref="AF128:AF132"/>
    <mergeCell ref="AG128:AG132"/>
    <mergeCell ref="AH128:AH132"/>
    <mergeCell ref="AA122:AA126"/>
    <mergeCell ref="AB122:AB126"/>
    <mergeCell ref="AC122:AC126"/>
    <mergeCell ref="W122:W126"/>
    <mergeCell ref="X122:X126"/>
    <mergeCell ref="Y122:Y126"/>
    <mergeCell ref="Z122:Z126"/>
    <mergeCell ref="O122:O126"/>
    <mergeCell ref="P122:P126"/>
    <mergeCell ref="Q122:Q125"/>
    <mergeCell ref="R122:R126"/>
    <mergeCell ref="S122:S126"/>
    <mergeCell ref="T122:T124"/>
    <mergeCell ref="J122:J125"/>
    <mergeCell ref="K122:K125"/>
    <mergeCell ref="L122:L125"/>
    <mergeCell ref="M122:M125"/>
    <mergeCell ref="N122:N126"/>
    <mergeCell ref="J119:J120"/>
    <mergeCell ref="K119:K120"/>
    <mergeCell ref="L119:L120"/>
    <mergeCell ref="M119:M120"/>
    <mergeCell ref="M109:M111"/>
    <mergeCell ref="Q109:Q111"/>
    <mergeCell ref="T109:T111"/>
    <mergeCell ref="J112:J118"/>
    <mergeCell ref="AK106:AK120"/>
    <mergeCell ref="AL106:AL120"/>
    <mergeCell ref="AJ106:AJ120"/>
    <mergeCell ref="AG106:AG120"/>
    <mergeCell ref="AH106:AH120"/>
    <mergeCell ref="AI106:AI120"/>
    <mergeCell ref="AD106:AD120"/>
    <mergeCell ref="AE106:AE120"/>
    <mergeCell ref="Q119:Q120"/>
    <mergeCell ref="K112:K118"/>
    <mergeCell ref="L112:L118"/>
    <mergeCell ref="M112:M118"/>
    <mergeCell ref="Q112:Q118"/>
    <mergeCell ref="AQ97:AR98"/>
    <mergeCell ref="J99:J100"/>
    <mergeCell ref="K99:K100"/>
    <mergeCell ref="L99:L100"/>
    <mergeCell ref="M99:M100"/>
    <mergeCell ref="AK97:AK104"/>
    <mergeCell ref="AI97:AI104"/>
    <mergeCell ref="AJ97:AJ104"/>
    <mergeCell ref="AF97:AF104"/>
    <mergeCell ref="Q101:Q104"/>
    <mergeCell ref="J106:J108"/>
    <mergeCell ref="K106:K108"/>
    <mergeCell ref="L106:L108"/>
    <mergeCell ref="M106:M108"/>
    <mergeCell ref="O106:O120"/>
    <mergeCell ref="P106:P120"/>
    <mergeCell ref="Q106:Q108"/>
    <mergeCell ref="AL97:AL104"/>
    <mergeCell ref="AM97:AM104"/>
    <mergeCell ref="AF106:AF120"/>
    <mergeCell ref="AA106:AA120"/>
    <mergeCell ref="AB106:AB120"/>
    <mergeCell ref="AC106:AC120"/>
    <mergeCell ref="R106:R120"/>
    <mergeCell ref="S106:S120"/>
    <mergeCell ref="T106:T108"/>
    <mergeCell ref="Y106:Y120"/>
    <mergeCell ref="Z106:Z120"/>
    <mergeCell ref="T119:T120"/>
    <mergeCell ref="T112:T118"/>
    <mergeCell ref="AM106:AM120"/>
    <mergeCell ref="J109:J111"/>
    <mergeCell ref="K109:K111"/>
    <mergeCell ref="L109:L111"/>
    <mergeCell ref="AG97:AG104"/>
    <mergeCell ref="AH97:AH104"/>
    <mergeCell ref="AC97:AC104"/>
    <mergeCell ref="AD97:AD104"/>
    <mergeCell ref="AE97:AE104"/>
    <mergeCell ref="Z97:Z104"/>
    <mergeCell ref="AA97:AA104"/>
    <mergeCell ref="AB97:AB104"/>
    <mergeCell ref="P97:P104"/>
    <mergeCell ref="Q97:Q98"/>
    <mergeCell ref="R97:R104"/>
    <mergeCell ref="S97:S104"/>
    <mergeCell ref="T97:T98"/>
    <mergeCell ref="Y97:Y104"/>
    <mergeCell ref="Q99:Q100"/>
    <mergeCell ref="T99:T104"/>
    <mergeCell ref="AM90:AM95"/>
    <mergeCell ref="J93:J95"/>
    <mergeCell ref="K93:K95"/>
    <mergeCell ref="L93:L95"/>
    <mergeCell ref="M93:M95"/>
    <mergeCell ref="Q93:Q95"/>
    <mergeCell ref="T93:T95"/>
    <mergeCell ref="AK90:AK95"/>
    <mergeCell ref="AL90:AL95"/>
    <mergeCell ref="AJ90:AJ95"/>
    <mergeCell ref="AG90:AG95"/>
    <mergeCell ref="J97:J98"/>
    <mergeCell ref="K97:K98"/>
    <mergeCell ref="L97:L98"/>
    <mergeCell ref="M97:M98"/>
    <mergeCell ref="O97:O104"/>
    <mergeCell ref="J101:J104"/>
    <mergeCell ref="K101:K104"/>
    <mergeCell ref="L101:L104"/>
    <mergeCell ref="M101:M104"/>
    <mergeCell ref="AH90:AH95"/>
    <mergeCell ref="AI90:AI95"/>
    <mergeCell ref="AD90:AD95"/>
    <mergeCell ref="AE90:AE95"/>
    <mergeCell ref="AF90:AF95"/>
    <mergeCell ref="AA90:AA95"/>
    <mergeCell ref="AB90:AB95"/>
    <mergeCell ref="AC90:AC95"/>
    <mergeCell ref="W90:W95"/>
    <mergeCell ref="X90:X95"/>
    <mergeCell ref="Y90:Y95"/>
    <mergeCell ref="Z90:Z95"/>
    <mergeCell ref="AM82:AM88"/>
    <mergeCell ref="J85:J88"/>
    <mergeCell ref="K85:K88"/>
    <mergeCell ref="L85:L88"/>
    <mergeCell ref="M85:M88"/>
    <mergeCell ref="Q85:Q88"/>
    <mergeCell ref="T85:T88"/>
    <mergeCell ref="AK82:AK88"/>
    <mergeCell ref="AL82:AL88"/>
    <mergeCell ref="AJ82:AJ88"/>
    <mergeCell ref="O90:O95"/>
    <mergeCell ref="P90:P95"/>
    <mergeCell ref="Q90:Q92"/>
    <mergeCell ref="R90:R95"/>
    <mergeCell ref="S90:S95"/>
    <mergeCell ref="T90:T92"/>
    <mergeCell ref="J90:J92"/>
    <mergeCell ref="K90:K92"/>
    <mergeCell ref="L90:L92"/>
    <mergeCell ref="M90:M92"/>
    <mergeCell ref="N90:N95"/>
    <mergeCell ref="J82:J84"/>
    <mergeCell ref="K82:K84"/>
    <mergeCell ref="L82:L84"/>
    <mergeCell ref="M82:M84"/>
    <mergeCell ref="N82:N88"/>
    <mergeCell ref="AG82:AG88"/>
    <mergeCell ref="AH82:AH88"/>
    <mergeCell ref="AI82:AI88"/>
    <mergeCell ref="AD82:AD88"/>
    <mergeCell ref="AE82:AE88"/>
    <mergeCell ref="AF82:AF88"/>
    <mergeCell ref="AA82:AA88"/>
    <mergeCell ref="AB82:AB88"/>
    <mergeCell ref="AC82:AC88"/>
    <mergeCell ref="W82:W88"/>
    <mergeCell ref="X82:X88"/>
    <mergeCell ref="Y82:Y88"/>
    <mergeCell ref="Z82:Z88"/>
    <mergeCell ref="O82:O88"/>
    <mergeCell ref="P82:P88"/>
    <mergeCell ref="Q82:Q84"/>
    <mergeCell ref="R82:R88"/>
    <mergeCell ref="S82:S88"/>
    <mergeCell ref="T82:T84"/>
    <mergeCell ref="AL66:AL71"/>
    <mergeCell ref="AM66:AM71"/>
    <mergeCell ref="J72:J80"/>
    <mergeCell ref="K72:K80"/>
    <mergeCell ref="L72:L80"/>
    <mergeCell ref="M72:M80"/>
    <mergeCell ref="O72:O80"/>
    <mergeCell ref="AK66:AK71"/>
    <mergeCell ref="AI66:AI71"/>
    <mergeCell ref="AJ66:AJ71"/>
    <mergeCell ref="AL72:AL80"/>
    <mergeCell ref="AM72:AM80"/>
    <mergeCell ref="T76:T78"/>
    <mergeCell ref="T79:T80"/>
    <mergeCell ref="AK72:AK80"/>
    <mergeCell ref="AI72:AI80"/>
    <mergeCell ref="AJ72:AJ80"/>
    <mergeCell ref="AF72:AF80"/>
    <mergeCell ref="AG72:AG80"/>
    <mergeCell ref="AH72:AH80"/>
    <mergeCell ref="AC72:AC80"/>
    <mergeCell ref="AD72:AD80"/>
    <mergeCell ref="AE72:AE80"/>
    <mergeCell ref="Z72:Z80"/>
    <mergeCell ref="AA66:AA71"/>
    <mergeCell ref="AB66:AB71"/>
    <mergeCell ref="AA72:AA80"/>
    <mergeCell ref="AB72:AB80"/>
    <mergeCell ref="P72:P80"/>
    <mergeCell ref="Q72:Q80"/>
    <mergeCell ref="R72:R80"/>
    <mergeCell ref="S72:S80"/>
    <mergeCell ref="T72:T75"/>
    <mergeCell ref="Y72:Y80"/>
    <mergeCell ref="J66:J70"/>
    <mergeCell ref="K66:K70"/>
    <mergeCell ref="L66:L70"/>
    <mergeCell ref="M66:M70"/>
    <mergeCell ref="O66:O71"/>
    <mergeCell ref="J64:J65"/>
    <mergeCell ref="K64:K65"/>
    <mergeCell ref="L64:L65"/>
    <mergeCell ref="M64:M65"/>
    <mergeCell ref="N63:N65"/>
    <mergeCell ref="O63:O65"/>
    <mergeCell ref="AK63:AK65"/>
    <mergeCell ref="AL63:AL65"/>
    <mergeCell ref="AM63:AM65"/>
    <mergeCell ref="AH63:AH65"/>
    <mergeCell ref="AI63:AI65"/>
    <mergeCell ref="AJ63:AJ65"/>
    <mergeCell ref="P66:P71"/>
    <mergeCell ref="Q66:Q70"/>
    <mergeCell ref="R66:R71"/>
    <mergeCell ref="S66:S71"/>
    <mergeCell ref="T66:T70"/>
    <mergeCell ref="Y66:Y71"/>
    <mergeCell ref="T64:T65"/>
    <mergeCell ref="P63:P65"/>
    <mergeCell ref="R63:R65"/>
    <mergeCell ref="S63:S65"/>
    <mergeCell ref="W63:W65"/>
    <mergeCell ref="AF66:AF71"/>
    <mergeCell ref="AG66:AG71"/>
    <mergeCell ref="AH66:AH71"/>
    <mergeCell ref="AC66:AC71"/>
    <mergeCell ref="AD66:AD71"/>
    <mergeCell ref="AE66:AE71"/>
    <mergeCell ref="Z66:Z71"/>
    <mergeCell ref="AE63:AE65"/>
    <mergeCell ref="AF63:AF65"/>
    <mergeCell ref="AG63:AG65"/>
    <mergeCell ref="AB63:AB65"/>
    <mergeCell ref="AC63:AC65"/>
    <mergeCell ref="AD63:AD65"/>
    <mergeCell ref="X63:X65"/>
    <mergeCell ref="Y63:Y65"/>
    <mergeCell ref="Z63:Z65"/>
    <mergeCell ref="AA63:AA65"/>
    <mergeCell ref="AM54:AM61"/>
    <mergeCell ref="J57:J59"/>
    <mergeCell ref="K57:K59"/>
    <mergeCell ref="L57:L59"/>
    <mergeCell ref="M57:M59"/>
    <mergeCell ref="Q57:Q59"/>
    <mergeCell ref="T57:T59"/>
    <mergeCell ref="J60:J61"/>
    <mergeCell ref="K60:K61"/>
    <mergeCell ref="AK54:AK61"/>
    <mergeCell ref="AL54:AL61"/>
    <mergeCell ref="AJ54:AJ61"/>
    <mergeCell ref="AG54:AG61"/>
    <mergeCell ref="AH54:AH61"/>
    <mergeCell ref="AI54:AI61"/>
    <mergeCell ref="AD54:AD61"/>
    <mergeCell ref="AE54:AE61"/>
    <mergeCell ref="AF54:AF61"/>
    <mergeCell ref="AA54:AA61"/>
    <mergeCell ref="AB54:AB61"/>
    <mergeCell ref="AC54:AC61"/>
    <mergeCell ref="W54:W61"/>
    <mergeCell ref="X54:X61"/>
    <mergeCell ref="Y54:Y61"/>
    <mergeCell ref="Z54:Z61"/>
    <mergeCell ref="O54:O61"/>
    <mergeCell ref="P54:P61"/>
    <mergeCell ref="Q54:Q56"/>
    <mergeCell ref="R54:R61"/>
    <mergeCell ref="S54:S61"/>
    <mergeCell ref="T54:T56"/>
    <mergeCell ref="Q60:Q61"/>
    <mergeCell ref="T60:T61"/>
    <mergeCell ref="Q51:Q52"/>
    <mergeCell ref="AL48:AL52"/>
    <mergeCell ref="Z48:Z52"/>
    <mergeCell ref="AA48:AA52"/>
    <mergeCell ref="AB48:AB52"/>
    <mergeCell ref="R48:R52"/>
    <mergeCell ref="S48:S52"/>
    <mergeCell ref="W48:W52"/>
    <mergeCell ref="X48:X52"/>
    <mergeCell ref="Y48:Y52"/>
    <mergeCell ref="T51:T52"/>
    <mergeCell ref="J54:J56"/>
    <mergeCell ref="K54:K56"/>
    <mergeCell ref="L54:L56"/>
    <mergeCell ref="M54:M56"/>
    <mergeCell ref="N54:N61"/>
    <mergeCell ref="L60:L61"/>
    <mergeCell ref="M60:M61"/>
    <mergeCell ref="J51:J52"/>
    <mergeCell ref="K51:K52"/>
    <mergeCell ref="L51:L52"/>
    <mergeCell ref="M51:M52"/>
    <mergeCell ref="AK48:AK52"/>
    <mergeCell ref="AI48:AI52"/>
    <mergeCell ref="AJ48:AJ52"/>
    <mergeCell ref="AF48:AF52"/>
    <mergeCell ref="AG48:AG52"/>
    <mergeCell ref="AH48:AH52"/>
    <mergeCell ref="AC48:AC52"/>
    <mergeCell ref="AD48:AD52"/>
    <mergeCell ref="AE48:AE52"/>
    <mergeCell ref="N48:N52"/>
    <mergeCell ref="O48:O52"/>
    <mergeCell ref="P48:P52"/>
    <mergeCell ref="AM33:AM46"/>
    <mergeCell ref="J36:J40"/>
    <mergeCell ref="K36:K40"/>
    <mergeCell ref="L36:L40"/>
    <mergeCell ref="M36:M40"/>
    <mergeCell ref="Q36:Q40"/>
    <mergeCell ref="J41:J43"/>
    <mergeCell ref="K41:K43"/>
    <mergeCell ref="L41:L43"/>
    <mergeCell ref="AK33:AK46"/>
    <mergeCell ref="AL33:AL46"/>
    <mergeCell ref="AJ33:AJ46"/>
    <mergeCell ref="AG33:AG46"/>
    <mergeCell ref="AH33:AH46"/>
    <mergeCell ref="AM48:AM52"/>
    <mergeCell ref="J49:J50"/>
    <mergeCell ref="K49:K50"/>
    <mergeCell ref="L49:L50"/>
    <mergeCell ref="M49:M50"/>
    <mergeCell ref="Q49:Q50"/>
    <mergeCell ref="T49:T50"/>
    <mergeCell ref="J33:J35"/>
    <mergeCell ref="K33:K35"/>
    <mergeCell ref="L33:L35"/>
    <mergeCell ref="M33:M35"/>
    <mergeCell ref="N33:N46"/>
    <mergeCell ref="M41:M43"/>
    <mergeCell ref="J44:J46"/>
    <mergeCell ref="K44:K46"/>
    <mergeCell ref="AI33:AI46"/>
    <mergeCell ref="AD33:AD46"/>
    <mergeCell ref="AE33:AE46"/>
    <mergeCell ref="AF33:AF46"/>
    <mergeCell ref="AA33:AA46"/>
    <mergeCell ref="AB33:AB46"/>
    <mergeCell ref="AC33:AC46"/>
    <mergeCell ref="W33:W46"/>
    <mergeCell ref="X33:X46"/>
    <mergeCell ref="Y33:Y46"/>
    <mergeCell ref="Z33:Z46"/>
    <mergeCell ref="L44:L46"/>
    <mergeCell ref="M44:M46"/>
    <mergeCell ref="Q44:Q46"/>
    <mergeCell ref="O33:O46"/>
    <mergeCell ref="P33:P46"/>
    <mergeCell ref="Q33:Q35"/>
    <mergeCell ref="R33:R46"/>
    <mergeCell ref="S33:S46"/>
    <mergeCell ref="T33:T40"/>
    <mergeCell ref="Q41:Q43"/>
    <mergeCell ref="T41:T46"/>
    <mergeCell ref="Z28:Z31"/>
    <mergeCell ref="O28:O31"/>
    <mergeCell ref="P28:P31"/>
    <mergeCell ref="Q28:Q29"/>
    <mergeCell ref="R28:R31"/>
    <mergeCell ref="S28:S31"/>
    <mergeCell ref="T28:T29"/>
    <mergeCell ref="W28:W31"/>
    <mergeCell ref="X28:X31"/>
    <mergeCell ref="Y28:Y31"/>
    <mergeCell ref="AM28:AM31"/>
    <mergeCell ref="J30:J31"/>
    <mergeCell ref="K30:K31"/>
    <mergeCell ref="L30:L31"/>
    <mergeCell ref="M30:M31"/>
    <mergeCell ref="Q30:Q31"/>
    <mergeCell ref="T30:T31"/>
    <mergeCell ref="AK28:AK31"/>
    <mergeCell ref="AL28:AL31"/>
    <mergeCell ref="AJ28:AJ31"/>
    <mergeCell ref="AG28:AG31"/>
    <mergeCell ref="AH28:AH31"/>
    <mergeCell ref="J28:J29"/>
    <mergeCell ref="K28:K29"/>
    <mergeCell ref="L28:L29"/>
    <mergeCell ref="M28:M29"/>
    <mergeCell ref="N28:N31"/>
    <mergeCell ref="AA28:AA31"/>
    <mergeCell ref="AB28:AB31"/>
    <mergeCell ref="AI28:AI31"/>
    <mergeCell ref="AD28:AD31"/>
    <mergeCell ref="AE28:AE31"/>
    <mergeCell ref="AF28:AF31"/>
    <mergeCell ref="AC28:AC31"/>
    <mergeCell ref="L21:L25"/>
    <mergeCell ref="AL18:AL25"/>
    <mergeCell ref="AM18:AM25"/>
    <mergeCell ref="J19:J20"/>
    <mergeCell ref="K19:K20"/>
    <mergeCell ref="L19:L20"/>
    <mergeCell ref="M19:M20"/>
    <mergeCell ref="AH18:AH25"/>
    <mergeCell ref="AI18:AI25"/>
    <mergeCell ref="AJ18:AJ25"/>
    <mergeCell ref="AE18:AE25"/>
    <mergeCell ref="AF18:AF25"/>
    <mergeCell ref="AG18:AG25"/>
    <mergeCell ref="AB18:AB25"/>
    <mergeCell ref="AC18:AC25"/>
    <mergeCell ref="AD18:AD25"/>
    <mergeCell ref="M21:M25"/>
    <mergeCell ref="Q21:Q25"/>
    <mergeCell ref="T21:T25"/>
    <mergeCell ref="AK18:AK25"/>
    <mergeCell ref="Y18:Y25"/>
    <mergeCell ref="Z18:Z25"/>
    <mergeCell ref="AA18:AA25"/>
    <mergeCell ref="A16:C16"/>
    <mergeCell ref="N18:N25"/>
    <mergeCell ref="O18:O25"/>
    <mergeCell ref="P18:P25"/>
    <mergeCell ref="R18:R25"/>
    <mergeCell ref="S18:S25"/>
    <mergeCell ref="W18:W25"/>
    <mergeCell ref="X18:X25"/>
    <mergeCell ref="O7:O14"/>
    <mergeCell ref="P7:P14"/>
    <mergeCell ref="Q7:Q14"/>
    <mergeCell ref="R7:R14"/>
    <mergeCell ref="S7:S14"/>
    <mergeCell ref="T7:T14"/>
    <mergeCell ref="H7:I14"/>
    <mergeCell ref="J7:J14"/>
    <mergeCell ref="K7:K14"/>
    <mergeCell ref="L7:L14"/>
    <mergeCell ref="M7:M8"/>
    <mergeCell ref="N7:N14"/>
    <mergeCell ref="Q19:Q20"/>
    <mergeCell ref="T19:T20"/>
    <mergeCell ref="J21:J25"/>
    <mergeCell ref="K21:K25"/>
    <mergeCell ref="A5:M6"/>
    <mergeCell ref="A1:AK4"/>
    <mergeCell ref="N5:AM5"/>
    <mergeCell ref="Y6:AJ6"/>
    <mergeCell ref="A7:A14"/>
    <mergeCell ref="B7:C14"/>
    <mergeCell ref="D7:D14"/>
    <mergeCell ref="E7:F14"/>
    <mergeCell ref="G7:G14"/>
    <mergeCell ref="AK7:AK8"/>
    <mergeCell ref="AL7:AL8"/>
    <mergeCell ref="AM7:AM14"/>
    <mergeCell ref="U7:U14"/>
    <mergeCell ref="V7:V8"/>
    <mergeCell ref="W7:W8"/>
    <mergeCell ref="X7:X14"/>
    <mergeCell ref="Y7:AD7"/>
    <mergeCell ref="AE7:AJ7"/>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0"/>
  <sheetViews>
    <sheetView topLeftCell="U1" zoomScale="70" zoomScaleNormal="70" workbookViewId="0">
      <selection activeCell="X18" sqref="X18"/>
    </sheetView>
  </sheetViews>
  <sheetFormatPr baseColWidth="10" defaultRowHeight="27" customHeight="1" x14ac:dyDescent="0.2"/>
  <cols>
    <col min="1" max="1" width="13.140625" style="265" customWidth="1"/>
    <col min="2" max="2" width="4" style="148" customWidth="1"/>
    <col min="3" max="3" width="12.85546875" style="148" customWidth="1"/>
    <col min="4" max="4" width="14.7109375" style="148" customWidth="1"/>
    <col min="5" max="5" width="10" style="148" customWidth="1"/>
    <col min="6" max="6" width="6.28515625" style="148" customWidth="1"/>
    <col min="7" max="7" width="14.42578125" style="148" customWidth="1"/>
    <col min="8" max="8" width="8.5703125" style="148" customWidth="1"/>
    <col min="9" max="9" width="19.42578125" style="148" customWidth="1"/>
    <col min="10" max="10" width="11.5703125" style="148" customWidth="1"/>
    <col min="11" max="11" width="56.42578125" style="266" bestFit="1" customWidth="1"/>
    <col min="12" max="12" width="22.7109375" style="1549" customWidth="1"/>
    <col min="13" max="13" width="14.140625" style="118" customWidth="1"/>
    <col min="14" max="14" width="30.28515625" style="1549" customWidth="1"/>
    <col min="15" max="15" width="10.42578125" style="267" customWidth="1"/>
    <col min="16" max="16" width="23.85546875" style="266" customWidth="1"/>
    <col min="17" max="17" width="16.5703125" style="940" customWidth="1"/>
    <col min="18" max="18" width="22.42578125" style="1550" customWidth="1"/>
    <col min="19" max="19" width="34.5703125" style="266" customWidth="1"/>
    <col min="20" max="20" width="44.140625" style="266" customWidth="1"/>
    <col min="21" max="21" width="30.5703125" style="266" customWidth="1"/>
    <col min="22" max="22" width="29.5703125" style="1550" customWidth="1"/>
    <col min="23" max="23" width="11.7109375" style="271" customWidth="1"/>
    <col min="24" max="24" width="25.7109375" style="266" customWidth="1"/>
    <col min="25" max="25" width="8.85546875" style="148" customWidth="1"/>
    <col min="26" max="27" width="9" style="148" customWidth="1"/>
    <col min="28" max="28" width="7.28515625" style="148" customWidth="1"/>
    <col min="29" max="29" width="8.42578125" style="148" customWidth="1"/>
    <col min="30" max="30" width="7.28515625" style="148" customWidth="1"/>
    <col min="31" max="31" width="8.42578125" style="148" customWidth="1"/>
    <col min="32" max="36" width="7.28515625" style="148" customWidth="1"/>
    <col min="37" max="37" width="14.140625" style="273" customWidth="1"/>
    <col min="38" max="38" width="17.140625" style="274" customWidth="1"/>
    <col min="39" max="39" width="28.7109375" style="275" customWidth="1"/>
    <col min="40" max="233" width="11.42578125" style="13"/>
    <col min="234" max="234" width="13.140625" style="13" customWidth="1"/>
    <col min="235" max="235" width="4" style="13" customWidth="1"/>
    <col min="236" max="236" width="12.85546875" style="13" customWidth="1"/>
    <col min="237" max="237" width="14.7109375" style="13" customWidth="1"/>
    <col min="238" max="238" width="10" style="13" customWidth="1"/>
    <col min="239" max="239" width="6.28515625" style="13" customWidth="1"/>
    <col min="240" max="240" width="14.42578125" style="13" customWidth="1"/>
    <col min="241" max="241" width="8.5703125" style="13" customWidth="1"/>
    <col min="242" max="242" width="19.42578125" style="13" customWidth="1"/>
    <col min="243" max="243" width="11.5703125" style="13" customWidth="1"/>
    <col min="244" max="244" width="56.42578125" style="13" bestFit="1" customWidth="1"/>
    <col min="245" max="245" width="22.7109375" style="13" customWidth="1"/>
    <col min="246" max="246" width="14.140625" style="13" customWidth="1"/>
    <col min="247" max="247" width="12.28515625" style="13" customWidth="1"/>
    <col min="248" max="248" width="30.28515625" style="13" customWidth="1"/>
    <col min="249" max="249" width="10.42578125" style="13" customWidth="1"/>
    <col min="250" max="250" width="23.85546875" style="13" customWidth="1"/>
    <col min="251" max="251" width="16.5703125" style="13" customWidth="1"/>
    <col min="252" max="252" width="22.42578125" style="13" customWidth="1"/>
    <col min="253" max="253" width="34.5703125" style="13" customWidth="1"/>
    <col min="254" max="254" width="44.140625" style="13" customWidth="1"/>
    <col min="255" max="255" width="30.5703125" style="13" customWidth="1"/>
    <col min="256" max="258" width="29.5703125" style="13" customWidth="1"/>
    <col min="259" max="259" width="11.7109375" style="13" customWidth="1"/>
    <col min="260" max="260" width="25.7109375" style="13" customWidth="1"/>
    <col min="261" max="262" width="8.85546875" style="13" customWidth="1"/>
    <col min="263" max="265" width="9" style="13" customWidth="1"/>
    <col min="266" max="268" width="7.28515625" style="13" customWidth="1"/>
    <col min="269" max="270" width="8.42578125" style="13" customWidth="1"/>
    <col min="271" max="272" width="7.28515625" style="13" customWidth="1"/>
    <col min="273" max="274" width="8.42578125" style="13" customWidth="1"/>
    <col min="275" max="284" width="7.28515625" style="13" customWidth="1"/>
    <col min="285" max="285" width="22.5703125" style="13" bestFit="1" customWidth="1"/>
    <col min="286" max="286" width="25.5703125" style="13" customWidth="1"/>
    <col min="287" max="287" width="19.7109375" style="13" customWidth="1"/>
    <col min="288" max="288" width="19.42578125" style="13" bestFit="1" customWidth="1"/>
    <col min="289" max="289" width="20.42578125" style="13" customWidth="1"/>
    <col min="290" max="290" width="24.7109375" style="13" customWidth="1"/>
    <col min="291" max="291" width="14.140625" style="13" customWidth="1"/>
    <col min="292" max="292" width="13" style="13" customWidth="1"/>
    <col min="293" max="293" width="17.140625" style="13" customWidth="1"/>
    <col min="294" max="294" width="16.5703125" style="13" customWidth="1"/>
    <col min="295" max="295" width="28.7109375" style="13" customWidth="1"/>
    <col min="296" max="489" width="11.42578125" style="13"/>
    <col min="490" max="490" width="13.140625" style="13" customWidth="1"/>
    <col min="491" max="491" width="4" style="13" customWidth="1"/>
    <col min="492" max="492" width="12.85546875" style="13" customWidth="1"/>
    <col min="493" max="493" width="14.7109375" style="13" customWidth="1"/>
    <col min="494" max="494" width="10" style="13" customWidth="1"/>
    <col min="495" max="495" width="6.28515625" style="13" customWidth="1"/>
    <col min="496" max="496" width="14.42578125" style="13" customWidth="1"/>
    <col min="497" max="497" width="8.5703125" style="13" customWidth="1"/>
    <col min="498" max="498" width="19.42578125" style="13" customWidth="1"/>
    <col min="499" max="499" width="11.5703125" style="13" customWidth="1"/>
    <col min="500" max="500" width="56.42578125" style="13" bestFit="1" customWidth="1"/>
    <col min="501" max="501" width="22.7109375" style="13" customWidth="1"/>
    <col min="502" max="502" width="14.140625" style="13" customWidth="1"/>
    <col min="503" max="503" width="12.28515625" style="13" customWidth="1"/>
    <col min="504" max="504" width="30.28515625" style="13" customWidth="1"/>
    <col min="505" max="505" width="10.42578125" style="13" customWidth="1"/>
    <col min="506" max="506" width="23.85546875" style="13" customWidth="1"/>
    <col min="507" max="507" width="16.5703125" style="13" customWidth="1"/>
    <col min="508" max="508" width="22.42578125" style="13" customWidth="1"/>
    <col min="509" max="509" width="34.5703125" style="13" customWidth="1"/>
    <col min="510" max="510" width="44.140625" style="13" customWidth="1"/>
    <col min="511" max="511" width="30.5703125" style="13" customWidth="1"/>
    <col min="512" max="514" width="29.5703125" style="13" customWidth="1"/>
    <col min="515" max="515" width="11.7109375" style="13" customWidth="1"/>
    <col min="516" max="516" width="25.7109375" style="13" customWidth="1"/>
    <col min="517" max="518" width="8.85546875" style="13" customWidth="1"/>
    <col min="519" max="521" width="9" style="13" customWidth="1"/>
    <col min="522" max="524" width="7.28515625" style="13" customWidth="1"/>
    <col min="525" max="526" width="8.42578125" style="13" customWidth="1"/>
    <col min="527" max="528" width="7.28515625" style="13" customWidth="1"/>
    <col min="529" max="530" width="8.42578125" style="13" customWidth="1"/>
    <col min="531" max="540" width="7.28515625" style="13" customWidth="1"/>
    <col min="541" max="541" width="22.5703125" style="13" bestFit="1" customWidth="1"/>
    <col min="542" max="542" width="25.5703125" style="13" customWidth="1"/>
    <col min="543" max="543" width="19.7109375" style="13" customWidth="1"/>
    <col min="544" max="544" width="19.42578125" style="13" bestFit="1" customWidth="1"/>
    <col min="545" max="545" width="20.42578125" style="13" customWidth="1"/>
    <col min="546" max="546" width="24.7109375" style="13" customWidth="1"/>
    <col min="547" max="547" width="14.140625" style="13" customWidth="1"/>
    <col min="548" max="548" width="13" style="13" customWidth="1"/>
    <col min="549" max="549" width="17.140625" style="13" customWidth="1"/>
    <col min="550" max="550" width="16.5703125" style="13" customWidth="1"/>
    <col min="551" max="551" width="28.7109375" style="13" customWidth="1"/>
    <col min="552" max="745" width="11.42578125" style="13"/>
    <col min="746" max="746" width="13.140625" style="13" customWidth="1"/>
    <col min="747" max="747" width="4" style="13" customWidth="1"/>
    <col min="748" max="748" width="12.85546875" style="13" customWidth="1"/>
    <col min="749" max="749" width="14.7109375" style="13" customWidth="1"/>
    <col min="750" max="750" width="10" style="13" customWidth="1"/>
    <col min="751" max="751" width="6.28515625" style="13" customWidth="1"/>
    <col min="752" max="752" width="14.42578125" style="13" customWidth="1"/>
    <col min="753" max="753" width="8.5703125" style="13" customWidth="1"/>
    <col min="754" max="754" width="19.42578125" style="13" customWidth="1"/>
    <col min="755" max="755" width="11.5703125" style="13" customWidth="1"/>
    <col min="756" max="756" width="56.42578125" style="13" bestFit="1" customWidth="1"/>
    <col min="757" max="757" width="22.7109375" style="13" customWidth="1"/>
    <col min="758" max="758" width="14.140625" style="13" customWidth="1"/>
    <col min="759" max="759" width="12.28515625" style="13" customWidth="1"/>
    <col min="760" max="760" width="30.28515625" style="13" customWidth="1"/>
    <col min="761" max="761" width="10.42578125" style="13" customWidth="1"/>
    <col min="762" max="762" width="23.85546875" style="13" customWidth="1"/>
    <col min="763" max="763" width="16.5703125" style="13" customWidth="1"/>
    <col min="764" max="764" width="22.42578125" style="13" customWidth="1"/>
    <col min="765" max="765" width="34.5703125" style="13" customWidth="1"/>
    <col min="766" max="766" width="44.140625" style="13" customWidth="1"/>
    <col min="767" max="767" width="30.5703125" style="13" customWidth="1"/>
    <col min="768" max="770" width="29.5703125" style="13" customWidth="1"/>
    <col min="771" max="771" width="11.7109375" style="13" customWidth="1"/>
    <col min="772" max="772" width="25.7109375" style="13" customWidth="1"/>
    <col min="773" max="774" width="8.85546875" style="13" customWidth="1"/>
    <col min="775" max="777" width="9" style="13" customWidth="1"/>
    <col min="778" max="780" width="7.28515625" style="13" customWidth="1"/>
    <col min="781" max="782" width="8.42578125" style="13" customWidth="1"/>
    <col min="783" max="784" width="7.28515625" style="13" customWidth="1"/>
    <col min="785" max="786" width="8.42578125" style="13" customWidth="1"/>
    <col min="787" max="796" width="7.28515625" style="13" customWidth="1"/>
    <col min="797" max="797" width="22.5703125" style="13" bestFit="1" customWidth="1"/>
    <col min="798" max="798" width="25.5703125" style="13" customWidth="1"/>
    <col min="799" max="799" width="19.7109375" style="13" customWidth="1"/>
    <col min="800" max="800" width="19.42578125" style="13" bestFit="1" customWidth="1"/>
    <col min="801" max="801" width="20.42578125" style="13" customWidth="1"/>
    <col min="802" max="802" width="24.7109375" style="13" customWidth="1"/>
    <col min="803" max="803" width="14.140625" style="13" customWidth="1"/>
    <col min="804" max="804" width="13" style="13" customWidth="1"/>
    <col min="805" max="805" width="17.140625" style="13" customWidth="1"/>
    <col min="806" max="806" width="16.5703125" style="13" customWidth="1"/>
    <col min="807" max="807" width="28.7109375" style="13" customWidth="1"/>
    <col min="808" max="1001" width="11.42578125" style="13"/>
    <col min="1002" max="1002" width="13.140625" style="13" customWidth="1"/>
    <col min="1003" max="1003" width="4" style="13" customWidth="1"/>
    <col min="1004" max="1004" width="12.85546875" style="13" customWidth="1"/>
    <col min="1005" max="1005" width="14.7109375" style="13" customWidth="1"/>
    <col min="1006" max="1006" width="10" style="13" customWidth="1"/>
    <col min="1007" max="1007" width="6.28515625" style="13" customWidth="1"/>
    <col min="1008" max="1008" width="14.42578125" style="13" customWidth="1"/>
    <col min="1009" max="1009" width="8.5703125" style="13" customWidth="1"/>
    <col min="1010" max="1010" width="19.42578125" style="13" customWidth="1"/>
    <col min="1011" max="1011" width="11.5703125" style="13" customWidth="1"/>
    <col min="1012" max="1012" width="56.42578125" style="13" bestFit="1" customWidth="1"/>
    <col min="1013" max="1013" width="22.7109375" style="13" customWidth="1"/>
    <col min="1014" max="1014" width="14.140625" style="13" customWidth="1"/>
    <col min="1015" max="1015" width="12.28515625" style="13" customWidth="1"/>
    <col min="1016" max="1016" width="30.28515625" style="13" customWidth="1"/>
    <col min="1017" max="1017" width="10.42578125" style="13" customWidth="1"/>
    <col min="1018" max="1018" width="23.85546875" style="13" customWidth="1"/>
    <col min="1019" max="1019" width="16.5703125" style="13" customWidth="1"/>
    <col min="1020" max="1020" width="22.42578125" style="13" customWidth="1"/>
    <col min="1021" max="1021" width="34.5703125" style="13" customWidth="1"/>
    <col min="1022" max="1022" width="44.140625" style="13" customWidth="1"/>
    <col min="1023" max="1023" width="30.5703125" style="13" customWidth="1"/>
    <col min="1024" max="1026" width="29.5703125" style="13" customWidth="1"/>
    <col min="1027" max="1027" width="11.7109375" style="13" customWidth="1"/>
    <col min="1028" max="1028" width="25.7109375" style="13" customWidth="1"/>
    <col min="1029" max="1030" width="8.85546875" style="13" customWidth="1"/>
    <col min="1031" max="1033" width="9" style="13" customWidth="1"/>
    <col min="1034" max="1036" width="7.28515625" style="13" customWidth="1"/>
    <col min="1037" max="1038" width="8.42578125" style="13" customWidth="1"/>
    <col min="1039" max="1040" width="7.28515625" style="13" customWidth="1"/>
    <col min="1041" max="1042" width="8.42578125" style="13" customWidth="1"/>
    <col min="1043" max="1052" width="7.28515625" style="13" customWidth="1"/>
    <col min="1053" max="1053" width="22.5703125" style="13" bestFit="1" customWidth="1"/>
    <col min="1054" max="1054" width="25.5703125" style="13" customWidth="1"/>
    <col min="1055" max="1055" width="19.7109375" style="13" customWidth="1"/>
    <col min="1056" max="1056" width="19.42578125" style="13" bestFit="1" customWidth="1"/>
    <col min="1057" max="1057" width="20.42578125" style="13" customWidth="1"/>
    <col min="1058" max="1058" width="24.7109375" style="13" customWidth="1"/>
    <col min="1059" max="1059" width="14.140625" style="13" customWidth="1"/>
    <col min="1060" max="1060" width="13" style="13" customWidth="1"/>
    <col min="1061" max="1061" width="17.140625" style="13" customWidth="1"/>
    <col min="1062" max="1062" width="16.5703125" style="13" customWidth="1"/>
    <col min="1063" max="1063" width="28.7109375" style="13" customWidth="1"/>
    <col min="1064" max="1257" width="11.42578125" style="13"/>
    <col min="1258" max="1258" width="13.140625" style="13" customWidth="1"/>
    <col min="1259" max="1259" width="4" style="13" customWidth="1"/>
    <col min="1260" max="1260" width="12.85546875" style="13" customWidth="1"/>
    <col min="1261" max="1261" width="14.7109375" style="13" customWidth="1"/>
    <col min="1262" max="1262" width="10" style="13" customWidth="1"/>
    <col min="1263" max="1263" width="6.28515625" style="13" customWidth="1"/>
    <col min="1264" max="1264" width="14.42578125" style="13" customWidth="1"/>
    <col min="1265" max="1265" width="8.5703125" style="13" customWidth="1"/>
    <col min="1266" max="1266" width="19.42578125" style="13" customWidth="1"/>
    <col min="1267" max="1267" width="11.5703125" style="13" customWidth="1"/>
    <col min="1268" max="1268" width="56.42578125" style="13" bestFit="1" customWidth="1"/>
    <col min="1269" max="1269" width="22.7109375" style="13" customWidth="1"/>
    <col min="1270" max="1270" width="14.140625" style="13" customWidth="1"/>
    <col min="1271" max="1271" width="12.28515625" style="13" customWidth="1"/>
    <col min="1272" max="1272" width="30.28515625" style="13" customWidth="1"/>
    <col min="1273" max="1273" width="10.42578125" style="13" customWidth="1"/>
    <col min="1274" max="1274" width="23.85546875" style="13" customWidth="1"/>
    <col min="1275" max="1275" width="16.5703125" style="13" customWidth="1"/>
    <col min="1276" max="1276" width="22.42578125" style="13" customWidth="1"/>
    <col min="1277" max="1277" width="34.5703125" style="13" customWidth="1"/>
    <col min="1278" max="1278" width="44.140625" style="13" customWidth="1"/>
    <col min="1279" max="1279" width="30.5703125" style="13" customWidth="1"/>
    <col min="1280" max="1282" width="29.5703125" style="13" customWidth="1"/>
    <col min="1283" max="1283" width="11.7109375" style="13" customWidth="1"/>
    <col min="1284" max="1284" width="25.7109375" style="13" customWidth="1"/>
    <col min="1285" max="1286" width="8.85546875" style="13" customWidth="1"/>
    <col min="1287" max="1289" width="9" style="13" customWidth="1"/>
    <col min="1290" max="1292" width="7.28515625" style="13" customWidth="1"/>
    <col min="1293" max="1294" width="8.42578125" style="13" customWidth="1"/>
    <col min="1295" max="1296" width="7.28515625" style="13" customWidth="1"/>
    <col min="1297" max="1298" width="8.42578125" style="13" customWidth="1"/>
    <col min="1299" max="1308" width="7.28515625" style="13" customWidth="1"/>
    <col min="1309" max="1309" width="22.5703125" style="13" bestFit="1" customWidth="1"/>
    <col min="1310" max="1310" width="25.5703125" style="13" customWidth="1"/>
    <col min="1311" max="1311" width="19.7109375" style="13" customWidth="1"/>
    <col min="1312" max="1312" width="19.42578125" style="13" bestFit="1" customWidth="1"/>
    <col min="1313" max="1313" width="20.42578125" style="13" customWidth="1"/>
    <col min="1314" max="1314" width="24.7109375" style="13" customWidth="1"/>
    <col min="1315" max="1315" width="14.140625" style="13" customWidth="1"/>
    <col min="1316" max="1316" width="13" style="13" customWidth="1"/>
    <col min="1317" max="1317" width="17.140625" style="13" customWidth="1"/>
    <col min="1318" max="1318" width="16.5703125" style="13" customWidth="1"/>
    <col min="1319" max="1319" width="28.7109375" style="13" customWidth="1"/>
    <col min="1320" max="1513" width="11.42578125" style="13"/>
    <col min="1514" max="1514" width="13.140625" style="13" customWidth="1"/>
    <col min="1515" max="1515" width="4" style="13" customWidth="1"/>
    <col min="1516" max="1516" width="12.85546875" style="13" customWidth="1"/>
    <col min="1517" max="1517" width="14.7109375" style="13" customWidth="1"/>
    <col min="1518" max="1518" width="10" style="13" customWidth="1"/>
    <col min="1519" max="1519" width="6.28515625" style="13" customWidth="1"/>
    <col min="1520" max="1520" width="14.42578125" style="13" customWidth="1"/>
    <col min="1521" max="1521" width="8.5703125" style="13" customWidth="1"/>
    <col min="1522" max="1522" width="19.42578125" style="13" customWidth="1"/>
    <col min="1523" max="1523" width="11.5703125" style="13" customWidth="1"/>
    <col min="1524" max="1524" width="56.42578125" style="13" bestFit="1" customWidth="1"/>
    <col min="1525" max="1525" width="22.7109375" style="13" customWidth="1"/>
    <col min="1526" max="1526" width="14.140625" style="13" customWidth="1"/>
    <col min="1527" max="1527" width="12.28515625" style="13" customWidth="1"/>
    <col min="1528" max="1528" width="30.28515625" style="13" customWidth="1"/>
    <col min="1529" max="1529" width="10.42578125" style="13" customWidth="1"/>
    <col min="1530" max="1530" width="23.85546875" style="13" customWidth="1"/>
    <col min="1531" max="1531" width="16.5703125" style="13" customWidth="1"/>
    <col min="1532" max="1532" width="22.42578125" style="13" customWidth="1"/>
    <col min="1533" max="1533" width="34.5703125" style="13" customWidth="1"/>
    <col min="1534" max="1534" width="44.140625" style="13" customWidth="1"/>
    <col min="1535" max="1535" width="30.5703125" style="13" customWidth="1"/>
    <col min="1536" max="1538" width="29.5703125" style="13" customWidth="1"/>
    <col min="1539" max="1539" width="11.7109375" style="13" customWidth="1"/>
    <col min="1540" max="1540" width="25.7109375" style="13" customWidth="1"/>
    <col min="1541" max="1542" width="8.85546875" style="13" customWidth="1"/>
    <col min="1543" max="1545" width="9" style="13" customWidth="1"/>
    <col min="1546" max="1548" width="7.28515625" style="13" customWidth="1"/>
    <col min="1549" max="1550" width="8.42578125" style="13" customWidth="1"/>
    <col min="1551" max="1552" width="7.28515625" style="13" customWidth="1"/>
    <col min="1553" max="1554" width="8.42578125" style="13" customWidth="1"/>
    <col min="1555" max="1564" width="7.28515625" style="13" customWidth="1"/>
    <col min="1565" max="1565" width="22.5703125" style="13" bestFit="1" customWidth="1"/>
    <col min="1566" max="1566" width="25.5703125" style="13" customWidth="1"/>
    <col min="1567" max="1567" width="19.7109375" style="13" customWidth="1"/>
    <col min="1568" max="1568" width="19.42578125" style="13" bestFit="1" customWidth="1"/>
    <col min="1569" max="1569" width="20.42578125" style="13" customWidth="1"/>
    <col min="1570" max="1570" width="24.7109375" style="13" customWidth="1"/>
    <col min="1571" max="1571" width="14.140625" style="13" customWidth="1"/>
    <col min="1572" max="1572" width="13" style="13" customWidth="1"/>
    <col min="1573" max="1573" width="17.140625" style="13" customWidth="1"/>
    <col min="1574" max="1574" width="16.5703125" style="13" customWidth="1"/>
    <col min="1575" max="1575" width="28.7109375" style="13" customWidth="1"/>
    <col min="1576" max="1769" width="11.42578125" style="13"/>
    <col min="1770" max="1770" width="13.140625" style="13" customWidth="1"/>
    <col min="1771" max="1771" width="4" style="13" customWidth="1"/>
    <col min="1772" max="1772" width="12.85546875" style="13" customWidth="1"/>
    <col min="1773" max="1773" width="14.7109375" style="13" customWidth="1"/>
    <col min="1774" max="1774" width="10" style="13" customWidth="1"/>
    <col min="1775" max="1775" width="6.28515625" style="13" customWidth="1"/>
    <col min="1776" max="1776" width="14.42578125" style="13" customWidth="1"/>
    <col min="1777" max="1777" width="8.5703125" style="13" customWidth="1"/>
    <col min="1778" max="1778" width="19.42578125" style="13" customWidth="1"/>
    <col min="1779" max="1779" width="11.5703125" style="13" customWidth="1"/>
    <col min="1780" max="1780" width="56.42578125" style="13" bestFit="1" customWidth="1"/>
    <col min="1781" max="1781" width="22.7109375" style="13" customWidth="1"/>
    <col min="1782" max="1782" width="14.140625" style="13" customWidth="1"/>
    <col min="1783" max="1783" width="12.28515625" style="13" customWidth="1"/>
    <col min="1784" max="1784" width="30.28515625" style="13" customWidth="1"/>
    <col min="1785" max="1785" width="10.42578125" style="13" customWidth="1"/>
    <col min="1786" max="1786" width="23.85546875" style="13" customWidth="1"/>
    <col min="1787" max="1787" width="16.5703125" style="13" customWidth="1"/>
    <col min="1788" max="1788" width="22.42578125" style="13" customWidth="1"/>
    <col min="1789" max="1789" width="34.5703125" style="13" customWidth="1"/>
    <col min="1790" max="1790" width="44.140625" style="13" customWidth="1"/>
    <col min="1791" max="1791" width="30.5703125" style="13" customWidth="1"/>
    <col min="1792" max="1794" width="29.5703125" style="13" customWidth="1"/>
    <col min="1795" max="1795" width="11.7109375" style="13" customWidth="1"/>
    <col min="1796" max="1796" width="25.7109375" style="13" customWidth="1"/>
    <col min="1797" max="1798" width="8.85546875" style="13" customWidth="1"/>
    <col min="1799" max="1801" width="9" style="13" customWidth="1"/>
    <col min="1802" max="1804" width="7.28515625" style="13" customWidth="1"/>
    <col min="1805" max="1806" width="8.42578125" style="13" customWidth="1"/>
    <col min="1807" max="1808" width="7.28515625" style="13" customWidth="1"/>
    <col min="1809" max="1810" width="8.42578125" style="13" customWidth="1"/>
    <col min="1811" max="1820" width="7.28515625" style="13" customWidth="1"/>
    <col min="1821" max="1821" width="22.5703125" style="13" bestFit="1" customWidth="1"/>
    <col min="1822" max="1822" width="25.5703125" style="13" customWidth="1"/>
    <col min="1823" max="1823" width="19.7109375" style="13" customWidth="1"/>
    <col min="1824" max="1824" width="19.42578125" style="13" bestFit="1" customWidth="1"/>
    <col min="1825" max="1825" width="20.42578125" style="13" customWidth="1"/>
    <col min="1826" max="1826" width="24.7109375" style="13" customWidth="1"/>
    <col min="1827" max="1827" width="14.140625" style="13" customWidth="1"/>
    <col min="1828" max="1828" width="13" style="13" customWidth="1"/>
    <col min="1829" max="1829" width="17.140625" style="13" customWidth="1"/>
    <col min="1830" max="1830" width="16.5703125" style="13" customWidth="1"/>
    <col min="1831" max="1831" width="28.7109375" style="13" customWidth="1"/>
    <col min="1832" max="2025" width="11.42578125" style="13"/>
    <col min="2026" max="2026" width="13.140625" style="13" customWidth="1"/>
    <col min="2027" max="2027" width="4" style="13" customWidth="1"/>
    <col min="2028" max="2028" width="12.85546875" style="13" customWidth="1"/>
    <col min="2029" max="2029" width="14.7109375" style="13" customWidth="1"/>
    <col min="2030" max="2030" width="10" style="13" customWidth="1"/>
    <col min="2031" max="2031" width="6.28515625" style="13" customWidth="1"/>
    <col min="2032" max="2032" width="14.42578125" style="13" customWidth="1"/>
    <col min="2033" max="2033" width="8.5703125" style="13" customWidth="1"/>
    <col min="2034" max="2034" width="19.42578125" style="13" customWidth="1"/>
    <col min="2035" max="2035" width="11.5703125" style="13" customWidth="1"/>
    <col min="2036" max="2036" width="56.42578125" style="13" bestFit="1" customWidth="1"/>
    <col min="2037" max="2037" width="22.7109375" style="13" customWidth="1"/>
    <col min="2038" max="2038" width="14.140625" style="13" customWidth="1"/>
    <col min="2039" max="2039" width="12.28515625" style="13" customWidth="1"/>
    <col min="2040" max="2040" width="30.28515625" style="13" customWidth="1"/>
    <col min="2041" max="2041" width="10.42578125" style="13" customWidth="1"/>
    <col min="2042" max="2042" width="23.85546875" style="13" customWidth="1"/>
    <col min="2043" max="2043" width="16.5703125" style="13" customWidth="1"/>
    <col min="2044" max="2044" width="22.42578125" style="13" customWidth="1"/>
    <col min="2045" max="2045" width="34.5703125" style="13" customWidth="1"/>
    <col min="2046" max="2046" width="44.140625" style="13" customWidth="1"/>
    <col min="2047" max="2047" width="30.5703125" style="13" customWidth="1"/>
    <col min="2048" max="2050" width="29.5703125" style="13" customWidth="1"/>
    <col min="2051" max="2051" width="11.7109375" style="13" customWidth="1"/>
    <col min="2052" max="2052" width="25.7109375" style="13" customWidth="1"/>
    <col min="2053" max="2054" width="8.85546875" style="13" customWidth="1"/>
    <col min="2055" max="2057" width="9" style="13" customWidth="1"/>
    <col min="2058" max="2060" width="7.28515625" style="13" customWidth="1"/>
    <col min="2061" max="2062" width="8.42578125" style="13" customWidth="1"/>
    <col min="2063" max="2064" width="7.28515625" style="13" customWidth="1"/>
    <col min="2065" max="2066" width="8.42578125" style="13" customWidth="1"/>
    <col min="2067" max="2076" width="7.28515625" style="13" customWidth="1"/>
    <col min="2077" max="2077" width="22.5703125" style="13" bestFit="1" customWidth="1"/>
    <col min="2078" max="2078" width="25.5703125" style="13" customWidth="1"/>
    <col min="2079" max="2079" width="19.7109375" style="13" customWidth="1"/>
    <col min="2080" max="2080" width="19.42578125" style="13" bestFit="1" customWidth="1"/>
    <col min="2081" max="2081" width="20.42578125" style="13" customWidth="1"/>
    <col min="2082" max="2082" width="24.7109375" style="13" customWidth="1"/>
    <col min="2083" max="2083" width="14.140625" style="13" customWidth="1"/>
    <col min="2084" max="2084" width="13" style="13" customWidth="1"/>
    <col min="2085" max="2085" width="17.140625" style="13" customWidth="1"/>
    <col min="2086" max="2086" width="16.5703125" style="13" customWidth="1"/>
    <col min="2087" max="2087" width="28.7109375" style="13" customWidth="1"/>
    <col min="2088" max="2281" width="11.42578125" style="13"/>
    <col min="2282" max="2282" width="13.140625" style="13" customWidth="1"/>
    <col min="2283" max="2283" width="4" style="13" customWidth="1"/>
    <col min="2284" max="2284" width="12.85546875" style="13" customWidth="1"/>
    <col min="2285" max="2285" width="14.7109375" style="13" customWidth="1"/>
    <col min="2286" max="2286" width="10" style="13" customWidth="1"/>
    <col min="2287" max="2287" width="6.28515625" style="13" customWidth="1"/>
    <col min="2288" max="2288" width="14.42578125" style="13" customWidth="1"/>
    <col min="2289" max="2289" width="8.5703125" style="13" customWidth="1"/>
    <col min="2290" max="2290" width="19.42578125" style="13" customWidth="1"/>
    <col min="2291" max="2291" width="11.5703125" style="13" customWidth="1"/>
    <col min="2292" max="2292" width="56.42578125" style="13" bestFit="1" customWidth="1"/>
    <col min="2293" max="2293" width="22.7109375" style="13" customWidth="1"/>
    <col min="2294" max="2294" width="14.140625" style="13" customWidth="1"/>
    <col min="2295" max="2295" width="12.28515625" style="13" customWidth="1"/>
    <col min="2296" max="2296" width="30.28515625" style="13" customWidth="1"/>
    <col min="2297" max="2297" width="10.42578125" style="13" customWidth="1"/>
    <col min="2298" max="2298" width="23.85546875" style="13" customWidth="1"/>
    <col min="2299" max="2299" width="16.5703125" style="13" customWidth="1"/>
    <col min="2300" max="2300" width="22.42578125" style="13" customWidth="1"/>
    <col min="2301" max="2301" width="34.5703125" style="13" customWidth="1"/>
    <col min="2302" max="2302" width="44.140625" style="13" customWidth="1"/>
    <col min="2303" max="2303" width="30.5703125" style="13" customWidth="1"/>
    <col min="2304" max="2306" width="29.5703125" style="13" customWidth="1"/>
    <col min="2307" max="2307" width="11.7109375" style="13" customWidth="1"/>
    <col min="2308" max="2308" width="25.7109375" style="13" customWidth="1"/>
    <col min="2309" max="2310" width="8.85546875" style="13" customWidth="1"/>
    <col min="2311" max="2313" width="9" style="13" customWidth="1"/>
    <col min="2314" max="2316" width="7.28515625" style="13" customWidth="1"/>
    <col min="2317" max="2318" width="8.42578125" style="13" customWidth="1"/>
    <col min="2319" max="2320" width="7.28515625" style="13" customWidth="1"/>
    <col min="2321" max="2322" width="8.42578125" style="13" customWidth="1"/>
    <col min="2323" max="2332" width="7.28515625" style="13" customWidth="1"/>
    <col min="2333" max="2333" width="22.5703125" style="13" bestFit="1" customWidth="1"/>
    <col min="2334" max="2334" width="25.5703125" style="13" customWidth="1"/>
    <col min="2335" max="2335" width="19.7109375" style="13" customWidth="1"/>
    <col min="2336" max="2336" width="19.42578125" style="13" bestFit="1" customWidth="1"/>
    <col min="2337" max="2337" width="20.42578125" style="13" customWidth="1"/>
    <col min="2338" max="2338" width="24.7109375" style="13" customWidth="1"/>
    <col min="2339" max="2339" width="14.140625" style="13" customWidth="1"/>
    <col min="2340" max="2340" width="13" style="13" customWidth="1"/>
    <col min="2341" max="2341" width="17.140625" style="13" customWidth="1"/>
    <col min="2342" max="2342" width="16.5703125" style="13" customWidth="1"/>
    <col min="2343" max="2343" width="28.7109375" style="13" customWidth="1"/>
    <col min="2344" max="2537" width="11.42578125" style="13"/>
    <col min="2538" max="2538" width="13.140625" style="13" customWidth="1"/>
    <col min="2539" max="2539" width="4" style="13" customWidth="1"/>
    <col min="2540" max="2540" width="12.85546875" style="13" customWidth="1"/>
    <col min="2541" max="2541" width="14.7109375" style="13" customWidth="1"/>
    <col min="2542" max="2542" width="10" style="13" customWidth="1"/>
    <col min="2543" max="2543" width="6.28515625" style="13" customWidth="1"/>
    <col min="2544" max="2544" width="14.42578125" style="13" customWidth="1"/>
    <col min="2545" max="2545" width="8.5703125" style="13" customWidth="1"/>
    <col min="2546" max="2546" width="19.42578125" style="13" customWidth="1"/>
    <col min="2547" max="2547" width="11.5703125" style="13" customWidth="1"/>
    <col min="2548" max="2548" width="56.42578125" style="13" bestFit="1" customWidth="1"/>
    <col min="2549" max="2549" width="22.7109375" style="13" customWidth="1"/>
    <col min="2550" max="2550" width="14.140625" style="13" customWidth="1"/>
    <col min="2551" max="2551" width="12.28515625" style="13" customWidth="1"/>
    <col min="2552" max="2552" width="30.28515625" style="13" customWidth="1"/>
    <col min="2553" max="2553" width="10.42578125" style="13" customWidth="1"/>
    <col min="2554" max="2554" width="23.85546875" style="13" customWidth="1"/>
    <col min="2555" max="2555" width="16.5703125" style="13" customWidth="1"/>
    <col min="2556" max="2556" width="22.42578125" style="13" customWidth="1"/>
    <col min="2557" max="2557" width="34.5703125" style="13" customWidth="1"/>
    <col min="2558" max="2558" width="44.140625" style="13" customWidth="1"/>
    <col min="2559" max="2559" width="30.5703125" style="13" customWidth="1"/>
    <col min="2560" max="2562" width="29.5703125" style="13" customWidth="1"/>
    <col min="2563" max="2563" width="11.7109375" style="13" customWidth="1"/>
    <col min="2564" max="2564" width="25.7109375" style="13" customWidth="1"/>
    <col min="2565" max="2566" width="8.85546875" style="13" customWidth="1"/>
    <col min="2567" max="2569" width="9" style="13" customWidth="1"/>
    <col min="2570" max="2572" width="7.28515625" style="13" customWidth="1"/>
    <col min="2573" max="2574" width="8.42578125" style="13" customWidth="1"/>
    <col min="2575" max="2576" width="7.28515625" style="13" customWidth="1"/>
    <col min="2577" max="2578" width="8.42578125" style="13" customWidth="1"/>
    <col min="2579" max="2588" width="7.28515625" style="13" customWidth="1"/>
    <col min="2589" max="2589" width="22.5703125" style="13" bestFit="1" customWidth="1"/>
    <col min="2590" max="2590" width="25.5703125" style="13" customWidth="1"/>
    <col min="2591" max="2591" width="19.7109375" style="13" customWidth="1"/>
    <col min="2592" max="2592" width="19.42578125" style="13" bestFit="1" customWidth="1"/>
    <col min="2593" max="2593" width="20.42578125" style="13" customWidth="1"/>
    <col min="2594" max="2594" width="24.7109375" style="13" customWidth="1"/>
    <col min="2595" max="2595" width="14.140625" style="13" customWidth="1"/>
    <col min="2596" max="2596" width="13" style="13" customWidth="1"/>
    <col min="2597" max="2597" width="17.140625" style="13" customWidth="1"/>
    <col min="2598" max="2598" width="16.5703125" style="13" customWidth="1"/>
    <col min="2599" max="2599" width="28.7109375" style="13" customWidth="1"/>
    <col min="2600" max="2793" width="11.42578125" style="13"/>
    <col min="2794" max="2794" width="13.140625" style="13" customWidth="1"/>
    <col min="2795" max="2795" width="4" style="13" customWidth="1"/>
    <col min="2796" max="2796" width="12.85546875" style="13" customWidth="1"/>
    <col min="2797" max="2797" width="14.7109375" style="13" customWidth="1"/>
    <col min="2798" max="2798" width="10" style="13" customWidth="1"/>
    <col min="2799" max="2799" width="6.28515625" style="13" customWidth="1"/>
    <col min="2800" max="2800" width="14.42578125" style="13" customWidth="1"/>
    <col min="2801" max="2801" width="8.5703125" style="13" customWidth="1"/>
    <col min="2802" max="2802" width="19.42578125" style="13" customWidth="1"/>
    <col min="2803" max="2803" width="11.5703125" style="13" customWidth="1"/>
    <col min="2804" max="2804" width="56.42578125" style="13" bestFit="1" customWidth="1"/>
    <col min="2805" max="2805" width="22.7109375" style="13" customWidth="1"/>
    <col min="2806" max="2806" width="14.140625" style="13" customWidth="1"/>
    <col min="2807" max="2807" width="12.28515625" style="13" customWidth="1"/>
    <col min="2808" max="2808" width="30.28515625" style="13" customWidth="1"/>
    <col min="2809" max="2809" width="10.42578125" style="13" customWidth="1"/>
    <col min="2810" max="2810" width="23.85546875" style="13" customWidth="1"/>
    <col min="2811" max="2811" width="16.5703125" style="13" customWidth="1"/>
    <col min="2812" max="2812" width="22.42578125" style="13" customWidth="1"/>
    <col min="2813" max="2813" width="34.5703125" style="13" customWidth="1"/>
    <col min="2814" max="2814" width="44.140625" style="13" customWidth="1"/>
    <col min="2815" max="2815" width="30.5703125" style="13" customWidth="1"/>
    <col min="2816" max="2818" width="29.5703125" style="13" customWidth="1"/>
    <col min="2819" max="2819" width="11.7109375" style="13" customWidth="1"/>
    <col min="2820" max="2820" width="25.7109375" style="13" customWidth="1"/>
    <col min="2821" max="2822" width="8.85546875" style="13" customWidth="1"/>
    <col min="2823" max="2825" width="9" style="13" customWidth="1"/>
    <col min="2826" max="2828" width="7.28515625" style="13" customWidth="1"/>
    <col min="2829" max="2830" width="8.42578125" style="13" customWidth="1"/>
    <col min="2831" max="2832" width="7.28515625" style="13" customWidth="1"/>
    <col min="2833" max="2834" width="8.42578125" style="13" customWidth="1"/>
    <col min="2835" max="2844" width="7.28515625" style="13" customWidth="1"/>
    <col min="2845" max="2845" width="22.5703125" style="13" bestFit="1" customWidth="1"/>
    <col min="2846" max="2846" width="25.5703125" style="13" customWidth="1"/>
    <col min="2847" max="2847" width="19.7109375" style="13" customWidth="1"/>
    <col min="2848" max="2848" width="19.42578125" style="13" bestFit="1" customWidth="1"/>
    <col min="2849" max="2849" width="20.42578125" style="13" customWidth="1"/>
    <col min="2850" max="2850" width="24.7109375" style="13" customWidth="1"/>
    <col min="2851" max="2851" width="14.140625" style="13" customWidth="1"/>
    <col min="2852" max="2852" width="13" style="13" customWidth="1"/>
    <col min="2853" max="2853" width="17.140625" style="13" customWidth="1"/>
    <col min="2854" max="2854" width="16.5703125" style="13" customWidth="1"/>
    <col min="2855" max="2855" width="28.7109375" style="13" customWidth="1"/>
    <col min="2856" max="3049" width="11.42578125" style="13"/>
    <col min="3050" max="3050" width="13.140625" style="13" customWidth="1"/>
    <col min="3051" max="3051" width="4" style="13" customWidth="1"/>
    <col min="3052" max="3052" width="12.85546875" style="13" customWidth="1"/>
    <col min="3053" max="3053" width="14.7109375" style="13" customWidth="1"/>
    <col min="3054" max="3054" width="10" style="13" customWidth="1"/>
    <col min="3055" max="3055" width="6.28515625" style="13" customWidth="1"/>
    <col min="3056" max="3056" width="14.42578125" style="13" customWidth="1"/>
    <col min="3057" max="3057" width="8.5703125" style="13" customWidth="1"/>
    <col min="3058" max="3058" width="19.42578125" style="13" customWidth="1"/>
    <col min="3059" max="3059" width="11.5703125" style="13" customWidth="1"/>
    <col min="3060" max="3060" width="56.42578125" style="13" bestFit="1" customWidth="1"/>
    <col min="3061" max="3061" width="22.7109375" style="13" customWidth="1"/>
    <col min="3062" max="3062" width="14.140625" style="13" customWidth="1"/>
    <col min="3063" max="3063" width="12.28515625" style="13" customWidth="1"/>
    <col min="3064" max="3064" width="30.28515625" style="13" customWidth="1"/>
    <col min="3065" max="3065" width="10.42578125" style="13" customWidth="1"/>
    <col min="3066" max="3066" width="23.85546875" style="13" customWidth="1"/>
    <col min="3067" max="3067" width="16.5703125" style="13" customWidth="1"/>
    <col min="3068" max="3068" width="22.42578125" style="13" customWidth="1"/>
    <col min="3069" max="3069" width="34.5703125" style="13" customWidth="1"/>
    <col min="3070" max="3070" width="44.140625" style="13" customWidth="1"/>
    <col min="3071" max="3071" width="30.5703125" style="13" customWidth="1"/>
    <col min="3072" max="3074" width="29.5703125" style="13" customWidth="1"/>
    <col min="3075" max="3075" width="11.7109375" style="13" customWidth="1"/>
    <col min="3076" max="3076" width="25.7109375" style="13" customWidth="1"/>
    <col min="3077" max="3078" width="8.85546875" style="13" customWidth="1"/>
    <col min="3079" max="3081" width="9" style="13" customWidth="1"/>
    <col min="3082" max="3084" width="7.28515625" style="13" customWidth="1"/>
    <col min="3085" max="3086" width="8.42578125" style="13" customWidth="1"/>
    <col min="3087" max="3088" width="7.28515625" style="13" customWidth="1"/>
    <col min="3089" max="3090" width="8.42578125" style="13" customWidth="1"/>
    <col min="3091" max="3100" width="7.28515625" style="13" customWidth="1"/>
    <col min="3101" max="3101" width="22.5703125" style="13" bestFit="1" customWidth="1"/>
    <col min="3102" max="3102" width="25.5703125" style="13" customWidth="1"/>
    <col min="3103" max="3103" width="19.7109375" style="13" customWidth="1"/>
    <col min="3104" max="3104" width="19.42578125" style="13" bestFit="1" customWidth="1"/>
    <col min="3105" max="3105" width="20.42578125" style="13" customWidth="1"/>
    <col min="3106" max="3106" width="24.7109375" style="13" customWidth="1"/>
    <col min="3107" max="3107" width="14.140625" style="13" customWidth="1"/>
    <col min="3108" max="3108" width="13" style="13" customWidth="1"/>
    <col min="3109" max="3109" width="17.140625" style="13" customWidth="1"/>
    <col min="3110" max="3110" width="16.5703125" style="13" customWidth="1"/>
    <col min="3111" max="3111" width="28.7109375" style="13" customWidth="1"/>
    <col min="3112" max="3305" width="11.42578125" style="13"/>
    <col min="3306" max="3306" width="13.140625" style="13" customWidth="1"/>
    <col min="3307" max="3307" width="4" style="13" customWidth="1"/>
    <col min="3308" max="3308" width="12.85546875" style="13" customWidth="1"/>
    <col min="3309" max="3309" width="14.7109375" style="13" customWidth="1"/>
    <col min="3310" max="3310" width="10" style="13" customWidth="1"/>
    <col min="3311" max="3311" width="6.28515625" style="13" customWidth="1"/>
    <col min="3312" max="3312" width="14.42578125" style="13" customWidth="1"/>
    <col min="3313" max="3313" width="8.5703125" style="13" customWidth="1"/>
    <col min="3314" max="3314" width="19.42578125" style="13" customWidth="1"/>
    <col min="3315" max="3315" width="11.5703125" style="13" customWidth="1"/>
    <col min="3316" max="3316" width="56.42578125" style="13" bestFit="1" customWidth="1"/>
    <col min="3317" max="3317" width="22.7109375" style="13" customWidth="1"/>
    <col min="3318" max="3318" width="14.140625" style="13" customWidth="1"/>
    <col min="3319" max="3319" width="12.28515625" style="13" customWidth="1"/>
    <col min="3320" max="3320" width="30.28515625" style="13" customWidth="1"/>
    <col min="3321" max="3321" width="10.42578125" style="13" customWidth="1"/>
    <col min="3322" max="3322" width="23.85546875" style="13" customWidth="1"/>
    <col min="3323" max="3323" width="16.5703125" style="13" customWidth="1"/>
    <col min="3324" max="3324" width="22.42578125" style="13" customWidth="1"/>
    <col min="3325" max="3325" width="34.5703125" style="13" customWidth="1"/>
    <col min="3326" max="3326" width="44.140625" style="13" customWidth="1"/>
    <col min="3327" max="3327" width="30.5703125" style="13" customWidth="1"/>
    <col min="3328" max="3330" width="29.5703125" style="13" customWidth="1"/>
    <col min="3331" max="3331" width="11.7109375" style="13" customWidth="1"/>
    <col min="3332" max="3332" width="25.7109375" style="13" customWidth="1"/>
    <col min="3333" max="3334" width="8.85546875" style="13" customWidth="1"/>
    <col min="3335" max="3337" width="9" style="13" customWidth="1"/>
    <col min="3338" max="3340" width="7.28515625" style="13" customWidth="1"/>
    <col min="3341" max="3342" width="8.42578125" style="13" customWidth="1"/>
    <col min="3343" max="3344" width="7.28515625" style="13" customWidth="1"/>
    <col min="3345" max="3346" width="8.42578125" style="13" customWidth="1"/>
    <col min="3347" max="3356" width="7.28515625" style="13" customWidth="1"/>
    <col min="3357" max="3357" width="22.5703125" style="13" bestFit="1" customWidth="1"/>
    <col min="3358" max="3358" width="25.5703125" style="13" customWidth="1"/>
    <col min="3359" max="3359" width="19.7109375" style="13" customWidth="1"/>
    <col min="3360" max="3360" width="19.42578125" style="13" bestFit="1" customWidth="1"/>
    <col min="3361" max="3361" width="20.42578125" style="13" customWidth="1"/>
    <col min="3362" max="3362" width="24.7109375" style="13" customWidth="1"/>
    <col min="3363" max="3363" width="14.140625" style="13" customWidth="1"/>
    <col min="3364" max="3364" width="13" style="13" customWidth="1"/>
    <col min="3365" max="3365" width="17.140625" style="13" customWidth="1"/>
    <col min="3366" max="3366" width="16.5703125" style="13" customWidth="1"/>
    <col min="3367" max="3367" width="28.7109375" style="13" customWidth="1"/>
    <col min="3368" max="3561" width="11.42578125" style="13"/>
    <col min="3562" max="3562" width="13.140625" style="13" customWidth="1"/>
    <col min="3563" max="3563" width="4" style="13" customWidth="1"/>
    <col min="3564" max="3564" width="12.85546875" style="13" customWidth="1"/>
    <col min="3565" max="3565" width="14.7109375" style="13" customWidth="1"/>
    <col min="3566" max="3566" width="10" style="13" customWidth="1"/>
    <col min="3567" max="3567" width="6.28515625" style="13" customWidth="1"/>
    <col min="3568" max="3568" width="14.42578125" style="13" customWidth="1"/>
    <col min="3569" max="3569" width="8.5703125" style="13" customWidth="1"/>
    <col min="3570" max="3570" width="19.42578125" style="13" customWidth="1"/>
    <col min="3571" max="3571" width="11.5703125" style="13" customWidth="1"/>
    <col min="3572" max="3572" width="56.42578125" style="13" bestFit="1" customWidth="1"/>
    <col min="3573" max="3573" width="22.7109375" style="13" customWidth="1"/>
    <col min="3574" max="3574" width="14.140625" style="13" customWidth="1"/>
    <col min="3575" max="3575" width="12.28515625" style="13" customWidth="1"/>
    <col min="3576" max="3576" width="30.28515625" style="13" customWidth="1"/>
    <col min="3577" max="3577" width="10.42578125" style="13" customWidth="1"/>
    <col min="3578" max="3578" width="23.85546875" style="13" customWidth="1"/>
    <col min="3579" max="3579" width="16.5703125" style="13" customWidth="1"/>
    <col min="3580" max="3580" width="22.42578125" style="13" customWidth="1"/>
    <col min="3581" max="3581" width="34.5703125" style="13" customWidth="1"/>
    <col min="3582" max="3582" width="44.140625" style="13" customWidth="1"/>
    <col min="3583" max="3583" width="30.5703125" style="13" customWidth="1"/>
    <col min="3584" max="3586" width="29.5703125" style="13" customWidth="1"/>
    <col min="3587" max="3587" width="11.7109375" style="13" customWidth="1"/>
    <col min="3588" max="3588" width="25.7109375" style="13" customWidth="1"/>
    <col min="3589" max="3590" width="8.85546875" style="13" customWidth="1"/>
    <col min="3591" max="3593" width="9" style="13" customWidth="1"/>
    <col min="3594" max="3596" width="7.28515625" style="13" customWidth="1"/>
    <col min="3597" max="3598" width="8.42578125" style="13" customWidth="1"/>
    <col min="3599" max="3600" width="7.28515625" style="13" customWidth="1"/>
    <col min="3601" max="3602" width="8.42578125" style="13" customWidth="1"/>
    <col min="3603" max="3612" width="7.28515625" style="13" customWidth="1"/>
    <col min="3613" max="3613" width="22.5703125" style="13" bestFit="1" customWidth="1"/>
    <col min="3614" max="3614" width="25.5703125" style="13" customWidth="1"/>
    <col min="3615" max="3615" width="19.7109375" style="13" customWidth="1"/>
    <col min="3616" max="3616" width="19.42578125" style="13" bestFit="1" customWidth="1"/>
    <col min="3617" max="3617" width="20.42578125" style="13" customWidth="1"/>
    <col min="3618" max="3618" width="24.7109375" style="13" customWidth="1"/>
    <col min="3619" max="3619" width="14.140625" style="13" customWidth="1"/>
    <col min="3620" max="3620" width="13" style="13" customWidth="1"/>
    <col min="3621" max="3621" width="17.140625" style="13" customWidth="1"/>
    <col min="3622" max="3622" width="16.5703125" style="13" customWidth="1"/>
    <col min="3623" max="3623" width="28.7109375" style="13" customWidth="1"/>
    <col min="3624" max="3817" width="11.42578125" style="13"/>
    <col min="3818" max="3818" width="13.140625" style="13" customWidth="1"/>
    <col min="3819" max="3819" width="4" style="13" customWidth="1"/>
    <col min="3820" max="3820" width="12.85546875" style="13" customWidth="1"/>
    <col min="3821" max="3821" width="14.7109375" style="13" customWidth="1"/>
    <col min="3822" max="3822" width="10" style="13" customWidth="1"/>
    <col min="3823" max="3823" width="6.28515625" style="13" customWidth="1"/>
    <col min="3824" max="3824" width="14.42578125" style="13" customWidth="1"/>
    <col min="3825" max="3825" width="8.5703125" style="13" customWidth="1"/>
    <col min="3826" max="3826" width="19.42578125" style="13" customWidth="1"/>
    <col min="3827" max="3827" width="11.5703125" style="13" customWidth="1"/>
    <col min="3828" max="3828" width="56.42578125" style="13" bestFit="1" customWidth="1"/>
    <col min="3829" max="3829" width="22.7109375" style="13" customWidth="1"/>
    <col min="3830" max="3830" width="14.140625" style="13" customWidth="1"/>
    <col min="3831" max="3831" width="12.28515625" style="13" customWidth="1"/>
    <col min="3832" max="3832" width="30.28515625" style="13" customWidth="1"/>
    <col min="3833" max="3833" width="10.42578125" style="13" customWidth="1"/>
    <col min="3834" max="3834" width="23.85546875" style="13" customWidth="1"/>
    <col min="3835" max="3835" width="16.5703125" style="13" customWidth="1"/>
    <col min="3836" max="3836" width="22.42578125" style="13" customWidth="1"/>
    <col min="3837" max="3837" width="34.5703125" style="13" customWidth="1"/>
    <col min="3838" max="3838" width="44.140625" style="13" customWidth="1"/>
    <col min="3839" max="3839" width="30.5703125" style="13" customWidth="1"/>
    <col min="3840" max="3842" width="29.5703125" style="13" customWidth="1"/>
    <col min="3843" max="3843" width="11.7109375" style="13" customWidth="1"/>
    <col min="3844" max="3844" width="25.7109375" style="13" customWidth="1"/>
    <col min="3845" max="3846" width="8.85546875" style="13" customWidth="1"/>
    <col min="3847" max="3849" width="9" style="13" customWidth="1"/>
    <col min="3850" max="3852" width="7.28515625" style="13" customWidth="1"/>
    <col min="3853" max="3854" width="8.42578125" style="13" customWidth="1"/>
    <col min="3855" max="3856" width="7.28515625" style="13" customWidth="1"/>
    <col min="3857" max="3858" width="8.42578125" style="13" customWidth="1"/>
    <col min="3859" max="3868" width="7.28515625" style="13" customWidth="1"/>
    <col min="3869" max="3869" width="22.5703125" style="13" bestFit="1" customWidth="1"/>
    <col min="3870" max="3870" width="25.5703125" style="13" customWidth="1"/>
    <col min="3871" max="3871" width="19.7109375" style="13" customWidth="1"/>
    <col min="3872" max="3872" width="19.42578125" style="13" bestFit="1" customWidth="1"/>
    <col min="3873" max="3873" width="20.42578125" style="13" customWidth="1"/>
    <col min="3874" max="3874" width="24.7109375" style="13" customWidth="1"/>
    <col min="3875" max="3875" width="14.140625" style="13" customWidth="1"/>
    <col min="3876" max="3876" width="13" style="13" customWidth="1"/>
    <col min="3877" max="3877" width="17.140625" style="13" customWidth="1"/>
    <col min="3878" max="3878" width="16.5703125" style="13" customWidth="1"/>
    <col min="3879" max="3879" width="28.7109375" style="13" customWidth="1"/>
    <col min="3880" max="4073" width="11.42578125" style="13"/>
    <col min="4074" max="4074" width="13.140625" style="13" customWidth="1"/>
    <col min="4075" max="4075" width="4" style="13" customWidth="1"/>
    <col min="4076" max="4076" width="12.85546875" style="13" customWidth="1"/>
    <col min="4077" max="4077" width="14.7109375" style="13" customWidth="1"/>
    <col min="4078" max="4078" width="10" style="13" customWidth="1"/>
    <col min="4079" max="4079" width="6.28515625" style="13" customWidth="1"/>
    <col min="4080" max="4080" width="14.42578125" style="13" customWidth="1"/>
    <col min="4081" max="4081" width="8.5703125" style="13" customWidth="1"/>
    <col min="4082" max="4082" width="19.42578125" style="13" customWidth="1"/>
    <col min="4083" max="4083" width="11.5703125" style="13" customWidth="1"/>
    <col min="4084" max="4084" width="56.42578125" style="13" bestFit="1" customWidth="1"/>
    <col min="4085" max="4085" width="22.7109375" style="13" customWidth="1"/>
    <col min="4086" max="4086" width="14.140625" style="13" customWidth="1"/>
    <col min="4087" max="4087" width="12.28515625" style="13" customWidth="1"/>
    <col min="4088" max="4088" width="30.28515625" style="13" customWidth="1"/>
    <col min="4089" max="4089" width="10.42578125" style="13" customWidth="1"/>
    <col min="4090" max="4090" width="23.85546875" style="13" customWidth="1"/>
    <col min="4091" max="4091" width="16.5703125" style="13" customWidth="1"/>
    <col min="4092" max="4092" width="22.42578125" style="13" customWidth="1"/>
    <col min="4093" max="4093" width="34.5703125" style="13" customWidth="1"/>
    <col min="4094" max="4094" width="44.140625" style="13" customWidth="1"/>
    <col min="4095" max="4095" width="30.5703125" style="13" customWidth="1"/>
    <col min="4096" max="4098" width="29.5703125" style="13" customWidth="1"/>
    <col min="4099" max="4099" width="11.7109375" style="13" customWidth="1"/>
    <col min="4100" max="4100" width="25.7109375" style="13" customWidth="1"/>
    <col min="4101" max="4102" width="8.85546875" style="13" customWidth="1"/>
    <col min="4103" max="4105" width="9" style="13" customWidth="1"/>
    <col min="4106" max="4108" width="7.28515625" style="13" customWidth="1"/>
    <col min="4109" max="4110" width="8.42578125" style="13" customWidth="1"/>
    <col min="4111" max="4112" width="7.28515625" style="13" customWidth="1"/>
    <col min="4113" max="4114" width="8.42578125" style="13" customWidth="1"/>
    <col min="4115" max="4124" width="7.28515625" style="13" customWidth="1"/>
    <col min="4125" max="4125" width="22.5703125" style="13" bestFit="1" customWidth="1"/>
    <col min="4126" max="4126" width="25.5703125" style="13" customWidth="1"/>
    <col min="4127" max="4127" width="19.7109375" style="13" customWidth="1"/>
    <col min="4128" max="4128" width="19.42578125" style="13" bestFit="1" customWidth="1"/>
    <col min="4129" max="4129" width="20.42578125" style="13" customWidth="1"/>
    <col min="4130" max="4130" width="24.7109375" style="13" customWidth="1"/>
    <col min="4131" max="4131" width="14.140625" style="13" customWidth="1"/>
    <col min="4132" max="4132" width="13" style="13" customWidth="1"/>
    <col min="4133" max="4133" width="17.140625" style="13" customWidth="1"/>
    <col min="4134" max="4134" width="16.5703125" style="13" customWidth="1"/>
    <col min="4135" max="4135" width="28.7109375" style="13" customWidth="1"/>
    <col min="4136" max="4329" width="11.42578125" style="13"/>
    <col min="4330" max="4330" width="13.140625" style="13" customWidth="1"/>
    <col min="4331" max="4331" width="4" style="13" customWidth="1"/>
    <col min="4332" max="4332" width="12.85546875" style="13" customWidth="1"/>
    <col min="4333" max="4333" width="14.7109375" style="13" customWidth="1"/>
    <col min="4334" max="4334" width="10" style="13" customWidth="1"/>
    <col min="4335" max="4335" width="6.28515625" style="13" customWidth="1"/>
    <col min="4336" max="4336" width="14.42578125" style="13" customWidth="1"/>
    <col min="4337" max="4337" width="8.5703125" style="13" customWidth="1"/>
    <col min="4338" max="4338" width="19.42578125" style="13" customWidth="1"/>
    <col min="4339" max="4339" width="11.5703125" style="13" customWidth="1"/>
    <col min="4340" max="4340" width="56.42578125" style="13" bestFit="1" customWidth="1"/>
    <col min="4341" max="4341" width="22.7109375" style="13" customWidth="1"/>
    <col min="4342" max="4342" width="14.140625" style="13" customWidth="1"/>
    <col min="4343" max="4343" width="12.28515625" style="13" customWidth="1"/>
    <col min="4344" max="4344" width="30.28515625" style="13" customWidth="1"/>
    <col min="4345" max="4345" width="10.42578125" style="13" customWidth="1"/>
    <col min="4346" max="4346" width="23.85546875" style="13" customWidth="1"/>
    <col min="4347" max="4347" width="16.5703125" style="13" customWidth="1"/>
    <col min="4348" max="4348" width="22.42578125" style="13" customWidth="1"/>
    <col min="4349" max="4349" width="34.5703125" style="13" customWidth="1"/>
    <col min="4350" max="4350" width="44.140625" style="13" customWidth="1"/>
    <col min="4351" max="4351" width="30.5703125" style="13" customWidth="1"/>
    <col min="4352" max="4354" width="29.5703125" style="13" customWidth="1"/>
    <col min="4355" max="4355" width="11.7109375" style="13" customWidth="1"/>
    <col min="4356" max="4356" width="25.7109375" style="13" customWidth="1"/>
    <col min="4357" max="4358" width="8.85546875" style="13" customWidth="1"/>
    <col min="4359" max="4361" width="9" style="13" customWidth="1"/>
    <col min="4362" max="4364" width="7.28515625" style="13" customWidth="1"/>
    <col min="4365" max="4366" width="8.42578125" style="13" customWidth="1"/>
    <col min="4367" max="4368" width="7.28515625" style="13" customWidth="1"/>
    <col min="4369" max="4370" width="8.42578125" style="13" customWidth="1"/>
    <col min="4371" max="4380" width="7.28515625" style="13" customWidth="1"/>
    <col min="4381" max="4381" width="22.5703125" style="13" bestFit="1" customWidth="1"/>
    <col min="4382" max="4382" width="25.5703125" style="13" customWidth="1"/>
    <col min="4383" max="4383" width="19.7109375" style="13" customWidth="1"/>
    <col min="4384" max="4384" width="19.42578125" style="13" bestFit="1" customWidth="1"/>
    <col min="4385" max="4385" width="20.42578125" style="13" customWidth="1"/>
    <col min="4386" max="4386" width="24.7109375" style="13" customWidth="1"/>
    <col min="4387" max="4387" width="14.140625" style="13" customWidth="1"/>
    <col min="4388" max="4388" width="13" style="13" customWidth="1"/>
    <col min="4389" max="4389" width="17.140625" style="13" customWidth="1"/>
    <col min="4390" max="4390" width="16.5703125" style="13" customWidth="1"/>
    <col min="4391" max="4391" width="28.7109375" style="13" customWidth="1"/>
    <col min="4392" max="4585" width="11.42578125" style="13"/>
    <col min="4586" max="4586" width="13.140625" style="13" customWidth="1"/>
    <col min="4587" max="4587" width="4" style="13" customWidth="1"/>
    <col min="4588" max="4588" width="12.85546875" style="13" customWidth="1"/>
    <col min="4589" max="4589" width="14.7109375" style="13" customWidth="1"/>
    <col min="4590" max="4590" width="10" style="13" customWidth="1"/>
    <col min="4591" max="4591" width="6.28515625" style="13" customWidth="1"/>
    <col min="4592" max="4592" width="14.42578125" style="13" customWidth="1"/>
    <col min="4593" max="4593" width="8.5703125" style="13" customWidth="1"/>
    <col min="4594" max="4594" width="19.42578125" style="13" customWidth="1"/>
    <col min="4595" max="4595" width="11.5703125" style="13" customWidth="1"/>
    <col min="4596" max="4596" width="56.42578125" style="13" bestFit="1" customWidth="1"/>
    <col min="4597" max="4597" width="22.7109375" style="13" customWidth="1"/>
    <col min="4598" max="4598" width="14.140625" style="13" customWidth="1"/>
    <col min="4599" max="4599" width="12.28515625" style="13" customWidth="1"/>
    <col min="4600" max="4600" width="30.28515625" style="13" customWidth="1"/>
    <col min="4601" max="4601" width="10.42578125" style="13" customWidth="1"/>
    <col min="4602" max="4602" width="23.85546875" style="13" customWidth="1"/>
    <col min="4603" max="4603" width="16.5703125" style="13" customWidth="1"/>
    <col min="4604" max="4604" width="22.42578125" style="13" customWidth="1"/>
    <col min="4605" max="4605" width="34.5703125" style="13" customWidth="1"/>
    <col min="4606" max="4606" width="44.140625" style="13" customWidth="1"/>
    <col min="4607" max="4607" width="30.5703125" style="13" customWidth="1"/>
    <col min="4608" max="4610" width="29.5703125" style="13" customWidth="1"/>
    <col min="4611" max="4611" width="11.7109375" style="13" customWidth="1"/>
    <col min="4612" max="4612" width="25.7109375" style="13" customWidth="1"/>
    <col min="4613" max="4614" width="8.85546875" style="13" customWidth="1"/>
    <col min="4615" max="4617" width="9" style="13" customWidth="1"/>
    <col min="4618" max="4620" width="7.28515625" style="13" customWidth="1"/>
    <col min="4621" max="4622" width="8.42578125" style="13" customWidth="1"/>
    <col min="4623" max="4624" width="7.28515625" style="13" customWidth="1"/>
    <col min="4625" max="4626" width="8.42578125" style="13" customWidth="1"/>
    <col min="4627" max="4636" width="7.28515625" style="13" customWidth="1"/>
    <col min="4637" max="4637" width="22.5703125" style="13" bestFit="1" customWidth="1"/>
    <col min="4638" max="4638" width="25.5703125" style="13" customWidth="1"/>
    <col min="4639" max="4639" width="19.7109375" style="13" customWidth="1"/>
    <col min="4640" max="4640" width="19.42578125" style="13" bestFit="1" customWidth="1"/>
    <col min="4641" max="4641" width="20.42578125" style="13" customWidth="1"/>
    <col min="4642" max="4642" width="24.7109375" style="13" customWidth="1"/>
    <col min="4643" max="4643" width="14.140625" style="13" customWidth="1"/>
    <col min="4644" max="4644" width="13" style="13" customWidth="1"/>
    <col min="4645" max="4645" width="17.140625" style="13" customWidth="1"/>
    <col min="4646" max="4646" width="16.5703125" style="13" customWidth="1"/>
    <col min="4647" max="4647" width="28.7109375" style="13" customWidth="1"/>
    <col min="4648" max="4841" width="11.42578125" style="13"/>
    <col min="4842" max="4842" width="13.140625" style="13" customWidth="1"/>
    <col min="4843" max="4843" width="4" style="13" customWidth="1"/>
    <col min="4844" max="4844" width="12.85546875" style="13" customWidth="1"/>
    <col min="4845" max="4845" width="14.7109375" style="13" customWidth="1"/>
    <col min="4846" max="4846" width="10" style="13" customWidth="1"/>
    <col min="4847" max="4847" width="6.28515625" style="13" customWidth="1"/>
    <col min="4848" max="4848" width="14.42578125" style="13" customWidth="1"/>
    <col min="4849" max="4849" width="8.5703125" style="13" customWidth="1"/>
    <col min="4850" max="4850" width="19.42578125" style="13" customWidth="1"/>
    <col min="4851" max="4851" width="11.5703125" style="13" customWidth="1"/>
    <col min="4852" max="4852" width="56.42578125" style="13" bestFit="1" customWidth="1"/>
    <col min="4853" max="4853" width="22.7109375" style="13" customWidth="1"/>
    <col min="4854" max="4854" width="14.140625" style="13" customWidth="1"/>
    <col min="4855" max="4855" width="12.28515625" style="13" customWidth="1"/>
    <col min="4856" max="4856" width="30.28515625" style="13" customWidth="1"/>
    <col min="4857" max="4857" width="10.42578125" style="13" customWidth="1"/>
    <col min="4858" max="4858" width="23.85546875" style="13" customWidth="1"/>
    <col min="4859" max="4859" width="16.5703125" style="13" customWidth="1"/>
    <col min="4860" max="4860" width="22.42578125" style="13" customWidth="1"/>
    <col min="4861" max="4861" width="34.5703125" style="13" customWidth="1"/>
    <col min="4862" max="4862" width="44.140625" style="13" customWidth="1"/>
    <col min="4863" max="4863" width="30.5703125" style="13" customWidth="1"/>
    <col min="4864" max="4866" width="29.5703125" style="13" customWidth="1"/>
    <col min="4867" max="4867" width="11.7109375" style="13" customWidth="1"/>
    <col min="4868" max="4868" width="25.7109375" style="13" customWidth="1"/>
    <col min="4869" max="4870" width="8.85546875" style="13" customWidth="1"/>
    <col min="4871" max="4873" width="9" style="13" customWidth="1"/>
    <col min="4874" max="4876" width="7.28515625" style="13" customWidth="1"/>
    <col min="4877" max="4878" width="8.42578125" style="13" customWidth="1"/>
    <col min="4879" max="4880" width="7.28515625" style="13" customWidth="1"/>
    <col min="4881" max="4882" width="8.42578125" style="13" customWidth="1"/>
    <col min="4883" max="4892" width="7.28515625" style="13" customWidth="1"/>
    <col min="4893" max="4893" width="22.5703125" style="13" bestFit="1" customWidth="1"/>
    <col min="4894" max="4894" width="25.5703125" style="13" customWidth="1"/>
    <col min="4895" max="4895" width="19.7109375" style="13" customWidth="1"/>
    <col min="4896" max="4896" width="19.42578125" style="13" bestFit="1" customWidth="1"/>
    <col min="4897" max="4897" width="20.42578125" style="13" customWidth="1"/>
    <col min="4898" max="4898" width="24.7109375" style="13" customWidth="1"/>
    <col min="4899" max="4899" width="14.140625" style="13" customWidth="1"/>
    <col min="4900" max="4900" width="13" style="13" customWidth="1"/>
    <col min="4901" max="4901" width="17.140625" style="13" customWidth="1"/>
    <col min="4902" max="4902" width="16.5703125" style="13" customWidth="1"/>
    <col min="4903" max="4903" width="28.7109375" style="13" customWidth="1"/>
    <col min="4904" max="5097" width="11.42578125" style="13"/>
    <col min="5098" max="5098" width="13.140625" style="13" customWidth="1"/>
    <col min="5099" max="5099" width="4" style="13" customWidth="1"/>
    <col min="5100" max="5100" width="12.85546875" style="13" customWidth="1"/>
    <col min="5101" max="5101" width="14.7109375" style="13" customWidth="1"/>
    <col min="5102" max="5102" width="10" style="13" customWidth="1"/>
    <col min="5103" max="5103" width="6.28515625" style="13" customWidth="1"/>
    <col min="5104" max="5104" width="14.42578125" style="13" customWidth="1"/>
    <col min="5105" max="5105" width="8.5703125" style="13" customWidth="1"/>
    <col min="5106" max="5106" width="19.42578125" style="13" customWidth="1"/>
    <col min="5107" max="5107" width="11.5703125" style="13" customWidth="1"/>
    <col min="5108" max="5108" width="56.42578125" style="13" bestFit="1" customWidth="1"/>
    <col min="5109" max="5109" width="22.7109375" style="13" customWidth="1"/>
    <col min="5110" max="5110" width="14.140625" style="13" customWidth="1"/>
    <col min="5111" max="5111" width="12.28515625" style="13" customWidth="1"/>
    <col min="5112" max="5112" width="30.28515625" style="13" customWidth="1"/>
    <col min="5113" max="5113" width="10.42578125" style="13" customWidth="1"/>
    <col min="5114" max="5114" width="23.85546875" style="13" customWidth="1"/>
    <col min="5115" max="5115" width="16.5703125" style="13" customWidth="1"/>
    <col min="5116" max="5116" width="22.42578125" style="13" customWidth="1"/>
    <col min="5117" max="5117" width="34.5703125" style="13" customWidth="1"/>
    <col min="5118" max="5118" width="44.140625" style="13" customWidth="1"/>
    <col min="5119" max="5119" width="30.5703125" style="13" customWidth="1"/>
    <col min="5120" max="5122" width="29.5703125" style="13" customWidth="1"/>
    <col min="5123" max="5123" width="11.7109375" style="13" customWidth="1"/>
    <col min="5124" max="5124" width="25.7109375" style="13" customWidth="1"/>
    <col min="5125" max="5126" width="8.85546875" style="13" customWidth="1"/>
    <col min="5127" max="5129" width="9" style="13" customWidth="1"/>
    <col min="5130" max="5132" width="7.28515625" style="13" customWidth="1"/>
    <col min="5133" max="5134" width="8.42578125" style="13" customWidth="1"/>
    <col min="5135" max="5136" width="7.28515625" style="13" customWidth="1"/>
    <col min="5137" max="5138" width="8.42578125" style="13" customWidth="1"/>
    <col min="5139" max="5148" width="7.28515625" style="13" customWidth="1"/>
    <col min="5149" max="5149" width="22.5703125" style="13" bestFit="1" customWidth="1"/>
    <col min="5150" max="5150" width="25.5703125" style="13" customWidth="1"/>
    <col min="5151" max="5151" width="19.7109375" style="13" customWidth="1"/>
    <col min="5152" max="5152" width="19.42578125" style="13" bestFit="1" customWidth="1"/>
    <col min="5153" max="5153" width="20.42578125" style="13" customWidth="1"/>
    <col min="5154" max="5154" width="24.7109375" style="13" customWidth="1"/>
    <col min="5155" max="5155" width="14.140625" style="13" customWidth="1"/>
    <col min="5156" max="5156" width="13" style="13" customWidth="1"/>
    <col min="5157" max="5157" width="17.140625" style="13" customWidth="1"/>
    <col min="5158" max="5158" width="16.5703125" style="13" customWidth="1"/>
    <col min="5159" max="5159" width="28.7109375" style="13" customWidth="1"/>
    <col min="5160" max="5353" width="11.42578125" style="13"/>
    <col min="5354" max="5354" width="13.140625" style="13" customWidth="1"/>
    <col min="5355" max="5355" width="4" style="13" customWidth="1"/>
    <col min="5356" max="5356" width="12.85546875" style="13" customWidth="1"/>
    <col min="5357" max="5357" width="14.7109375" style="13" customWidth="1"/>
    <col min="5358" max="5358" width="10" style="13" customWidth="1"/>
    <col min="5359" max="5359" width="6.28515625" style="13" customWidth="1"/>
    <col min="5360" max="5360" width="14.42578125" style="13" customWidth="1"/>
    <col min="5361" max="5361" width="8.5703125" style="13" customWidth="1"/>
    <col min="5362" max="5362" width="19.42578125" style="13" customWidth="1"/>
    <col min="5363" max="5363" width="11.5703125" style="13" customWidth="1"/>
    <col min="5364" max="5364" width="56.42578125" style="13" bestFit="1" customWidth="1"/>
    <col min="5365" max="5365" width="22.7109375" style="13" customWidth="1"/>
    <col min="5366" max="5366" width="14.140625" style="13" customWidth="1"/>
    <col min="5367" max="5367" width="12.28515625" style="13" customWidth="1"/>
    <col min="5368" max="5368" width="30.28515625" style="13" customWidth="1"/>
    <col min="5369" max="5369" width="10.42578125" style="13" customWidth="1"/>
    <col min="5370" max="5370" width="23.85546875" style="13" customWidth="1"/>
    <col min="5371" max="5371" width="16.5703125" style="13" customWidth="1"/>
    <col min="5372" max="5372" width="22.42578125" style="13" customWidth="1"/>
    <col min="5373" max="5373" width="34.5703125" style="13" customWidth="1"/>
    <col min="5374" max="5374" width="44.140625" style="13" customWidth="1"/>
    <col min="5375" max="5375" width="30.5703125" style="13" customWidth="1"/>
    <col min="5376" max="5378" width="29.5703125" style="13" customWidth="1"/>
    <col min="5379" max="5379" width="11.7109375" style="13" customWidth="1"/>
    <col min="5380" max="5380" width="25.7109375" style="13" customWidth="1"/>
    <col min="5381" max="5382" width="8.85546875" style="13" customWidth="1"/>
    <col min="5383" max="5385" width="9" style="13" customWidth="1"/>
    <col min="5386" max="5388" width="7.28515625" style="13" customWidth="1"/>
    <col min="5389" max="5390" width="8.42578125" style="13" customWidth="1"/>
    <col min="5391" max="5392" width="7.28515625" style="13" customWidth="1"/>
    <col min="5393" max="5394" width="8.42578125" style="13" customWidth="1"/>
    <col min="5395" max="5404" width="7.28515625" style="13" customWidth="1"/>
    <col min="5405" max="5405" width="22.5703125" style="13" bestFit="1" customWidth="1"/>
    <col min="5406" max="5406" width="25.5703125" style="13" customWidth="1"/>
    <col min="5407" max="5407" width="19.7109375" style="13" customWidth="1"/>
    <col min="5408" max="5408" width="19.42578125" style="13" bestFit="1" customWidth="1"/>
    <col min="5409" max="5409" width="20.42578125" style="13" customWidth="1"/>
    <col min="5410" max="5410" width="24.7109375" style="13" customWidth="1"/>
    <col min="5411" max="5411" width="14.140625" style="13" customWidth="1"/>
    <col min="5412" max="5412" width="13" style="13" customWidth="1"/>
    <col min="5413" max="5413" width="17.140625" style="13" customWidth="1"/>
    <col min="5414" max="5414" width="16.5703125" style="13" customWidth="1"/>
    <col min="5415" max="5415" width="28.7109375" style="13" customWidth="1"/>
    <col min="5416" max="5609" width="11.42578125" style="13"/>
    <col min="5610" max="5610" width="13.140625" style="13" customWidth="1"/>
    <col min="5611" max="5611" width="4" style="13" customWidth="1"/>
    <col min="5612" max="5612" width="12.85546875" style="13" customWidth="1"/>
    <col min="5613" max="5613" width="14.7109375" style="13" customWidth="1"/>
    <col min="5614" max="5614" width="10" style="13" customWidth="1"/>
    <col min="5615" max="5615" width="6.28515625" style="13" customWidth="1"/>
    <col min="5616" max="5616" width="14.42578125" style="13" customWidth="1"/>
    <col min="5617" max="5617" width="8.5703125" style="13" customWidth="1"/>
    <col min="5618" max="5618" width="19.42578125" style="13" customWidth="1"/>
    <col min="5619" max="5619" width="11.5703125" style="13" customWidth="1"/>
    <col min="5620" max="5620" width="56.42578125" style="13" bestFit="1" customWidth="1"/>
    <col min="5621" max="5621" width="22.7109375" style="13" customWidth="1"/>
    <col min="5622" max="5622" width="14.140625" style="13" customWidth="1"/>
    <col min="5623" max="5623" width="12.28515625" style="13" customWidth="1"/>
    <col min="5624" max="5624" width="30.28515625" style="13" customWidth="1"/>
    <col min="5625" max="5625" width="10.42578125" style="13" customWidth="1"/>
    <col min="5626" max="5626" width="23.85546875" style="13" customWidth="1"/>
    <col min="5627" max="5627" width="16.5703125" style="13" customWidth="1"/>
    <col min="5628" max="5628" width="22.42578125" style="13" customWidth="1"/>
    <col min="5629" max="5629" width="34.5703125" style="13" customWidth="1"/>
    <col min="5630" max="5630" width="44.140625" style="13" customWidth="1"/>
    <col min="5631" max="5631" width="30.5703125" style="13" customWidth="1"/>
    <col min="5632" max="5634" width="29.5703125" style="13" customWidth="1"/>
    <col min="5635" max="5635" width="11.7109375" style="13" customWidth="1"/>
    <col min="5636" max="5636" width="25.7109375" style="13" customWidth="1"/>
    <col min="5637" max="5638" width="8.85546875" style="13" customWidth="1"/>
    <col min="5639" max="5641" width="9" style="13" customWidth="1"/>
    <col min="5642" max="5644" width="7.28515625" style="13" customWidth="1"/>
    <col min="5645" max="5646" width="8.42578125" style="13" customWidth="1"/>
    <col min="5647" max="5648" width="7.28515625" style="13" customWidth="1"/>
    <col min="5649" max="5650" width="8.42578125" style="13" customWidth="1"/>
    <col min="5651" max="5660" width="7.28515625" style="13" customWidth="1"/>
    <col min="5661" max="5661" width="22.5703125" style="13" bestFit="1" customWidth="1"/>
    <col min="5662" max="5662" width="25.5703125" style="13" customWidth="1"/>
    <col min="5663" max="5663" width="19.7109375" style="13" customWidth="1"/>
    <col min="5664" max="5664" width="19.42578125" style="13" bestFit="1" customWidth="1"/>
    <col min="5665" max="5665" width="20.42578125" style="13" customWidth="1"/>
    <col min="5666" max="5666" width="24.7109375" style="13" customWidth="1"/>
    <col min="5667" max="5667" width="14.140625" style="13" customWidth="1"/>
    <col min="5668" max="5668" width="13" style="13" customWidth="1"/>
    <col min="5669" max="5669" width="17.140625" style="13" customWidth="1"/>
    <col min="5670" max="5670" width="16.5703125" style="13" customWidth="1"/>
    <col min="5671" max="5671" width="28.7109375" style="13" customWidth="1"/>
    <col min="5672" max="5865" width="11.42578125" style="13"/>
    <col min="5866" max="5866" width="13.140625" style="13" customWidth="1"/>
    <col min="5867" max="5867" width="4" style="13" customWidth="1"/>
    <col min="5868" max="5868" width="12.85546875" style="13" customWidth="1"/>
    <col min="5869" max="5869" width="14.7109375" style="13" customWidth="1"/>
    <col min="5870" max="5870" width="10" style="13" customWidth="1"/>
    <col min="5871" max="5871" width="6.28515625" style="13" customWidth="1"/>
    <col min="5872" max="5872" width="14.42578125" style="13" customWidth="1"/>
    <col min="5873" max="5873" width="8.5703125" style="13" customWidth="1"/>
    <col min="5874" max="5874" width="19.42578125" style="13" customWidth="1"/>
    <col min="5875" max="5875" width="11.5703125" style="13" customWidth="1"/>
    <col min="5876" max="5876" width="56.42578125" style="13" bestFit="1" customWidth="1"/>
    <col min="5877" max="5877" width="22.7109375" style="13" customWidth="1"/>
    <col min="5878" max="5878" width="14.140625" style="13" customWidth="1"/>
    <col min="5879" max="5879" width="12.28515625" style="13" customWidth="1"/>
    <col min="5880" max="5880" width="30.28515625" style="13" customWidth="1"/>
    <col min="5881" max="5881" width="10.42578125" style="13" customWidth="1"/>
    <col min="5882" max="5882" width="23.85546875" style="13" customWidth="1"/>
    <col min="5883" max="5883" width="16.5703125" style="13" customWidth="1"/>
    <col min="5884" max="5884" width="22.42578125" style="13" customWidth="1"/>
    <col min="5885" max="5885" width="34.5703125" style="13" customWidth="1"/>
    <col min="5886" max="5886" width="44.140625" style="13" customWidth="1"/>
    <col min="5887" max="5887" width="30.5703125" style="13" customWidth="1"/>
    <col min="5888" max="5890" width="29.5703125" style="13" customWidth="1"/>
    <col min="5891" max="5891" width="11.7109375" style="13" customWidth="1"/>
    <col min="5892" max="5892" width="25.7109375" style="13" customWidth="1"/>
    <col min="5893" max="5894" width="8.85546875" style="13" customWidth="1"/>
    <col min="5895" max="5897" width="9" style="13" customWidth="1"/>
    <col min="5898" max="5900" width="7.28515625" style="13" customWidth="1"/>
    <col min="5901" max="5902" width="8.42578125" style="13" customWidth="1"/>
    <col min="5903" max="5904" width="7.28515625" style="13" customWidth="1"/>
    <col min="5905" max="5906" width="8.42578125" style="13" customWidth="1"/>
    <col min="5907" max="5916" width="7.28515625" style="13" customWidth="1"/>
    <col min="5917" max="5917" width="22.5703125" style="13" bestFit="1" customWidth="1"/>
    <col min="5918" max="5918" width="25.5703125" style="13" customWidth="1"/>
    <col min="5919" max="5919" width="19.7109375" style="13" customWidth="1"/>
    <col min="5920" max="5920" width="19.42578125" style="13" bestFit="1" customWidth="1"/>
    <col min="5921" max="5921" width="20.42578125" style="13" customWidth="1"/>
    <col min="5922" max="5922" width="24.7109375" style="13" customWidth="1"/>
    <col min="5923" max="5923" width="14.140625" style="13" customWidth="1"/>
    <col min="5924" max="5924" width="13" style="13" customWidth="1"/>
    <col min="5925" max="5925" width="17.140625" style="13" customWidth="1"/>
    <col min="5926" max="5926" width="16.5703125" style="13" customWidth="1"/>
    <col min="5927" max="5927" width="28.7109375" style="13" customWidth="1"/>
    <col min="5928" max="6121" width="11.42578125" style="13"/>
    <col min="6122" max="6122" width="13.140625" style="13" customWidth="1"/>
    <col min="6123" max="6123" width="4" style="13" customWidth="1"/>
    <col min="6124" max="6124" width="12.85546875" style="13" customWidth="1"/>
    <col min="6125" max="6125" width="14.7109375" style="13" customWidth="1"/>
    <col min="6126" max="6126" width="10" style="13" customWidth="1"/>
    <col min="6127" max="6127" width="6.28515625" style="13" customWidth="1"/>
    <col min="6128" max="6128" width="14.42578125" style="13" customWidth="1"/>
    <col min="6129" max="6129" width="8.5703125" style="13" customWidth="1"/>
    <col min="6130" max="6130" width="19.42578125" style="13" customWidth="1"/>
    <col min="6131" max="6131" width="11.5703125" style="13" customWidth="1"/>
    <col min="6132" max="6132" width="56.42578125" style="13" bestFit="1" customWidth="1"/>
    <col min="6133" max="6133" width="22.7109375" style="13" customWidth="1"/>
    <col min="6134" max="6134" width="14.140625" style="13" customWidth="1"/>
    <col min="6135" max="6135" width="12.28515625" style="13" customWidth="1"/>
    <col min="6136" max="6136" width="30.28515625" style="13" customWidth="1"/>
    <col min="6137" max="6137" width="10.42578125" style="13" customWidth="1"/>
    <col min="6138" max="6138" width="23.85546875" style="13" customWidth="1"/>
    <col min="6139" max="6139" width="16.5703125" style="13" customWidth="1"/>
    <col min="6140" max="6140" width="22.42578125" style="13" customWidth="1"/>
    <col min="6141" max="6141" width="34.5703125" style="13" customWidth="1"/>
    <col min="6142" max="6142" width="44.140625" style="13" customWidth="1"/>
    <col min="6143" max="6143" width="30.5703125" style="13" customWidth="1"/>
    <col min="6144" max="6146" width="29.5703125" style="13" customWidth="1"/>
    <col min="6147" max="6147" width="11.7109375" style="13" customWidth="1"/>
    <col min="6148" max="6148" width="25.7109375" style="13" customWidth="1"/>
    <col min="6149" max="6150" width="8.85546875" style="13" customWidth="1"/>
    <col min="6151" max="6153" width="9" style="13" customWidth="1"/>
    <col min="6154" max="6156" width="7.28515625" style="13" customWidth="1"/>
    <col min="6157" max="6158" width="8.42578125" style="13" customWidth="1"/>
    <col min="6159" max="6160" width="7.28515625" style="13" customWidth="1"/>
    <col min="6161" max="6162" width="8.42578125" style="13" customWidth="1"/>
    <col min="6163" max="6172" width="7.28515625" style="13" customWidth="1"/>
    <col min="6173" max="6173" width="22.5703125" style="13" bestFit="1" customWidth="1"/>
    <col min="6174" max="6174" width="25.5703125" style="13" customWidth="1"/>
    <col min="6175" max="6175" width="19.7109375" style="13" customWidth="1"/>
    <col min="6176" max="6176" width="19.42578125" style="13" bestFit="1" customWidth="1"/>
    <col min="6177" max="6177" width="20.42578125" style="13" customWidth="1"/>
    <col min="6178" max="6178" width="24.7109375" style="13" customWidth="1"/>
    <col min="6179" max="6179" width="14.140625" style="13" customWidth="1"/>
    <col min="6180" max="6180" width="13" style="13" customWidth="1"/>
    <col min="6181" max="6181" width="17.140625" style="13" customWidth="1"/>
    <col min="6182" max="6182" width="16.5703125" style="13" customWidth="1"/>
    <col min="6183" max="6183" width="28.7109375" style="13" customWidth="1"/>
    <col min="6184" max="6377" width="11.42578125" style="13"/>
    <col min="6378" max="6378" width="13.140625" style="13" customWidth="1"/>
    <col min="6379" max="6379" width="4" style="13" customWidth="1"/>
    <col min="6380" max="6380" width="12.85546875" style="13" customWidth="1"/>
    <col min="6381" max="6381" width="14.7109375" style="13" customWidth="1"/>
    <col min="6382" max="6382" width="10" style="13" customWidth="1"/>
    <col min="6383" max="6383" width="6.28515625" style="13" customWidth="1"/>
    <col min="6384" max="6384" width="14.42578125" style="13" customWidth="1"/>
    <col min="6385" max="6385" width="8.5703125" style="13" customWidth="1"/>
    <col min="6386" max="6386" width="19.42578125" style="13" customWidth="1"/>
    <col min="6387" max="6387" width="11.5703125" style="13" customWidth="1"/>
    <col min="6388" max="6388" width="56.42578125" style="13" bestFit="1" customWidth="1"/>
    <col min="6389" max="6389" width="22.7109375" style="13" customWidth="1"/>
    <col min="6390" max="6390" width="14.140625" style="13" customWidth="1"/>
    <col min="6391" max="6391" width="12.28515625" style="13" customWidth="1"/>
    <col min="6392" max="6392" width="30.28515625" style="13" customWidth="1"/>
    <col min="6393" max="6393" width="10.42578125" style="13" customWidth="1"/>
    <col min="6394" max="6394" width="23.85546875" style="13" customWidth="1"/>
    <col min="6395" max="6395" width="16.5703125" style="13" customWidth="1"/>
    <col min="6396" max="6396" width="22.42578125" style="13" customWidth="1"/>
    <col min="6397" max="6397" width="34.5703125" style="13" customWidth="1"/>
    <col min="6398" max="6398" width="44.140625" style="13" customWidth="1"/>
    <col min="6399" max="6399" width="30.5703125" style="13" customWidth="1"/>
    <col min="6400" max="6402" width="29.5703125" style="13" customWidth="1"/>
    <col min="6403" max="6403" width="11.7109375" style="13" customWidth="1"/>
    <col min="6404" max="6404" width="25.7109375" style="13" customWidth="1"/>
    <col min="6405" max="6406" width="8.85546875" style="13" customWidth="1"/>
    <col min="6407" max="6409" width="9" style="13" customWidth="1"/>
    <col min="6410" max="6412" width="7.28515625" style="13" customWidth="1"/>
    <col min="6413" max="6414" width="8.42578125" style="13" customWidth="1"/>
    <col min="6415" max="6416" width="7.28515625" style="13" customWidth="1"/>
    <col min="6417" max="6418" width="8.42578125" style="13" customWidth="1"/>
    <col min="6419" max="6428" width="7.28515625" style="13" customWidth="1"/>
    <col min="6429" max="6429" width="22.5703125" style="13" bestFit="1" customWidth="1"/>
    <col min="6430" max="6430" width="25.5703125" style="13" customWidth="1"/>
    <col min="6431" max="6431" width="19.7109375" style="13" customWidth="1"/>
    <col min="6432" max="6432" width="19.42578125" style="13" bestFit="1" customWidth="1"/>
    <col min="6433" max="6433" width="20.42578125" style="13" customWidth="1"/>
    <col min="6434" max="6434" width="24.7109375" style="13" customWidth="1"/>
    <col min="6435" max="6435" width="14.140625" style="13" customWidth="1"/>
    <col min="6436" max="6436" width="13" style="13" customWidth="1"/>
    <col min="6437" max="6437" width="17.140625" style="13" customWidth="1"/>
    <col min="6438" max="6438" width="16.5703125" style="13" customWidth="1"/>
    <col min="6439" max="6439" width="28.7109375" style="13" customWidth="1"/>
    <col min="6440" max="6633" width="11.42578125" style="13"/>
    <col min="6634" max="6634" width="13.140625" style="13" customWidth="1"/>
    <col min="6635" max="6635" width="4" style="13" customWidth="1"/>
    <col min="6636" max="6636" width="12.85546875" style="13" customWidth="1"/>
    <col min="6637" max="6637" width="14.7109375" style="13" customWidth="1"/>
    <col min="6638" max="6638" width="10" style="13" customWidth="1"/>
    <col min="6639" max="6639" width="6.28515625" style="13" customWidth="1"/>
    <col min="6640" max="6640" width="14.42578125" style="13" customWidth="1"/>
    <col min="6641" max="6641" width="8.5703125" style="13" customWidth="1"/>
    <col min="6642" max="6642" width="19.42578125" style="13" customWidth="1"/>
    <col min="6643" max="6643" width="11.5703125" style="13" customWidth="1"/>
    <col min="6644" max="6644" width="56.42578125" style="13" bestFit="1" customWidth="1"/>
    <col min="6645" max="6645" width="22.7109375" style="13" customWidth="1"/>
    <col min="6646" max="6646" width="14.140625" style="13" customWidth="1"/>
    <col min="6647" max="6647" width="12.28515625" style="13" customWidth="1"/>
    <col min="6648" max="6648" width="30.28515625" style="13" customWidth="1"/>
    <col min="6649" max="6649" width="10.42578125" style="13" customWidth="1"/>
    <col min="6650" max="6650" width="23.85546875" style="13" customWidth="1"/>
    <col min="6651" max="6651" width="16.5703125" style="13" customWidth="1"/>
    <col min="6652" max="6652" width="22.42578125" style="13" customWidth="1"/>
    <col min="6653" max="6653" width="34.5703125" style="13" customWidth="1"/>
    <col min="6654" max="6654" width="44.140625" style="13" customWidth="1"/>
    <col min="6655" max="6655" width="30.5703125" style="13" customWidth="1"/>
    <col min="6656" max="6658" width="29.5703125" style="13" customWidth="1"/>
    <col min="6659" max="6659" width="11.7109375" style="13" customWidth="1"/>
    <col min="6660" max="6660" width="25.7109375" style="13" customWidth="1"/>
    <col min="6661" max="6662" width="8.85546875" style="13" customWidth="1"/>
    <col min="6663" max="6665" width="9" style="13" customWidth="1"/>
    <col min="6666" max="6668" width="7.28515625" style="13" customWidth="1"/>
    <col min="6669" max="6670" width="8.42578125" style="13" customWidth="1"/>
    <col min="6671" max="6672" width="7.28515625" style="13" customWidth="1"/>
    <col min="6673" max="6674" width="8.42578125" style="13" customWidth="1"/>
    <col min="6675" max="6684" width="7.28515625" style="13" customWidth="1"/>
    <col min="6685" max="6685" width="22.5703125" style="13" bestFit="1" customWidth="1"/>
    <col min="6686" max="6686" width="25.5703125" style="13" customWidth="1"/>
    <col min="6687" max="6687" width="19.7109375" style="13" customWidth="1"/>
    <col min="6688" max="6688" width="19.42578125" style="13" bestFit="1" customWidth="1"/>
    <col min="6689" max="6689" width="20.42578125" style="13" customWidth="1"/>
    <col min="6690" max="6690" width="24.7109375" style="13" customWidth="1"/>
    <col min="6691" max="6691" width="14.140625" style="13" customWidth="1"/>
    <col min="6692" max="6692" width="13" style="13" customWidth="1"/>
    <col min="6693" max="6693" width="17.140625" style="13" customWidth="1"/>
    <col min="6694" max="6694" width="16.5703125" style="13" customWidth="1"/>
    <col min="6695" max="6695" width="28.7109375" style="13" customWidth="1"/>
    <col min="6696" max="6889" width="11.42578125" style="13"/>
    <col min="6890" max="6890" width="13.140625" style="13" customWidth="1"/>
    <col min="6891" max="6891" width="4" style="13" customWidth="1"/>
    <col min="6892" max="6892" width="12.85546875" style="13" customWidth="1"/>
    <col min="6893" max="6893" width="14.7109375" style="13" customWidth="1"/>
    <col min="6894" max="6894" width="10" style="13" customWidth="1"/>
    <col min="6895" max="6895" width="6.28515625" style="13" customWidth="1"/>
    <col min="6896" max="6896" width="14.42578125" style="13" customWidth="1"/>
    <col min="6897" max="6897" width="8.5703125" style="13" customWidth="1"/>
    <col min="6898" max="6898" width="19.42578125" style="13" customWidth="1"/>
    <col min="6899" max="6899" width="11.5703125" style="13" customWidth="1"/>
    <col min="6900" max="6900" width="56.42578125" style="13" bestFit="1" customWidth="1"/>
    <col min="6901" max="6901" width="22.7109375" style="13" customWidth="1"/>
    <col min="6902" max="6902" width="14.140625" style="13" customWidth="1"/>
    <col min="6903" max="6903" width="12.28515625" style="13" customWidth="1"/>
    <col min="6904" max="6904" width="30.28515625" style="13" customWidth="1"/>
    <col min="6905" max="6905" width="10.42578125" style="13" customWidth="1"/>
    <col min="6906" max="6906" width="23.85546875" style="13" customWidth="1"/>
    <col min="6907" max="6907" width="16.5703125" style="13" customWidth="1"/>
    <col min="6908" max="6908" width="22.42578125" style="13" customWidth="1"/>
    <col min="6909" max="6909" width="34.5703125" style="13" customWidth="1"/>
    <col min="6910" max="6910" width="44.140625" style="13" customWidth="1"/>
    <col min="6911" max="6911" width="30.5703125" style="13" customWidth="1"/>
    <col min="6912" max="6914" width="29.5703125" style="13" customWidth="1"/>
    <col min="6915" max="6915" width="11.7109375" style="13" customWidth="1"/>
    <col min="6916" max="6916" width="25.7109375" style="13" customWidth="1"/>
    <col min="6917" max="6918" width="8.85546875" style="13" customWidth="1"/>
    <col min="6919" max="6921" width="9" style="13" customWidth="1"/>
    <col min="6922" max="6924" width="7.28515625" style="13" customWidth="1"/>
    <col min="6925" max="6926" width="8.42578125" style="13" customWidth="1"/>
    <col min="6927" max="6928" width="7.28515625" style="13" customWidth="1"/>
    <col min="6929" max="6930" width="8.42578125" style="13" customWidth="1"/>
    <col min="6931" max="6940" width="7.28515625" style="13" customWidth="1"/>
    <col min="6941" max="6941" width="22.5703125" style="13" bestFit="1" customWidth="1"/>
    <col min="6942" max="6942" width="25.5703125" style="13" customWidth="1"/>
    <col min="6943" max="6943" width="19.7109375" style="13" customWidth="1"/>
    <col min="6944" max="6944" width="19.42578125" style="13" bestFit="1" customWidth="1"/>
    <col min="6945" max="6945" width="20.42578125" style="13" customWidth="1"/>
    <col min="6946" max="6946" width="24.7109375" style="13" customWidth="1"/>
    <col min="6947" max="6947" width="14.140625" style="13" customWidth="1"/>
    <col min="6948" max="6948" width="13" style="13" customWidth="1"/>
    <col min="6949" max="6949" width="17.140625" style="13" customWidth="1"/>
    <col min="6950" max="6950" width="16.5703125" style="13" customWidth="1"/>
    <col min="6951" max="6951" width="28.7109375" style="13" customWidth="1"/>
    <col min="6952" max="7145" width="11.42578125" style="13"/>
    <col min="7146" max="7146" width="13.140625" style="13" customWidth="1"/>
    <col min="7147" max="7147" width="4" style="13" customWidth="1"/>
    <col min="7148" max="7148" width="12.85546875" style="13" customWidth="1"/>
    <col min="7149" max="7149" width="14.7109375" style="13" customWidth="1"/>
    <col min="7150" max="7150" width="10" style="13" customWidth="1"/>
    <col min="7151" max="7151" width="6.28515625" style="13" customWidth="1"/>
    <col min="7152" max="7152" width="14.42578125" style="13" customWidth="1"/>
    <col min="7153" max="7153" width="8.5703125" style="13" customWidth="1"/>
    <col min="7154" max="7154" width="19.42578125" style="13" customWidth="1"/>
    <col min="7155" max="7155" width="11.5703125" style="13" customWidth="1"/>
    <col min="7156" max="7156" width="56.42578125" style="13" bestFit="1" customWidth="1"/>
    <col min="7157" max="7157" width="22.7109375" style="13" customWidth="1"/>
    <col min="7158" max="7158" width="14.140625" style="13" customWidth="1"/>
    <col min="7159" max="7159" width="12.28515625" style="13" customWidth="1"/>
    <col min="7160" max="7160" width="30.28515625" style="13" customWidth="1"/>
    <col min="7161" max="7161" width="10.42578125" style="13" customWidth="1"/>
    <col min="7162" max="7162" width="23.85546875" style="13" customWidth="1"/>
    <col min="7163" max="7163" width="16.5703125" style="13" customWidth="1"/>
    <col min="7164" max="7164" width="22.42578125" style="13" customWidth="1"/>
    <col min="7165" max="7165" width="34.5703125" style="13" customWidth="1"/>
    <col min="7166" max="7166" width="44.140625" style="13" customWidth="1"/>
    <col min="7167" max="7167" width="30.5703125" style="13" customWidth="1"/>
    <col min="7168" max="7170" width="29.5703125" style="13" customWidth="1"/>
    <col min="7171" max="7171" width="11.7109375" style="13" customWidth="1"/>
    <col min="7172" max="7172" width="25.7109375" style="13" customWidth="1"/>
    <col min="7173" max="7174" width="8.85546875" style="13" customWidth="1"/>
    <col min="7175" max="7177" width="9" style="13" customWidth="1"/>
    <col min="7178" max="7180" width="7.28515625" style="13" customWidth="1"/>
    <col min="7181" max="7182" width="8.42578125" style="13" customWidth="1"/>
    <col min="7183" max="7184" width="7.28515625" style="13" customWidth="1"/>
    <col min="7185" max="7186" width="8.42578125" style="13" customWidth="1"/>
    <col min="7187" max="7196" width="7.28515625" style="13" customWidth="1"/>
    <col min="7197" max="7197" width="22.5703125" style="13" bestFit="1" customWidth="1"/>
    <col min="7198" max="7198" width="25.5703125" style="13" customWidth="1"/>
    <col min="7199" max="7199" width="19.7109375" style="13" customWidth="1"/>
    <col min="7200" max="7200" width="19.42578125" style="13" bestFit="1" customWidth="1"/>
    <col min="7201" max="7201" width="20.42578125" style="13" customWidth="1"/>
    <col min="7202" max="7202" width="24.7109375" style="13" customWidth="1"/>
    <col min="7203" max="7203" width="14.140625" style="13" customWidth="1"/>
    <col min="7204" max="7204" width="13" style="13" customWidth="1"/>
    <col min="7205" max="7205" width="17.140625" style="13" customWidth="1"/>
    <col min="7206" max="7206" width="16.5703125" style="13" customWidth="1"/>
    <col min="7207" max="7207" width="28.7109375" style="13" customWidth="1"/>
    <col min="7208" max="7401" width="11.42578125" style="13"/>
    <col min="7402" max="7402" width="13.140625" style="13" customWidth="1"/>
    <col min="7403" max="7403" width="4" style="13" customWidth="1"/>
    <col min="7404" max="7404" width="12.85546875" style="13" customWidth="1"/>
    <col min="7405" max="7405" width="14.7109375" style="13" customWidth="1"/>
    <col min="7406" max="7406" width="10" style="13" customWidth="1"/>
    <col min="7407" max="7407" width="6.28515625" style="13" customWidth="1"/>
    <col min="7408" max="7408" width="14.42578125" style="13" customWidth="1"/>
    <col min="7409" max="7409" width="8.5703125" style="13" customWidth="1"/>
    <col min="7410" max="7410" width="19.42578125" style="13" customWidth="1"/>
    <col min="7411" max="7411" width="11.5703125" style="13" customWidth="1"/>
    <col min="7412" max="7412" width="56.42578125" style="13" bestFit="1" customWidth="1"/>
    <col min="7413" max="7413" width="22.7109375" style="13" customWidth="1"/>
    <col min="7414" max="7414" width="14.140625" style="13" customWidth="1"/>
    <col min="7415" max="7415" width="12.28515625" style="13" customWidth="1"/>
    <col min="7416" max="7416" width="30.28515625" style="13" customWidth="1"/>
    <col min="7417" max="7417" width="10.42578125" style="13" customWidth="1"/>
    <col min="7418" max="7418" width="23.85546875" style="13" customWidth="1"/>
    <col min="7419" max="7419" width="16.5703125" style="13" customWidth="1"/>
    <col min="7420" max="7420" width="22.42578125" style="13" customWidth="1"/>
    <col min="7421" max="7421" width="34.5703125" style="13" customWidth="1"/>
    <col min="7422" max="7422" width="44.140625" style="13" customWidth="1"/>
    <col min="7423" max="7423" width="30.5703125" style="13" customWidth="1"/>
    <col min="7424" max="7426" width="29.5703125" style="13" customWidth="1"/>
    <col min="7427" max="7427" width="11.7109375" style="13" customWidth="1"/>
    <col min="7428" max="7428" width="25.7109375" style="13" customWidth="1"/>
    <col min="7429" max="7430" width="8.85546875" style="13" customWidth="1"/>
    <col min="7431" max="7433" width="9" style="13" customWidth="1"/>
    <col min="7434" max="7436" width="7.28515625" style="13" customWidth="1"/>
    <col min="7437" max="7438" width="8.42578125" style="13" customWidth="1"/>
    <col min="7439" max="7440" width="7.28515625" style="13" customWidth="1"/>
    <col min="7441" max="7442" width="8.42578125" style="13" customWidth="1"/>
    <col min="7443" max="7452" width="7.28515625" style="13" customWidth="1"/>
    <col min="7453" max="7453" width="22.5703125" style="13" bestFit="1" customWidth="1"/>
    <col min="7454" max="7454" width="25.5703125" style="13" customWidth="1"/>
    <col min="7455" max="7455" width="19.7109375" style="13" customWidth="1"/>
    <col min="7456" max="7456" width="19.42578125" style="13" bestFit="1" customWidth="1"/>
    <col min="7457" max="7457" width="20.42578125" style="13" customWidth="1"/>
    <col min="7458" max="7458" width="24.7109375" style="13" customWidth="1"/>
    <col min="7459" max="7459" width="14.140625" style="13" customWidth="1"/>
    <col min="7460" max="7460" width="13" style="13" customWidth="1"/>
    <col min="7461" max="7461" width="17.140625" style="13" customWidth="1"/>
    <col min="7462" max="7462" width="16.5703125" style="13" customWidth="1"/>
    <col min="7463" max="7463" width="28.7109375" style="13" customWidth="1"/>
    <col min="7464" max="7657" width="11.42578125" style="13"/>
    <col min="7658" max="7658" width="13.140625" style="13" customWidth="1"/>
    <col min="7659" max="7659" width="4" style="13" customWidth="1"/>
    <col min="7660" max="7660" width="12.85546875" style="13" customWidth="1"/>
    <col min="7661" max="7661" width="14.7109375" style="13" customWidth="1"/>
    <col min="7662" max="7662" width="10" style="13" customWidth="1"/>
    <col min="7663" max="7663" width="6.28515625" style="13" customWidth="1"/>
    <col min="7664" max="7664" width="14.42578125" style="13" customWidth="1"/>
    <col min="7665" max="7665" width="8.5703125" style="13" customWidth="1"/>
    <col min="7666" max="7666" width="19.42578125" style="13" customWidth="1"/>
    <col min="7667" max="7667" width="11.5703125" style="13" customWidth="1"/>
    <col min="7668" max="7668" width="56.42578125" style="13" bestFit="1" customWidth="1"/>
    <col min="7669" max="7669" width="22.7109375" style="13" customWidth="1"/>
    <col min="7670" max="7670" width="14.140625" style="13" customWidth="1"/>
    <col min="7671" max="7671" width="12.28515625" style="13" customWidth="1"/>
    <col min="7672" max="7672" width="30.28515625" style="13" customWidth="1"/>
    <col min="7673" max="7673" width="10.42578125" style="13" customWidth="1"/>
    <col min="7674" max="7674" width="23.85546875" style="13" customWidth="1"/>
    <col min="7675" max="7675" width="16.5703125" style="13" customWidth="1"/>
    <col min="7676" max="7676" width="22.42578125" style="13" customWidth="1"/>
    <col min="7677" max="7677" width="34.5703125" style="13" customWidth="1"/>
    <col min="7678" max="7678" width="44.140625" style="13" customWidth="1"/>
    <col min="7679" max="7679" width="30.5703125" style="13" customWidth="1"/>
    <col min="7680" max="7682" width="29.5703125" style="13" customWidth="1"/>
    <col min="7683" max="7683" width="11.7109375" style="13" customWidth="1"/>
    <col min="7684" max="7684" width="25.7109375" style="13" customWidth="1"/>
    <col min="7685" max="7686" width="8.85546875" style="13" customWidth="1"/>
    <col min="7687" max="7689" width="9" style="13" customWidth="1"/>
    <col min="7690" max="7692" width="7.28515625" style="13" customWidth="1"/>
    <col min="7693" max="7694" width="8.42578125" style="13" customWidth="1"/>
    <col min="7695" max="7696" width="7.28515625" style="13" customWidth="1"/>
    <col min="7697" max="7698" width="8.42578125" style="13" customWidth="1"/>
    <col min="7699" max="7708" width="7.28515625" style="13" customWidth="1"/>
    <col min="7709" max="7709" width="22.5703125" style="13" bestFit="1" customWidth="1"/>
    <col min="7710" max="7710" width="25.5703125" style="13" customWidth="1"/>
    <col min="7711" max="7711" width="19.7109375" style="13" customWidth="1"/>
    <col min="7712" max="7712" width="19.42578125" style="13" bestFit="1" customWidth="1"/>
    <col min="7713" max="7713" width="20.42578125" style="13" customWidth="1"/>
    <col min="7714" max="7714" width="24.7109375" style="13" customWidth="1"/>
    <col min="7715" max="7715" width="14.140625" style="13" customWidth="1"/>
    <col min="7716" max="7716" width="13" style="13" customWidth="1"/>
    <col min="7717" max="7717" width="17.140625" style="13" customWidth="1"/>
    <col min="7718" max="7718" width="16.5703125" style="13" customWidth="1"/>
    <col min="7719" max="7719" width="28.7109375" style="13" customWidth="1"/>
    <col min="7720" max="7913" width="11.42578125" style="13"/>
    <col min="7914" max="7914" width="13.140625" style="13" customWidth="1"/>
    <col min="7915" max="7915" width="4" style="13" customWidth="1"/>
    <col min="7916" max="7916" width="12.85546875" style="13" customWidth="1"/>
    <col min="7917" max="7917" width="14.7109375" style="13" customWidth="1"/>
    <col min="7918" max="7918" width="10" style="13" customWidth="1"/>
    <col min="7919" max="7919" width="6.28515625" style="13" customWidth="1"/>
    <col min="7920" max="7920" width="14.42578125" style="13" customWidth="1"/>
    <col min="7921" max="7921" width="8.5703125" style="13" customWidth="1"/>
    <col min="7922" max="7922" width="19.42578125" style="13" customWidth="1"/>
    <col min="7923" max="7923" width="11.5703125" style="13" customWidth="1"/>
    <col min="7924" max="7924" width="56.42578125" style="13" bestFit="1" customWidth="1"/>
    <col min="7925" max="7925" width="22.7109375" style="13" customWidth="1"/>
    <col min="7926" max="7926" width="14.140625" style="13" customWidth="1"/>
    <col min="7927" max="7927" width="12.28515625" style="13" customWidth="1"/>
    <col min="7928" max="7928" width="30.28515625" style="13" customWidth="1"/>
    <col min="7929" max="7929" width="10.42578125" style="13" customWidth="1"/>
    <col min="7930" max="7930" width="23.85546875" style="13" customWidth="1"/>
    <col min="7931" max="7931" width="16.5703125" style="13" customWidth="1"/>
    <col min="7932" max="7932" width="22.42578125" style="13" customWidth="1"/>
    <col min="7933" max="7933" width="34.5703125" style="13" customWidth="1"/>
    <col min="7934" max="7934" width="44.140625" style="13" customWidth="1"/>
    <col min="7935" max="7935" width="30.5703125" style="13" customWidth="1"/>
    <col min="7936" max="7938" width="29.5703125" style="13" customWidth="1"/>
    <col min="7939" max="7939" width="11.7109375" style="13" customWidth="1"/>
    <col min="7940" max="7940" width="25.7109375" style="13" customWidth="1"/>
    <col min="7941" max="7942" width="8.85546875" style="13" customWidth="1"/>
    <col min="7943" max="7945" width="9" style="13" customWidth="1"/>
    <col min="7946" max="7948" width="7.28515625" style="13" customWidth="1"/>
    <col min="7949" max="7950" width="8.42578125" style="13" customWidth="1"/>
    <col min="7951" max="7952" width="7.28515625" style="13" customWidth="1"/>
    <col min="7953" max="7954" width="8.42578125" style="13" customWidth="1"/>
    <col min="7955" max="7964" width="7.28515625" style="13" customWidth="1"/>
    <col min="7965" max="7965" width="22.5703125" style="13" bestFit="1" customWidth="1"/>
    <col min="7966" max="7966" width="25.5703125" style="13" customWidth="1"/>
    <col min="7967" max="7967" width="19.7109375" style="13" customWidth="1"/>
    <col min="7968" max="7968" width="19.42578125" style="13" bestFit="1" customWidth="1"/>
    <col min="7969" max="7969" width="20.42578125" style="13" customWidth="1"/>
    <col min="7970" max="7970" width="24.7109375" style="13" customWidth="1"/>
    <col min="7971" max="7971" width="14.140625" style="13" customWidth="1"/>
    <col min="7972" max="7972" width="13" style="13" customWidth="1"/>
    <col min="7973" max="7973" width="17.140625" style="13" customWidth="1"/>
    <col min="7974" max="7974" width="16.5703125" style="13" customWidth="1"/>
    <col min="7975" max="7975" width="28.7109375" style="13" customWidth="1"/>
    <col min="7976" max="8169" width="11.42578125" style="13"/>
    <col min="8170" max="8170" width="13.140625" style="13" customWidth="1"/>
    <col min="8171" max="8171" width="4" style="13" customWidth="1"/>
    <col min="8172" max="8172" width="12.85546875" style="13" customWidth="1"/>
    <col min="8173" max="8173" width="14.7109375" style="13" customWidth="1"/>
    <col min="8174" max="8174" width="10" style="13" customWidth="1"/>
    <col min="8175" max="8175" width="6.28515625" style="13" customWidth="1"/>
    <col min="8176" max="8176" width="14.42578125" style="13" customWidth="1"/>
    <col min="8177" max="8177" width="8.5703125" style="13" customWidth="1"/>
    <col min="8178" max="8178" width="19.42578125" style="13" customWidth="1"/>
    <col min="8179" max="8179" width="11.5703125" style="13" customWidth="1"/>
    <col min="8180" max="8180" width="56.42578125" style="13" bestFit="1" customWidth="1"/>
    <col min="8181" max="8181" width="22.7109375" style="13" customWidth="1"/>
    <col min="8182" max="8182" width="14.140625" style="13" customWidth="1"/>
    <col min="8183" max="8183" width="12.28515625" style="13" customWidth="1"/>
    <col min="8184" max="8184" width="30.28515625" style="13" customWidth="1"/>
    <col min="8185" max="8185" width="10.42578125" style="13" customWidth="1"/>
    <col min="8186" max="8186" width="23.85546875" style="13" customWidth="1"/>
    <col min="8187" max="8187" width="16.5703125" style="13" customWidth="1"/>
    <col min="8188" max="8188" width="22.42578125" style="13" customWidth="1"/>
    <col min="8189" max="8189" width="34.5703125" style="13" customWidth="1"/>
    <col min="8190" max="8190" width="44.140625" style="13" customWidth="1"/>
    <col min="8191" max="8191" width="30.5703125" style="13" customWidth="1"/>
    <col min="8192" max="8194" width="29.5703125" style="13" customWidth="1"/>
    <col min="8195" max="8195" width="11.7109375" style="13" customWidth="1"/>
    <col min="8196" max="8196" width="25.7109375" style="13" customWidth="1"/>
    <col min="8197" max="8198" width="8.85546875" style="13" customWidth="1"/>
    <col min="8199" max="8201" width="9" style="13" customWidth="1"/>
    <col min="8202" max="8204" width="7.28515625" style="13" customWidth="1"/>
    <col min="8205" max="8206" width="8.42578125" style="13" customWidth="1"/>
    <col min="8207" max="8208" width="7.28515625" style="13" customWidth="1"/>
    <col min="8209" max="8210" width="8.42578125" style="13" customWidth="1"/>
    <col min="8211" max="8220" width="7.28515625" style="13" customWidth="1"/>
    <col min="8221" max="8221" width="22.5703125" style="13" bestFit="1" customWidth="1"/>
    <col min="8222" max="8222" width="25.5703125" style="13" customWidth="1"/>
    <col min="8223" max="8223" width="19.7109375" style="13" customWidth="1"/>
    <col min="8224" max="8224" width="19.42578125" style="13" bestFit="1" customWidth="1"/>
    <col min="8225" max="8225" width="20.42578125" style="13" customWidth="1"/>
    <col min="8226" max="8226" width="24.7109375" style="13" customWidth="1"/>
    <col min="8227" max="8227" width="14.140625" style="13" customWidth="1"/>
    <col min="8228" max="8228" width="13" style="13" customWidth="1"/>
    <col min="8229" max="8229" width="17.140625" style="13" customWidth="1"/>
    <col min="8230" max="8230" width="16.5703125" style="13" customWidth="1"/>
    <col min="8231" max="8231" width="28.7109375" style="13" customWidth="1"/>
    <col min="8232" max="8425" width="11.42578125" style="13"/>
    <col min="8426" max="8426" width="13.140625" style="13" customWidth="1"/>
    <col min="8427" max="8427" width="4" style="13" customWidth="1"/>
    <col min="8428" max="8428" width="12.85546875" style="13" customWidth="1"/>
    <col min="8429" max="8429" width="14.7109375" style="13" customWidth="1"/>
    <col min="8430" max="8430" width="10" style="13" customWidth="1"/>
    <col min="8431" max="8431" width="6.28515625" style="13" customWidth="1"/>
    <col min="8432" max="8432" width="14.42578125" style="13" customWidth="1"/>
    <col min="8433" max="8433" width="8.5703125" style="13" customWidth="1"/>
    <col min="8434" max="8434" width="19.42578125" style="13" customWidth="1"/>
    <col min="8435" max="8435" width="11.5703125" style="13" customWidth="1"/>
    <col min="8436" max="8436" width="56.42578125" style="13" bestFit="1" customWidth="1"/>
    <col min="8437" max="8437" width="22.7109375" style="13" customWidth="1"/>
    <col min="8438" max="8438" width="14.140625" style="13" customWidth="1"/>
    <col min="8439" max="8439" width="12.28515625" style="13" customWidth="1"/>
    <col min="8440" max="8440" width="30.28515625" style="13" customWidth="1"/>
    <col min="8441" max="8441" width="10.42578125" style="13" customWidth="1"/>
    <col min="8442" max="8442" width="23.85546875" style="13" customWidth="1"/>
    <col min="8443" max="8443" width="16.5703125" style="13" customWidth="1"/>
    <col min="8444" max="8444" width="22.42578125" style="13" customWidth="1"/>
    <col min="8445" max="8445" width="34.5703125" style="13" customWidth="1"/>
    <col min="8446" max="8446" width="44.140625" style="13" customWidth="1"/>
    <col min="8447" max="8447" width="30.5703125" style="13" customWidth="1"/>
    <col min="8448" max="8450" width="29.5703125" style="13" customWidth="1"/>
    <col min="8451" max="8451" width="11.7109375" style="13" customWidth="1"/>
    <col min="8452" max="8452" width="25.7109375" style="13" customWidth="1"/>
    <col min="8453" max="8454" width="8.85546875" style="13" customWidth="1"/>
    <col min="8455" max="8457" width="9" style="13" customWidth="1"/>
    <col min="8458" max="8460" width="7.28515625" style="13" customWidth="1"/>
    <col min="8461" max="8462" width="8.42578125" style="13" customWidth="1"/>
    <col min="8463" max="8464" width="7.28515625" style="13" customWidth="1"/>
    <col min="8465" max="8466" width="8.42578125" style="13" customWidth="1"/>
    <col min="8467" max="8476" width="7.28515625" style="13" customWidth="1"/>
    <col min="8477" max="8477" width="22.5703125" style="13" bestFit="1" customWidth="1"/>
    <col min="8478" max="8478" width="25.5703125" style="13" customWidth="1"/>
    <col min="8479" max="8479" width="19.7109375" style="13" customWidth="1"/>
    <col min="8480" max="8480" width="19.42578125" style="13" bestFit="1" customWidth="1"/>
    <col min="8481" max="8481" width="20.42578125" style="13" customWidth="1"/>
    <col min="8482" max="8482" width="24.7109375" style="13" customWidth="1"/>
    <col min="8483" max="8483" width="14.140625" style="13" customWidth="1"/>
    <col min="8484" max="8484" width="13" style="13" customWidth="1"/>
    <col min="8485" max="8485" width="17.140625" style="13" customWidth="1"/>
    <col min="8486" max="8486" width="16.5703125" style="13" customWidth="1"/>
    <col min="8487" max="8487" width="28.7109375" style="13" customWidth="1"/>
    <col min="8488" max="8681" width="11.42578125" style="13"/>
    <col min="8682" max="8682" width="13.140625" style="13" customWidth="1"/>
    <col min="8683" max="8683" width="4" style="13" customWidth="1"/>
    <col min="8684" max="8684" width="12.85546875" style="13" customWidth="1"/>
    <col min="8685" max="8685" width="14.7109375" style="13" customWidth="1"/>
    <col min="8686" max="8686" width="10" style="13" customWidth="1"/>
    <col min="8687" max="8687" width="6.28515625" style="13" customWidth="1"/>
    <col min="8688" max="8688" width="14.42578125" style="13" customWidth="1"/>
    <col min="8689" max="8689" width="8.5703125" style="13" customWidth="1"/>
    <col min="8690" max="8690" width="19.42578125" style="13" customWidth="1"/>
    <col min="8691" max="8691" width="11.5703125" style="13" customWidth="1"/>
    <col min="8692" max="8692" width="56.42578125" style="13" bestFit="1" customWidth="1"/>
    <col min="8693" max="8693" width="22.7109375" style="13" customWidth="1"/>
    <col min="8694" max="8694" width="14.140625" style="13" customWidth="1"/>
    <col min="8695" max="8695" width="12.28515625" style="13" customWidth="1"/>
    <col min="8696" max="8696" width="30.28515625" style="13" customWidth="1"/>
    <col min="8697" max="8697" width="10.42578125" style="13" customWidth="1"/>
    <col min="8698" max="8698" width="23.85546875" style="13" customWidth="1"/>
    <col min="8699" max="8699" width="16.5703125" style="13" customWidth="1"/>
    <col min="8700" max="8700" width="22.42578125" style="13" customWidth="1"/>
    <col min="8701" max="8701" width="34.5703125" style="13" customWidth="1"/>
    <col min="8702" max="8702" width="44.140625" style="13" customWidth="1"/>
    <col min="8703" max="8703" width="30.5703125" style="13" customWidth="1"/>
    <col min="8704" max="8706" width="29.5703125" style="13" customWidth="1"/>
    <col min="8707" max="8707" width="11.7109375" style="13" customWidth="1"/>
    <col min="8708" max="8708" width="25.7109375" style="13" customWidth="1"/>
    <col min="8709" max="8710" width="8.85546875" style="13" customWidth="1"/>
    <col min="8711" max="8713" width="9" style="13" customWidth="1"/>
    <col min="8714" max="8716" width="7.28515625" style="13" customWidth="1"/>
    <col min="8717" max="8718" width="8.42578125" style="13" customWidth="1"/>
    <col min="8719" max="8720" width="7.28515625" style="13" customWidth="1"/>
    <col min="8721" max="8722" width="8.42578125" style="13" customWidth="1"/>
    <col min="8723" max="8732" width="7.28515625" style="13" customWidth="1"/>
    <col min="8733" max="8733" width="22.5703125" style="13" bestFit="1" customWidth="1"/>
    <col min="8734" max="8734" width="25.5703125" style="13" customWidth="1"/>
    <col min="8735" max="8735" width="19.7109375" style="13" customWidth="1"/>
    <col min="8736" max="8736" width="19.42578125" style="13" bestFit="1" customWidth="1"/>
    <col min="8737" max="8737" width="20.42578125" style="13" customWidth="1"/>
    <col min="8738" max="8738" width="24.7109375" style="13" customWidth="1"/>
    <col min="8739" max="8739" width="14.140625" style="13" customWidth="1"/>
    <col min="8740" max="8740" width="13" style="13" customWidth="1"/>
    <col min="8741" max="8741" width="17.140625" style="13" customWidth="1"/>
    <col min="8742" max="8742" width="16.5703125" style="13" customWidth="1"/>
    <col min="8743" max="8743" width="28.7109375" style="13" customWidth="1"/>
    <col min="8744" max="8937" width="11.42578125" style="13"/>
    <col min="8938" max="8938" width="13.140625" style="13" customWidth="1"/>
    <col min="8939" max="8939" width="4" style="13" customWidth="1"/>
    <col min="8940" max="8940" width="12.85546875" style="13" customWidth="1"/>
    <col min="8941" max="8941" width="14.7109375" style="13" customWidth="1"/>
    <col min="8942" max="8942" width="10" style="13" customWidth="1"/>
    <col min="8943" max="8943" width="6.28515625" style="13" customWidth="1"/>
    <col min="8944" max="8944" width="14.42578125" style="13" customWidth="1"/>
    <col min="8945" max="8945" width="8.5703125" style="13" customWidth="1"/>
    <col min="8946" max="8946" width="19.42578125" style="13" customWidth="1"/>
    <col min="8947" max="8947" width="11.5703125" style="13" customWidth="1"/>
    <col min="8948" max="8948" width="56.42578125" style="13" bestFit="1" customWidth="1"/>
    <col min="8949" max="8949" width="22.7109375" style="13" customWidth="1"/>
    <col min="8950" max="8950" width="14.140625" style="13" customWidth="1"/>
    <col min="8951" max="8951" width="12.28515625" style="13" customWidth="1"/>
    <col min="8952" max="8952" width="30.28515625" style="13" customWidth="1"/>
    <col min="8953" max="8953" width="10.42578125" style="13" customWidth="1"/>
    <col min="8954" max="8954" width="23.85546875" style="13" customWidth="1"/>
    <col min="8955" max="8955" width="16.5703125" style="13" customWidth="1"/>
    <col min="8956" max="8956" width="22.42578125" style="13" customWidth="1"/>
    <col min="8957" max="8957" width="34.5703125" style="13" customWidth="1"/>
    <col min="8958" max="8958" width="44.140625" style="13" customWidth="1"/>
    <col min="8959" max="8959" width="30.5703125" style="13" customWidth="1"/>
    <col min="8960" max="8962" width="29.5703125" style="13" customWidth="1"/>
    <col min="8963" max="8963" width="11.7109375" style="13" customWidth="1"/>
    <col min="8964" max="8964" width="25.7109375" style="13" customWidth="1"/>
    <col min="8965" max="8966" width="8.85546875" style="13" customWidth="1"/>
    <col min="8967" max="8969" width="9" style="13" customWidth="1"/>
    <col min="8970" max="8972" width="7.28515625" style="13" customWidth="1"/>
    <col min="8973" max="8974" width="8.42578125" style="13" customWidth="1"/>
    <col min="8975" max="8976" width="7.28515625" style="13" customWidth="1"/>
    <col min="8977" max="8978" width="8.42578125" style="13" customWidth="1"/>
    <col min="8979" max="8988" width="7.28515625" style="13" customWidth="1"/>
    <col min="8989" max="8989" width="22.5703125" style="13" bestFit="1" customWidth="1"/>
    <col min="8990" max="8990" width="25.5703125" style="13" customWidth="1"/>
    <col min="8991" max="8991" width="19.7109375" style="13" customWidth="1"/>
    <col min="8992" max="8992" width="19.42578125" style="13" bestFit="1" customWidth="1"/>
    <col min="8993" max="8993" width="20.42578125" style="13" customWidth="1"/>
    <col min="8994" max="8994" width="24.7109375" style="13" customWidth="1"/>
    <col min="8995" max="8995" width="14.140625" style="13" customWidth="1"/>
    <col min="8996" max="8996" width="13" style="13" customWidth="1"/>
    <col min="8997" max="8997" width="17.140625" style="13" customWidth="1"/>
    <col min="8998" max="8998" width="16.5703125" style="13" customWidth="1"/>
    <col min="8999" max="8999" width="28.7109375" style="13" customWidth="1"/>
    <col min="9000" max="9193" width="11.42578125" style="13"/>
    <col min="9194" max="9194" width="13.140625" style="13" customWidth="1"/>
    <col min="9195" max="9195" width="4" style="13" customWidth="1"/>
    <col min="9196" max="9196" width="12.85546875" style="13" customWidth="1"/>
    <col min="9197" max="9197" width="14.7109375" style="13" customWidth="1"/>
    <col min="9198" max="9198" width="10" style="13" customWidth="1"/>
    <col min="9199" max="9199" width="6.28515625" style="13" customWidth="1"/>
    <col min="9200" max="9200" width="14.42578125" style="13" customWidth="1"/>
    <col min="9201" max="9201" width="8.5703125" style="13" customWidth="1"/>
    <col min="9202" max="9202" width="19.42578125" style="13" customWidth="1"/>
    <col min="9203" max="9203" width="11.5703125" style="13" customWidth="1"/>
    <col min="9204" max="9204" width="56.42578125" style="13" bestFit="1" customWidth="1"/>
    <col min="9205" max="9205" width="22.7109375" style="13" customWidth="1"/>
    <col min="9206" max="9206" width="14.140625" style="13" customWidth="1"/>
    <col min="9207" max="9207" width="12.28515625" style="13" customWidth="1"/>
    <col min="9208" max="9208" width="30.28515625" style="13" customWidth="1"/>
    <col min="9209" max="9209" width="10.42578125" style="13" customWidth="1"/>
    <col min="9210" max="9210" width="23.85546875" style="13" customWidth="1"/>
    <col min="9211" max="9211" width="16.5703125" style="13" customWidth="1"/>
    <col min="9212" max="9212" width="22.42578125" style="13" customWidth="1"/>
    <col min="9213" max="9213" width="34.5703125" style="13" customWidth="1"/>
    <col min="9214" max="9214" width="44.140625" style="13" customWidth="1"/>
    <col min="9215" max="9215" width="30.5703125" style="13" customWidth="1"/>
    <col min="9216" max="9218" width="29.5703125" style="13" customWidth="1"/>
    <col min="9219" max="9219" width="11.7109375" style="13" customWidth="1"/>
    <col min="9220" max="9220" width="25.7109375" style="13" customWidth="1"/>
    <col min="9221" max="9222" width="8.85546875" style="13" customWidth="1"/>
    <col min="9223" max="9225" width="9" style="13" customWidth="1"/>
    <col min="9226" max="9228" width="7.28515625" style="13" customWidth="1"/>
    <col min="9229" max="9230" width="8.42578125" style="13" customWidth="1"/>
    <col min="9231" max="9232" width="7.28515625" style="13" customWidth="1"/>
    <col min="9233" max="9234" width="8.42578125" style="13" customWidth="1"/>
    <col min="9235" max="9244" width="7.28515625" style="13" customWidth="1"/>
    <col min="9245" max="9245" width="22.5703125" style="13" bestFit="1" customWidth="1"/>
    <col min="9246" max="9246" width="25.5703125" style="13" customWidth="1"/>
    <col min="9247" max="9247" width="19.7109375" style="13" customWidth="1"/>
    <col min="9248" max="9248" width="19.42578125" style="13" bestFit="1" customWidth="1"/>
    <col min="9249" max="9249" width="20.42578125" style="13" customWidth="1"/>
    <col min="9250" max="9250" width="24.7109375" style="13" customWidth="1"/>
    <col min="9251" max="9251" width="14.140625" style="13" customWidth="1"/>
    <col min="9252" max="9252" width="13" style="13" customWidth="1"/>
    <col min="9253" max="9253" width="17.140625" style="13" customWidth="1"/>
    <col min="9254" max="9254" width="16.5703125" style="13" customWidth="1"/>
    <col min="9255" max="9255" width="28.7109375" style="13" customWidth="1"/>
    <col min="9256" max="9449" width="11.42578125" style="13"/>
    <col min="9450" max="9450" width="13.140625" style="13" customWidth="1"/>
    <col min="9451" max="9451" width="4" style="13" customWidth="1"/>
    <col min="9452" max="9452" width="12.85546875" style="13" customWidth="1"/>
    <col min="9453" max="9453" width="14.7109375" style="13" customWidth="1"/>
    <col min="9454" max="9454" width="10" style="13" customWidth="1"/>
    <col min="9455" max="9455" width="6.28515625" style="13" customWidth="1"/>
    <col min="9456" max="9456" width="14.42578125" style="13" customWidth="1"/>
    <col min="9457" max="9457" width="8.5703125" style="13" customWidth="1"/>
    <col min="9458" max="9458" width="19.42578125" style="13" customWidth="1"/>
    <col min="9459" max="9459" width="11.5703125" style="13" customWidth="1"/>
    <col min="9460" max="9460" width="56.42578125" style="13" bestFit="1" customWidth="1"/>
    <col min="9461" max="9461" width="22.7109375" style="13" customWidth="1"/>
    <col min="9462" max="9462" width="14.140625" style="13" customWidth="1"/>
    <col min="9463" max="9463" width="12.28515625" style="13" customWidth="1"/>
    <col min="9464" max="9464" width="30.28515625" style="13" customWidth="1"/>
    <col min="9465" max="9465" width="10.42578125" style="13" customWidth="1"/>
    <col min="9466" max="9466" width="23.85546875" style="13" customWidth="1"/>
    <col min="9467" max="9467" width="16.5703125" style="13" customWidth="1"/>
    <col min="9468" max="9468" width="22.42578125" style="13" customWidth="1"/>
    <col min="9469" max="9469" width="34.5703125" style="13" customWidth="1"/>
    <col min="9470" max="9470" width="44.140625" style="13" customWidth="1"/>
    <col min="9471" max="9471" width="30.5703125" style="13" customWidth="1"/>
    <col min="9472" max="9474" width="29.5703125" style="13" customWidth="1"/>
    <col min="9475" max="9475" width="11.7109375" style="13" customWidth="1"/>
    <col min="9476" max="9476" width="25.7109375" style="13" customWidth="1"/>
    <col min="9477" max="9478" width="8.85546875" style="13" customWidth="1"/>
    <col min="9479" max="9481" width="9" style="13" customWidth="1"/>
    <col min="9482" max="9484" width="7.28515625" style="13" customWidth="1"/>
    <col min="9485" max="9486" width="8.42578125" style="13" customWidth="1"/>
    <col min="9487" max="9488" width="7.28515625" style="13" customWidth="1"/>
    <col min="9489" max="9490" width="8.42578125" style="13" customWidth="1"/>
    <col min="9491" max="9500" width="7.28515625" style="13" customWidth="1"/>
    <col min="9501" max="9501" width="22.5703125" style="13" bestFit="1" customWidth="1"/>
    <col min="9502" max="9502" width="25.5703125" style="13" customWidth="1"/>
    <col min="9503" max="9503" width="19.7109375" style="13" customWidth="1"/>
    <col min="9504" max="9504" width="19.42578125" style="13" bestFit="1" customWidth="1"/>
    <col min="9505" max="9505" width="20.42578125" style="13" customWidth="1"/>
    <col min="9506" max="9506" width="24.7109375" style="13" customWidth="1"/>
    <col min="9507" max="9507" width="14.140625" style="13" customWidth="1"/>
    <col min="9508" max="9508" width="13" style="13" customWidth="1"/>
    <col min="9509" max="9509" width="17.140625" style="13" customWidth="1"/>
    <col min="9510" max="9510" width="16.5703125" style="13" customWidth="1"/>
    <col min="9511" max="9511" width="28.7109375" style="13" customWidth="1"/>
    <col min="9512" max="9705" width="11.42578125" style="13"/>
    <col min="9706" max="9706" width="13.140625" style="13" customWidth="1"/>
    <col min="9707" max="9707" width="4" style="13" customWidth="1"/>
    <col min="9708" max="9708" width="12.85546875" style="13" customWidth="1"/>
    <col min="9709" max="9709" width="14.7109375" style="13" customWidth="1"/>
    <col min="9710" max="9710" width="10" style="13" customWidth="1"/>
    <col min="9711" max="9711" width="6.28515625" style="13" customWidth="1"/>
    <col min="9712" max="9712" width="14.42578125" style="13" customWidth="1"/>
    <col min="9713" max="9713" width="8.5703125" style="13" customWidth="1"/>
    <col min="9714" max="9714" width="19.42578125" style="13" customWidth="1"/>
    <col min="9715" max="9715" width="11.5703125" style="13" customWidth="1"/>
    <col min="9716" max="9716" width="56.42578125" style="13" bestFit="1" customWidth="1"/>
    <col min="9717" max="9717" width="22.7109375" style="13" customWidth="1"/>
    <col min="9718" max="9718" width="14.140625" style="13" customWidth="1"/>
    <col min="9719" max="9719" width="12.28515625" style="13" customWidth="1"/>
    <col min="9720" max="9720" width="30.28515625" style="13" customWidth="1"/>
    <col min="9721" max="9721" width="10.42578125" style="13" customWidth="1"/>
    <col min="9722" max="9722" width="23.85546875" style="13" customWidth="1"/>
    <col min="9723" max="9723" width="16.5703125" style="13" customWidth="1"/>
    <col min="9724" max="9724" width="22.42578125" style="13" customWidth="1"/>
    <col min="9725" max="9725" width="34.5703125" style="13" customWidth="1"/>
    <col min="9726" max="9726" width="44.140625" style="13" customWidth="1"/>
    <col min="9727" max="9727" width="30.5703125" style="13" customWidth="1"/>
    <col min="9728" max="9730" width="29.5703125" style="13" customWidth="1"/>
    <col min="9731" max="9731" width="11.7109375" style="13" customWidth="1"/>
    <col min="9732" max="9732" width="25.7109375" style="13" customWidth="1"/>
    <col min="9733" max="9734" width="8.85546875" style="13" customWidth="1"/>
    <col min="9735" max="9737" width="9" style="13" customWidth="1"/>
    <col min="9738" max="9740" width="7.28515625" style="13" customWidth="1"/>
    <col min="9741" max="9742" width="8.42578125" style="13" customWidth="1"/>
    <col min="9743" max="9744" width="7.28515625" style="13" customWidth="1"/>
    <col min="9745" max="9746" width="8.42578125" style="13" customWidth="1"/>
    <col min="9747" max="9756" width="7.28515625" style="13" customWidth="1"/>
    <col min="9757" max="9757" width="22.5703125" style="13" bestFit="1" customWidth="1"/>
    <col min="9758" max="9758" width="25.5703125" style="13" customWidth="1"/>
    <col min="9759" max="9759" width="19.7109375" style="13" customWidth="1"/>
    <col min="9760" max="9760" width="19.42578125" style="13" bestFit="1" customWidth="1"/>
    <col min="9761" max="9761" width="20.42578125" style="13" customWidth="1"/>
    <col min="9762" max="9762" width="24.7109375" style="13" customWidth="1"/>
    <col min="9763" max="9763" width="14.140625" style="13" customWidth="1"/>
    <col min="9764" max="9764" width="13" style="13" customWidth="1"/>
    <col min="9765" max="9765" width="17.140625" style="13" customWidth="1"/>
    <col min="9766" max="9766" width="16.5703125" style="13" customWidth="1"/>
    <col min="9767" max="9767" width="28.7109375" style="13" customWidth="1"/>
    <col min="9768" max="9961" width="11.42578125" style="13"/>
    <col min="9962" max="9962" width="13.140625" style="13" customWidth="1"/>
    <col min="9963" max="9963" width="4" style="13" customWidth="1"/>
    <col min="9964" max="9964" width="12.85546875" style="13" customWidth="1"/>
    <col min="9965" max="9965" width="14.7109375" style="13" customWidth="1"/>
    <col min="9966" max="9966" width="10" style="13" customWidth="1"/>
    <col min="9967" max="9967" width="6.28515625" style="13" customWidth="1"/>
    <col min="9968" max="9968" width="14.42578125" style="13" customWidth="1"/>
    <col min="9969" max="9969" width="8.5703125" style="13" customWidth="1"/>
    <col min="9970" max="9970" width="19.42578125" style="13" customWidth="1"/>
    <col min="9971" max="9971" width="11.5703125" style="13" customWidth="1"/>
    <col min="9972" max="9972" width="56.42578125" style="13" bestFit="1" customWidth="1"/>
    <col min="9973" max="9973" width="22.7109375" style="13" customWidth="1"/>
    <col min="9974" max="9974" width="14.140625" style="13" customWidth="1"/>
    <col min="9975" max="9975" width="12.28515625" style="13" customWidth="1"/>
    <col min="9976" max="9976" width="30.28515625" style="13" customWidth="1"/>
    <col min="9977" max="9977" width="10.42578125" style="13" customWidth="1"/>
    <col min="9978" max="9978" width="23.85546875" style="13" customWidth="1"/>
    <col min="9979" max="9979" width="16.5703125" style="13" customWidth="1"/>
    <col min="9980" max="9980" width="22.42578125" style="13" customWidth="1"/>
    <col min="9981" max="9981" width="34.5703125" style="13" customWidth="1"/>
    <col min="9982" max="9982" width="44.140625" style="13" customWidth="1"/>
    <col min="9983" max="9983" width="30.5703125" style="13" customWidth="1"/>
    <col min="9984" max="9986" width="29.5703125" style="13" customWidth="1"/>
    <col min="9987" max="9987" width="11.7109375" style="13" customWidth="1"/>
    <col min="9988" max="9988" width="25.7109375" style="13" customWidth="1"/>
    <col min="9989" max="9990" width="8.85546875" style="13" customWidth="1"/>
    <col min="9991" max="9993" width="9" style="13" customWidth="1"/>
    <col min="9994" max="9996" width="7.28515625" style="13" customWidth="1"/>
    <col min="9997" max="9998" width="8.42578125" style="13" customWidth="1"/>
    <col min="9999" max="10000" width="7.28515625" style="13" customWidth="1"/>
    <col min="10001" max="10002" width="8.42578125" style="13" customWidth="1"/>
    <col min="10003" max="10012" width="7.28515625" style="13" customWidth="1"/>
    <col min="10013" max="10013" width="22.5703125" style="13" bestFit="1" customWidth="1"/>
    <col min="10014" max="10014" width="25.5703125" style="13" customWidth="1"/>
    <col min="10015" max="10015" width="19.7109375" style="13" customWidth="1"/>
    <col min="10016" max="10016" width="19.42578125" style="13" bestFit="1" customWidth="1"/>
    <col min="10017" max="10017" width="20.42578125" style="13" customWidth="1"/>
    <col min="10018" max="10018" width="24.7109375" style="13" customWidth="1"/>
    <col min="10019" max="10019" width="14.140625" style="13" customWidth="1"/>
    <col min="10020" max="10020" width="13" style="13" customWidth="1"/>
    <col min="10021" max="10021" width="17.140625" style="13" customWidth="1"/>
    <col min="10022" max="10022" width="16.5703125" style="13" customWidth="1"/>
    <col min="10023" max="10023" width="28.7109375" style="13" customWidth="1"/>
    <col min="10024" max="10217" width="11.42578125" style="13"/>
    <col min="10218" max="10218" width="13.140625" style="13" customWidth="1"/>
    <col min="10219" max="10219" width="4" style="13" customWidth="1"/>
    <col min="10220" max="10220" width="12.85546875" style="13" customWidth="1"/>
    <col min="10221" max="10221" width="14.7109375" style="13" customWidth="1"/>
    <col min="10222" max="10222" width="10" style="13" customWidth="1"/>
    <col min="10223" max="10223" width="6.28515625" style="13" customWidth="1"/>
    <col min="10224" max="10224" width="14.42578125" style="13" customWidth="1"/>
    <col min="10225" max="10225" width="8.5703125" style="13" customWidth="1"/>
    <col min="10226" max="10226" width="19.42578125" style="13" customWidth="1"/>
    <col min="10227" max="10227" width="11.5703125" style="13" customWidth="1"/>
    <col min="10228" max="10228" width="56.42578125" style="13" bestFit="1" customWidth="1"/>
    <col min="10229" max="10229" width="22.7109375" style="13" customWidth="1"/>
    <col min="10230" max="10230" width="14.140625" style="13" customWidth="1"/>
    <col min="10231" max="10231" width="12.28515625" style="13" customWidth="1"/>
    <col min="10232" max="10232" width="30.28515625" style="13" customWidth="1"/>
    <col min="10233" max="10233" width="10.42578125" style="13" customWidth="1"/>
    <col min="10234" max="10234" width="23.85546875" style="13" customWidth="1"/>
    <col min="10235" max="10235" width="16.5703125" style="13" customWidth="1"/>
    <col min="10236" max="10236" width="22.42578125" style="13" customWidth="1"/>
    <col min="10237" max="10237" width="34.5703125" style="13" customWidth="1"/>
    <col min="10238" max="10238" width="44.140625" style="13" customWidth="1"/>
    <col min="10239" max="10239" width="30.5703125" style="13" customWidth="1"/>
    <col min="10240" max="10242" width="29.5703125" style="13" customWidth="1"/>
    <col min="10243" max="10243" width="11.7109375" style="13" customWidth="1"/>
    <col min="10244" max="10244" width="25.7109375" style="13" customWidth="1"/>
    <col min="10245" max="10246" width="8.85546875" style="13" customWidth="1"/>
    <col min="10247" max="10249" width="9" style="13" customWidth="1"/>
    <col min="10250" max="10252" width="7.28515625" style="13" customWidth="1"/>
    <col min="10253" max="10254" width="8.42578125" style="13" customWidth="1"/>
    <col min="10255" max="10256" width="7.28515625" style="13" customWidth="1"/>
    <col min="10257" max="10258" width="8.42578125" style="13" customWidth="1"/>
    <col min="10259" max="10268" width="7.28515625" style="13" customWidth="1"/>
    <col min="10269" max="10269" width="22.5703125" style="13" bestFit="1" customWidth="1"/>
    <col min="10270" max="10270" width="25.5703125" style="13" customWidth="1"/>
    <col min="10271" max="10271" width="19.7109375" style="13" customWidth="1"/>
    <col min="10272" max="10272" width="19.42578125" style="13" bestFit="1" customWidth="1"/>
    <col min="10273" max="10273" width="20.42578125" style="13" customWidth="1"/>
    <col min="10274" max="10274" width="24.7109375" style="13" customWidth="1"/>
    <col min="10275" max="10275" width="14.140625" style="13" customWidth="1"/>
    <col min="10276" max="10276" width="13" style="13" customWidth="1"/>
    <col min="10277" max="10277" width="17.140625" style="13" customWidth="1"/>
    <col min="10278" max="10278" width="16.5703125" style="13" customWidth="1"/>
    <col min="10279" max="10279" width="28.7109375" style="13" customWidth="1"/>
    <col min="10280" max="10473" width="11.42578125" style="13"/>
    <col min="10474" max="10474" width="13.140625" style="13" customWidth="1"/>
    <col min="10475" max="10475" width="4" style="13" customWidth="1"/>
    <col min="10476" max="10476" width="12.85546875" style="13" customWidth="1"/>
    <col min="10477" max="10477" width="14.7109375" style="13" customWidth="1"/>
    <col min="10478" max="10478" width="10" style="13" customWidth="1"/>
    <col min="10479" max="10479" width="6.28515625" style="13" customWidth="1"/>
    <col min="10480" max="10480" width="14.42578125" style="13" customWidth="1"/>
    <col min="10481" max="10481" width="8.5703125" style="13" customWidth="1"/>
    <col min="10482" max="10482" width="19.42578125" style="13" customWidth="1"/>
    <col min="10483" max="10483" width="11.5703125" style="13" customWidth="1"/>
    <col min="10484" max="10484" width="56.42578125" style="13" bestFit="1" customWidth="1"/>
    <col min="10485" max="10485" width="22.7109375" style="13" customWidth="1"/>
    <col min="10486" max="10486" width="14.140625" style="13" customWidth="1"/>
    <col min="10487" max="10487" width="12.28515625" style="13" customWidth="1"/>
    <col min="10488" max="10488" width="30.28515625" style="13" customWidth="1"/>
    <col min="10489" max="10489" width="10.42578125" style="13" customWidth="1"/>
    <col min="10490" max="10490" width="23.85546875" style="13" customWidth="1"/>
    <col min="10491" max="10491" width="16.5703125" style="13" customWidth="1"/>
    <col min="10492" max="10492" width="22.42578125" style="13" customWidth="1"/>
    <col min="10493" max="10493" width="34.5703125" style="13" customWidth="1"/>
    <col min="10494" max="10494" width="44.140625" style="13" customWidth="1"/>
    <col min="10495" max="10495" width="30.5703125" style="13" customWidth="1"/>
    <col min="10496" max="10498" width="29.5703125" style="13" customWidth="1"/>
    <col min="10499" max="10499" width="11.7109375" style="13" customWidth="1"/>
    <col min="10500" max="10500" width="25.7109375" style="13" customWidth="1"/>
    <col min="10501" max="10502" width="8.85546875" style="13" customWidth="1"/>
    <col min="10503" max="10505" width="9" style="13" customWidth="1"/>
    <col min="10506" max="10508" width="7.28515625" style="13" customWidth="1"/>
    <col min="10509" max="10510" width="8.42578125" style="13" customWidth="1"/>
    <col min="10511" max="10512" width="7.28515625" style="13" customWidth="1"/>
    <col min="10513" max="10514" width="8.42578125" style="13" customWidth="1"/>
    <col min="10515" max="10524" width="7.28515625" style="13" customWidth="1"/>
    <col min="10525" max="10525" width="22.5703125" style="13" bestFit="1" customWidth="1"/>
    <col min="10526" max="10526" width="25.5703125" style="13" customWidth="1"/>
    <col min="10527" max="10527" width="19.7109375" style="13" customWidth="1"/>
    <col min="10528" max="10528" width="19.42578125" style="13" bestFit="1" customWidth="1"/>
    <col min="10529" max="10529" width="20.42578125" style="13" customWidth="1"/>
    <col min="10530" max="10530" width="24.7109375" style="13" customWidth="1"/>
    <col min="10531" max="10531" width="14.140625" style="13" customWidth="1"/>
    <col min="10532" max="10532" width="13" style="13" customWidth="1"/>
    <col min="10533" max="10533" width="17.140625" style="13" customWidth="1"/>
    <col min="10534" max="10534" width="16.5703125" style="13" customWidth="1"/>
    <col min="10535" max="10535" width="28.7109375" style="13" customWidth="1"/>
    <col min="10536" max="10729" width="11.42578125" style="13"/>
    <col min="10730" max="10730" width="13.140625" style="13" customWidth="1"/>
    <col min="10731" max="10731" width="4" style="13" customWidth="1"/>
    <col min="10732" max="10732" width="12.85546875" style="13" customWidth="1"/>
    <col min="10733" max="10733" width="14.7109375" style="13" customWidth="1"/>
    <col min="10734" max="10734" width="10" style="13" customWidth="1"/>
    <col min="10735" max="10735" width="6.28515625" style="13" customWidth="1"/>
    <col min="10736" max="10736" width="14.42578125" style="13" customWidth="1"/>
    <col min="10737" max="10737" width="8.5703125" style="13" customWidth="1"/>
    <col min="10738" max="10738" width="19.42578125" style="13" customWidth="1"/>
    <col min="10739" max="10739" width="11.5703125" style="13" customWidth="1"/>
    <col min="10740" max="10740" width="56.42578125" style="13" bestFit="1" customWidth="1"/>
    <col min="10741" max="10741" width="22.7109375" style="13" customWidth="1"/>
    <col min="10742" max="10742" width="14.140625" style="13" customWidth="1"/>
    <col min="10743" max="10743" width="12.28515625" style="13" customWidth="1"/>
    <col min="10744" max="10744" width="30.28515625" style="13" customWidth="1"/>
    <col min="10745" max="10745" width="10.42578125" style="13" customWidth="1"/>
    <col min="10746" max="10746" width="23.85546875" style="13" customWidth="1"/>
    <col min="10747" max="10747" width="16.5703125" style="13" customWidth="1"/>
    <col min="10748" max="10748" width="22.42578125" style="13" customWidth="1"/>
    <col min="10749" max="10749" width="34.5703125" style="13" customWidth="1"/>
    <col min="10750" max="10750" width="44.140625" style="13" customWidth="1"/>
    <col min="10751" max="10751" width="30.5703125" style="13" customWidth="1"/>
    <col min="10752" max="10754" width="29.5703125" style="13" customWidth="1"/>
    <col min="10755" max="10755" width="11.7109375" style="13" customWidth="1"/>
    <col min="10756" max="10756" width="25.7109375" style="13" customWidth="1"/>
    <col min="10757" max="10758" width="8.85546875" style="13" customWidth="1"/>
    <col min="10759" max="10761" width="9" style="13" customWidth="1"/>
    <col min="10762" max="10764" width="7.28515625" style="13" customWidth="1"/>
    <col min="10765" max="10766" width="8.42578125" style="13" customWidth="1"/>
    <col min="10767" max="10768" width="7.28515625" style="13" customWidth="1"/>
    <col min="10769" max="10770" width="8.42578125" style="13" customWidth="1"/>
    <col min="10771" max="10780" width="7.28515625" style="13" customWidth="1"/>
    <col min="10781" max="10781" width="22.5703125" style="13" bestFit="1" customWidth="1"/>
    <col min="10782" max="10782" width="25.5703125" style="13" customWidth="1"/>
    <col min="10783" max="10783" width="19.7109375" style="13" customWidth="1"/>
    <col min="10784" max="10784" width="19.42578125" style="13" bestFit="1" customWidth="1"/>
    <col min="10785" max="10785" width="20.42578125" style="13" customWidth="1"/>
    <col min="10786" max="10786" width="24.7109375" style="13" customWidth="1"/>
    <col min="10787" max="10787" width="14.140625" style="13" customWidth="1"/>
    <col min="10788" max="10788" width="13" style="13" customWidth="1"/>
    <col min="10789" max="10789" width="17.140625" style="13" customWidth="1"/>
    <col min="10790" max="10790" width="16.5703125" style="13" customWidth="1"/>
    <col min="10791" max="10791" width="28.7109375" style="13" customWidth="1"/>
    <col min="10792" max="10985" width="11.42578125" style="13"/>
    <col min="10986" max="10986" width="13.140625" style="13" customWidth="1"/>
    <col min="10987" max="10987" width="4" style="13" customWidth="1"/>
    <col min="10988" max="10988" width="12.85546875" style="13" customWidth="1"/>
    <col min="10989" max="10989" width="14.7109375" style="13" customWidth="1"/>
    <col min="10990" max="10990" width="10" style="13" customWidth="1"/>
    <col min="10991" max="10991" width="6.28515625" style="13" customWidth="1"/>
    <col min="10992" max="10992" width="14.42578125" style="13" customWidth="1"/>
    <col min="10993" max="10993" width="8.5703125" style="13" customWidth="1"/>
    <col min="10994" max="10994" width="19.42578125" style="13" customWidth="1"/>
    <col min="10995" max="10995" width="11.5703125" style="13" customWidth="1"/>
    <col min="10996" max="10996" width="56.42578125" style="13" bestFit="1" customWidth="1"/>
    <col min="10997" max="10997" width="22.7109375" style="13" customWidth="1"/>
    <col min="10998" max="10998" width="14.140625" style="13" customWidth="1"/>
    <col min="10999" max="10999" width="12.28515625" style="13" customWidth="1"/>
    <col min="11000" max="11000" width="30.28515625" style="13" customWidth="1"/>
    <col min="11001" max="11001" width="10.42578125" style="13" customWidth="1"/>
    <col min="11002" max="11002" width="23.85546875" style="13" customWidth="1"/>
    <col min="11003" max="11003" width="16.5703125" style="13" customWidth="1"/>
    <col min="11004" max="11004" width="22.42578125" style="13" customWidth="1"/>
    <col min="11005" max="11005" width="34.5703125" style="13" customWidth="1"/>
    <col min="11006" max="11006" width="44.140625" style="13" customWidth="1"/>
    <col min="11007" max="11007" width="30.5703125" style="13" customWidth="1"/>
    <col min="11008" max="11010" width="29.5703125" style="13" customWidth="1"/>
    <col min="11011" max="11011" width="11.7109375" style="13" customWidth="1"/>
    <col min="11012" max="11012" width="25.7109375" style="13" customWidth="1"/>
    <col min="11013" max="11014" width="8.85546875" style="13" customWidth="1"/>
    <col min="11015" max="11017" width="9" style="13" customWidth="1"/>
    <col min="11018" max="11020" width="7.28515625" style="13" customWidth="1"/>
    <col min="11021" max="11022" width="8.42578125" style="13" customWidth="1"/>
    <col min="11023" max="11024" width="7.28515625" style="13" customWidth="1"/>
    <col min="11025" max="11026" width="8.42578125" style="13" customWidth="1"/>
    <col min="11027" max="11036" width="7.28515625" style="13" customWidth="1"/>
    <col min="11037" max="11037" width="22.5703125" style="13" bestFit="1" customWidth="1"/>
    <col min="11038" max="11038" width="25.5703125" style="13" customWidth="1"/>
    <col min="11039" max="11039" width="19.7109375" style="13" customWidth="1"/>
    <col min="11040" max="11040" width="19.42578125" style="13" bestFit="1" customWidth="1"/>
    <col min="11041" max="11041" width="20.42578125" style="13" customWidth="1"/>
    <col min="11042" max="11042" width="24.7109375" style="13" customWidth="1"/>
    <col min="11043" max="11043" width="14.140625" style="13" customWidth="1"/>
    <col min="11044" max="11044" width="13" style="13" customWidth="1"/>
    <col min="11045" max="11045" width="17.140625" style="13" customWidth="1"/>
    <col min="11046" max="11046" width="16.5703125" style="13" customWidth="1"/>
    <col min="11047" max="11047" width="28.7109375" style="13" customWidth="1"/>
    <col min="11048" max="11241" width="11.42578125" style="13"/>
    <col min="11242" max="11242" width="13.140625" style="13" customWidth="1"/>
    <col min="11243" max="11243" width="4" style="13" customWidth="1"/>
    <col min="11244" max="11244" width="12.85546875" style="13" customWidth="1"/>
    <col min="11245" max="11245" width="14.7109375" style="13" customWidth="1"/>
    <col min="11246" max="11246" width="10" style="13" customWidth="1"/>
    <col min="11247" max="11247" width="6.28515625" style="13" customWidth="1"/>
    <col min="11248" max="11248" width="14.42578125" style="13" customWidth="1"/>
    <col min="11249" max="11249" width="8.5703125" style="13" customWidth="1"/>
    <col min="11250" max="11250" width="19.42578125" style="13" customWidth="1"/>
    <col min="11251" max="11251" width="11.5703125" style="13" customWidth="1"/>
    <col min="11252" max="11252" width="56.42578125" style="13" bestFit="1" customWidth="1"/>
    <col min="11253" max="11253" width="22.7109375" style="13" customWidth="1"/>
    <col min="11254" max="11254" width="14.140625" style="13" customWidth="1"/>
    <col min="11255" max="11255" width="12.28515625" style="13" customWidth="1"/>
    <col min="11256" max="11256" width="30.28515625" style="13" customWidth="1"/>
    <col min="11257" max="11257" width="10.42578125" style="13" customWidth="1"/>
    <col min="11258" max="11258" width="23.85546875" style="13" customWidth="1"/>
    <col min="11259" max="11259" width="16.5703125" style="13" customWidth="1"/>
    <col min="11260" max="11260" width="22.42578125" style="13" customWidth="1"/>
    <col min="11261" max="11261" width="34.5703125" style="13" customWidth="1"/>
    <col min="11262" max="11262" width="44.140625" style="13" customWidth="1"/>
    <col min="11263" max="11263" width="30.5703125" style="13" customWidth="1"/>
    <col min="11264" max="11266" width="29.5703125" style="13" customWidth="1"/>
    <col min="11267" max="11267" width="11.7109375" style="13" customWidth="1"/>
    <col min="11268" max="11268" width="25.7109375" style="13" customWidth="1"/>
    <col min="11269" max="11270" width="8.85546875" style="13" customWidth="1"/>
    <col min="11271" max="11273" width="9" style="13" customWidth="1"/>
    <col min="11274" max="11276" width="7.28515625" style="13" customWidth="1"/>
    <col min="11277" max="11278" width="8.42578125" style="13" customWidth="1"/>
    <col min="11279" max="11280" width="7.28515625" style="13" customWidth="1"/>
    <col min="11281" max="11282" width="8.42578125" style="13" customWidth="1"/>
    <col min="11283" max="11292" width="7.28515625" style="13" customWidth="1"/>
    <col min="11293" max="11293" width="22.5703125" style="13" bestFit="1" customWidth="1"/>
    <col min="11294" max="11294" width="25.5703125" style="13" customWidth="1"/>
    <col min="11295" max="11295" width="19.7109375" style="13" customWidth="1"/>
    <col min="11296" max="11296" width="19.42578125" style="13" bestFit="1" customWidth="1"/>
    <col min="11297" max="11297" width="20.42578125" style="13" customWidth="1"/>
    <col min="11298" max="11298" width="24.7109375" style="13" customWidth="1"/>
    <col min="11299" max="11299" width="14.140625" style="13" customWidth="1"/>
    <col min="11300" max="11300" width="13" style="13" customWidth="1"/>
    <col min="11301" max="11301" width="17.140625" style="13" customWidth="1"/>
    <col min="11302" max="11302" width="16.5703125" style="13" customWidth="1"/>
    <col min="11303" max="11303" width="28.7109375" style="13" customWidth="1"/>
    <col min="11304" max="11497" width="11.42578125" style="13"/>
    <col min="11498" max="11498" width="13.140625" style="13" customWidth="1"/>
    <col min="11499" max="11499" width="4" style="13" customWidth="1"/>
    <col min="11500" max="11500" width="12.85546875" style="13" customWidth="1"/>
    <col min="11501" max="11501" width="14.7109375" style="13" customWidth="1"/>
    <col min="11502" max="11502" width="10" style="13" customWidth="1"/>
    <col min="11503" max="11503" width="6.28515625" style="13" customWidth="1"/>
    <col min="11504" max="11504" width="14.42578125" style="13" customWidth="1"/>
    <col min="11505" max="11505" width="8.5703125" style="13" customWidth="1"/>
    <col min="11506" max="11506" width="19.42578125" style="13" customWidth="1"/>
    <col min="11507" max="11507" width="11.5703125" style="13" customWidth="1"/>
    <col min="11508" max="11508" width="56.42578125" style="13" bestFit="1" customWidth="1"/>
    <col min="11509" max="11509" width="22.7109375" style="13" customWidth="1"/>
    <col min="11510" max="11510" width="14.140625" style="13" customWidth="1"/>
    <col min="11511" max="11511" width="12.28515625" style="13" customWidth="1"/>
    <col min="11512" max="11512" width="30.28515625" style="13" customWidth="1"/>
    <col min="11513" max="11513" width="10.42578125" style="13" customWidth="1"/>
    <col min="11514" max="11514" width="23.85546875" style="13" customWidth="1"/>
    <col min="11515" max="11515" width="16.5703125" style="13" customWidth="1"/>
    <col min="11516" max="11516" width="22.42578125" style="13" customWidth="1"/>
    <col min="11517" max="11517" width="34.5703125" style="13" customWidth="1"/>
    <col min="11518" max="11518" width="44.140625" style="13" customWidth="1"/>
    <col min="11519" max="11519" width="30.5703125" style="13" customWidth="1"/>
    <col min="11520" max="11522" width="29.5703125" style="13" customWidth="1"/>
    <col min="11523" max="11523" width="11.7109375" style="13" customWidth="1"/>
    <col min="11524" max="11524" width="25.7109375" style="13" customWidth="1"/>
    <col min="11525" max="11526" width="8.85546875" style="13" customWidth="1"/>
    <col min="11527" max="11529" width="9" style="13" customWidth="1"/>
    <col min="11530" max="11532" width="7.28515625" style="13" customWidth="1"/>
    <col min="11533" max="11534" width="8.42578125" style="13" customWidth="1"/>
    <col min="11535" max="11536" width="7.28515625" style="13" customWidth="1"/>
    <col min="11537" max="11538" width="8.42578125" style="13" customWidth="1"/>
    <col min="11539" max="11548" width="7.28515625" style="13" customWidth="1"/>
    <col min="11549" max="11549" width="22.5703125" style="13" bestFit="1" customWidth="1"/>
    <col min="11550" max="11550" width="25.5703125" style="13" customWidth="1"/>
    <col min="11551" max="11551" width="19.7109375" style="13" customWidth="1"/>
    <col min="11552" max="11552" width="19.42578125" style="13" bestFit="1" customWidth="1"/>
    <col min="11553" max="11553" width="20.42578125" style="13" customWidth="1"/>
    <col min="11554" max="11554" width="24.7109375" style="13" customWidth="1"/>
    <col min="11555" max="11555" width="14.140625" style="13" customWidth="1"/>
    <col min="11556" max="11556" width="13" style="13" customWidth="1"/>
    <col min="11557" max="11557" width="17.140625" style="13" customWidth="1"/>
    <col min="11558" max="11558" width="16.5703125" style="13" customWidth="1"/>
    <col min="11559" max="11559" width="28.7109375" style="13" customWidth="1"/>
    <col min="11560" max="11753" width="11.42578125" style="13"/>
    <col min="11754" max="11754" width="13.140625" style="13" customWidth="1"/>
    <col min="11755" max="11755" width="4" style="13" customWidth="1"/>
    <col min="11756" max="11756" width="12.85546875" style="13" customWidth="1"/>
    <col min="11757" max="11757" width="14.7109375" style="13" customWidth="1"/>
    <col min="11758" max="11758" width="10" style="13" customWidth="1"/>
    <col min="11759" max="11759" width="6.28515625" style="13" customWidth="1"/>
    <col min="11760" max="11760" width="14.42578125" style="13" customWidth="1"/>
    <col min="11761" max="11761" width="8.5703125" style="13" customWidth="1"/>
    <col min="11762" max="11762" width="19.42578125" style="13" customWidth="1"/>
    <col min="11763" max="11763" width="11.5703125" style="13" customWidth="1"/>
    <col min="11764" max="11764" width="56.42578125" style="13" bestFit="1" customWidth="1"/>
    <col min="11765" max="11765" width="22.7109375" style="13" customWidth="1"/>
    <col min="11766" max="11766" width="14.140625" style="13" customWidth="1"/>
    <col min="11767" max="11767" width="12.28515625" style="13" customWidth="1"/>
    <col min="11768" max="11768" width="30.28515625" style="13" customWidth="1"/>
    <col min="11769" max="11769" width="10.42578125" style="13" customWidth="1"/>
    <col min="11770" max="11770" width="23.85546875" style="13" customWidth="1"/>
    <col min="11771" max="11771" width="16.5703125" style="13" customWidth="1"/>
    <col min="11772" max="11772" width="22.42578125" style="13" customWidth="1"/>
    <col min="11773" max="11773" width="34.5703125" style="13" customWidth="1"/>
    <col min="11774" max="11774" width="44.140625" style="13" customWidth="1"/>
    <col min="11775" max="11775" width="30.5703125" style="13" customWidth="1"/>
    <col min="11776" max="11778" width="29.5703125" style="13" customWidth="1"/>
    <col min="11779" max="11779" width="11.7109375" style="13" customWidth="1"/>
    <col min="11780" max="11780" width="25.7109375" style="13" customWidth="1"/>
    <col min="11781" max="11782" width="8.85546875" style="13" customWidth="1"/>
    <col min="11783" max="11785" width="9" style="13" customWidth="1"/>
    <col min="11786" max="11788" width="7.28515625" style="13" customWidth="1"/>
    <col min="11789" max="11790" width="8.42578125" style="13" customWidth="1"/>
    <col min="11791" max="11792" width="7.28515625" style="13" customWidth="1"/>
    <col min="11793" max="11794" width="8.42578125" style="13" customWidth="1"/>
    <col min="11795" max="11804" width="7.28515625" style="13" customWidth="1"/>
    <col min="11805" max="11805" width="22.5703125" style="13" bestFit="1" customWidth="1"/>
    <col min="11806" max="11806" width="25.5703125" style="13" customWidth="1"/>
    <col min="11807" max="11807" width="19.7109375" style="13" customWidth="1"/>
    <col min="11808" max="11808" width="19.42578125" style="13" bestFit="1" customWidth="1"/>
    <col min="11809" max="11809" width="20.42578125" style="13" customWidth="1"/>
    <col min="11810" max="11810" width="24.7109375" style="13" customWidth="1"/>
    <col min="11811" max="11811" width="14.140625" style="13" customWidth="1"/>
    <col min="11812" max="11812" width="13" style="13" customWidth="1"/>
    <col min="11813" max="11813" width="17.140625" style="13" customWidth="1"/>
    <col min="11814" max="11814" width="16.5703125" style="13" customWidth="1"/>
    <col min="11815" max="11815" width="28.7109375" style="13" customWidth="1"/>
    <col min="11816" max="12009" width="11.42578125" style="13"/>
    <col min="12010" max="12010" width="13.140625" style="13" customWidth="1"/>
    <col min="12011" max="12011" width="4" style="13" customWidth="1"/>
    <col min="12012" max="12012" width="12.85546875" style="13" customWidth="1"/>
    <col min="12013" max="12013" width="14.7109375" style="13" customWidth="1"/>
    <col min="12014" max="12014" width="10" style="13" customWidth="1"/>
    <col min="12015" max="12015" width="6.28515625" style="13" customWidth="1"/>
    <col min="12016" max="12016" width="14.42578125" style="13" customWidth="1"/>
    <col min="12017" max="12017" width="8.5703125" style="13" customWidth="1"/>
    <col min="12018" max="12018" width="19.42578125" style="13" customWidth="1"/>
    <col min="12019" max="12019" width="11.5703125" style="13" customWidth="1"/>
    <col min="12020" max="12020" width="56.42578125" style="13" bestFit="1" customWidth="1"/>
    <col min="12021" max="12021" width="22.7109375" style="13" customWidth="1"/>
    <col min="12022" max="12022" width="14.140625" style="13" customWidth="1"/>
    <col min="12023" max="12023" width="12.28515625" style="13" customWidth="1"/>
    <col min="12024" max="12024" width="30.28515625" style="13" customWidth="1"/>
    <col min="12025" max="12025" width="10.42578125" style="13" customWidth="1"/>
    <col min="12026" max="12026" width="23.85546875" style="13" customWidth="1"/>
    <col min="12027" max="12027" width="16.5703125" style="13" customWidth="1"/>
    <col min="12028" max="12028" width="22.42578125" style="13" customWidth="1"/>
    <col min="12029" max="12029" width="34.5703125" style="13" customWidth="1"/>
    <col min="12030" max="12030" width="44.140625" style="13" customWidth="1"/>
    <col min="12031" max="12031" width="30.5703125" style="13" customWidth="1"/>
    <col min="12032" max="12034" width="29.5703125" style="13" customWidth="1"/>
    <col min="12035" max="12035" width="11.7109375" style="13" customWidth="1"/>
    <col min="12036" max="12036" width="25.7109375" style="13" customWidth="1"/>
    <col min="12037" max="12038" width="8.85546875" style="13" customWidth="1"/>
    <col min="12039" max="12041" width="9" style="13" customWidth="1"/>
    <col min="12042" max="12044" width="7.28515625" style="13" customWidth="1"/>
    <col min="12045" max="12046" width="8.42578125" style="13" customWidth="1"/>
    <col min="12047" max="12048" width="7.28515625" style="13" customWidth="1"/>
    <col min="12049" max="12050" width="8.42578125" style="13" customWidth="1"/>
    <col min="12051" max="12060" width="7.28515625" style="13" customWidth="1"/>
    <col min="12061" max="12061" width="22.5703125" style="13" bestFit="1" customWidth="1"/>
    <col min="12062" max="12062" width="25.5703125" style="13" customWidth="1"/>
    <col min="12063" max="12063" width="19.7109375" style="13" customWidth="1"/>
    <col min="12064" max="12064" width="19.42578125" style="13" bestFit="1" customWidth="1"/>
    <col min="12065" max="12065" width="20.42578125" style="13" customWidth="1"/>
    <col min="12066" max="12066" width="24.7109375" style="13" customWidth="1"/>
    <col min="12067" max="12067" width="14.140625" style="13" customWidth="1"/>
    <col min="12068" max="12068" width="13" style="13" customWidth="1"/>
    <col min="12069" max="12069" width="17.140625" style="13" customWidth="1"/>
    <col min="12070" max="12070" width="16.5703125" style="13" customWidth="1"/>
    <col min="12071" max="12071" width="28.7109375" style="13" customWidth="1"/>
    <col min="12072" max="12265" width="11.42578125" style="13"/>
    <col min="12266" max="12266" width="13.140625" style="13" customWidth="1"/>
    <col min="12267" max="12267" width="4" style="13" customWidth="1"/>
    <col min="12268" max="12268" width="12.85546875" style="13" customWidth="1"/>
    <col min="12269" max="12269" width="14.7109375" style="13" customWidth="1"/>
    <col min="12270" max="12270" width="10" style="13" customWidth="1"/>
    <col min="12271" max="12271" width="6.28515625" style="13" customWidth="1"/>
    <col min="12272" max="12272" width="14.42578125" style="13" customWidth="1"/>
    <col min="12273" max="12273" width="8.5703125" style="13" customWidth="1"/>
    <col min="12274" max="12274" width="19.42578125" style="13" customWidth="1"/>
    <col min="12275" max="12275" width="11.5703125" style="13" customWidth="1"/>
    <col min="12276" max="12276" width="56.42578125" style="13" bestFit="1" customWidth="1"/>
    <col min="12277" max="12277" width="22.7109375" style="13" customWidth="1"/>
    <col min="12278" max="12278" width="14.140625" style="13" customWidth="1"/>
    <col min="12279" max="12279" width="12.28515625" style="13" customWidth="1"/>
    <col min="12280" max="12280" width="30.28515625" style="13" customWidth="1"/>
    <col min="12281" max="12281" width="10.42578125" style="13" customWidth="1"/>
    <col min="12282" max="12282" width="23.85546875" style="13" customWidth="1"/>
    <col min="12283" max="12283" width="16.5703125" style="13" customWidth="1"/>
    <col min="12284" max="12284" width="22.42578125" style="13" customWidth="1"/>
    <col min="12285" max="12285" width="34.5703125" style="13" customWidth="1"/>
    <col min="12286" max="12286" width="44.140625" style="13" customWidth="1"/>
    <col min="12287" max="12287" width="30.5703125" style="13" customWidth="1"/>
    <col min="12288" max="12290" width="29.5703125" style="13" customWidth="1"/>
    <col min="12291" max="12291" width="11.7109375" style="13" customWidth="1"/>
    <col min="12292" max="12292" width="25.7109375" style="13" customWidth="1"/>
    <col min="12293" max="12294" width="8.85546875" style="13" customWidth="1"/>
    <col min="12295" max="12297" width="9" style="13" customWidth="1"/>
    <col min="12298" max="12300" width="7.28515625" style="13" customWidth="1"/>
    <col min="12301" max="12302" width="8.42578125" style="13" customWidth="1"/>
    <col min="12303" max="12304" width="7.28515625" style="13" customWidth="1"/>
    <col min="12305" max="12306" width="8.42578125" style="13" customWidth="1"/>
    <col min="12307" max="12316" width="7.28515625" style="13" customWidth="1"/>
    <col min="12317" max="12317" width="22.5703125" style="13" bestFit="1" customWidth="1"/>
    <col min="12318" max="12318" width="25.5703125" style="13" customWidth="1"/>
    <col min="12319" max="12319" width="19.7109375" style="13" customWidth="1"/>
    <col min="12320" max="12320" width="19.42578125" style="13" bestFit="1" customWidth="1"/>
    <col min="12321" max="12321" width="20.42578125" style="13" customWidth="1"/>
    <col min="12322" max="12322" width="24.7109375" style="13" customWidth="1"/>
    <col min="12323" max="12323" width="14.140625" style="13" customWidth="1"/>
    <col min="12324" max="12324" width="13" style="13" customWidth="1"/>
    <col min="12325" max="12325" width="17.140625" style="13" customWidth="1"/>
    <col min="12326" max="12326" width="16.5703125" style="13" customWidth="1"/>
    <col min="12327" max="12327" width="28.7109375" style="13" customWidth="1"/>
    <col min="12328" max="12521" width="11.42578125" style="13"/>
    <col min="12522" max="12522" width="13.140625" style="13" customWidth="1"/>
    <col min="12523" max="12523" width="4" style="13" customWidth="1"/>
    <col min="12524" max="12524" width="12.85546875" style="13" customWidth="1"/>
    <col min="12525" max="12525" width="14.7109375" style="13" customWidth="1"/>
    <col min="12526" max="12526" width="10" style="13" customWidth="1"/>
    <col min="12527" max="12527" width="6.28515625" style="13" customWidth="1"/>
    <col min="12528" max="12528" width="14.42578125" style="13" customWidth="1"/>
    <col min="12529" max="12529" width="8.5703125" style="13" customWidth="1"/>
    <col min="12530" max="12530" width="19.42578125" style="13" customWidth="1"/>
    <col min="12531" max="12531" width="11.5703125" style="13" customWidth="1"/>
    <col min="12532" max="12532" width="56.42578125" style="13" bestFit="1" customWidth="1"/>
    <col min="12533" max="12533" width="22.7109375" style="13" customWidth="1"/>
    <col min="12534" max="12534" width="14.140625" style="13" customWidth="1"/>
    <col min="12535" max="12535" width="12.28515625" style="13" customWidth="1"/>
    <col min="12536" max="12536" width="30.28515625" style="13" customWidth="1"/>
    <col min="12537" max="12537" width="10.42578125" style="13" customWidth="1"/>
    <col min="12538" max="12538" width="23.85546875" style="13" customWidth="1"/>
    <col min="12539" max="12539" width="16.5703125" style="13" customWidth="1"/>
    <col min="12540" max="12540" width="22.42578125" style="13" customWidth="1"/>
    <col min="12541" max="12541" width="34.5703125" style="13" customWidth="1"/>
    <col min="12542" max="12542" width="44.140625" style="13" customWidth="1"/>
    <col min="12543" max="12543" width="30.5703125" style="13" customWidth="1"/>
    <col min="12544" max="12546" width="29.5703125" style="13" customWidth="1"/>
    <col min="12547" max="12547" width="11.7109375" style="13" customWidth="1"/>
    <col min="12548" max="12548" width="25.7109375" style="13" customWidth="1"/>
    <col min="12549" max="12550" width="8.85546875" style="13" customWidth="1"/>
    <col min="12551" max="12553" width="9" style="13" customWidth="1"/>
    <col min="12554" max="12556" width="7.28515625" style="13" customWidth="1"/>
    <col min="12557" max="12558" width="8.42578125" style="13" customWidth="1"/>
    <col min="12559" max="12560" width="7.28515625" style="13" customWidth="1"/>
    <col min="12561" max="12562" width="8.42578125" style="13" customWidth="1"/>
    <col min="12563" max="12572" width="7.28515625" style="13" customWidth="1"/>
    <col min="12573" max="12573" width="22.5703125" style="13" bestFit="1" customWidth="1"/>
    <col min="12574" max="12574" width="25.5703125" style="13" customWidth="1"/>
    <col min="12575" max="12575" width="19.7109375" style="13" customWidth="1"/>
    <col min="12576" max="12576" width="19.42578125" style="13" bestFit="1" customWidth="1"/>
    <col min="12577" max="12577" width="20.42578125" style="13" customWidth="1"/>
    <col min="12578" max="12578" width="24.7109375" style="13" customWidth="1"/>
    <col min="12579" max="12579" width="14.140625" style="13" customWidth="1"/>
    <col min="12580" max="12580" width="13" style="13" customWidth="1"/>
    <col min="12581" max="12581" width="17.140625" style="13" customWidth="1"/>
    <col min="12582" max="12582" width="16.5703125" style="13" customWidth="1"/>
    <col min="12583" max="12583" width="28.7109375" style="13" customWidth="1"/>
    <col min="12584" max="12777" width="11.42578125" style="13"/>
    <col min="12778" max="12778" width="13.140625" style="13" customWidth="1"/>
    <col min="12779" max="12779" width="4" style="13" customWidth="1"/>
    <col min="12780" max="12780" width="12.85546875" style="13" customWidth="1"/>
    <col min="12781" max="12781" width="14.7109375" style="13" customWidth="1"/>
    <col min="12782" max="12782" width="10" style="13" customWidth="1"/>
    <col min="12783" max="12783" width="6.28515625" style="13" customWidth="1"/>
    <col min="12784" max="12784" width="14.42578125" style="13" customWidth="1"/>
    <col min="12785" max="12785" width="8.5703125" style="13" customWidth="1"/>
    <col min="12786" max="12786" width="19.42578125" style="13" customWidth="1"/>
    <col min="12787" max="12787" width="11.5703125" style="13" customWidth="1"/>
    <col min="12788" max="12788" width="56.42578125" style="13" bestFit="1" customWidth="1"/>
    <col min="12789" max="12789" width="22.7109375" style="13" customWidth="1"/>
    <col min="12790" max="12790" width="14.140625" style="13" customWidth="1"/>
    <col min="12791" max="12791" width="12.28515625" style="13" customWidth="1"/>
    <col min="12792" max="12792" width="30.28515625" style="13" customWidth="1"/>
    <col min="12793" max="12793" width="10.42578125" style="13" customWidth="1"/>
    <col min="12794" max="12794" width="23.85546875" style="13" customWidth="1"/>
    <col min="12795" max="12795" width="16.5703125" style="13" customWidth="1"/>
    <col min="12796" max="12796" width="22.42578125" style="13" customWidth="1"/>
    <col min="12797" max="12797" width="34.5703125" style="13" customWidth="1"/>
    <col min="12798" max="12798" width="44.140625" style="13" customWidth="1"/>
    <col min="12799" max="12799" width="30.5703125" style="13" customWidth="1"/>
    <col min="12800" max="12802" width="29.5703125" style="13" customWidth="1"/>
    <col min="12803" max="12803" width="11.7109375" style="13" customWidth="1"/>
    <col min="12804" max="12804" width="25.7109375" style="13" customWidth="1"/>
    <col min="12805" max="12806" width="8.85546875" style="13" customWidth="1"/>
    <col min="12807" max="12809" width="9" style="13" customWidth="1"/>
    <col min="12810" max="12812" width="7.28515625" style="13" customWidth="1"/>
    <col min="12813" max="12814" width="8.42578125" style="13" customWidth="1"/>
    <col min="12815" max="12816" width="7.28515625" style="13" customWidth="1"/>
    <col min="12817" max="12818" width="8.42578125" style="13" customWidth="1"/>
    <col min="12819" max="12828" width="7.28515625" style="13" customWidth="1"/>
    <col min="12829" max="12829" width="22.5703125" style="13" bestFit="1" customWidth="1"/>
    <col min="12830" max="12830" width="25.5703125" style="13" customWidth="1"/>
    <col min="12831" max="12831" width="19.7109375" style="13" customWidth="1"/>
    <col min="12832" max="12832" width="19.42578125" style="13" bestFit="1" customWidth="1"/>
    <col min="12833" max="12833" width="20.42578125" style="13" customWidth="1"/>
    <col min="12834" max="12834" width="24.7109375" style="13" customWidth="1"/>
    <col min="12835" max="12835" width="14.140625" style="13" customWidth="1"/>
    <col min="12836" max="12836" width="13" style="13" customWidth="1"/>
    <col min="12837" max="12837" width="17.140625" style="13" customWidth="1"/>
    <col min="12838" max="12838" width="16.5703125" style="13" customWidth="1"/>
    <col min="12839" max="12839" width="28.7109375" style="13" customWidth="1"/>
    <col min="12840" max="13033" width="11.42578125" style="13"/>
    <col min="13034" max="13034" width="13.140625" style="13" customWidth="1"/>
    <col min="13035" max="13035" width="4" style="13" customWidth="1"/>
    <col min="13036" max="13036" width="12.85546875" style="13" customWidth="1"/>
    <col min="13037" max="13037" width="14.7109375" style="13" customWidth="1"/>
    <col min="13038" max="13038" width="10" style="13" customWidth="1"/>
    <col min="13039" max="13039" width="6.28515625" style="13" customWidth="1"/>
    <col min="13040" max="13040" width="14.42578125" style="13" customWidth="1"/>
    <col min="13041" max="13041" width="8.5703125" style="13" customWidth="1"/>
    <col min="13042" max="13042" width="19.42578125" style="13" customWidth="1"/>
    <col min="13043" max="13043" width="11.5703125" style="13" customWidth="1"/>
    <col min="13044" max="13044" width="56.42578125" style="13" bestFit="1" customWidth="1"/>
    <col min="13045" max="13045" width="22.7109375" style="13" customWidth="1"/>
    <col min="13046" max="13046" width="14.140625" style="13" customWidth="1"/>
    <col min="13047" max="13047" width="12.28515625" style="13" customWidth="1"/>
    <col min="13048" max="13048" width="30.28515625" style="13" customWidth="1"/>
    <col min="13049" max="13049" width="10.42578125" style="13" customWidth="1"/>
    <col min="13050" max="13050" width="23.85546875" style="13" customWidth="1"/>
    <col min="13051" max="13051" width="16.5703125" style="13" customWidth="1"/>
    <col min="13052" max="13052" width="22.42578125" style="13" customWidth="1"/>
    <col min="13053" max="13053" width="34.5703125" style="13" customWidth="1"/>
    <col min="13054" max="13054" width="44.140625" style="13" customWidth="1"/>
    <col min="13055" max="13055" width="30.5703125" style="13" customWidth="1"/>
    <col min="13056" max="13058" width="29.5703125" style="13" customWidth="1"/>
    <col min="13059" max="13059" width="11.7109375" style="13" customWidth="1"/>
    <col min="13060" max="13060" width="25.7109375" style="13" customWidth="1"/>
    <col min="13061" max="13062" width="8.85546875" style="13" customWidth="1"/>
    <col min="13063" max="13065" width="9" style="13" customWidth="1"/>
    <col min="13066" max="13068" width="7.28515625" style="13" customWidth="1"/>
    <col min="13069" max="13070" width="8.42578125" style="13" customWidth="1"/>
    <col min="13071" max="13072" width="7.28515625" style="13" customWidth="1"/>
    <col min="13073" max="13074" width="8.42578125" style="13" customWidth="1"/>
    <col min="13075" max="13084" width="7.28515625" style="13" customWidth="1"/>
    <col min="13085" max="13085" width="22.5703125" style="13" bestFit="1" customWidth="1"/>
    <col min="13086" max="13086" width="25.5703125" style="13" customWidth="1"/>
    <col min="13087" max="13087" width="19.7109375" style="13" customWidth="1"/>
    <col min="13088" max="13088" width="19.42578125" style="13" bestFit="1" customWidth="1"/>
    <col min="13089" max="13089" width="20.42578125" style="13" customWidth="1"/>
    <col min="13090" max="13090" width="24.7109375" style="13" customWidth="1"/>
    <col min="13091" max="13091" width="14.140625" style="13" customWidth="1"/>
    <col min="13092" max="13092" width="13" style="13" customWidth="1"/>
    <col min="13093" max="13093" width="17.140625" style="13" customWidth="1"/>
    <col min="13094" max="13094" width="16.5703125" style="13" customWidth="1"/>
    <col min="13095" max="13095" width="28.7109375" style="13" customWidth="1"/>
    <col min="13096" max="13289" width="11.42578125" style="13"/>
    <col min="13290" max="13290" width="13.140625" style="13" customWidth="1"/>
    <col min="13291" max="13291" width="4" style="13" customWidth="1"/>
    <col min="13292" max="13292" width="12.85546875" style="13" customWidth="1"/>
    <col min="13293" max="13293" width="14.7109375" style="13" customWidth="1"/>
    <col min="13294" max="13294" width="10" style="13" customWidth="1"/>
    <col min="13295" max="13295" width="6.28515625" style="13" customWidth="1"/>
    <col min="13296" max="13296" width="14.42578125" style="13" customWidth="1"/>
    <col min="13297" max="13297" width="8.5703125" style="13" customWidth="1"/>
    <col min="13298" max="13298" width="19.42578125" style="13" customWidth="1"/>
    <col min="13299" max="13299" width="11.5703125" style="13" customWidth="1"/>
    <col min="13300" max="13300" width="56.42578125" style="13" bestFit="1" customWidth="1"/>
    <col min="13301" max="13301" width="22.7109375" style="13" customWidth="1"/>
    <col min="13302" max="13302" width="14.140625" style="13" customWidth="1"/>
    <col min="13303" max="13303" width="12.28515625" style="13" customWidth="1"/>
    <col min="13304" max="13304" width="30.28515625" style="13" customWidth="1"/>
    <col min="13305" max="13305" width="10.42578125" style="13" customWidth="1"/>
    <col min="13306" max="13306" width="23.85546875" style="13" customWidth="1"/>
    <col min="13307" max="13307" width="16.5703125" style="13" customWidth="1"/>
    <col min="13308" max="13308" width="22.42578125" style="13" customWidth="1"/>
    <col min="13309" max="13309" width="34.5703125" style="13" customWidth="1"/>
    <col min="13310" max="13310" width="44.140625" style="13" customWidth="1"/>
    <col min="13311" max="13311" width="30.5703125" style="13" customWidth="1"/>
    <col min="13312" max="13314" width="29.5703125" style="13" customWidth="1"/>
    <col min="13315" max="13315" width="11.7109375" style="13" customWidth="1"/>
    <col min="13316" max="13316" width="25.7109375" style="13" customWidth="1"/>
    <col min="13317" max="13318" width="8.85546875" style="13" customWidth="1"/>
    <col min="13319" max="13321" width="9" style="13" customWidth="1"/>
    <col min="13322" max="13324" width="7.28515625" style="13" customWidth="1"/>
    <col min="13325" max="13326" width="8.42578125" style="13" customWidth="1"/>
    <col min="13327" max="13328" width="7.28515625" style="13" customWidth="1"/>
    <col min="13329" max="13330" width="8.42578125" style="13" customWidth="1"/>
    <col min="13331" max="13340" width="7.28515625" style="13" customWidth="1"/>
    <col min="13341" max="13341" width="22.5703125" style="13" bestFit="1" customWidth="1"/>
    <col min="13342" max="13342" width="25.5703125" style="13" customWidth="1"/>
    <col min="13343" max="13343" width="19.7109375" style="13" customWidth="1"/>
    <col min="13344" max="13344" width="19.42578125" style="13" bestFit="1" customWidth="1"/>
    <col min="13345" max="13345" width="20.42578125" style="13" customWidth="1"/>
    <col min="13346" max="13346" width="24.7109375" style="13" customWidth="1"/>
    <col min="13347" max="13347" width="14.140625" style="13" customWidth="1"/>
    <col min="13348" max="13348" width="13" style="13" customWidth="1"/>
    <col min="13349" max="13349" width="17.140625" style="13" customWidth="1"/>
    <col min="13350" max="13350" width="16.5703125" style="13" customWidth="1"/>
    <col min="13351" max="13351" width="28.7109375" style="13" customWidth="1"/>
    <col min="13352" max="13545" width="11.42578125" style="13"/>
    <col min="13546" max="13546" width="13.140625" style="13" customWidth="1"/>
    <col min="13547" max="13547" width="4" style="13" customWidth="1"/>
    <col min="13548" max="13548" width="12.85546875" style="13" customWidth="1"/>
    <col min="13549" max="13549" width="14.7109375" style="13" customWidth="1"/>
    <col min="13550" max="13550" width="10" style="13" customWidth="1"/>
    <col min="13551" max="13551" width="6.28515625" style="13" customWidth="1"/>
    <col min="13552" max="13552" width="14.42578125" style="13" customWidth="1"/>
    <col min="13553" max="13553" width="8.5703125" style="13" customWidth="1"/>
    <col min="13554" max="13554" width="19.42578125" style="13" customWidth="1"/>
    <col min="13555" max="13555" width="11.5703125" style="13" customWidth="1"/>
    <col min="13556" max="13556" width="56.42578125" style="13" bestFit="1" customWidth="1"/>
    <col min="13557" max="13557" width="22.7109375" style="13" customWidth="1"/>
    <col min="13558" max="13558" width="14.140625" style="13" customWidth="1"/>
    <col min="13559" max="13559" width="12.28515625" style="13" customWidth="1"/>
    <col min="13560" max="13560" width="30.28515625" style="13" customWidth="1"/>
    <col min="13561" max="13561" width="10.42578125" style="13" customWidth="1"/>
    <col min="13562" max="13562" width="23.85546875" style="13" customWidth="1"/>
    <col min="13563" max="13563" width="16.5703125" style="13" customWidth="1"/>
    <col min="13564" max="13564" width="22.42578125" style="13" customWidth="1"/>
    <col min="13565" max="13565" width="34.5703125" style="13" customWidth="1"/>
    <col min="13566" max="13566" width="44.140625" style="13" customWidth="1"/>
    <col min="13567" max="13567" width="30.5703125" style="13" customWidth="1"/>
    <col min="13568" max="13570" width="29.5703125" style="13" customWidth="1"/>
    <col min="13571" max="13571" width="11.7109375" style="13" customWidth="1"/>
    <col min="13572" max="13572" width="25.7109375" style="13" customWidth="1"/>
    <col min="13573" max="13574" width="8.85546875" style="13" customWidth="1"/>
    <col min="13575" max="13577" width="9" style="13" customWidth="1"/>
    <col min="13578" max="13580" width="7.28515625" style="13" customWidth="1"/>
    <col min="13581" max="13582" width="8.42578125" style="13" customWidth="1"/>
    <col min="13583" max="13584" width="7.28515625" style="13" customWidth="1"/>
    <col min="13585" max="13586" width="8.42578125" style="13" customWidth="1"/>
    <col min="13587" max="13596" width="7.28515625" style="13" customWidth="1"/>
    <col min="13597" max="13597" width="22.5703125" style="13" bestFit="1" customWidth="1"/>
    <col min="13598" max="13598" width="25.5703125" style="13" customWidth="1"/>
    <col min="13599" max="13599" width="19.7109375" style="13" customWidth="1"/>
    <col min="13600" max="13600" width="19.42578125" style="13" bestFit="1" customWidth="1"/>
    <col min="13601" max="13601" width="20.42578125" style="13" customWidth="1"/>
    <col min="13602" max="13602" width="24.7109375" style="13" customWidth="1"/>
    <col min="13603" max="13603" width="14.140625" style="13" customWidth="1"/>
    <col min="13604" max="13604" width="13" style="13" customWidth="1"/>
    <col min="13605" max="13605" width="17.140625" style="13" customWidth="1"/>
    <col min="13606" max="13606" width="16.5703125" style="13" customWidth="1"/>
    <col min="13607" max="13607" width="28.7109375" style="13" customWidth="1"/>
    <col min="13608" max="13801" width="11.42578125" style="13"/>
    <col min="13802" max="13802" width="13.140625" style="13" customWidth="1"/>
    <col min="13803" max="13803" width="4" style="13" customWidth="1"/>
    <col min="13804" max="13804" width="12.85546875" style="13" customWidth="1"/>
    <col min="13805" max="13805" width="14.7109375" style="13" customWidth="1"/>
    <col min="13806" max="13806" width="10" style="13" customWidth="1"/>
    <col min="13807" max="13807" width="6.28515625" style="13" customWidth="1"/>
    <col min="13808" max="13808" width="14.42578125" style="13" customWidth="1"/>
    <col min="13809" max="13809" width="8.5703125" style="13" customWidth="1"/>
    <col min="13810" max="13810" width="19.42578125" style="13" customWidth="1"/>
    <col min="13811" max="13811" width="11.5703125" style="13" customWidth="1"/>
    <col min="13812" max="13812" width="56.42578125" style="13" bestFit="1" customWidth="1"/>
    <col min="13813" max="13813" width="22.7109375" style="13" customWidth="1"/>
    <col min="13814" max="13814" width="14.140625" style="13" customWidth="1"/>
    <col min="13815" max="13815" width="12.28515625" style="13" customWidth="1"/>
    <col min="13816" max="13816" width="30.28515625" style="13" customWidth="1"/>
    <col min="13817" max="13817" width="10.42578125" style="13" customWidth="1"/>
    <col min="13818" max="13818" width="23.85546875" style="13" customWidth="1"/>
    <col min="13819" max="13819" width="16.5703125" style="13" customWidth="1"/>
    <col min="13820" max="13820" width="22.42578125" style="13" customWidth="1"/>
    <col min="13821" max="13821" width="34.5703125" style="13" customWidth="1"/>
    <col min="13822" max="13822" width="44.140625" style="13" customWidth="1"/>
    <col min="13823" max="13823" width="30.5703125" style="13" customWidth="1"/>
    <col min="13824" max="13826" width="29.5703125" style="13" customWidth="1"/>
    <col min="13827" max="13827" width="11.7109375" style="13" customWidth="1"/>
    <col min="13828" max="13828" width="25.7109375" style="13" customWidth="1"/>
    <col min="13829" max="13830" width="8.85546875" style="13" customWidth="1"/>
    <col min="13831" max="13833" width="9" style="13" customWidth="1"/>
    <col min="13834" max="13836" width="7.28515625" style="13" customWidth="1"/>
    <col min="13837" max="13838" width="8.42578125" style="13" customWidth="1"/>
    <col min="13839" max="13840" width="7.28515625" style="13" customWidth="1"/>
    <col min="13841" max="13842" width="8.42578125" style="13" customWidth="1"/>
    <col min="13843" max="13852" width="7.28515625" style="13" customWidth="1"/>
    <col min="13853" max="13853" width="22.5703125" style="13" bestFit="1" customWidth="1"/>
    <col min="13854" max="13854" width="25.5703125" style="13" customWidth="1"/>
    <col min="13855" max="13855" width="19.7109375" style="13" customWidth="1"/>
    <col min="13856" max="13856" width="19.42578125" style="13" bestFit="1" customWidth="1"/>
    <col min="13857" max="13857" width="20.42578125" style="13" customWidth="1"/>
    <col min="13858" max="13858" width="24.7109375" style="13" customWidth="1"/>
    <col min="13859" max="13859" width="14.140625" style="13" customWidth="1"/>
    <col min="13860" max="13860" width="13" style="13" customWidth="1"/>
    <col min="13861" max="13861" width="17.140625" style="13" customWidth="1"/>
    <col min="13862" max="13862" width="16.5703125" style="13" customWidth="1"/>
    <col min="13863" max="13863" width="28.7109375" style="13" customWidth="1"/>
    <col min="13864" max="14057" width="11.42578125" style="13"/>
    <col min="14058" max="14058" width="13.140625" style="13" customWidth="1"/>
    <col min="14059" max="14059" width="4" style="13" customWidth="1"/>
    <col min="14060" max="14060" width="12.85546875" style="13" customWidth="1"/>
    <col min="14061" max="14061" width="14.7109375" style="13" customWidth="1"/>
    <col min="14062" max="14062" width="10" style="13" customWidth="1"/>
    <col min="14063" max="14063" width="6.28515625" style="13" customWidth="1"/>
    <col min="14064" max="14064" width="14.42578125" style="13" customWidth="1"/>
    <col min="14065" max="14065" width="8.5703125" style="13" customWidth="1"/>
    <col min="14066" max="14066" width="19.42578125" style="13" customWidth="1"/>
    <col min="14067" max="14067" width="11.5703125" style="13" customWidth="1"/>
    <col min="14068" max="14068" width="56.42578125" style="13" bestFit="1" customWidth="1"/>
    <col min="14069" max="14069" width="22.7109375" style="13" customWidth="1"/>
    <col min="14070" max="14070" width="14.140625" style="13" customWidth="1"/>
    <col min="14071" max="14071" width="12.28515625" style="13" customWidth="1"/>
    <col min="14072" max="14072" width="30.28515625" style="13" customWidth="1"/>
    <col min="14073" max="14073" width="10.42578125" style="13" customWidth="1"/>
    <col min="14074" max="14074" width="23.85546875" style="13" customWidth="1"/>
    <col min="14075" max="14075" width="16.5703125" style="13" customWidth="1"/>
    <col min="14076" max="14076" width="22.42578125" style="13" customWidth="1"/>
    <col min="14077" max="14077" width="34.5703125" style="13" customWidth="1"/>
    <col min="14078" max="14078" width="44.140625" style="13" customWidth="1"/>
    <col min="14079" max="14079" width="30.5703125" style="13" customWidth="1"/>
    <col min="14080" max="14082" width="29.5703125" style="13" customWidth="1"/>
    <col min="14083" max="14083" width="11.7109375" style="13" customWidth="1"/>
    <col min="14084" max="14084" width="25.7109375" style="13" customWidth="1"/>
    <col min="14085" max="14086" width="8.85546875" style="13" customWidth="1"/>
    <col min="14087" max="14089" width="9" style="13" customWidth="1"/>
    <col min="14090" max="14092" width="7.28515625" style="13" customWidth="1"/>
    <col min="14093" max="14094" width="8.42578125" style="13" customWidth="1"/>
    <col min="14095" max="14096" width="7.28515625" style="13" customWidth="1"/>
    <col min="14097" max="14098" width="8.42578125" style="13" customWidth="1"/>
    <col min="14099" max="14108" width="7.28515625" style="13" customWidth="1"/>
    <col min="14109" max="14109" width="22.5703125" style="13" bestFit="1" customWidth="1"/>
    <col min="14110" max="14110" width="25.5703125" style="13" customWidth="1"/>
    <col min="14111" max="14111" width="19.7109375" style="13" customWidth="1"/>
    <col min="14112" max="14112" width="19.42578125" style="13" bestFit="1" customWidth="1"/>
    <col min="14113" max="14113" width="20.42578125" style="13" customWidth="1"/>
    <col min="14114" max="14114" width="24.7109375" style="13" customWidth="1"/>
    <col min="14115" max="14115" width="14.140625" style="13" customWidth="1"/>
    <col min="14116" max="14116" width="13" style="13" customWidth="1"/>
    <col min="14117" max="14117" width="17.140625" style="13" customWidth="1"/>
    <col min="14118" max="14118" width="16.5703125" style="13" customWidth="1"/>
    <col min="14119" max="14119" width="28.7109375" style="13" customWidth="1"/>
    <col min="14120" max="14313" width="11.42578125" style="13"/>
    <col min="14314" max="14314" width="13.140625" style="13" customWidth="1"/>
    <col min="14315" max="14315" width="4" style="13" customWidth="1"/>
    <col min="14316" max="14316" width="12.85546875" style="13" customWidth="1"/>
    <col min="14317" max="14317" width="14.7109375" style="13" customWidth="1"/>
    <col min="14318" max="14318" width="10" style="13" customWidth="1"/>
    <col min="14319" max="14319" width="6.28515625" style="13" customWidth="1"/>
    <col min="14320" max="14320" width="14.42578125" style="13" customWidth="1"/>
    <col min="14321" max="14321" width="8.5703125" style="13" customWidth="1"/>
    <col min="14322" max="14322" width="19.42578125" style="13" customWidth="1"/>
    <col min="14323" max="14323" width="11.5703125" style="13" customWidth="1"/>
    <col min="14324" max="14324" width="56.42578125" style="13" bestFit="1" customWidth="1"/>
    <col min="14325" max="14325" width="22.7109375" style="13" customWidth="1"/>
    <col min="14326" max="14326" width="14.140625" style="13" customWidth="1"/>
    <col min="14327" max="14327" width="12.28515625" style="13" customWidth="1"/>
    <col min="14328" max="14328" width="30.28515625" style="13" customWidth="1"/>
    <col min="14329" max="14329" width="10.42578125" style="13" customWidth="1"/>
    <col min="14330" max="14330" width="23.85546875" style="13" customWidth="1"/>
    <col min="14331" max="14331" width="16.5703125" style="13" customWidth="1"/>
    <col min="14332" max="14332" width="22.42578125" style="13" customWidth="1"/>
    <col min="14333" max="14333" width="34.5703125" style="13" customWidth="1"/>
    <col min="14334" max="14334" width="44.140625" style="13" customWidth="1"/>
    <col min="14335" max="14335" width="30.5703125" style="13" customWidth="1"/>
    <col min="14336" max="14338" width="29.5703125" style="13" customWidth="1"/>
    <col min="14339" max="14339" width="11.7109375" style="13" customWidth="1"/>
    <col min="14340" max="14340" width="25.7109375" style="13" customWidth="1"/>
    <col min="14341" max="14342" width="8.85546875" style="13" customWidth="1"/>
    <col min="14343" max="14345" width="9" style="13" customWidth="1"/>
    <col min="14346" max="14348" width="7.28515625" style="13" customWidth="1"/>
    <col min="14349" max="14350" width="8.42578125" style="13" customWidth="1"/>
    <col min="14351" max="14352" width="7.28515625" style="13" customWidth="1"/>
    <col min="14353" max="14354" width="8.42578125" style="13" customWidth="1"/>
    <col min="14355" max="14364" width="7.28515625" style="13" customWidth="1"/>
    <col min="14365" max="14365" width="22.5703125" style="13" bestFit="1" customWidth="1"/>
    <col min="14366" max="14366" width="25.5703125" style="13" customWidth="1"/>
    <col min="14367" max="14367" width="19.7109375" style="13" customWidth="1"/>
    <col min="14368" max="14368" width="19.42578125" style="13" bestFit="1" customWidth="1"/>
    <col min="14369" max="14369" width="20.42578125" style="13" customWidth="1"/>
    <col min="14370" max="14370" width="24.7109375" style="13" customWidth="1"/>
    <col min="14371" max="14371" width="14.140625" style="13" customWidth="1"/>
    <col min="14372" max="14372" width="13" style="13" customWidth="1"/>
    <col min="14373" max="14373" width="17.140625" style="13" customWidth="1"/>
    <col min="14374" max="14374" width="16.5703125" style="13" customWidth="1"/>
    <col min="14375" max="14375" width="28.7109375" style="13" customWidth="1"/>
    <col min="14376" max="14569" width="11.42578125" style="13"/>
    <col min="14570" max="14570" width="13.140625" style="13" customWidth="1"/>
    <col min="14571" max="14571" width="4" style="13" customWidth="1"/>
    <col min="14572" max="14572" width="12.85546875" style="13" customWidth="1"/>
    <col min="14573" max="14573" width="14.7109375" style="13" customWidth="1"/>
    <col min="14574" max="14574" width="10" style="13" customWidth="1"/>
    <col min="14575" max="14575" width="6.28515625" style="13" customWidth="1"/>
    <col min="14576" max="14576" width="14.42578125" style="13" customWidth="1"/>
    <col min="14577" max="14577" width="8.5703125" style="13" customWidth="1"/>
    <col min="14578" max="14578" width="19.42578125" style="13" customWidth="1"/>
    <col min="14579" max="14579" width="11.5703125" style="13" customWidth="1"/>
    <col min="14580" max="14580" width="56.42578125" style="13" bestFit="1" customWidth="1"/>
    <col min="14581" max="14581" width="22.7109375" style="13" customWidth="1"/>
    <col min="14582" max="14582" width="14.140625" style="13" customWidth="1"/>
    <col min="14583" max="14583" width="12.28515625" style="13" customWidth="1"/>
    <col min="14584" max="14584" width="30.28515625" style="13" customWidth="1"/>
    <col min="14585" max="14585" width="10.42578125" style="13" customWidth="1"/>
    <col min="14586" max="14586" width="23.85546875" style="13" customWidth="1"/>
    <col min="14587" max="14587" width="16.5703125" style="13" customWidth="1"/>
    <col min="14588" max="14588" width="22.42578125" style="13" customWidth="1"/>
    <col min="14589" max="14589" width="34.5703125" style="13" customWidth="1"/>
    <col min="14590" max="14590" width="44.140625" style="13" customWidth="1"/>
    <col min="14591" max="14591" width="30.5703125" style="13" customWidth="1"/>
    <col min="14592" max="14594" width="29.5703125" style="13" customWidth="1"/>
    <col min="14595" max="14595" width="11.7109375" style="13" customWidth="1"/>
    <col min="14596" max="14596" width="25.7109375" style="13" customWidth="1"/>
    <col min="14597" max="14598" width="8.85546875" style="13" customWidth="1"/>
    <col min="14599" max="14601" width="9" style="13" customWidth="1"/>
    <col min="14602" max="14604" width="7.28515625" style="13" customWidth="1"/>
    <col min="14605" max="14606" width="8.42578125" style="13" customWidth="1"/>
    <col min="14607" max="14608" width="7.28515625" style="13" customWidth="1"/>
    <col min="14609" max="14610" width="8.42578125" style="13" customWidth="1"/>
    <col min="14611" max="14620" width="7.28515625" style="13" customWidth="1"/>
    <col min="14621" max="14621" width="22.5703125" style="13" bestFit="1" customWidth="1"/>
    <col min="14622" max="14622" width="25.5703125" style="13" customWidth="1"/>
    <col min="14623" max="14623" width="19.7109375" style="13" customWidth="1"/>
    <col min="14624" max="14624" width="19.42578125" style="13" bestFit="1" customWidth="1"/>
    <col min="14625" max="14625" width="20.42578125" style="13" customWidth="1"/>
    <col min="14626" max="14626" width="24.7109375" style="13" customWidth="1"/>
    <col min="14627" max="14627" width="14.140625" style="13" customWidth="1"/>
    <col min="14628" max="14628" width="13" style="13" customWidth="1"/>
    <col min="14629" max="14629" width="17.140625" style="13" customWidth="1"/>
    <col min="14630" max="14630" width="16.5703125" style="13" customWidth="1"/>
    <col min="14631" max="14631" width="28.7109375" style="13" customWidth="1"/>
    <col min="14632" max="14825" width="11.42578125" style="13"/>
    <col min="14826" max="14826" width="13.140625" style="13" customWidth="1"/>
    <col min="14827" max="14827" width="4" style="13" customWidth="1"/>
    <col min="14828" max="14828" width="12.85546875" style="13" customWidth="1"/>
    <col min="14829" max="14829" width="14.7109375" style="13" customWidth="1"/>
    <col min="14830" max="14830" width="10" style="13" customWidth="1"/>
    <col min="14831" max="14831" width="6.28515625" style="13" customWidth="1"/>
    <col min="14832" max="14832" width="14.42578125" style="13" customWidth="1"/>
    <col min="14833" max="14833" width="8.5703125" style="13" customWidth="1"/>
    <col min="14834" max="14834" width="19.42578125" style="13" customWidth="1"/>
    <col min="14835" max="14835" width="11.5703125" style="13" customWidth="1"/>
    <col min="14836" max="14836" width="56.42578125" style="13" bestFit="1" customWidth="1"/>
    <col min="14837" max="14837" width="22.7109375" style="13" customWidth="1"/>
    <col min="14838" max="14838" width="14.140625" style="13" customWidth="1"/>
    <col min="14839" max="14839" width="12.28515625" style="13" customWidth="1"/>
    <col min="14840" max="14840" width="30.28515625" style="13" customWidth="1"/>
    <col min="14841" max="14841" width="10.42578125" style="13" customWidth="1"/>
    <col min="14842" max="14842" width="23.85546875" style="13" customWidth="1"/>
    <col min="14843" max="14843" width="16.5703125" style="13" customWidth="1"/>
    <col min="14844" max="14844" width="22.42578125" style="13" customWidth="1"/>
    <col min="14845" max="14845" width="34.5703125" style="13" customWidth="1"/>
    <col min="14846" max="14846" width="44.140625" style="13" customWidth="1"/>
    <col min="14847" max="14847" width="30.5703125" style="13" customWidth="1"/>
    <col min="14848" max="14850" width="29.5703125" style="13" customWidth="1"/>
    <col min="14851" max="14851" width="11.7109375" style="13" customWidth="1"/>
    <col min="14852" max="14852" width="25.7109375" style="13" customWidth="1"/>
    <col min="14853" max="14854" width="8.85546875" style="13" customWidth="1"/>
    <col min="14855" max="14857" width="9" style="13" customWidth="1"/>
    <col min="14858" max="14860" width="7.28515625" style="13" customWidth="1"/>
    <col min="14861" max="14862" width="8.42578125" style="13" customWidth="1"/>
    <col min="14863" max="14864" width="7.28515625" style="13" customWidth="1"/>
    <col min="14865" max="14866" width="8.42578125" style="13" customWidth="1"/>
    <col min="14867" max="14876" width="7.28515625" style="13" customWidth="1"/>
    <col min="14877" max="14877" width="22.5703125" style="13" bestFit="1" customWidth="1"/>
    <col min="14878" max="14878" width="25.5703125" style="13" customWidth="1"/>
    <col min="14879" max="14879" width="19.7109375" style="13" customWidth="1"/>
    <col min="14880" max="14880" width="19.42578125" style="13" bestFit="1" customWidth="1"/>
    <col min="14881" max="14881" width="20.42578125" style="13" customWidth="1"/>
    <col min="14882" max="14882" width="24.7109375" style="13" customWidth="1"/>
    <col min="14883" max="14883" width="14.140625" style="13" customWidth="1"/>
    <col min="14884" max="14884" width="13" style="13" customWidth="1"/>
    <col min="14885" max="14885" width="17.140625" style="13" customWidth="1"/>
    <col min="14886" max="14886" width="16.5703125" style="13" customWidth="1"/>
    <col min="14887" max="14887" width="28.7109375" style="13" customWidth="1"/>
    <col min="14888" max="15081" width="11.42578125" style="13"/>
    <col min="15082" max="15082" width="13.140625" style="13" customWidth="1"/>
    <col min="15083" max="15083" width="4" style="13" customWidth="1"/>
    <col min="15084" max="15084" width="12.85546875" style="13" customWidth="1"/>
    <col min="15085" max="15085" width="14.7109375" style="13" customWidth="1"/>
    <col min="15086" max="15086" width="10" style="13" customWidth="1"/>
    <col min="15087" max="15087" width="6.28515625" style="13" customWidth="1"/>
    <col min="15088" max="15088" width="14.42578125" style="13" customWidth="1"/>
    <col min="15089" max="15089" width="8.5703125" style="13" customWidth="1"/>
    <col min="15090" max="15090" width="19.42578125" style="13" customWidth="1"/>
    <col min="15091" max="15091" width="11.5703125" style="13" customWidth="1"/>
    <col min="15092" max="15092" width="56.42578125" style="13" bestFit="1" customWidth="1"/>
    <col min="15093" max="15093" width="22.7109375" style="13" customWidth="1"/>
    <col min="15094" max="15094" width="14.140625" style="13" customWidth="1"/>
    <col min="15095" max="15095" width="12.28515625" style="13" customWidth="1"/>
    <col min="15096" max="15096" width="30.28515625" style="13" customWidth="1"/>
    <col min="15097" max="15097" width="10.42578125" style="13" customWidth="1"/>
    <col min="15098" max="15098" width="23.85546875" style="13" customWidth="1"/>
    <col min="15099" max="15099" width="16.5703125" style="13" customWidth="1"/>
    <col min="15100" max="15100" width="22.42578125" style="13" customWidth="1"/>
    <col min="15101" max="15101" width="34.5703125" style="13" customWidth="1"/>
    <col min="15102" max="15102" width="44.140625" style="13" customWidth="1"/>
    <col min="15103" max="15103" width="30.5703125" style="13" customWidth="1"/>
    <col min="15104" max="15106" width="29.5703125" style="13" customWidth="1"/>
    <col min="15107" max="15107" width="11.7109375" style="13" customWidth="1"/>
    <col min="15108" max="15108" width="25.7109375" style="13" customWidth="1"/>
    <col min="15109" max="15110" width="8.85546875" style="13" customWidth="1"/>
    <col min="15111" max="15113" width="9" style="13" customWidth="1"/>
    <col min="15114" max="15116" width="7.28515625" style="13" customWidth="1"/>
    <col min="15117" max="15118" width="8.42578125" style="13" customWidth="1"/>
    <col min="15119" max="15120" width="7.28515625" style="13" customWidth="1"/>
    <col min="15121" max="15122" width="8.42578125" style="13" customWidth="1"/>
    <col min="15123" max="15132" width="7.28515625" style="13" customWidth="1"/>
    <col min="15133" max="15133" width="22.5703125" style="13" bestFit="1" customWidth="1"/>
    <col min="15134" max="15134" width="25.5703125" style="13" customWidth="1"/>
    <col min="15135" max="15135" width="19.7109375" style="13" customWidth="1"/>
    <col min="15136" max="15136" width="19.42578125" style="13" bestFit="1" customWidth="1"/>
    <col min="15137" max="15137" width="20.42578125" style="13" customWidth="1"/>
    <col min="15138" max="15138" width="24.7109375" style="13" customWidth="1"/>
    <col min="15139" max="15139" width="14.140625" style="13" customWidth="1"/>
    <col min="15140" max="15140" width="13" style="13" customWidth="1"/>
    <col min="15141" max="15141" width="17.140625" style="13" customWidth="1"/>
    <col min="15142" max="15142" width="16.5703125" style="13" customWidth="1"/>
    <col min="15143" max="15143" width="28.7109375" style="13" customWidth="1"/>
    <col min="15144" max="15337" width="11.42578125" style="13"/>
    <col min="15338" max="15338" width="13.140625" style="13" customWidth="1"/>
    <col min="15339" max="15339" width="4" style="13" customWidth="1"/>
    <col min="15340" max="15340" width="12.85546875" style="13" customWidth="1"/>
    <col min="15341" max="15341" width="14.7109375" style="13" customWidth="1"/>
    <col min="15342" max="15342" width="10" style="13" customWidth="1"/>
    <col min="15343" max="15343" width="6.28515625" style="13" customWidth="1"/>
    <col min="15344" max="15344" width="14.42578125" style="13" customWidth="1"/>
    <col min="15345" max="15345" width="8.5703125" style="13" customWidth="1"/>
    <col min="15346" max="15346" width="19.42578125" style="13" customWidth="1"/>
    <col min="15347" max="15347" width="11.5703125" style="13" customWidth="1"/>
    <col min="15348" max="15348" width="56.42578125" style="13" bestFit="1" customWidth="1"/>
    <col min="15349" max="15349" width="22.7109375" style="13" customWidth="1"/>
    <col min="15350" max="15350" width="14.140625" style="13" customWidth="1"/>
    <col min="15351" max="15351" width="12.28515625" style="13" customWidth="1"/>
    <col min="15352" max="15352" width="30.28515625" style="13" customWidth="1"/>
    <col min="15353" max="15353" width="10.42578125" style="13" customWidth="1"/>
    <col min="15354" max="15354" width="23.85546875" style="13" customWidth="1"/>
    <col min="15355" max="15355" width="16.5703125" style="13" customWidth="1"/>
    <col min="15356" max="15356" width="22.42578125" style="13" customWidth="1"/>
    <col min="15357" max="15357" width="34.5703125" style="13" customWidth="1"/>
    <col min="15358" max="15358" width="44.140625" style="13" customWidth="1"/>
    <col min="15359" max="15359" width="30.5703125" style="13" customWidth="1"/>
    <col min="15360" max="15362" width="29.5703125" style="13" customWidth="1"/>
    <col min="15363" max="15363" width="11.7109375" style="13" customWidth="1"/>
    <col min="15364" max="15364" width="25.7109375" style="13" customWidth="1"/>
    <col min="15365" max="15366" width="8.85546875" style="13" customWidth="1"/>
    <col min="15367" max="15369" width="9" style="13" customWidth="1"/>
    <col min="15370" max="15372" width="7.28515625" style="13" customWidth="1"/>
    <col min="15373" max="15374" width="8.42578125" style="13" customWidth="1"/>
    <col min="15375" max="15376" width="7.28515625" style="13" customWidth="1"/>
    <col min="15377" max="15378" width="8.42578125" style="13" customWidth="1"/>
    <col min="15379" max="15388" width="7.28515625" style="13" customWidth="1"/>
    <col min="15389" max="15389" width="22.5703125" style="13" bestFit="1" customWidth="1"/>
    <col min="15390" max="15390" width="25.5703125" style="13" customWidth="1"/>
    <col min="15391" max="15391" width="19.7109375" style="13" customWidth="1"/>
    <col min="15392" max="15392" width="19.42578125" style="13" bestFit="1" customWidth="1"/>
    <col min="15393" max="15393" width="20.42578125" style="13" customWidth="1"/>
    <col min="15394" max="15394" width="24.7109375" style="13" customWidth="1"/>
    <col min="15395" max="15395" width="14.140625" style="13" customWidth="1"/>
    <col min="15396" max="15396" width="13" style="13" customWidth="1"/>
    <col min="15397" max="15397" width="17.140625" style="13" customWidth="1"/>
    <col min="15398" max="15398" width="16.5703125" style="13" customWidth="1"/>
    <col min="15399" max="15399" width="28.7109375" style="13" customWidth="1"/>
    <col min="15400" max="15593" width="11.42578125" style="13"/>
    <col min="15594" max="15594" width="13.140625" style="13" customWidth="1"/>
    <col min="15595" max="15595" width="4" style="13" customWidth="1"/>
    <col min="15596" max="15596" width="12.85546875" style="13" customWidth="1"/>
    <col min="15597" max="15597" width="14.7109375" style="13" customWidth="1"/>
    <col min="15598" max="15598" width="10" style="13" customWidth="1"/>
    <col min="15599" max="15599" width="6.28515625" style="13" customWidth="1"/>
    <col min="15600" max="15600" width="14.42578125" style="13" customWidth="1"/>
    <col min="15601" max="15601" width="8.5703125" style="13" customWidth="1"/>
    <col min="15602" max="15602" width="19.42578125" style="13" customWidth="1"/>
    <col min="15603" max="15603" width="11.5703125" style="13" customWidth="1"/>
    <col min="15604" max="15604" width="56.42578125" style="13" bestFit="1" customWidth="1"/>
    <col min="15605" max="15605" width="22.7109375" style="13" customWidth="1"/>
    <col min="15606" max="15606" width="14.140625" style="13" customWidth="1"/>
    <col min="15607" max="15607" width="12.28515625" style="13" customWidth="1"/>
    <col min="15608" max="15608" width="30.28515625" style="13" customWidth="1"/>
    <col min="15609" max="15609" width="10.42578125" style="13" customWidth="1"/>
    <col min="15610" max="15610" width="23.85546875" style="13" customWidth="1"/>
    <col min="15611" max="15611" width="16.5703125" style="13" customWidth="1"/>
    <col min="15612" max="15612" width="22.42578125" style="13" customWidth="1"/>
    <col min="15613" max="15613" width="34.5703125" style="13" customWidth="1"/>
    <col min="15614" max="15614" width="44.140625" style="13" customWidth="1"/>
    <col min="15615" max="15615" width="30.5703125" style="13" customWidth="1"/>
    <col min="15616" max="15618" width="29.5703125" style="13" customWidth="1"/>
    <col min="15619" max="15619" width="11.7109375" style="13" customWidth="1"/>
    <col min="15620" max="15620" width="25.7109375" style="13" customWidth="1"/>
    <col min="15621" max="15622" width="8.85546875" style="13" customWidth="1"/>
    <col min="15623" max="15625" width="9" style="13" customWidth="1"/>
    <col min="15626" max="15628" width="7.28515625" style="13" customWidth="1"/>
    <col min="15629" max="15630" width="8.42578125" style="13" customWidth="1"/>
    <col min="15631" max="15632" width="7.28515625" style="13" customWidth="1"/>
    <col min="15633" max="15634" width="8.42578125" style="13" customWidth="1"/>
    <col min="15635" max="15644" width="7.28515625" style="13" customWidth="1"/>
    <col min="15645" max="15645" width="22.5703125" style="13" bestFit="1" customWidth="1"/>
    <col min="15646" max="15646" width="25.5703125" style="13" customWidth="1"/>
    <col min="15647" max="15647" width="19.7109375" style="13" customWidth="1"/>
    <col min="15648" max="15648" width="19.42578125" style="13" bestFit="1" customWidth="1"/>
    <col min="15649" max="15649" width="20.42578125" style="13" customWidth="1"/>
    <col min="15650" max="15650" width="24.7109375" style="13" customWidth="1"/>
    <col min="15651" max="15651" width="14.140625" style="13" customWidth="1"/>
    <col min="15652" max="15652" width="13" style="13" customWidth="1"/>
    <col min="15653" max="15653" width="17.140625" style="13" customWidth="1"/>
    <col min="15654" max="15654" width="16.5703125" style="13" customWidth="1"/>
    <col min="15655" max="15655" width="28.7109375" style="13" customWidth="1"/>
    <col min="15656" max="15849" width="11.42578125" style="13"/>
    <col min="15850" max="15850" width="13.140625" style="13" customWidth="1"/>
    <col min="15851" max="15851" width="4" style="13" customWidth="1"/>
    <col min="15852" max="15852" width="12.85546875" style="13" customWidth="1"/>
    <col min="15853" max="15853" width="14.7109375" style="13" customWidth="1"/>
    <col min="15854" max="15854" width="10" style="13" customWidth="1"/>
    <col min="15855" max="15855" width="6.28515625" style="13" customWidth="1"/>
    <col min="15856" max="15856" width="14.42578125" style="13" customWidth="1"/>
    <col min="15857" max="15857" width="8.5703125" style="13" customWidth="1"/>
    <col min="15858" max="15858" width="19.42578125" style="13" customWidth="1"/>
    <col min="15859" max="15859" width="11.5703125" style="13" customWidth="1"/>
    <col min="15860" max="15860" width="56.42578125" style="13" bestFit="1" customWidth="1"/>
    <col min="15861" max="15861" width="22.7109375" style="13" customWidth="1"/>
    <col min="15862" max="15862" width="14.140625" style="13" customWidth="1"/>
    <col min="15863" max="15863" width="12.28515625" style="13" customWidth="1"/>
    <col min="15864" max="15864" width="30.28515625" style="13" customWidth="1"/>
    <col min="15865" max="15865" width="10.42578125" style="13" customWidth="1"/>
    <col min="15866" max="15866" width="23.85546875" style="13" customWidth="1"/>
    <col min="15867" max="15867" width="16.5703125" style="13" customWidth="1"/>
    <col min="15868" max="15868" width="22.42578125" style="13" customWidth="1"/>
    <col min="15869" max="15869" width="34.5703125" style="13" customWidth="1"/>
    <col min="15870" max="15870" width="44.140625" style="13" customWidth="1"/>
    <col min="15871" max="15871" width="30.5703125" style="13" customWidth="1"/>
    <col min="15872" max="15874" width="29.5703125" style="13" customWidth="1"/>
    <col min="15875" max="15875" width="11.7109375" style="13" customWidth="1"/>
    <col min="15876" max="15876" width="25.7109375" style="13" customWidth="1"/>
    <col min="15877" max="15878" width="8.85546875" style="13" customWidth="1"/>
    <col min="15879" max="15881" width="9" style="13" customWidth="1"/>
    <col min="15882" max="15884" width="7.28515625" style="13" customWidth="1"/>
    <col min="15885" max="15886" width="8.42578125" style="13" customWidth="1"/>
    <col min="15887" max="15888" width="7.28515625" style="13" customWidth="1"/>
    <col min="15889" max="15890" width="8.42578125" style="13" customWidth="1"/>
    <col min="15891" max="15900" width="7.28515625" style="13" customWidth="1"/>
    <col min="15901" max="15901" width="22.5703125" style="13" bestFit="1" customWidth="1"/>
    <col min="15902" max="15902" width="25.5703125" style="13" customWidth="1"/>
    <col min="15903" max="15903" width="19.7109375" style="13" customWidth="1"/>
    <col min="15904" max="15904" width="19.42578125" style="13" bestFit="1" customWidth="1"/>
    <col min="15905" max="15905" width="20.42578125" style="13" customWidth="1"/>
    <col min="15906" max="15906" width="24.7109375" style="13" customWidth="1"/>
    <col min="15907" max="15907" width="14.140625" style="13" customWidth="1"/>
    <col min="15908" max="15908" width="13" style="13" customWidth="1"/>
    <col min="15909" max="15909" width="17.140625" style="13" customWidth="1"/>
    <col min="15910" max="15910" width="16.5703125" style="13" customWidth="1"/>
    <col min="15911" max="15911" width="28.7109375" style="13" customWidth="1"/>
    <col min="15912" max="16105" width="11.42578125" style="13"/>
    <col min="16106" max="16106" width="13.140625" style="13" customWidth="1"/>
    <col min="16107" max="16107" width="4" style="13" customWidth="1"/>
    <col min="16108" max="16108" width="12.85546875" style="13" customWidth="1"/>
    <col min="16109" max="16109" width="14.7109375" style="13" customWidth="1"/>
    <col min="16110" max="16110" width="10" style="13" customWidth="1"/>
    <col min="16111" max="16111" width="6.28515625" style="13" customWidth="1"/>
    <col min="16112" max="16112" width="14.42578125" style="13" customWidth="1"/>
    <col min="16113" max="16113" width="8.5703125" style="13" customWidth="1"/>
    <col min="16114" max="16114" width="19.42578125" style="13" customWidth="1"/>
    <col min="16115" max="16115" width="11.5703125" style="13" customWidth="1"/>
    <col min="16116" max="16116" width="56.42578125" style="13" bestFit="1" customWidth="1"/>
    <col min="16117" max="16117" width="22.7109375" style="13" customWidth="1"/>
    <col min="16118" max="16118" width="14.140625" style="13" customWidth="1"/>
    <col min="16119" max="16119" width="12.28515625" style="13" customWidth="1"/>
    <col min="16120" max="16120" width="30.28515625" style="13" customWidth="1"/>
    <col min="16121" max="16121" width="10.42578125" style="13" customWidth="1"/>
    <col min="16122" max="16122" width="23.85546875" style="13" customWidth="1"/>
    <col min="16123" max="16123" width="16.5703125" style="13" customWidth="1"/>
    <col min="16124" max="16124" width="22.42578125" style="13" customWidth="1"/>
    <col min="16125" max="16125" width="34.5703125" style="13" customWidth="1"/>
    <col min="16126" max="16126" width="44.140625" style="13" customWidth="1"/>
    <col min="16127" max="16127" width="30.5703125" style="13" customWidth="1"/>
    <col min="16128" max="16130" width="29.5703125" style="13" customWidth="1"/>
    <col min="16131" max="16131" width="11.7109375" style="13" customWidth="1"/>
    <col min="16132" max="16132" width="25.7109375" style="13" customWidth="1"/>
    <col min="16133" max="16134" width="8.85546875" style="13" customWidth="1"/>
    <col min="16135" max="16137" width="9" style="13" customWidth="1"/>
    <col min="16138" max="16140" width="7.28515625" style="13" customWidth="1"/>
    <col min="16141" max="16142" width="8.42578125" style="13" customWidth="1"/>
    <col min="16143" max="16144" width="7.28515625" style="13" customWidth="1"/>
    <col min="16145" max="16146" width="8.42578125" style="13" customWidth="1"/>
    <col min="16147" max="16156" width="7.28515625" style="13" customWidth="1"/>
    <col min="16157" max="16157" width="22.5703125" style="13" bestFit="1" customWidth="1"/>
    <col min="16158" max="16158" width="25.5703125" style="13" customWidth="1"/>
    <col min="16159" max="16159" width="19.7109375" style="13" customWidth="1"/>
    <col min="16160" max="16160" width="19.42578125" style="13" bestFit="1" customWidth="1"/>
    <col min="16161" max="16161" width="20.42578125" style="13" customWidth="1"/>
    <col min="16162" max="16162" width="24.7109375" style="13" customWidth="1"/>
    <col min="16163" max="16163" width="14.140625" style="13" customWidth="1"/>
    <col min="16164" max="16164" width="13" style="13" customWidth="1"/>
    <col min="16165" max="16165" width="17.140625" style="13" customWidth="1"/>
    <col min="16166" max="16166" width="16.5703125" style="13" customWidth="1"/>
    <col min="16167" max="16167" width="28.7109375" style="13" customWidth="1"/>
    <col min="16168" max="16384" width="11.42578125" style="13"/>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488" customFormat="1" ht="12.75" customHeight="1" x14ac:dyDescent="0.2">
      <c r="A7" s="3335" t="s">
        <v>8</v>
      </c>
      <c r="B7" s="3338" t="s">
        <v>9</v>
      </c>
      <c r="C7" s="3339"/>
      <c r="D7" s="3339" t="s">
        <v>8</v>
      </c>
      <c r="E7" s="3338" t="s">
        <v>10</v>
      </c>
      <c r="F7" s="3339"/>
      <c r="G7" s="3339" t="s">
        <v>8</v>
      </c>
      <c r="H7" s="3338" t="s">
        <v>11</v>
      </c>
      <c r="I7" s="3339"/>
      <c r="J7" s="3339" t="s">
        <v>8</v>
      </c>
      <c r="K7" s="3338" t="s">
        <v>12</v>
      </c>
      <c r="L7" s="2819" t="s">
        <v>13</v>
      </c>
      <c r="M7" s="2802" t="s">
        <v>14</v>
      </c>
      <c r="N7" s="3350" t="s">
        <v>15</v>
      </c>
      <c r="O7" s="2819" t="s">
        <v>664</v>
      </c>
      <c r="P7" s="3350" t="s">
        <v>6</v>
      </c>
      <c r="Q7" s="3354" t="s">
        <v>17</v>
      </c>
      <c r="R7" s="3357" t="s">
        <v>18</v>
      </c>
      <c r="S7" s="3338" t="s">
        <v>19</v>
      </c>
      <c r="T7" s="3338" t="s">
        <v>20</v>
      </c>
      <c r="U7" s="2819" t="s">
        <v>21</v>
      </c>
      <c r="V7" s="3360" t="s">
        <v>18</v>
      </c>
      <c r="W7" s="3363" t="s">
        <v>8</v>
      </c>
      <c r="X7" s="3350" t="s">
        <v>22</v>
      </c>
      <c r="Y7" s="2813" t="s">
        <v>23</v>
      </c>
      <c r="Z7" s="2814"/>
      <c r="AA7" s="2814"/>
      <c r="AB7" s="2814"/>
      <c r="AC7" s="2814"/>
      <c r="AD7" s="3366"/>
      <c r="AE7" s="2813" t="s">
        <v>24</v>
      </c>
      <c r="AF7" s="2814"/>
      <c r="AG7" s="2814"/>
      <c r="AH7" s="2814"/>
      <c r="AI7" s="2814"/>
      <c r="AJ7" s="3348"/>
      <c r="AK7" s="2816" t="s">
        <v>25</v>
      </c>
      <c r="AL7" s="2807" t="s">
        <v>26</v>
      </c>
      <c r="AM7" s="2809" t="s">
        <v>27</v>
      </c>
    </row>
    <row r="8" spans="1:72" s="1488" customFormat="1" ht="17.25" customHeight="1" x14ac:dyDescent="0.2">
      <c r="A8" s="3336"/>
      <c r="B8" s="3340"/>
      <c r="C8" s="3341"/>
      <c r="D8" s="3341"/>
      <c r="E8" s="3340"/>
      <c r="F8" s="3341"/>
      <c r="G8" s="3341"/>
      <c r="H8" s="3340"/>
      <c r="I8" s="3341"/>
      <c r="J8" s="3341"/>
      <c r="K8" s="3340"/>
      <c r="L8" s="2820"/>
      <c r="M8" s="2802"/>
      <c r="N8" s="3351"/>
      <c r="O8" s="2820"/>
      <c r="P8" s="3351"/>
      <c r="Q8" s="3355"/>
      <c r="R8" s="3358"/>
      <c r="S8" s="3340"/>
      <c r="T8" s="3340"/>
      <c r="U8" s="2820"/>
      <c r="V8" s="3361"/>
      <c r="W8" s="3364"/>
      <c r="X8" s="3351"/>
      <c r="Y8" s="3338" t="s">
        <v>269</v>
      </c>
      <c r="Z8" s="3345" t="s">
        <v>29</v>
      </c>
      <c r="AA8" s="3338" t="s">
        <v>30</v>
      </c>
      <c r="AB8" s="3338" t="s">
        <v>31</v>
      </c>
      <c r="AC8" s="3338" t="s">
        <v>32</v>
      </c>
      <c r="AD8" s="3338" t="s">
        <v>33</v>
      </c>
      <c r="AE8" s="3338" t="s">
        <v>34</v>
      </c>
      <c r="AF8" s="3338" t="s">
        <v>35</v>
      </c>
      <c r="AG8" s="3338" t="s">
        <v>36</v>
      </c>
      <c r="AH8" s="3338" t="s">
        <v>37</v>
      </c>
      <c r="AI8" s="3338" t="s">
        <v>38</v>
      </c>
      <c r="AJ8" s="2802" t="s">
        <v>39</v>
      </c>
      <c r="AK8" s="2816"/>
      <c r="AL8" s="2808"/>
      <c r="AM8" s="2810"/>
    </row>
    <row r="9" spans="1:72" s="1488" customFormat="1" ht="12.75" customHeight="1" x14ac:dyDescent="0.2">
      <c r="A9" s="3336"/>
      <c r="B9" s="3340"/>
      <c r="C9" s="3341"/>
      <c r="D9" s="3341"/>
      <c r="E9" s="3340"/>
      <c r="F9" s="3341"/>
      <c r="G9" s="3341"/>
      <c r="H9" s="3340"/>
      <c r="I9" s="3341"/>
      <c r="J9" s="3341"/>
      <c r="K9" s="3340"/>
      <c r="L9" s="2820"/>
      <c r="M9" s="2802"/>
      <c r="N9" s="3351"/>
      <c r="O9" s="2820"/>
      <c r="P9" s="3351"/>
      <c r="Q9" s="3355"/>
      <c r="R9" s="3358"/>
      <c r="S9" s="3340"/>
      <c r="T9" s="3340"/>
      <c r="U9" s="2820"/>
      <c r="V9" s="3361"/>
      <c r="W9" s="3364"/>
      <c r="X9" s="3351"/>
      <c r="Y9" s="3340"/>
      <c r="Z9" s="3346"/>
      <c r="AA9" s="3340"/>
      <c r="AB9" s="3340"/>
      <c r="AC9" s="3340"/>
      <c r="AD9" s="3340"/>
      <c r="AE9" s="3340"/>
      <c r="AF9" s="3340"/>
      <c r="AG9" s="3340"/>
      <c r="AH9" s="3340"/>
      <c r="AI9" s="3340"/>
      <c r="AJ9" s="2802"/>
      <c r="AK9" s="2816"/>
      <c r="AL9" s="2808"/>
      <c r="AM9" s="2810"/>
    </row>
    <row r="10" spans="1:72" s="1488" customFormat="1" ht="12.75" x14ac:dyDescent="0.2">
      <c r="A10" s="3336"/>
      <c r="B10" s="3340"/>
      <c r="C10" s="3341"/>
      <c r="D10" s="3341"/>
      <c r="E10" s="3340"/>
      <c r="F10" s="3341"/>
      <c r="G10" s="3341"/>
      <c r="H10" s="3340"/>
      <c r="I10" s="3341"/>
      <c r="J10" s="3341"/>
      <c r="K10" s="3340"/>
      <c r="L10" s="2820"/>
      <c r="M10" s="2802"/>
      <c r="N10" s="3351"/>
      <c r="O10" s="2820"/>
      <c r="P10" s="3351"/>
      <c r="Q10" s="3355"/>
      <c r="R10" s="3358"/>
      <c r="S10" s="3340"/>
      <c r="T10" s="3340"/>
      <c r="U10" s="2820"/>
      <c r="V10" s="3361"/>
      <c r="W10" s="3364"/>
      <c r="X10" s="3351"/>
      <c r="Y10" s="3340"/>
      <c r="Z10" s="3346"/>
      <c r="AA10" s="3340"/>
      <c r="AB10" s="3340"/>
      <c r="AC10" s="3340"/>
      <c r="AD10" s="3340"/>
      <c r="AE10" s="3340"/>
      <c r="AF10" s="3340"/>
      <c r="AG10" s="3340"/>
      <c r="AH10" s="3340"/>
      <c r="AI10" s="3340"/>
      <c r="AJ10" s="2802"/>
      <c r="AK10" s="2816"/>
      <c r="AL10" s="2808"/>
      <c r="AM10" s="2810"/>
    </row>
    <row r="11" spans="1:72" s="1488" customFormat="1" ht="12.75" x14ac:dyDescent="0.2">
      <c r="A11" s="3336"/>
      <c r="B11" s="3340"/>
      <c r="C11" s="3341"/>
      <c r="D11" s="3341"/>
      <c r="E11" s="3340"/>
      <c r="F11" s="3341"/>
      <c r="G11" s="3341"/>
      <c r="H11" s="3340"/>
      <c r="I11" s="3341"/>
      <c r="J11" s="3341"/>
      <c r="K11" s="3340"/>
      <c r="L11" s="2820"/>
      <c r="M11" s="2802"/>
      <c r="N11" s="3351"/>
      <c r="O11" s="2820"/>
      <c r="P11" s="3351"/>
      <c r="Q11" s="3355"/>
      <c r="R11" s="3358"/>
      <c r="S11" s="3340"/>
      <c r="T11" s="3340"/>
      <c r="U11" s="2820"/>
      <c r="V11" s="3361"/>
      <c r="W11" s="3364"/>
      <c r="X11" s="3351"/>
      <c r="Y11" s="3340"/>
      <c r="Z11" s="3346"/>
      <c r="AA11" s="3340"/>
      <c r="AB11" s="3340"/>
      <c r="AC11" s="3340"/>
      <c r="AD11" s="3340"/>
      <c r="AE11" s="3340"/>
      <c r="AF11" s="3340"/>
      <c r="AG11" s="3340"/>
      <c r="AH11" s="3340"/>
      <c r="AI11" s="3340"/>
      <c r="AJ11" s="2802"/>
      <c r="AK11" s="2816"/>
      <c r="AL11" s="2808"/>
      <c r="AM11" s="2810"/>
    </row>
    <row r="12" spans="1:72" s="1488" customFormat="1" ht="12.75" x14ac:dyDescent="0.2">
      <c r="A12" s="3336"/>
      <c r="B12" s="3340"/>
      <c r="C12" s="3341"/>
      <c r="D12" s="3341"/>
      <c r="E12" s="3340"/>
      <c r="F12" s="3341"/>
      <c r="G12" s="3341"/>
      <c r="H12" s="3340"/>
      <c r="I12" s="3341"/>
      <c r="J12" s="3341"/>
      <c r="K12" s="3340"/>
      <c r="L12" s="2820"/>
      <c r="M12" s="2802"/>
      <c r="N12" s="3351"/>
      <c r="O12" s="2820"/>
      <c r="P12" s="3351"/>
      <c r="Q12" s="3355"/>
      <c r="R12" s="3358"/>
      <c r="S12" s="3340"/>
      <c r="T12" s="3340"/>
      <c r="U12" s="2820"/>
      <c r="V12" s="3361"/>
      <c r="W12" s="3364"/>
      <c r="X12" s="3351"/>
      <c r="Y12" s="3340"/>
      <c r="Z12" s="3346"/>
      <c r="AA12" s="3340"/>
      <c r="AB12" s="3340"/>
      <c r="AC12" s="3340"/>
      <c r="AD12" s="3340"/>
      <c r="AE12" s="3340"/>
      <c r="AF12" s="3340"/>
      <c r="AG12" s="3340"/>
      <c r="AH12" s="3340"/>
      <c r="AI12" s="3340"/>
      <c r="AJ12" s="2802"/>
      <c r="AK12" s="2816"/>
      <c r="AL12" s="2808"/>
      <c r="AM12" s="2810"/>
    </row>
    <row r="13" spans="1:72" s="1488" customFormat="1" ht="12.75" x14ac:dyDescent="0.2">
      <c r="A13" s="3336"/>
      <c r="B13" s="3340"/>
      <c r="C13" s="3341"/>
      <c r="D13" s="3341"/>
      <c r="E13" s="3340"/>
      <c r="F13" s="3341"/>
      <c r="G13" s="3341"/>
      <c r="H13" s="3340"/>
      <c r="I13" s="3341"/>
      <c r="J13" s="3341"/>
      <c r="K13" s="3340"/>
      <c r="L13" s="2820"/>
      <c r="M13" s="2802"/>
      <c r="N13" s="3351"/>
      <c r="O13" s="2820"/>
      <c r="P13" s="3351"/>
      <c r="Q13" s="3355"/>
      <c r="R13" s="3358"/>
      <c r="S13" s="3340"/>
      <c r="T13" s="3340"/>
      <c r="U13" s="2820"/>
      <c r="V13" s="3362"/>
      <c r="W13" s="3364"/>
      <c r="X13" s="3351"/>
      <c r="Y13" s="3342"/>
      <c r="Z13" s="3347"/>
      <c r="AA13" s="3342"/>
      <c r="AB13" s="3342"/>
      <c r="AC13" s="3342"/>
      <c r="AD13" s="3342"/>
      <c r="AE13" s="3342"/>
      <c r="AF13" s="3342"/>
      <c r="AG13" s="3342"/>
      <c r="AH13" s="3342"/>
      <c r="AI13" s="3342"/>
      <c r="AJ13" s="2802"/>
      <c r="AK13" s="2816"/>
      <c r="AL13" s="2808"/>
      <c r="AM13" s="2810"/>
    </row>
    <row r="14" spans="1:72" s="1488" customFormat="1" ht="12.75" x14ac:dyDescent="0.2">
      <c r="A14" s="3336"/>
      <c r="B14" s="3340"/>
      <c r="C14" s="3341"/>
      <c r="D14" s="3341"/>
      <c r="E14" s="3340"/>
      <c r="F14" s="3341"/>
      <c r="G14" s="3341"/>
      <c r="H14" s="3340"/>
      <c r="I14" s="3341"/>
      <c r="J14" s="3341"/>
      <c r="K14" s="3340"/>
      <c r="L14" s="2820"/>
      <c r="M14" s="2820" t="s">
        <v>40</v>
      </c>
      <c r="N14" s="3351"/>
      <c r="O14" s="2820"/>
      <c r="P14" s="3351"/>
      <c r="Q14" s="3355"/>
      <c r="R14" s="3358"/>
      <c r="S14" s="3340"/>
      <c r="T14" s="3340"/>
      <c r="U14" s="2820"/>
      <c r="V14" s="3353" t="s">
        <v>41</v>
      </c>
      <c r="W14" s="3364"/>
      <c r="X14" s="3351"/>
      <c r="Y14" s="2819" t="s">
        <v>40</v>
      </c>
      <c r="Z14" s="2819" t="s">
        <v>40</v>
      </c>
      <c r="AA14" s="2819" t="s">
        <v>40</v>
      </c>
      <c r="AB14" s="2819" t="s">
        <v>40</v>
      </c>
      <c r="AC14" s="2819" t="s">
        <v>40</v>
      </c>
      <c r="AD14" s="2819" t="s">
        <v>40</v>
      </c>
      <c r="AE14" s="2819" t="s">
        <v>40</v>
      </c>
      <c r="AF14" s="2819" t="s">
        <v>40</v>
      </c>
      <c r="AG14" s="2819" t="s">
        <v>40</v>
      </c>
      <c r="AH14" s="2819" t="s">
        <v>40</v>
      </c>
      <c r="AI14" s="2819" t="s">
        <v>40</v>
      </c>
      <c r="AJ14" s="2820" t="s">
        <v>40</v>
      </c>
      <c r="AK14" s="3382" t="s">
        <v>40</v>
      </c>
      <c r="AL14" s="2816" t="s">
        <v>40</v>
      </c>
      <c r="AM14" s="2810"/>
    </row>
    <row r="15" spans="1:72" s="1488" customFormat="1" ht="9.75" customHeight="1" x14ac:dyDescent="0.2">
      <c r="A15" s="3337"/>
      <c r="B15" s="3342"/>
      <c r="C15" s="3343"/>
      <c r="D15" s="3343"/>
      <c r="E15" s="3342"/>
      <c r="F15" s="3343"/>
      <c r="G15" s="3343"/>
      <c r="H15" s="3342"/>
      <c r="I15" s="3343"/>
      <c r="J15" s="3343"/>
      <c r="K15" s="3342"/>
      <c r="L15" s="3349"/>
      <c r="M15" s="3349"/>
      <c r="N15" s="3352"/>
      <c r="O15" s="3349"/>
      <c r="P15" s="3352"/>
      <c r="Q15" s="3356"/>
      <c r="R15" s="3359"/>
      <c r="S15" s="3342"/>
      <c r="T15" s="3342"/>
      <c r="U15" s="3349"/>
      <c r="V15" s="3353"/>
      <c r="W15" s="3365"/>
      <c r="X15" s="3352"/>
      <c r="Y15" s="3349"/>
      <c r="Z15" s="3349"/>
      <c r="AA15" s="3349"/>
      <c r="AB15" s="3349"/>
      <c r="AC15" s="3349"/>
      <c r="AD15" s="3349"/>
      <c r="AE15" s="3349"/>
      <c r="AF15" s="3349"/>
      <c r="AG15" s="3349"/>
      <c r="AH15" s="3349"/>
      <c r="AI15" s="3349"/>
      <c r="AJ15" s="3349"/>
      <c r="AK15" s="3383"/>
      <c r="AL15" s="2816"/>
      <c r="AM15" s="3344"/>
    </row>
    <row r="16" spans="1:72" ht="18" customHeight="1" x14ac:dyDescent="0.2">
      <c r="A16" s="1008">
        <v>3</v>
      </c>
      <c r="B16" s="98" t="s">
        <v>665</v>
      </c>
      <c r="C16" s="98"/>
      <c r="D16" s="98"/>
      <c r="E16" s="98"/>
      <c r="F16" s="98"/>
      <c r="G16" s="98"/>
      <c r="H16" s="98"/>
      <c r="I16" s="98"/>
      <c r="J16" s="98"/>
      <c r="K16" s="1489"/>
      <c r="L16" s="1489"/>
      <c r="M16" s="98"/>
      <c r="N16" s="1489"/>
      <c r="O16" s="1490"/>
      <c r="P16" s="1489"/>
      <c r="Q16" s="1491"/>
      <c r="R16" s="1492"/>
      <c r="S16" s="1489"/>
      <c r="T16" s="1489"/>
      <c r="U16" s="1489"/>
      <c r="V16" s="1492"/>
      <c r="W16" s="1493"/>
      <c r="X16" s="1489"/>
      <c r="Y16" s="98"/>
      <c r="Z16" s="98"/>
      <c r="AA16" s="98"/>
      <c r="AB16" s="98"/>
      <c r="AC16" s="98"/>
      <c r="AD16" s="98"/>
      <c r="AE16" s="98"/>
      <c r="AF16" s="98"/>
      <c r="AG16" s="98"/>
      <c r="AH16" s="98"/>
      <c r="AI16" s="98"/>
      <c r="AJ16" s="98"/>
      <c r="AK16" s="1494"/>
      <c r="AL16" s="1494"/>
      <c r="AM16" s="1495"/>
    </row>
    <row r="17" spans="1:39" s="142" customFormat="1" ht="21.75" customHeight="1" x14ac:dyDescent="0.2">
      <c r="A17" s="1496"/>
      <c r="B17" s="1497"/>
      <c r="C17" s="1498"/>
      <c r="D17" s="1499">
        <v>20</v>
      </c>
      <c r="E17" s="1500" t="s">
        <v>1623</v>
      </c>
      <c r="F17" s="1500"/>
      <c r="G17" s="1500"/>
      <c r="H17" s="1500"/>
      <c r="I17" s="1500"/>
      <c r="J17" s="1500"/>
      <c r="K17" s="1501"/>
      <c r="L17" s="1501"/>
      <c r="M17" s="1500"/>
      <c r="N17" s="1501"/>
      <c r="O17" s="1502"/>
      <c r="P17" s="1501"/>
      <c r="Q17" s="1503"/>
      <c r="R17" s="1504"/>
      <c r="S17" s="1501"/>
      <c r="T17" s="1501"/>
      <c r="U17" s="1501"/>
      <c r="V17" s="1504"/>
      <c r="W17" s="1499"/>
      <c r="X17" s="1501"/>
      <c r="Y17" s="1500"/>
      <c r="Z17" s="1500"/>
      <c r="AA17" s="1500"/>
      <c r="AB17" s="1500"/>
      <c r="AC17" s="1500"/>
      <c r="AD17" s="1500"/>
      <c r="AE17" s="1500"/>
      <c r="AF17" s="1500"/>
      <c r="AG17" s="1500"/>
      <c r="AH17" s="1500"/>
      <c r="AI17" s="1500"/>
      <c r="AJ17" s="1500"/>
      <c r="AK17" s="1505"/>
      <c r="AL17" s="1505"/>
      <c r="AM17" s="1501"/>
    </row>
    <row r="18" spans="1:39" s="142" customFormat="1" ht="20.25" customHeight="1" x14ac:dyDescent="0.2">
      <c r="A18" s="1506"/>
      <c r="B18" s="1507"/>
      <c r="C18" s="1508"/>
      <c r="D18" s="1509"/>
      <c r="E18" s="1497"/>
      <c r="F18" s="1498"/>
      <c r="G18" s="1510">
        <v>68</v>
      </c>
      <c r="H18" s="1511" t="s">
        <v>1624</v>
      </c>
      <c r="I18" s="123"/>
      <c r="J18" s="123"/>
      <c r="K18" s="124"/>
      <c r="L18" s="124"/>
      <c r="M18" s="123"/>
      <c r="N18" s="124"/>
      <c r="O18" s="123"/>
      <c r="P18" s="124"/>
      <c r="Q18" s="1006"/>
      <c r="R18" s="1512"/>
      <c r="S18" s="124"/>
      <c r="T18" s="124"/>
      <c r="U18" s="124"/>
      <c r="V18" s="1512"/>
      <c r="W18" s="125"/>
      <c r="X18" s="124"/>
      <c r="Y18" s="123"/>
      <c r="Z18" s="123"/>
      <c r="AA18" s="123"/>
      <c r="AB18" s="123"/>
      <c r="AC18" s="123"/>
      <c r="AD18" s="123"/>
      <c r="AE18" s="123"/>
      <c r="AF18" s="123"/>
      <c r="AG18" s="123"/>
      <c r="AH18" s="123"/>
      <c r="AI18" s="123"/>
      <c r="AJ18" s="123"/>
      <c r="AK18" s="123"/>
      <c r="AL18" s="123"/>
      <c r="AM18" s="131"/>
    </row>
    <row r="19" spans="1:39" s="142" customFormat="1" ht="27" customHeight="1" x14ac:dyDescent="0.2">
      <c r="A19" s="1506"/>
      <c r="B19" s="1507"/>
      <c r="C19" s="1508"/>
      <c r="D19" s="1513"/>
      <c r="E19" s="1507"/>
      <c r="F19" s="1508"/>
      <c r="G19" s="3367"/>
      <c r="H19" s="3370"/>
      <c r="I19" s="3371"/>
      <c r="J19" s="3376">
        <v>202</v>
      </c>
      <c r="K19" s="2783" t="s">
        <v>1625</v>
      </c>
      <c r="L19" s="3376" t="s">
        <v>16</v>
      </c>
      <c r="M19" s="3376">
        <v>23</v>
      </c>
      <c r="N19" s="3377" t="s">
        <v>1626</v>
      </c>
      <c r="O19" s="1937">
        <v>161</v>
      </c>
      <c r="P19" s="1942" t="s">
        <v>1627</v>
      </c>
      <c r="Q19" s="1953">
        <f>SUM(V19:V21)/R19</f>
        <v>0.78843046554992502</v>
      </c>
      <c r="R19" s="3379">
        <f>SUM(V19:V22)</f>
        <v>756252550.33000004</v>
      </c>
      <c r="S19" s="1942" t="s">
        <v>1628</v>
      </c>
      <c r="T19" s="1949" t="s">
        <v>1629</v>
      </c>
      <c r="U19" s="3390" t="s">
        <v>1630</v>
      </c>
      <c r="V19" s="1514">
        <f>310000000</f>
        <v>310000000</v>
      </c>
      <c r="W19" s="1515">
        <v>4</v>
      </c>
      <c r="X19" s="137" t="s">
        <v>51</v>
      </c>
      <c r="Y19" s="3391">
        <v>3525</v>
      </c>
      <c r="Z19" s="3384">
        <v>4164</v>
      </c>
      <c r="AA19" s="3384">
        <v>4491</v>
      </c>
      <c r="AB19" s="3387"/>
      <c r="AC19" s="1958"/>
      <c r="AD19" s="1958"/>
      <c r="AE19" s="1958"/>
      <c r="AF19" s="1958"/>
      <c r="AG19" s="1958"/>
      <c r="AH19" s="1958"/>
      <c r="AI19" s="1958"/>
      <c r="AJ19" s="1958"/>
      <c r="AK19" s="3398">
        <v>42767</v>
      </c>
      <c r="AL19" s="3398">
        <v>43100</v>
      </c>
      <c r="AM19" s="3394" t="s">
        <v>1631</v>
      </c>
    </row>
    <row r="20" spans="1:39" s="142" customFormat="1" ht="19.5" customHeight="1" x14ac:dyDescent="0.2">
      <c r="A20" s="1506"/>
      <c r="B20" s="1507"/>
      <c r="C20" s="1508"/>
      <c r="D20" s="1513"/>
      <c r="E20" s="1507"/>
      <c r="F20" s="1508"/>
      <c r="G20" s="3368"/>
      <c r="H20" s="3372"/>
      <c r="I20" s="3373"/>
      <c r="J20" s="2771"/>
      <c r="K20" s="2784"/>
      <c r="L20" s="2771"/>
      <c r="M20" s="2771"/>
      <c r="N20" s="3378"/>
      <c r="O20" s="1938"/>
      <c r="P20" s="2785"/>
      <c r="Q20" s="2786"/>
      <c r="R20" s="3380"/>
      <c r="S20" s="2785"/>
      <c r="T20" s="2780"/>
      <c r="U20" s="3390"/>
      <c r="V20" s="1514">
        <f>60000000+100000000</f>
        <v>160000000</v>
      </c>
      <c r="W20" s="1515">
        <v>3</v>
      </c>
      <c r="X20" s="1942" t="s">
        <v>1632</v>
      </c>
      <c r="Y20" s="3392"/>
      <c r="Z20" s="3385"/>
      <c r="AA20" s="3385"/>
      <c r="AB20" s="3388"/>
      <c r="AC20" s="1959"/>
      <c r="AD20" s="1959"/>
      <c r="AE20" s="1959"/>
      <c r="AF20" s="1959"/>
      <c r="AG20" s="1959"/>
      <c r="AH20" s="1959"/>
      <c r="AI20" s="1959"/>
      <c r="AJ20" s="1959"/>
      <c r="AK20" s="3399"/>
      <c r="AL20" s="3399"/>
      <c r="AM20" s="3395"/>
    </row>
    <row r="21" spans="1:39" s="142" customFormat="1" ht="25.5" x14ac:dyDescent="0.2">
      <c r="A21" s="1506"/>
      <c r="B21" s="1507"/>
      <c r="C21" s="1508"/>
      <c r="D21" s="1513"/>
      <c r="E21" s="1507"/>
      <c r="F21" s="1508"/>
      <c r="G21" s="3368"/>
      <c r="H21" s="3372"/>
      <c r="I21" s="3373"/>
      <c r="J21" s="2771"/>
      <c r="K21" s="2784"/>
      <c r="L21" s="2771"/>
      <c r="M21" s="2771"/>
      <c r="N21" s="3378"/>
      <c r="O21" s="1938"/>
      <c r="P21" s="2785"/>
      <c r="Q21" s="2786"/>
      <c r="R21" s="3380"/>
      <c r="S21" s="2785"/>
      <c r="T21" s="2780"/>
      <c r="U21" s="1516" t="s">
        <v>1633</v>
      </c>
      <c r="V21" s="1514">
        <f>68000000+58252550.33</f>
        <v>126252550.33</v>
      </c>
      <c r="W21" s="1515">
        <v>3</v>
      </c>
      <c r="X21" s="2785"/>
      <c r="Y21" s="3392"/>
      <c r="Z21" s="3385"/>
      <c r="AA21" s="3385"/>
      <c r="AB21" s="3388"/>
      <c r="AC21" s="1959"/>
      <c r="AD21" s="1959"/>
      <c r="AE21" s="1959"/>
      <c r="AF21" s="1959"/>
      <c r="AG21" s="1959"/>
      <c r="AH21" s="1959"/>
      <c r="AI21" s="1959"/>
      <c r="AJ21" s="1959"/>
      <c r="AK21" s="3399"/>
      <c r="AL21" s="3399"/>
      <c r="AM21" s="3395"/>
    </row>
    <row r="22" spans="1:39" s="142" customFormat="1" ht="38.25" x14ac:dyDescent="0.2">
      <c r="A22" s="1506"/>
      <c r="B22" s="1507"/>
      <c r="C22" s="1508"/>
      <c r="D22" s="1513"/>
      <c r="E22" s="1507"/>
      <c r="F22" s="1508"/>
      <c r="G22" s="3369"/>
      <c r="H22" s="3374"/>
      <c r="I22" s="3375"/>
      <c r="J22" s="1517">
        <v>203</v>
      </c>
      <c r="K22" s="139" t="s">
        <v>1634</v>
      </c>
      <c r="L22" s="1517" t="s">
        <v>16</v>
      </c>
      <c r="M22" s="1517">
        <v>20</v>
      </c>
      <c r="N22" s="1518" t="s">
        <v>1635</v>
      </c>
      <c r="O22" s="1939"/>
      <c r="P22" s="1961"/>
      <c r="Q22" s="1282">
        <f>V22/R19</f>
        <v>0.21156953445007498</v>
      </c>
      <c r="R22" s="3381"/>
      <c r="S22" s="1961"/>
      <c r="T22" s="2788"/>
      <c r="U22" s="1516" t="s">
        <v>1636</v>
      </c>
      <c r="V22" s="1514">
        <v>160000000</v>
      </c>
      <c r="W22" s="1515">
        <v>3</v>
      </c>
      <c r="X22" s="1961"/>
      <c r="Y22" s="3393"/>
      <c r="Z22" s="3386"/>
      <c r="AA22" s="3386"/>
      <c r="AB22" s="3389"/>
      <c r="AC22" s="1960"/>
      <c r="AD22" s="1960"/>
      <c r="AE22" s="1960"/>
      <c r="AF22" s="1960"/>
      <c r="AG22" s="1960"/>
      <c r="AH22" s="1960"/>
      <c r="AI22" s="1960"/>
      <c r="AJ22" s="1960"/>
      <c r="AK22" s="3400"/>
      <c r="AL22" s="3400"/>
      <c r="AM22" s="3396"/>
    </row>
    <row r="23" spans="1:39" s="142" customFormat="1" ht="24.75" customHeight="1" x14ac:dyDescent="0.2">
      <c r="A23" s="1506"/>
      <c r="B23" s="1507"/>
      <c r="C23" s="1508"/>
      <c r="D23" s="1513"/>
      <c r="E23" s="1507"/>
      <c r="F23" s="1508"/>
      <c r="G23" s="1519">
        <v>69</v>
      </c>
      <c r="H23" s="1511" t="s">
        <v>1637</v>
      </c>
      <c r="I23" s="123"/>
      <c r="J23" s="123"/>
      <c r="K23" s="124"/>
      <c r="L23" s="124"/>
      <c r="M23" s="123"/>
      <c r="N23" s="1520"/>
      <c r="O23" s="123"/>
      <c r="P23" s="124"/>
      <c r="Q23" s="1006"/>
      <c r="R23" s="1521"/>
      <c r="S23" s="124"/>
      <c r="T23" s="124"/>
      <c r="U23" s="124"/>
      <c r="V23" s="1512"/>
      <c r="W23" s="980"/>
      <c r="X23" s="124"/>
      <c r="Y23" s="123"/>
      <c r="Z23" s="123"/>
      <c r="AA23" s="123"/>
      <c r="AB23" s="123"/>
      <c r="AC23" s="123"/>
      <c r="AD23" s="123"/>
      <c r="AE23" s="123"/>
      <c r="AF23" s="123"/>
      <c r="AG23" s="123"/>
      <c r="AH23" s="123"/>
      <c r="AI23" s="123"/>
      <c r="AJ23" s="123"/>
      <c r="AK23" s="123"/>
      <c r="AL23" s="123"/>
      <c r="AM23" s="131"/>
    </row>
    <row r="24" spans="1:39" s="142" customFormat="1" ht="63" customHeight="1" x14ac:dyDescent="0.2">
      <c r="A24" s="1506"/>
      <c r="B24" s="1507"/>
      <c r="C24" s="1508"/>
      <c r="D24" s="1513"/>
      <c r="E24" s="1507"/>
      <c r="F24" s="1508"/>
      <c r="G24" s="3367"/>
      <c r="H24" s="3397"/>
      <c r="I24" s="3397"/>
      <c r="J24" s="1940">
        <v>204</v>
      </c>
      <c r="K24" s="1941" t="s">
        <v>1638</v>
      </c>
      <c r="L24" s="1940" t="s">
        <v>16</v>
      </c>
      <c r="M24" s="1940">
        <v>13</v>
      </c>
      <c r="N24" s="3401" t="s">
        <v>1639</v>
      </c>
      <c r="O24" s="1940">
        <v>161</v>
      </c>
      <c r="P24" s="1941" t="s">
        <v>1627</v>
      </c>
      <c r="Q24" s="1952">
        <f>(V24+V25+V26)/R24</f>
        <v>1</v>
      </c>
      <c r="R24" s="3402">
        <f>SUM(V24:V26)</f>
        <v>231288679.81</v>
      </c>
      <c r="S24" s="1941" t="s">
        <v>1628</v>
      </c>
      <c r="T24" s="1948" t="s">
        <v>1629</v>
      </c>
      <c r="U24" s="3390" t="s">
        <v>1640</v>
      </c>
      <c r="V24" s="1522">
        <v>113400000</v>
      </c>
      <c r="W24" s="1515">
        <v>4</v>
      </c>
      <c r="X24" s="137" t="s">
        <v>51</v>
      </c>
      <c r="Y24" s="2045">
        <v>3525</v>
      </c>
      <c r="Z24" s="2045">
        <v>4164</v>
      </c>
      <c r="AA24" s="2045">
        <v>4491</v>
      </c>
      <c r="AB24" s="2045"/>
      <c r="AC24" s="2045"/>
      <c r="AD24" s="2045"/>
      <c r="AE24" s="2045"/>
      <c r="AF24" s="2045"/>
      <c r="AG24" s="2045"/>
      <c r="AH24" s="2045"/>
      <c r="AI24" s="2045"/>
      <c r="AJ24" s="2045"/>
      <c r="AK24" s="3406">
        <v>42767</v>
      </c>
      <c r="AL24" s="3406">
        <v>43100</v>
      </c>
      <c r="AM24" s="3404" t="s">
        <v>1631</v>
      </c>
    </row>
    <row r="25" spans="1:39" s="142" customFormat="1" ht="63" customHeight="1" x14ac:dyDescent="0.2">
      <c r="A25" s="1506"/>
      <c r="B25" s="1507"/>
      <c r="C25" s="1508"/>
      <c r="D25" s="1513"/>
      <c r="E25" s="1507"/>
      <c r="F25" s="1508"/>
      <c r="G25" s="3368"/>
      <c r="H25" s="3397"/>
      <c r="I25" s="3397"/>
      <c r="J25" s="1940"/>
      <c r="K25" s="1941"/>
      <c r="L25" s="1940"/>
      <c r="M25" s="1940"/>
      <c r="N25" s="3401"/>
      <c r="O25" s="1940"/>
      <c r="P25" s="1941"/>
      <c r="Q25" s="1952"/>
      <c r="R25" s="3402"/>
      <c r="S25" s="1941"/>
      <c r="T25" s="1948"/>
      <c r="U25" s="3390"/>
      <c r="V25" s="1522">
        <v>5276896</v>
      </c>
      <c r="W25" s="1515" t="s">
        <v>1641</v>
      </c>
      <c r="X25" s="137" t="s">
        <v>1642</v>
      </c>
      <c r="Y25" s="2045"/>
      <c r="Z25" s="2045"/>
      <c r="AA25" s="2045"/>
      <c r="AB25" s="2045"/>
      <c r="AC25" s="2045"/>
      <c r="AD25" s="2045"/>
      <c r="AE25" s="2045"/>
      <c r="AF25" s="2045"/>
      <c r="AG25" s="2045"/>
      <c r="AH25" s="2045"/>
      <c r="AI25" s="2045"/>
      <c r="AJ25" s="2045"/>
      <c r="AK25" s="3406"/>
      <c r="AL25" s="3406"/>
      <c r="AM25" s="3404"/>
    </row>
    <row r="26" spans="1:39" s="142" customFormat="1" ht="63" customHeight="1" x14ac:dyDescent="0.2">
      <c r="A26" s="1506"/>
      <c r="B26" s="1507"/>
      <c r="C26" s="1508"/>
      <c r="D26" s="1513"/>
      <c r="E26" s="1507"/>
      <c r="F26" s="1508"/>
      <c r="G26" s="3369"/>
      <c r="H26" s="3397"/>
      <c r="I26" s="3397"/>
      <c r="J26" s="1940"/>
      <c r="K26" s="1941"/>
      <c r="L26" s="1940"/>
      <c r="M26" s="1940"/>
      <c r="N26" s="3401"/>
      <c r="O26" s="1940"/>
      <c r="P26" s="1941"/>
      <c r="Q26" s="1952"/>
      <c r="R26" s="3402"/>
      <c r="S26" s="1941"/>
      <c r="T26" s="1948"/>
      <c r="U26" s="3390"/>
      <c r="V26" s="1522">
        <v>112611783.81</v>
      </c>
      <c r="W26" s="1515">
        <v>6</v>
      </c>
      <c r="X26" s="1523" t="s">
        <v>1643</v>
      </c>
      <c r="Y26" s="2045"/>
      <c r="Z26" s="2045"/>
      <c r="AA26" s="2045"/>
      <c r="AB26" s="2045"/>
      <c r="AC26" s="2045"/>
      <c r="AD26" s="2045"/>
      <c r="AE26" s="2045"/>
      <c r="AF26" s="2045"/>
      <c r="AG26" s="2045"/>
      <c r="AH26" s="2045"/>
      <c r="AI26" s="2045"/>
      <c r="AJ26" s="2045"/>
      <c r="AK26" s="3406"/>
      <c r="AL26" s="3406"/>
      <c r="AM26" s="3404"/>
    </row>
    <row r="27" spans="1:39" s="142" customFormat="1" ht="24.75" customHeight="1" x14ac:dyDescent="0.2">
      <c r="A27" s="1506"/>
      <c r="B27" s="1507"/>
      <c r="C27" s="1508"/>
      <c r="D27" s="1513"/>
      <c r="E27" s="1507"/>
      <c r="F27" s="1508"/>
      <c r="G27" s="1519">
        <v>70</v>
      </c>
      <c r="H27" s="1511" t="s">
        <v>1644</v>
      </c>
      <c r="I27" s="123"/>
      <c r="J27" s="123"/>
      <c r="K27" s="124"/>
      <c r="L27" s="124"/>
      <c r="M27" s="123"/>
      <c r="N27" s="1520"/>
      <c r="O27" s="123"/>
      <c r="P27" s="124"/>
      <c r="Q27" s="1006"/>
      <c r="R27" s="1512"/>
      <c r="S27" s="124"/>
      <c r="T27" s="124"/>
      <c r="U27" s="124"/>
      <c r="V27" s="1512"/>
      <c r="W27" s="980"/>
      <c r="X27" s="124"/>
      <c r="Y27" s="123"/>
      <c r="Z27" s="123"/>
      <c r="AA27" s="123"/>
      <c r="AB27" s="123"/>
      <c r="AC27" s="123"/>
      <c r="AD27" s="123"/>
      <c r="AE27" s="123"/>
      <c r="AF27" s="123"/>
      <c r="AG27" s="123"/>
      <c r="AH27" s="123"/>
      <c r="AI27" s="123"/>
      <c r="AJ27" s="123"/>
      <c r="AK27" s="123"/>
      <c r="AL27" s="123"/>
      <c r="AM27" s="131"/>
    </row>
    <row r="28" spans="1:39" s="142" customFormat="1" ht="43.5" customHeight="1" x14ac:dyDescent="0.2">
      <c r="A28" s="1506"/>
      <c r="B28" s="1507"/>
      <c r="C28" s="1508"/>
      <c r="D28" s="1513"/>
      <c r="E28" s="1507"/>
      <c r="F28" s="1508"/>
      <c r="G28" s="3367"/>
      <c r="H28" s="3370"/>
      <c r="I28" s="3371"/>
      <c r="J28" s="3405">
        <v>205</v>
      </c>
      <c r="K28" s="1941" t="s">
        <v>1645</v>
      </c>
      <c r="L28" s="1940" t="s">
        <v>16</v>
      </c>
      <c r="M28" s="1943">
        <v>1</v>
      </c>
      <c r="N28" s="3401" t="s">
        <v>1646</v>
      </c>
      <c r="O28" s="1940">
        <v>162</v>
      </c>
      <c r="P28" s="1941" t="s">
        <v>1647</v>
      </c>
      <c r="Q28" s="1952">
        <f>(V28+V30)/R28</f>
        <v>1</v>
      </c>
      <c r="R28" s="3403">
        <f>SUM(V28:V30)</f>
        <v>405652392</v>
      </c>
      <c r="S28" s="1941" t="s">
        <v>1648</v>
      </c>
      <c r="T28" s="1948" t="s">
        <v>1649</v>
      </c>
      <c r="U28" s="3390" t="s">
        <v>1650</v>
      </c>
      <c r="V28" s="3403">
        <v>280000000</v>
      </c>
      <c r="W28" s="1515">
        <v>4</v>
      </c>
      <c r="X28" s="1941" t="s">
        <v>51</v>
      </c>
      <c r="Y28" s="1958">
        <v>3525</v>
      </c>
      <c r="Z28" s="1958">
        <v>4164</v>
      </c>
      <c r="AA28" s="1958">
        <v>4491</v>
      </c>
      <c r="AB28" s="3407"/>
      <c r="AC28" s="3407"/>
      <c r="AD28" s="3407"/>
      <c r="AE28" s="2045"/>
      <c r="AF28" s="2045"/>
      <c r="AG28" s="2045"/>
      <c r="AH28" s="2045"/>
      <c r="AI28" s="2045"/>
      <c r="AJ28" s="3407"/>
      <c r="AK28" s="1946">
        <v>42767</v>
      </c>
      <c r="AL28" s="1946">
        <v>43100</v>
      </c>
      <c r="AM28" s="1948" t="s">
        <v>1631</v>
      </c>
    </row>
    <row r="29" spans="1:39" s="142" customFormat="1" ht="37.5" customHeight="1" x14ac:dyDescent="0.2">
      <c r="A29" s="1506"/>
      <c r="B29" s="1507"/>
      <c r="C29" s="1508"/>
      <c r="D29" s="1513"/>
      <c r="E29" s="1507"/>
      <c r="F29" s="1508"/>
      <c r="G29" s="3368"/>
      <c r="H29" s="3372"/>
      <c r="I29" s="3373"/>
      <c r="J29" s="3405"/>
      <c r="K29" s="1941"/>
      <c r="L29" s="1940"/>
      <c r="M29" s="1943"/>
      <c r="N29" s="3401"/>
      <c r="O29" s="1940"/>
      <c r="P29" s="1941"/>
      <c r="Q29" s="1952"/>
      <c r="R29" s="3403"/>
      <c r="S29" s="1941"/>
      <c r="T29" s="1948"/>
      <c r="U29" s="3390"/>
      <c r="V29" s="3403"/>
      <c r="W29" s="1515">
        <v>4</v>
      </c>
      <c r="X29" s="1941"/>
      <c r="Y29" s="1959"/>
      <c r="Z29" s="1959"/>
      <c r="AA29" s="1959"/>
      <c r="AB29" s="3407"/>
      <c r="AC29" s="3407"/>
      <c r="AD29" s="3407"/>
      <c r="AE29" s="2045"/>
      <c r="AF29" s="2045"/>
      <c r="AG29" s="2045"/>
      <c r="AH29" s="2045"/>
      <c r="AI29" s="2045"/>
      <c r="AJ29" s="3407"/>
      <c r="AK29" s="1946"/>
      <c r="AL29" s="1946"/>
      <c r="AM29" s="1948"/>
    </row>
    <row r="30" spans="1:39" s="142" customFormat="1" ht="49.5" customHeight="1" x14ac:dyDescent="0.2">
      <c r="A30" s="1506"/>
      <c r="B30" s="1507"/>
      <c r="C30" s="1508"/>
      <c r="D30" s="1513"/>
      <c r="E30" s="1507"/>
      <c r="F30" s="1508"/>
      <c r="G30" s="3369"/>
      <c r="H30" s="3374"/>
      <c r="I30" s="3375"/>
      <c r="J30" s="3405"/>
      <c r="K30" s="1941"/>
      <c r="L30" s="1940"/>
      <c r="M30" s="1943"/>
      <c r="N30" s="3401"/>
      <c r="O30" s="1940"/>
      <c r="P30" s="1941"/>
      <c r="Q30" s="1952"/>
      <c r="R30" s="3403"/>
      <c r="S30" s="1941"/>
      <c r="T30" s="1948"/>
      <c r="U30" s="3390"/>
      <c r="V30" s="1524">
        <v>125652392</v>
      </c>
      <c r="W30" s="1515">
        <v>7</v>
      </c>
      <c r="X30" s="137" t="s">
        <v>1651</v>
      </c>
      <c r="Y30" s="1960"/>
      <c r="Z30" s="1960"/>
      <c r="AA30" s="1960"/>
      <c r="AB30" s="3407"/>
      <c r="AC30" s="3407"/>
      <c r="AD30" s="3407"/>
      <c r="AE30" s="2045"/>
      <c r="AF30" s="2045"/>
      <c r="AG30" s="2045"/>
      <c r="AH30" s="2045"/>
      <c r="AI30" s="2045"/>
      <c r="AJ30" s="3407"/>
      <c r="AK30" s="1946"/>
      <c r="AL30" s="1946"/>
      <c r="AM30" s="1948"/>
    </row>
    <row r="31" spans="1:39" s="142" customFormat="1" ht="24.75" customHeight="1" x14ac:dyDescent="0.2">
      <c r="A31" s="1506"/>
      <c r="B31" s="1507"/>
      <c r="C31" s="1508"/>
      <c r="D31" s="1513"/>
      <c r="E31" s="1507"/>
      <c r="F31" s="1508"/>
      <c r="G31" s="1519">
        <v>71</v>
      </c>
      <c r="H31" s="1511" t="s">
        <v>1652</v>
      </c>
      <c r="I31" s="123"/>
      <c r="J31" s="123"/>
      <c r="K31" s="124"/>
      <c r="L31" s="124"/>
      <c r="M31" s="123"/>
      <c r="N31" s="1520"/>
      <c r="O31" s="123"/>
      <c r="P31" s="124"/>
      <c r="Q31" s="1006"/>
      <c r="R31" s="1512"/>
      <c r="S31" s="982"/>
      <c r="T31" s="982"/>
      <c r="U31" s="124"/>
      <c r="V31" s="1512"/>
      <c r="W31" s="980"/>
      <c r="X31" s="124"/>
      <c r="Y31" s="123"/>
      <c r="Z31" s="123"/>
      <c r="AA31" s="123"/>
      <c r="AB31" s="123"/>
      <c r="AC31" s="123"/>
      <c r="AD31" s="123"/>
      <c r="AE31" s="123"/>
      <c r="AF31" s="123"/>
      <c r="AG31" s="123"/>
      <c r="AH31" s="123"/>
      <c r="AI31" s="123"/>
      <c r="AJ31" s="123"/>
      <c r="AK31" s="123"/>
      <c r="AL31" s="123"/>
      <c r="AM31" s="131"/>
    </row>
    <row r="32" spans="1:39" s="142" customFormat="1" ht="44.25" customHeight="1" x14ac:dyDescent="0.2">
      <c r="A32" s="1506"/>
      <c r="B32" s="1507"/>
      <c r="C32" s="1508"/>
      <c r="D32" s="1513"/>
      <c r="E32" s="1507"/>
      <c r="F32" s="1508"/>
      <c r="G32" s="3367"/>
      <c r="H32" s="3412"/>
      <c r="I32" s="3413"/>
      <c r="J32" s="3405">
        <v>206</v>
      </c>
      <c r="K32" s="1941" t="s">
        <v>1653</v>
      </c>
      <c r="L32" s="1940" t="s">
        <v>16</v>
      </c>
      <c r="M32" s="1940">
        <v>12</v>
      </c>
      <c r="N32" s="3416" t="s">
        <v>1654</v>
      </c>
      <c r="O32" s="1937">
        <v>163</v>
      </c>
      <c r="P32" s="1941" t="s">
        <v>1655</v>
      </c>
      <c r="Q32" s="1952">
        <f>(V32+V33)/R32</f>
        <v>0.25543447959763027</v>
      </c>
      <c r="R32" s="3408">
        <f>SUM(V32:V37)</f>
        <v>555098827</v>
      </c>
      <c r="S32" s="2772" t="s">
        <v>1656</v>
      </c>
      <c r="T32" s="2772" t="s">
        <v>1657</v>
      </c>
      <c r="U32" s="3411" t="s">
        <v>1658</v>
      </c>
      <c r="V32" s="1524">
        <v>106800000</v>
      </c>
      <c r="W32" s="1515">
        <v>3</v>
      </c>
      <c r="X32" s="137" t="s">
        <v>1659</v>
      </c>
      <c r="Y32" s="3407"/>
      <c r="Z32" s="1958">
        <v>4164</v>
      </c>
      <c r="AA32" s="1958">
        <v>5851</v>
      </c>
      <c r="AB32" s="1958"/>
      <c r="AC32" s="3407"/>
      <c r="AD32" s="3407"/>
      <c r="AE32" s="2045"/>
      <c r="AF32" s="2045"/>
      <c r="AG32" s="2045"/>
      <c r="AH32" s="2045"/>
      <c r="AI32" s="2045"/>
      <c r="AJ32" s="2045"/>
      <c r="AK32" s="1946">
        <v>42767</v>
      </c>
      <c r="AL32" s="1946">
        <v>43100</v>
      </c>
      <c r="AM32" s="3418" t="s">
        <v>1631</v>
      </c>
    </row>
    <row r="33" spans="1:39" s="142" customFormat="1" ht="27" customHeight="1" x14ac:dyDescent="0.2">
      <c r="A33" s="1506"/>
      <c r="B33" s="1507"/>
      <c r="C33" s="1508"/>
      <c r="D33" s="1513"/>
      <c r="E33" s="1507"/>
      <c r="F33" s="1508"/>
      <c r="G33" s="3368"/>
      <c r="H33" s="3414"/>
      <c r="I33" s="3415"/>
      <c r="J33" s="3405"/>
      <c r="K33" s="1941"/>
      <c r="L33" s="1940"/>
      <c r="M33" s="1940"/>
      <c r="N33" s="3417"/>
      <c r="O33" s="1938"/>
      <c r="P33" s="1941"/>
      <c r="Q33" s="1952"/>
      <c r="R33" s="3409"/>
      <c r="S33" s="2772"/>
      <c r="T33" s="2772"/>
      <c r="U33" s="3411"/>
      <c r="V33" s="1524">
        <v>34991380</v>
      </c>
      <c r="W33" s="1515">
        <v>7</v>
      </c>
      <c r="X33" s="137" t="s">
        <v>1651</v>
      </c>
      <c r="Y33" s="3407"/>
      <c r="Z33" s="1959"/>
      <c r="AA33" s="1959"/>
      <c r="AB33" s="1959"/>
      <c r="AC33" s="3407"/>
      <c r="AD33" s="3407"/>
      <c r="AE33" s="2045"/>
      <c r="AF33" s="2045"/>
      <c r="AG33" s="2045"/>
      <c r="AH33" s="2045"/>
      <c r="AI33" s="2045"/>
      <c r="AJ33" s="2045"/>
      <c r="AK33" s="1946"/>
      <c r="AL33" s="1946"/>
      <c r="AM33" s="3418"/>
    </row>
    <row r="34" spans="1:39" s="142" customFormat="1" ht="15" customHeight="1" x14ac:dyDescent="0.2">
      <c r="A34" s="1506"/>
      <c r="B34" s="1507"/>
      <c r="C34" s="1508"/>
      <c r="D34" s="1513"/>
      <c r="E34" s="1507"/>
      <c r="F34" s="1508"/>
      <c r="G34" s="3368"/>
      <c r="H34" s="3414"/>
      <c r="I34" s="3415"/>
      <c r="J34" s="3405"/>
      <c r="K34" s="1941"/>
      <c r="L34" s="1940"/>
      <c r="M34" s="1940"/>
      <c r="N34" s="3417"/>
      <c r="O34" s="1938"/>
      <c r="P34" s="1941"/>
      <c r="Q34" s="1952"/>
      <c r="R34" s="3409"/>
      <c r="S34" s="2772"/>
      <c r="T34" s="2772"/>
      <c r="U34" s="3411" t="s">
        <v>1660</v>
      </c>
      <c r="V34" s="3403">
        <v>333307447</v>
      </c>
      <c r="W34" s="3419">
        <v>4</v>
      </c>
      <c r="X34" s="1941" t="s">
        <v>51</v>
      </c>
      <c r="Y34" s="3407"/>
      <c r="Z34" s="1959"/>
      <c r="AA34" s="1959"/>
      <c r="AB34" s="1959"/>
      <c r="AC34" s="3407"/>
      <c r="AD34" s="3407"/>
      <c r="AE34" s="2045"/>
      <c r="AF34" s="2045"/>
      <c r="AG34" s="2045"/>
      <c r="AH34" s="2045"/>
      <c r="AI34" s="2045"/>
      <c r="AJ34" s="2045"/>
      <c r="AK34" s="1946"/>
      <c r="AL34" s="1946"/>
      <c r="AM34" s="3418"/>
    </row>
    <row r="35" spans="1:39" s="142" customFormat="1" ht="27" customHeight="1" x14ac:dyDescent="0.2">
      <c r="A35" s="1506"/>
      <c r="B35" s="1507"/>
      <c r="C35" s="1508"/>
      <c r="D35" s="1513"/>
      <c r="E35" s="1507"/>
      <c r="F35" s="1508"/>
      <c r="G35" s="3368"/>
      <c r="H35" s="3414"/>
      <c r="I35" s="3415"/>
      <c r="J35" s="3405">
        <v>207</v>
      </c>
      <c r="K35" s="1941" t="s">
        <v>1661</v>
      </c>
      <c r="L35" s="1940" t="s">
        <v>16</v>
      </c>
      <c r="M35" s="1943">
        <v>1</v>
      </c>
      <c r="N35" s="3417"/>
      <c r="O35" s="1938"/>
      <c r="P35" s="1941"/>
      <c r="Q35" s="1952">
        <f>(V34+V36)/R32</f>
        <v>0.6544914694982773</v>
      </c>
      <c r="R35" s="3409"/>
      <c r="S35" s="2772"/>
      <c r="T35" s="2772"/>
      <c r="U35" s="3411"/>
      <c r="V35" s="3403"/>
      <c r="W35" s="3420"/>
      <c r="X35" s="1941"/>
      <c r="Y35" s="3407"/>
      <c r="Z35" s="1959"/>
      <c r="AA35" s="1959"/>
      <c r="AB35" s="1959"/>
      <c r="AC35" s="3407"/>
      <c r="AD35" s="3407"/>
      <c r="AE35" s="2045"/>
      <c r="AF35" s="2045"/>
      <c r="AG35" s="2045"/>
      <c r="AH35" s="2045"/>
      <c r="AI35" s="2045"/>
      <c r="AJ35" s="2045"/>
      <c r="AK35" s="1946"/>
      <c r="AL35" s="1946"/>
      <c r="AM35" s="3418"/>
    </row>
    <row r="36" spans="1:39" s="142" customFormat="1" ht="27" customHeight="1" x14ac:dyDescent="0.2">
      <c r="A36" s="1506"/>
      <c r="B36" s="1507"/>
      <c r="C36" s="1508"/>
      <c r="D36" s="1513"/>
      <c r="E36" s="1507"/>
      <c r="F36" s="1508"/>
      <c r="G36" s="3368"/>
      <c r="H36" s="3414"/>
      <c r="I36" s="3415"/>
      <c r="J36" s="3405"/>
      <c r="K36" s="1941"/>
      <c r="L36" s="1940"/>
      <c r="M36" s="1943"/>
      <c r="N36" s="3417"/>
      <c r="O36" s="1938"/>
      <c r="P36" s="1941"/>
      <c r="Q36" s="1952"/>
      <c r="R36" s="3409"/>
      <c r="S36" s="2772"/>
      <c r="T36" s="2772"/>
      <c r="U36" s="3411"/>
      <c r="V36" s="1524">
        <v>30000000</v>
      </c>
      <c r="W36" s="1515">
        <v>7</v>
      </c>
      <c r="X36" s="137" t="s">
        <v>1651</v>
      </c>
      <c r="Y36" s="3407"/>
      <c r="Z36" s="1959"/>
      <c r="AA36" s="1959"/>
      <c r="AB36" s="1959"/>
      <c r="AC36" s="3407"/>
      <c r="AD36" s="3407"/>
      <c r="AE36" s="2045"/>
      <c r="AF36" s="2045"/>
      <c r="AG36" s="2045"/>
      <c r="AH36" s="2045"/>
      <c r="AI36" s="2045"/>
      <c r="AJ36" s="2045"/>
      <c r="AK36" s="1946"/>
      <c r="AL36" s="1946"/>
      <c r="AM36" s="3418"/>
    </row>
    <row r="37" spans="1:39" s="142" customFormat="1" ht="36.75" customHeight="1" x14ac:dyDescent="0.2">
      <c r="A37" s="1506"/>
      <c r="B37" s="1507"/>
      <c r="C37" s="1508"/>
      <c r="D37" s="1513"/>
      <c r="E37" s="1507"/>
      <c r="F37" s="1508"/>
      <c r="G37" s="3368"/>
      <c r="H37" s="3414"/>
      <c r="I37" s="3415"/>
      <c r="J37" s="1525">
        <v>208</v>
      </c>
      <c r="K37" s="137" t="s">
        <v>1662</v>
      </c>
      <c r="L37" s="1526" t="s">
        <v>16</v>
      </c>
      <c r="M37" s="1526">
        <v>1</v>
      </c>
      <c r="N37" s="3417"/>
      <c r="O37" s="1938"/>
      <c r="P37" s="1941"/>
      <c r="Q37" s="1249">
        <f>V37/R32</f>
        <v>9.0074050904092429E-2</v>
      </c>
      <c r="R37" s="3410"/>
      <c r="S37" s="2772"/>
      <c r="T37" s="2772"/>
      <c r="U37" s="1527" t="s">
        <v>1663</v>
      </c>
      <c r="V37" s="1524">
        <v>50000000</v>
      </c>
      <c r="W37" s="1515">
        <v>4</v>
      </c>
      <c r="X37" s="137" t="s">
        <v>51</v>
      </c>
      <c r="Y37" s="3407"/>
      <c r="Z37" s="1959"/>
      <c r="AA37" s="1959"/>
      <c r="AB37" s="1959"/>
      <c r="AC37" s="3407"/>
      <c r="AD37" s="3407"/>
      <c r="AE37" s="2045"/>
      <c r="AF37" s="2045"/>
      <c r="AG37" s="2045"/>
      <c r="AH37" s="2045"/>
      <c r="AI37" s="2045"/>
      <c r="AJ37" s="2045"/>
      <c r="AK37" s="1946"/>
      <c r="AL37" s="1946"/>
      <c r="AM37" s="3418"/>
    </row>
    <row r="38" spans="1:39" s="142" customFormat="1" ht="21.75" customHeight="1" x14ac:dyDescent="0.2">
      <c r="A38" s="1506"/>
      <c r="B38" s="1507"/>
      <c r="C38" s="1508"/>
      <c r="D38" s="1499">
        <v>21</v>
      </c>
      <c r="E38" s="1500" t="s">
        <v>1664</v>
      </c>
      <c r="F38" s="1500"/>
      <c r="G38" s="1500"/>
      <c r="H38" s="1500"/>
      <c r="I38" s="1500"/>
      <c r="J38" s="1500"/>
      <c r="K38" s="1501"/>
      <c r="L38" s="1501"/>
      <c r="M38" s="1500"/>
      <c r="N38" s="1528"/>
      <c r="O38" s="1502"/>
      <c r="P38" s="1501"/>
      <c r="Q38" s="1503"/>
      <c r="R38" s="1504"/>
      <c r="S38" s="1501"/>
      <c r="T38" s="1501"/>
      <c r="U38" s="1501"/>
      <c r="V38" s="1504"/>
      <c r="W38" s="1529"/>
      <c r="X38" s="1501"/>
      <c r="Y38" s="1500"/>
      <c r="Z38" s="1500"/>
      <c r="AA38" s="1500"/>
      <c r="AB38" s="1500"/>
      <c r="AC38" s="1500"/>
      <c r="AD38" s="1500"/>
      <c r="AE38" s="1500"/>
      <c r="AF38" s="1500"/>
      <c r="AG38" s="1500"/>
      <c r="AH38" s="1500"/>
      <c r="AI38" s="1500"/>
      <c r="AJ38" s="1500"/>
      <c r="AK38" s="1505"/>
      <c r="AL38" s="1505"/>
      <c r="AM38" s="1501"/>
    </row>
    <row r="39" spans="1:39" s="142" customFormat="1" ht="24.75" customHeight="1" x14ac:dyDescent="0.2">
      <c r="A39" s="1506"/>
      <c r="B39" s="1507"/>
      <c r="C39" s="1508"/>
      <c r="D39" s="121"/>
      <c r="E39" s="105"/>
      <c r="F39" s="106"/>
      <c r="G39" s="1519">
        <v>72</v>
      </c>
      <c r="H39" s="1511" t="s">
        <v>1665</v>
      </c>
      <c r="I39" s="123"/>
      <c r="J39" s="123"/>
      <c r="K39" s="124"/>
      <c r="L39" s="124"/>
      <c r="M39" s="123"/>
      <c r="N39" s="1520"/>
      <c r="O39" s="123"/>
      <c r="P39" s="124"/>
      <c r="Q39" s="1006"/>
      <c r="R39" s="1512"/>
      <c r="S39" s="982"/>
      <c r="T39" s="982"/>
      <c r="U39" s="124"/>
      <c r="V39" s="1512"/>
      <c r="W39" s="980"/>
      <c r="X39" s="124"/>
      <c r="Y39" s="123"/>
      <c r="Z39" s="123"/>
      <c r="AA39" s="123"/>
      <c r="AB39" s="123"/>
      <c r="AC39" s="123"/>
      <c r="AD39" s="123"/>
      <c r="AE39" s="123"/>
      <c r="AF39" s="123"/>
      <c r="AG39" s="123"/>
      <c r="AH39" s="123"/>
      <c r="AI39" s="123"/>
      <c r="AJ39" s="123"/>
      <c r="AK39" s="123"/>
      <c r="AL39" s="123"/>
      <c r="AM39" s="131"/>
    </row>
    <row r="40" spans="1:39" s="142" customFormat="1" ht="51.75" customHeight="1" x14ac:dyDescent="0.2">
      <c r="A40" s="1506"/>
      <c r="B40" s="1507"/>
      <c r="C40" s="1508"/>
      <c r="D40" s="1513"/>
      <c r="E40" s="1507"/>
      <c r="F40" s="1508"/>
      <c r="G40" s="3397"/>
      <c r="H40" s="3421"/>
      <c r="I40" s="3421"/>
      <c r="J40" s="1940">
        <v>209</v>
      </c>
      <c r="K40" s="1941" t="s">
        <v>1666</v>
      </c>
      <c r="L40" s="1940" t="s">
        <v>16</v>
      </c>
      <c r="M40" s="1940">
        <v>1</v>
      </c>
      <c r="N40" s="3401" t="s">
        <v>1667</v>
      </c>
      <c r="O40" s="1937">
        <v>164</v>
      </c>
      <c r="P40" s="1941" t="s">
        <v>1668</v>
      </c>
      <c r="Q40" s="1952">
        <f>(V40+V41+V42)/R40</f>
        <v>0.36307343682377363</v>
      </c>
      <c r="R40" s="3408">
        <f>SUM(V40:V48)</f>
        <v>160171960</v>
      </c>
      <c r="S40" s="2772" t="s">
        <v>1669</v>
      </c>
      <c r="T40" s="2772" t="s">
        <v>1670</v>
      </c>
      <c r="U40" s="3411" t="s">
        <v>1671</v>
      </c>
      <c r="V40" s="1524">
        <v>8000000</v>
      </c>
      <c r="W40" s="1515">
        <v>4</v>
      </c>
      <c r="X40" s="137" t="s">
        <v>51</v>
      </c>
      <c r="Y40" s="2045">
        <v>3525</v>
      </c>
      <c r="Z40" s="2045">
        <v>17139</v>
      </c>
      <c r="AA40" s="2045">
        <v>4167</v>
      </c>
      <c r="AB40" s="2045">
        <v>906</v>
      </c>
      <c r="AC40" s="2045">
        <v>885</v>
      </c>
      <c r="AD40" s="2045">
        <v>718</v>
      </c>
      <c r="AE40" s="2045"/>
      <c r="AF40" s="2045"/>
      <c r="AG40" s="2045"/>
      <c r="AH40" s="2045"/>
      <c r="AI40" s="2045"/>
      <c r="AJ40" s="2045"/>
      <c r="AK40" s="1946">
        <v>42767</v>
      </c>
      <c r="AL40" s="1946">
        <v>43100</v>
      </c>
      <c r="AM40" s="3418" t="s">
        <v>1631</v>
      </c>
    </row>
    <row r="41" spans="1:39" s="142" customFormat="1" ht="51.75" customHeight="1" x14ac:dyDescent="0.2">
      <c r="A41" s="1506"/>
      <c r="B41" s="1507"/>
      <c r="C41" s="1508"/>
      <c r="D41" s="1513"/>
      <c r="E41" s="1507"/>
      <c r="F41" s="1508"/>
      <c r="G41" s="3397"/>
      <c r="H41" s="3421"/>
      <c r="I41" s="3421"/>
      <c r="J41" s="1940"/>
      <c r="K41" s="1941"/>
      <c r="L41" s="1940"/>
      <c r="M41" s="1940"/>
      <c r="N41" s="3401"/>
      <c r="O41" s="1938"/>
      <c r="P41" s="1941"/>
      <c r="Q41" s="1952"/>
      <c r="R41" s="3409"/>
      <c r="S41" s="2772"/>
      <c r="T41" s="2772"/>
      <c r="U41" s="3411"/>
      <c r="V41" s="1524">
        <v>32000000</v>
      </c>
      <c r="W41" s="1515">
        <v>3</v>
      </c>
      <c r="X41" s="137" t="s">
        <v>1672</v>
      </c>
      <c r="Y41" s="2045"/>
      <c r="Z41" s="2045"/>
      <c r="AA41" s="2045"/>
      <c r="AB41" s="2045"/>
      <c r="AC41" s="2045"/>
      <c r="AD41" s="2045"/>
      <c r="AE41" s="2045"/>
      <c r="AF41" s="2045"/>
      <c r="AG41" s="2045"/>
      <c r="AH41" s="2045"/>
      <c r="AI41" s="2045"/>
      <c r="AJ41" s="2045"/>
      <c r="AK41" s="1946"/>
      <c r="AL41" s="1946"/>
      <c r="AM41" s="3418"/>
    </row>
    <row r="42" spans="1:39" s="142" customFormat="1" ht="27" customHeight="1" x14ac:dyDescent="0.2">
      <c r="A42" s="1506"/>
      <c r="B42" s="1507"/>
      <c r="C42" s="1508"/>
      <c r="D42" s="1513"/>
      <c r="E42" s="1507"/>
      <c r="F42" s="1508"/>
      <c r="G42" s="3397"/>
      <c r="H42" s="3421"/>
      <c r="I42" s="3421"/>
      <c r="J42" s="1940"/>
      <c r="K42" s="1941"/>
      <c r="L42" s="1940"/>
      <c r="M42" s="1940"/>
      <c r="N42" s="3401"/>
      <c r="O42" s="1938"/>
      <c r="P42" s="1941"/>
      <c r="Q42" s="1952"/>
      <c r="R42" s="3409"/>
      <c r="S42" s="2772"/>
      <c r="T42" s="2772"/>
      <c r="U42" s="3411"/>
      <c r="V42" s="1524">
        <v>18154184</v>
      </c>
      <c r="W42" s="1515">
        <v>7</v>
      </c>
      <c r="X42" s="137" t="s">
        <v>1651</v>
      </c>
      <c r="Y42" s="2045"/>
      <c r="Z42" s="2045"/>
      <c r="AA42" s="2045"/>
      <c r="AB42" s="2045"/>
      <c r="AC42" s="2045"/>
      <c r="AD42" s="2045"/>
      <c r="AE42" s="2045"/>
      <c r="AF42" s="2045"/>
      <c r="AG42" s="2045"/>
      <c r="AH42" s="2045"/>
      <c r="AI42" s="2045"/>
      <c r="AJ42" s="2045"/>
      <c r="AK42" s="1946"/>
      <c r="AL42" s="1946"/>
      <c r="AM42" s="3418"/>
    </row>
    <row r="43" spans="1:39" s="142" customFormat="1" ht="35.25" customHeight="1" x14ac:dyDescent="0.2">
      <c r="A43" s="1506"/>
      <c r="B43" s="1507"/>
      <c r="C43" s="1508"/>
      <c r="D43" s="1513"/>
      <c r="E43" s="1507"/>
      <c r="F43" s="1508"/>
      <c r="G43" s="3397"/>
      <c r="H43" s="3421"/>
      <c r="I43" s="3421"/>
      <c r="J43" s="1940"/>
      <c r="K43" s="1941"/>
      <c r="L43" s="1940"/>
      <c r="M43" s="1940"/>
      <c r="N43" s="3401"/>
      <c r="O43" s="1938"/>
      <c r="P43" s="1941"/>
      <c r="Q43" s="1952"/>
      <c r="R43" s="3409"/>
      <c r="S43" s="2772"/>
      <c r="T43" s="2772"/>
      <c r="U43" s="3411" t="s">
        <v>1673</v>
      </c>
      <c r="V43" s="3403">
        <v>42000000</v>
      </c>
      <c r="W43" s="3419">
        <v>4</v>
      </c>
      <c r="X43" s="1941" t="s">
        <v>51</v>
      </c>
      <c r="Y43" s="2045"/>
      <c r="Z43" s="2045"/>
      <c r="AA43" s="2045"/>
      <c r="AB43" s="2045"/>
      <c r="AC43" s="2045"/>
      <c r="AD43" s="2045"/>
      <c r="AE43" s="2045"/>
      <c r="AF43" s="2045"/>
      <c r="AG43" s="2045"/>
      <c r="AH43" s="2045"/>
      <c r="AI43" s="2045"/>
      <c r="AJ43" s="2045"/>
      <c r="AK43" s="1946"/>
      <c r="AL43" s="1946"/>
      <c r="AM43" s="3418"/>
    </row>
    <row r="44" spans="1:39" s="142" customFormat="1" ht="27" customHeight="1" x14ac:dyDescent="0.2">
      <c r="A44" s="1506"/>
      <c r="B44" s="1507"/>
      <c r="C44" s="1508"/>
      <c r="D44" s="1513"/>
      <c r="E44" s="1507"/>
      <c r="F44" s="1508"/>
      <c r="G44" s="3397"/>
      <c r="H44" s="3421"/>
      <c r="I44" s="3421"/>
      <c r="J44" s="1940">
        <v>210</v>
      </c>
      <c r="K44" s="1941" t="s">
        <v>1674</v>
      </c>
      <c r="L44" s="1940" t="s">
        <v>16</v>
      </c>
      <c r="M44" s="1940">
        <v>1</v>
      </c>
      <c r="N44" s="3401" t="s">
        <v>1675</v>
      </c>
      <c r="O44" s="1938"/>
      <c r="P44" s="1941"/>
      <c r="Q44" s="1952">
        <f>(V43+V45+V46)/R40</f>
        <v>0.55701245086842921</v>
      </c>
      <c r="R44" s="3409"/>
      <c r="S44" s="2772"/>
      <c r="T44" s="2772"/>
      <c r="U44" s="3411"/>
      <c r="V44" s="3403"/>
      <c r="W44" s="3420"/>
      <c r="X44" s="1941"/>
      <c r="Y44" s="2045"/>
      <c r="Z44" s="2045"/>
      <c r="AA44" s="2045"/>
      <c r="AB44" s="2045"/>
      <c r="AC44" s="2045"/>
      <c r="AD44" s="2045"/>
      <c r="AE44" s="2045"/>
      <c r="AF44" s="2045"/>
      <c r="AG44" s="2045"/>
      <c r="AH44" s="2045"/>
      <c r="AI44" s="2045"/>
      <c r="AJ44" s="2045"/>
      <c r="AK44" s="1946"/>
      <c r="AL44" s="1946"/>
      <c r="AM44" s="3418"/>
    </row>
    <row r="45" spans="1:39" s="142" customFormat="1" ht="27" customHeight="1" x14ac:dyDescent="0.2">
      <c r="A45" s="1506"/>
      <c r="B45" s="1507"/>
      <c r="C45" s="1508"/>
      <c r="D45" s="1513"/>
      <c r="E45" s="1507"/>
      <c r="F45" s="1508"/>
      <c r="G45" s="3397"/>
      <c r="H45" s="3421"/>
      <c r="I45" s="3421"/>
      <c r="J45" s="1940"/>
      <c r="K45" s="1941"/>
      <c r="L45" s="1940"/>
      <c r="M45" s="1940"/>
      <c r="N45" s="3401"/>
      <c r="O45" s="1938"/>
      <c r="P45" s="1941"/>
      <c r="Q45" s="1952"/>
      <c r="R45" s="3409"/>
      <c r="S45" s="2772"/>
      <c r="T45" s="2772"/>
      <c r="U45" s="3411"/>
      <c r="V45" s="1524">
        <v>32567760</v>
      </c>
      <c r="W45" s="1515">
        <v>3</v>
      </c>
      <c r="X45" s="137" t="s">
        <v>1672</v>
      </c>
      <c r="Y45" s="2045"/>
      <c r="Z45" s="2045"/>
      <c r="AA45" s="2045"/>
      <c r="AB45" s="2045"/>
      <c r="AC45" s="2045"/>
      <c r="AD45" s="2045"/>
      <c r="AE45" s="2045"/>
      <c r="AF45" s="2045"/>
      <c r="AG45" s="2045"/>
      <c r="AH45" s="2045"/>
      <c r="AI45" s="2045"/>
      <c r="AJ45" s="2045"/>
      <c r="AK45" s="1946"/>
      <c r="AL45" s="1946"/>
      <c r="AM45" s="3418"/>
    </row>
    <row r="46" spans="1:39" s="142" customFormat="1" ht="27" customHeight="1" x14ac:dyDescent="0.2">
      <c r="A46" s="1506"/>
      <c r="B46" s="1507"/>
      <c r="C46" s="1508"/>
      <c r="D46" s="1513"/>
      <c r="E46" s="1507"/>
      <c r="F46" s="1508"/>
      <c r="G46" s="3397"/>
      <c r="H46" s="3421"/>
      <c r="I46" s="3421"/>
      <c r="J46" s="1940"/>
      <c r="K46" s="1941"/>
      <c r="L46" s="1940"/>
      <c r="M46" s="1940"/>
      <c r="N46" s="3401"/>
      <c r="O46" s="1938"/>
      <c r="P46" s="1941"/>
      <c r="Q46" s="1952"/>
      <c r="R46" s="3409"/>
      <c r="S46" s="2772"/>
      <c r="T46" s="2772"/>
      <c r="U46" s="3411"/>
      <c r="V46" s="1524">
        <v>14650016</v>
      </c>
      <c r="W46" s="1515">
        <v>7</v>
      </c>
      <c r="X46" s="137" t="s">
        <v>1651</v>
      </c>
      <c r="Y46" s="2045"/>
      <c r="Z46" s="2045"/>
      <c r="AA46" s="2045"/>
      <c r="AB46" s="2045"/>
      <c r="AC46" s="2045"/>
      <c r="AD46" s="2045"/>
      <c r="AE46" s="2045"/>
      <c r="AF46" s="2045"/>
      <c r="AG46" s="2045"/>
      <c r="AH46" s="2045"/>
      <c r="AI46" s="2045"/>
      <c r="AJ46" s="2045"/>
      <c r="AK46" s="1946"/>
      <c r="AL46" s="1946"/>
      <c r="AM46" s="3418"/>
    </row>
    <row r="47" spans="1:39" s="142" customFormat="1" ht="27" customHeight="1" x14ac:dyDescent="0.2">
      <c r="A47" s="1506"/>
      <c r="B47" s="1507"/>
      <c r="C47" s="1508"/>
      <c r="D47" s="1513"/>
      <c r="E47" s="1507"/>
      <c r="F47" s="1508"/>
      <c r="G47" s="3397"/>
      <c r="H47" s="3421"/>
      <c r="I47" s="3421"/>
      <c r="J47" s="1940">
        <v>211</v>
      </c>
      <c r="K47" s="1941" t="s">
        <v>1676</v>
      </c>
      <c r="L47" s="1940" t="s">
        <v>16</v>
      </c>
      <c r="M47" s="1940">
        <v>1</v>
      </c>
      <c r="N47" s="3401" t="s">
        <v>1677</v>
      </c>
      <c r="O47" s="1938"/>
      <c r="P47" s="1941"/>
      <c r="Q47" s="1952">
        <f>V47/R40</f>
        <v>7.99141123077972E-2</v>
      </c>
      <c r="R47" s="3409"/>
      <c r="S47" s="2772"/>
      <c r="T47" s="2772"/>
      <c r="U47" s="3411" t="s">
        <v>1678</v>
      </c>
      <c r="V47" s="3408">
        <v>12800000</v>
      </c>
      <c r="W47" s="3419">
        <v>7</v>
      </c>
      <c r="X47" s="1942" t="s">
        <v>1651</v>
      </c>
      <c r="Y47" s="2045"/>
      <c r="Z47" s="2045"/>
      <c r="AA47" s="2045"/>
      <c r="AB47" s="2045"/>
      <c r="AC47" s="2045"/>
      <c r="AD47" s="2045"/>
      <c r="AE47" s="2045"/>
      <c r="AF47" s="2045"/>
      <c r="AG47" s="2045"/>
      <c r="AH47" s="2045"/>
      <c r="AI47" s="2045"/>
      <c r="AJ47" s="2045"/>
      <c r="AK47" s="1946"/>
      <c r="AL47" s="1946"/>
      <c r="AM47" s="3418"/>
    </row>
    <row r="48" spans="1:39" s="142" customFormat="1" ht="27" customHeight="1" x14ac:dyDescent="0.2">
      <c r="A48" s="1506"/>
      <c r="B48" s="1507"/>
      <c r="C48" s="1508"/>
      <c r="D48" s="1513"/>
      <c r="E48" s="1507"/>
      <c r="F48" s="1508"/>
      <c r="G48" s="3397"/>
      <c r="H48" s="3421"/>
      <c r="I48" s="3421"/>
      <c r="J48" s="1940"/>
      <c r="K48" s="1941"/>
      <c r="L48" s="1940"/>
      <c r="M48" s="1940"/>
      <c r="N48" s="3401"/>
      <c r="O48" s="1939"/>
      <c r="P48" s="1941"/>
      <c r="Q48" s="1952"/>
      <c r="R48" s="3410"/>
      <c r="S48" s="2772"/>
      <c r="T48" s="2772"/>
      <c r="U48" s="3411"/>
      <c r="V48" s="3410"/>
      <c r="W48" s="3420"/>
      <c r="X48" s="1961"/>
      <c r="Y48" s="2045"/>
      <c r="Z48" s="2045"/>
      <c r="AA48" s="2045"/>
      <c r="AB48" s="2045"/>
      <c r="AC48" s="2045"/>
      <c r="AD48" s="2045"/>
      <c r="AE48" s="2045"/>
      <c r="AF48" s="2045"/>
      <c r="AG48" s="2045"/>
      <c r="AH48" s="2045"/>
      <c r="AI48" s="2045"/>
      <c r="AJ48" s="2045"/>
      <c r="AK48" s="1946"/>
      <c r="AL48" s="1946"/>
      <c r="AM48" s="3418"/>
    </row>
    <row r="49" spans="1:39" s="142" customFormat="1" ht="24.75" customHeight="1" x14ac:dyDescent="0.2">
      <c r="A49" s="1506"/>
      <c r="B49" s="1507"/>
      <c r="C49" s="1508"/>
      <c r="D49" s="1513"/>
      <c r="E49" s="1507"/>
      <c r="F49" s="1508"/>
      <c r="G49" s="1519">
        <v>73</v>
      </c>
      <c r="H49" s="1511" t="s">
        <v>1679</v>
      </c>
      <c r="I49" s="123"/>
      <c r="J49" s="123"/>
      <c r="K49" s="124"/>
      <c r="L49" s="124"/>
      <c r="M49" s="123"/>
      <c r="N49" s="1520"/>
      <c r="O49" s="123"/>
      <c r="P49" s="124"/>
      <c r="Q49" s="1006"/>
      <c r="R49" s="1512"/>
      <c r="S49" s="982"/>
      <c r="T49" s="982"/>
      <c r="U49" s="124"/>
      <c r="V49" s="1512"/>
      <c r="W49" s="980"/>
      <c r="X49" s="124"/>
      <c r="Y49" s="123"/>
      <c r="Z49" s="123"/>
      <c r="AA49" s="123"/>
      <c r="AB49" s="123"/>
      <c r="AC49" s="123"/>
      <c r="AD49" s="123"/>
      <c r="AE49" s="123"/>
      <c r="AF49" s="123"/>
      <c r="AG49" s="123"/>
      <c r="AH49" s="123"/>
      <c r="AI49" s="123"/>
      <c r="AJ49" s="123"/>
      <c r="AK49" s="123"/>
      <c r="AL49" s="123"/>
      <c r="AM49" s="131"/>
    </row>
    <row r="50" spans="1:39" s="142" customFormat="1" ht="39" customHeight="1" x14ac:dyDescent="0.2">
      <c r="A50" s="1506"/>
      <c r="B50" s="1507"/>
      <c r="C50" s="1508"/>
      <c r="D50" s="1513"/>
      <c r="E50" s="1507"/>
      <c r="F50" s="1508"/>
      <c r="G50" s="3397"/>
      <c r="H50" s="3397"/>
      <c r="I50" s="3397"/>
      <c r="J50" s="1940">
        <v>212</v>
      </c>
      <c r="K50" s="1941" t="s">
        <v>1680</v>
      </c>
      <c r="L50" s="1940" t="s">
        <v>16</v>
      </c>
      <c r="M50" s="1940">
        <v>1</v>
      </c>
      <c r="N50" s="3401" t="s">
        <v>1681</v>
      </c>
      <c r="O50" s="1940">
        <v>165</v>
      </c>
      <c r="P50" s="1941" t="s">
        <v>1682</v>
      </c>
      <c r="Q50" s="1952">
        <f>(V50+V52)/R50</f>
        <v>1</v>
      </c>
      <c r="R50" s="3422">
        <f>SUM(V50:V52)</f>
        <v>154700000</v>
      </c>
      <c r="S50" s="2772" t="s">
        <v>1683</v>
      </c>
      <c r="T50" s="2772" t="s">
        <v>1684</v>
      </c>
      <c r="U50" s="3411" t="s">
        <v>1685</v>
      </c>
      <c r="V50" s="3408">
        <v>51200000</v>
      </c>
      <c r="W50" s="3419">
        <v>4</v>
      </c>
      <c r="X50" s="1942" t="s">
        <v>51</v>
      </c>
      <c r="Y50" s="2045">
        <v>3525</v>
      </c>
      <c r="Z50" s="2045">
        <v>17139</v>
      </c>
      <c r="AA50" s="2045">
        <v>4167</v>
      </c>
      <c r="AB50" s="2045">
        <v>906</v>
      </c>
      <c r="AC50" s="2045">
        <v>885</v>
      </c>
      <c r="AD50" s="2045">
        <v>718</v>
      </c>
      <c r="AE50" s="2045"/>
      <c r="AF50" s="2045"/>
      <c r="AG50" s="2045"/>
      <c r="AH50" s="2045"/>
      <c r="AI50" s="2045"/>
      <c r="AJ50" s="2045"/>
      <c r="AK50" s="1947">
        <v>42767</v>
      </c>
      <c r="AL50" s="1947">
        <v>43100</v>
      </c>
      <c r="AM50" s="3423" t="s">
        <v>1631</v>
      </c>
    </row>
    <row r="51" spans="1:39" s="142" customFormat="1" ht="37.5" customHeight="1" x14ac:dyDescent="0.2">
      <c r="A51" s="1506"/>
      <c r="B51" s="1507"/>
      <c r="C51" s="1508"/>
      <c r="D51" s="1513"/>
      <c r="E51" s="1507"/>
      <c r="F51" s="1508"/>
      <c r="G51" s="3397"/>
      <c r="H51" s="3397"/>
      <c r="I51" s="3397"/>
      <c r="J51" s="1940"/>
      <c r="K51" s="1941"/>
      <c r="L51" s="1940"/>
      <c r="M51" s="1940"/>
      <c r="N51" s="3401"/>
      <c r="O51" s="1940"/>
      <c r="P51" s="1941"/>
      <c r="Q51" s="1952"/>
      <c r="R51" s="3422"/>
      <c r="S51" s="2772"/>
      <c r="T51" s="2772"/>
      <c r="U51" s="3411"/>
      <c r="V51" s="3410"/>
      <c r="W51" s="3420"/>
      <c r="X51" s="1961"/>
      <c r="Y51" s="2045"/>
      <c r="Z51" s="2045"/>
      <c r="AA51" s="2045"/>
      <c r="AB51" s="2045"/>
      <c r="AC51" s="2045"/>
      <c r="AD51" s="2045"/>
      <c r="AE51" s="2045"/>
      <c r="AF51" s="2045"/>
      <c r="AG51" s="2045"/>
      <c r="AH51" s="2045"/>
      <c r="AI51" s="2045"/>
      <c r="AJ51" s="2045"/>
      <c r="AK51" s="3427"/>
      <c r="AL51" s="3427"/>
      <c r="AM51" s="3424"/>
    </row>
    <row r="52" spans="1:39" s="142" customFormat="1" ht="77.25" customHeight="1" x14ac:dyDescent="0.2">
      <c r="A52" s="1506"/>
      <c r="B52" s="1507"/>
      <c r="C52" s="1508"/>
      <c r="D52" s="1530"/>
      <c r="E52" s="1531"/>
      <c r="F52" s="1532"/>
      <c r="G52" s="3397"/>
      <c r="H52" s="3397"/>
      <c r="I52" s="3397"/>
      <c r="J52" s="1940"/>
      <c r="K52" s="1941"/>
      <c r="L52" s="1940"/>
      <c r="M52" s="1940"/>
      <c r="N52" s="3401"/>
      <c r="O52" s="1940"/>
      <c r="P52" s="1941"/>
      <c r="Q52" s="1952"/>
      <c r="R52" s="3422"/>
      <c r="S52" s="2772"/>
      <c r="T52" s="2772"/>
      <c r="U52" s="3411"/>
      <c r="V52" s="1524">
        <v>103500000</v>
      </c>
      <c r="W52" s="1515">
        <v>7</v>
      </c>
      <c r="X52" s="137" t="s">
        <v>1651</v>
      </c>
      <c r="Y52" s="2045"/>
      <c r="Z52" s="2045"/>
      <c r="AA52" s="2045"/>
      <c r="AB52" s="2045"/>
      <c r="AC52" s="2045"/>
      <c r="AD52" s="2045"/>
      <c r="AE52" s="2045"/>
      <c r="AF52" s="2045"/>
      <c r="AG52" s="2045"/>
      <c r="AH52" s="2045"/>
      <c r="AI52" s="2045"/>
      <c r="AJ52" s="2045"/>
      <c r="AK52" s="3428"/>
      <c r="AL52" s="3428"/>
      <c r="AM52" s="3425"/>
    </row>
    <row r="53" spans="1:39" s="142" customFormat="1" ht="21.75" customHeight="1" x14ac:dyDescent="0.2">
      <c r="A53" s="1506"/>
      <c r="B53" s="1507"/>
      <c r="C53" s="1508"/>
      <c r="D53" s="1499">
        <v>22</v>
      </c>
      <c r="E53" s="1500" t="s">
        <v>1686</v>
      </c>
      <c r="F53" s="1500"/>
      <c r="G53" s="1500"/>
      <c r="H53" s="1500"/>
      <c r="I53" s="1500"/>
      <c r="J53" s="1500"/>
      <c r="K53" s="1501"/>
      <c r="L53" s="1501"/>
      <c r="M53" s="1500"/>
      <c r="N53" s="1528"/>
      <c r="O53" s="1502"/>
      <c r="P53" s="1501"/>
      <c r="Q53" s="1503"/>
      <c r="R53" s="1504"/>
      <c r="S53" s="1501"/>
      <c r="T53" s="1501"/>
      <c r="U53" s="1501"/>
      <c r="V53" s="1504"/>
      <c r="W53" s="1529"/>
      <c r="X53" s="1501"/>
      <c r="Y53" s="1500"/>
      <c r="Z53" s="1500"/>
      <c r="AA53" s="1500"/>
      <c r="AB53" s="1500"/>
      <c r="AC53" s="1500"/>
      <c r="AD53" s="1500"/>
      <c r="AE53" s="1500"/>
      <c r="AF53" s="1500"/>
      <c r="AG53" s="1500"/>
      <c r="AH53" s="1500"/>
      <c r="AI53" s="1500"/>
      <c r="AJ53" s="1500"/>
      <c r="AK53" s="1505"/>
      <c r="AL53" s="1505"/>
      <c r="AM53" s="1501"/>
    </row>
    <row r="54" spans="1:39" s="142" customFormat="1" ht="24.75" customHeight="1" x14ac:dyDescent="0.2">
      <c r="A54" s="1506"/>
      <c r="B54" s="1507"/>
      <c r="C54" s="1508"/>
      <c r="D54" s="121"/>
      <c r="E54" s="105"/>
      <c r="F54" s="106"/>
      <c r="G54" s="1519">
        <v>74</v>
      </c>
      <c r="H54" s="1511" t="s">
        <v>1687</v>
      </c>
      <c r="I54" s="123"/>
      <c r="J54" s="123"/>
      <c r="K54" s="124"/>
      <c r="L54" s="124"/>
      <c r="M54" s="123"/>
      <c r="N54" s="1520"/>
      <c r="O54" s="123"/>
      <c r="P54" s="124"/>
      <c r="Q54" s="1006"/>
      <c r="R54" s="1512"/>
      <c r="S54" s="982"/>
      <c r="T54" s="982"/>
      <c r="U54" s="124"/>
      <c r="V54" s="1512"/>
      <c r="W54" s="980"/>
      <c r="X54" s="124"/>
      <c r="Y54" s="123"/>
      <c r="Z54" s="123"/>
      <c r="AA54" s="123"/>
      <c r="AB54" s="123"/>
      <c r="AC54" s="123"/>
      <c r="AD54" s="123"/>
      <c r="AE54" s="123"/>
      <c r="AF54" s="123"/>
      <c r="AG54" s="123"/>
      <c r="AH54" s="123"/>
      <c r="AI54" s="123"/>
      <c r="AJ54" s="123"/>
      <c r="AK54" s="123"/>
      <c r="AL54" s="123"/>
      <c r="AM54" s="131"/>
    </row>
    <row r="55" spans="1:39" s="142" customFormat="1" ht="63" customHeight="1" x14ac:dyDescent="0.2">
      <c r="A55" s="1506"/>
      <c r="B55" s="1507"/>
      <c r="C55" s="1508"/>
      <c r="D55" s="1513"/>
      <c r="E55" s="1507"/>
      <c r="F55" s="1508"/>
      <c r="G55" s="3397"/>
      <c r="H55" s="3421"/>
      <c r="I55" s="3421"/>
      <c r="J55" s="1940">
        <v>213</v>
      </c>
      <c r="K55" s="1941" t="s">
        <v>1688</v>
      </c>
      <c r="L55" s="1940" t="s">
        <v>16</v>
      </c>
      <c r="M55" s="1940">
        <v>12</v>
      </c>
      <c r="N55" s="3401" t="s">
        <v>1689</v>
      </c>
      <c r="O55" s="1940">
        <v>166</v>
      </c>
      <c r="P55" s="1941" t="s">
        <v>1690</v>
      </c>
      <c r="Q55" s="1952">
        <f>V55/R55</f>
        <v>1</v>
      </c>
      <c r="R55" s="3422">
        <v>242825365.61000001</v>
      </c>
      <c r="S55" s="2772" t="s">
        <v>1691</v>
      </c>
      <c r="T55" s="2772" t="s">
        <v>1692</v>
      </c>
      <c r="U55" s="3411" t="s">
        <v>1693</v>
      </c>
      <c r="V55" s="3403">
        <v>242825365.61000001</v>
      </c>
      <c r="W55" s="3429">
        <v>2</v>
      </c>
      <c r="X55" s="1941" t="s">
        <v>1642</v>
      </c>
      <c r="Y55" s="2045">
        <v>64149</v>
      </c>
      <c r="Z55" s="2045">
        <v>72224</v>
      </c>
      <c r="AA55" s="2045">
        <v>27477</v>
      </c>
      <c r="AB55" s="2045">
        <v>86843</v>
      </c>
      <c r="AC55" s="2045">
        <v>221686</v>
      </c>
      <c r="AD55" s="2045">
        <v>81384</v>
      </c>
      <c r="AE55" s="2045">
        <v>13208</v>
      </c>
      <c r="AF55" s="2045">
        <v>1817</v>
      </c>
      <c r="AG55" s="2045"/>
      <c r="AH55" s="2045"/>
      <c r="AI55" s="2045">
        <v>16897</v>
      </c>
      <c r="AJ55" s="2045"/>
      <c r="AK55" s="1947">
        <v>42767</v>
      </c>
      <c r="AL55" s="1947">
        <v>43100</v>
      </c>
      <c r="AM55" s="3423" t="s">
        <v>1631</v>
      </c>
    </row>
    <row r="56" spans="1:39" s="142" customFormat="1" ht="79.5" customHeight="1" thickBot="1" x14ac:dyDescent="0.25">
      <c r="A56" s="1506"/>
      <c r="B56" s="1507"/>
      <c r="C56" s="1508"/>
      <c r="D56" s="1513"/>
      <c r="E56" s="1507"/>
      <c r="F56" s="1508"/>
      <c r="G56" s="3367"/>
      <c r="H56" s="3426"/>
      <c r="I56" s="3426"/>
      <c r="J56" s="1937"/>
      <c r="K56" s="1942"/>
      <c r="L56" s="1937"/>
      <c r="M56" s="1937"/>
      <c r="N56" s="3416"/>
      <c r="O56" s="1937"/>
      <c r="P56" s="1942"/>
      <c r="Q56" s="1953"/>
      <c r="R56" s="3430"/>
      <c r="S56" s="2773"/>
      <c r="T56" s="2773"/>
      <c r="U56" s="3431"/>
      <c r="V56" s="3408"/>
      <c r="W56" s="3419"/>
      <c r="X56" s="1942"/>
      <c r="Y56" s="1958"/>
      <c r="Z56" s="1958"/>
      <c r="AA56" s="1958"/>
      <c r="AB56" s="1958"/>
      <c r="AC56" s="1958"/>
      <c r="AD56" s="1958"/>
      <c r="AE56" s="1958"/>
      <c r="AF56" s="1958"/>
      <c r="AG56" s="1958"/>
      <c r="AH56" s="1958"/>
      <c r="AI56" s="1958"/>
      <c r="AJ56" s="1958"/>
      <c r="AK56" s="3427"/>
      <c r="AL56" s="3427"/>
      <c r="AM56" s="3424"/>
    </row>
    <row r="57" spans="1:39" ht="27" customHeight="1" thickBot="1" x14ac:dyDescent="0.25">
      <c r="A57" s="1533"/>
      <c r="B57" s="971"/>
      <c r="C57" s="971"/>
      <c r="D57" s="971"/>
      <c r="E57" s="971"/>
      <c r="F57" s="2079" t="s">
        <v>98</v>
      </c>
      <c r="G57" s="2079"/>
      <c r="H57" s="2079"/>
      <c r="I57" s="2079"/>
      <c r="J57" s="2079"/>
      <c r="K57" s="2079"/>
      <c r="L57" s="2079"/>
      <c r="M57" s="2079"/>
      <c r="N57" s="2079"/>
      <c r="O57" s="2079"/>
      <c r="P57" s="2079"/>
      <c r="Q57" s="2079"/>
      <c r="R57" s="1534">
        <f>SUM(R19:R56)</f>
        <v>2505989774.7500005</v>
      </c>
      <c r="S57" s="1535"/>
      <c r="T57" s="1535"/>
      <c r="U57" s="1535"/>
      <c r="V57" s="1536">
        <f>SUM(V19:V56)</f>
        <v>2505989774.7500005</v>
      </c>
      <c r="W57" s="1537"/>
      <c r="X57" s="1538"/>
      <c r="Y57" s="1539"/>
      <c r="Z57" s="1539"/>
      <c r="AA57" s="1539"/>
      <c r="AB57" s="1539"/>
      <c r="AC57" s="1539"/>
      <c r="AD57" s="1539"/>
      <c r="AE57" s="1537"/>
      <c r="AF57" s="1537"/>
      <c r="AG57" s="1537"/>
      <c r="AH57" s="1537"/>
      <c r="AI57" s="1537"/>
      <c r="AJ57" s="1537"/>
      <c r="AK57" s="1540"/>
      <c r="AL57" s="1540"/>
      <c r="AM57" s="964"/>
    </row>
    <row r="58" spans="1:39" ht="27" customHeight="1" x14ac:dyDescent="0.2">
      <c r="A58" s="118"/>
      <c r="B58" s="118"/>
      <c r="C58" s="118"/>
      <c r="D58" s="118"/>
      <c r="E58" s="118"/>
      <c r="F58" s="118"/>
      <c r="G58" s="118"/>
      <c r="H58" s="118"/>
      <c r="I58" s="118"/>
      <c r="J58" s="118"/>
      <c r="K58" s="972"/>
      <c r="L58" s="1541"/>
      <c r="M58" s="142"/>
      <c r="N58" s="1541"/>
      <c r="O58" s="1542"/>
      <c r="P58" s="972"/>
      <c r="Q58" s="1543"/>
      <c r="R58" s="1544"/>
      <c r="S58" s="972"/>
      <c r="T58" s="972"/>
      <c r="U58" s="972"/>
      <c r="V58" s="1545"/>
      <c r="W58" s="1546"/>
      <c r="X58" s="972"/>
      <c r="Y58" s="276"/>
      <c r="Z58" s="276"/>
      <c r="AA58" s="276"/>
      <c r="AB58" s="276"/>
      <c r="AC58" s="276"/>
      <c r="AD58" s="276"/>
      <c r="AE58" s="276"/>
      <c r="AF58" s="276"/>
      <c r="AG58" s="276"/>
      <c r="AH58" s="276"/>
      <c r="AI58" s="276"/>
      <c r="AJ58" s="276"/>
      <c r="AK58" s="276"/>
      <c r="AL58" s="276"/>
      <c r="AM58" s="1547"/>
    </row>
    <row r="59" spans="1:39" ht="27" customHeight="1" x14ac:dyDescent="0.2">
      <c r="A59" s="1548"/>
      <c r="B59" s="1548"/>
      <c r="C59" s="3432" t="s">
        <v>1694</v>
      </c>
      <c r="D59" s="3432"/>
      <c r="E59" s="3432"/>
      <c r="F59" s="3432"/>
      <c r="G59" s="3432"/>
      <c r="H59" s="118"/>
      <c r="I59" s="118"/>
      <c r="J59" s="118"/>
      <c r="Y59" s="276"/>
      <c r="Z59" s="276"/>
      <c r="AA59" s="276"/>
      <c r="AB59" s="276"/>
      <c r="AC59" s="276"/>
      <c r="AD59" s="276"/>
      <c r="AE59" s="276"/>
      <c r="AF59" s="276"/>
      <c r="AG59" s="276"/>
      <c r="AH59" s="276"/>
      <c r="AI59" s="276"/>
      <c r="AJ59" s="276"/>
      <c r="AK59" s="276"/>
      <c r="AL59" s="276"/>
      <c r="AM59" s="1547"/>
    </row>
    <row r="60" spans="1:39" ht="27" customHeight="1" x14ac:dyDescent="0.2">
      <c r="A60" s="1548"/>
      <c r="B60" s="1548"/>
      <c r="C60" s="3432"/>
      <c r="D60" s="3432"/>
      <c r="E60" s="3432"/>
      <c r="F60" s="3432"/>
      <c r="G60" s="3432"/>
      <c r="H60" s="118"/>
      <c r="I60" s="118"/>
      <c r="J60" s="118"/>
      <c r="Y60" s="276"/>
      <c r="Z60" s="276"/>
      <c r="AA60" s="276"/>
      <c r="AB60" s="276"/>
      <c r="AC60" s="276"/>
      <c r="AD60" s="276"/>
      <c r="AE60" s="276"/>
      <c r="AF60" s="276"/>
      <c r="AG60" s="276"/>
      <c r="AH60" s="276"/>
      <c r="AI60" s="276"/>
      <c r="AJ60" s="276"/>
      <c r="AK60" s="276"/>
      <c r="AL60" s="276"/>
      <c r="AM60" s="1547"/>
    </row>
    <row r="61" spans="1:39" ht="27" customHeight="1" x14ac:dyDescent="0.2">
      <c r="A61" s="1548"/>
      <c r="B61" s="1548"/>
      <c r="C61" s="1548"/>
      <c r="D61" s="1548"/>
      <c r="E61" s="1548"/>
      <c r="F61" s="118"/>
      <c r="G61" s="118"/>
      <c r="H61" s="118"/>
      <c r="I61" s="118"/>
      <c r="J61" s="118"/>
      <c r="Y61" s="276"/>
      <c r="Z61" s="276"/>
      <c r="AA61" s="276"/>
      <c r="AB61" s="276"/>
      <c r="AC61" s="276"/>
      <c r="AD61" s="276"/>
      <c r="AE61" s="276"/>
      <c r="AF61" s="276"/>
      <c r="AG61" s="276"/>
      <c r="AH61" s="276"/>
      <c r="AI61" s="276"/>
      <c r="AJ61" s="276"/>
      <c r="AK61" s="276"/>
      <c r="AL61" s="276"/>
      <c r="AM61" s="1547"/>
    </row>
    <row r="62" spans="1:39" ht="27" customHeight="1" x14ac:dyDescent="0.2">
      <c r="A62" s="118"/>
      <c r="B62" s="118"/>
      <c r="C62" s="118"/>
      <c r="D62" s="118"/>
      <c r="E62" s="118"/>
      <c r="F62" s="118"/>
      <c r="G62" s="118"/>
      <c r="H62" s="118"/>
      <c r="I62" s="118"/>
      <c r="J62" s="118"/>
      <c r="Y62" s="276"/>
      <c r="Z62" s="276"/>
      <c r="AA62" s="276"/>
      <c r="AB62" s="276"/>
      <c r="AC62" s="276"/>
      <c r="AD62" s="276"/>
      <c r="AE62" s="276"/>
      <c r="AF62" s="276"/>
      <c r="AG62" s="276"/>
      <c r="AH62" s="276"/>
      <c r="AI62" s="276"/>
      <c r="AJ62" s="276"/>
      <c r="AK62" s="276"/>
      <c r="AL62" s="276"/>
      <c r="AM62" s="1547"/>
    </row>
    <row r="63" spans="1:39" ht="27" customHeight="1" x14ac:dyDescent="0.2">
      <c r="A63" s="118"/>
      <c r="B63" s="118"/>
      <c r="C63" s="118"/>
      <c r="D63" s="118"/>
      <c r="E63" s="118"/>
      <c r="F63" s="118"/>
      <c r="G63" s="118"/>
      <c r="H63" s="118"/>
      <c r="I63" s="118"/>
      <c r="J63" s="118"/>
      <c r="Y63" s="276"/>
      <c r="Z63" s="276"/>
      <c r="AA63" s="276"/>
      <c r="AB63" s="276"/>
      <c r="AC63" s="276"/>
      <c r="AD63" s="276"/>
      <c r="AE63" s="276"/>
      <c r="AF63" s="276"/>
      <c r="AG63" s="276"/>
      <c r="AH63" s="276"/>
      <c r="AI63" s="276"/>
      <c r="AJ63" s="276"/>
      <c r="AK63" s="276"/>
      <c r="AL63" s="276"/>
      <c r="AM63" s="1547"/>
    </row>
    <row r="64" spans="1:39" ht="27" customHeight="1" x14ac:dyDescent="0.2">
      <c r="A64" s="118"/>
      <c r="B64" s="118"/>
      <c r="C64" s="118"/>
      <c r="D64" s="118"/>
      <c r="E64" s="118"/>
      <c r="F64" s="118"/>
      <c r="G64" s="118"/>
      <c r="H64" s="118"/>
      <c r="I64" s="118"/>
      <c r="J64" s="118"/>
      <c r="Y64" s="276"/>
      <c r="Z64" s="276"/>
      <c r="AA64" s="276"/>
      <c r="AB64" s="276"/>
      <c r="AC64" s="276"/>
      <c r="AD64" s="276"/>
      <c r="AE64" s="276"/>
      <c r="AF64" s="276"/>
      <c r="AG64" s="276"/>
      <c r="AH64" s="276"/>
      <c r="AI64" s="276"/>
      <c r="AJ64" s="276"/>
      <c r="AK64" s="276"/>
      <c r="AL64" s="276"/>
      <c r="AM64" s="1547"/>
    </row>
    <row r="65" spans="1:39" ht="27" customHeight="1" x14ac:dyDescent="0.2">
      <c r="A65" s="118"/>
      <c r="B65" s="118"/>
      <c r="C65" s="118"/>
      <c r="D65" s="118"/>
      <c r="E65" s="118"/>
      <c r="F65" s="118"/>
      <c r="G65" s="118"/>
      <c r="H65" s="118"/>
      <c r="I65" s="118"/>
      <c r="J65" s="118"/>
      <c r="Y65" s="276"/>
      <c r="Z65" s="276"/>
      <c r="AA65" s="276"/>
      <c r="AB65" s="276"/>
      <c r="AC65" s="276"/>
      <c r="AD65" s="276"/>
      <c r="AE65" s="276"/>
      <c r="AF65" s="276"/>
      <c r="AG65" s="276"/>
      <c r="AH65" s="276"/>
      <c r="AI65" s="276"/>
      <c r="AJ65" s="276"/>
      <c r="AK65" s="276"/>
      <c r="AL65" s="276"/>
      <c r="AM65" s="1547"/>
    </row>
    <row r="66" spans="1:39" ht="27" customHeight="1" x14ac:dyDescent="0.2">
      <c r="A66" s="118"/>
      <c r="B66" s="118"/>
      <c r="C66" s="118"/>
      <c r="D66" s="118"/>
      <c r="E66" s="118"/>
      <c r="F66" s="118"/>
      <c r="G66" s="118"/>
      <c r="H66" s="118"/>
      <c r="I66" s="118"/>
      <c r="J66" s="118"/>
      <c r="Y66" s="276"/>
      <c r="Z66" s="276"/>
      <c r="AA66" s="276"/>
      <c r="AB66" s="276"/>
      <c r="AC66" s="276"/>
      <c r="AD66" s="276"/>
      <c r="AE66" s="276"/>
      <c r="AF66" s="276"/>
      <c r="AG66" s="276"/>
      <c r="AH66" s="276"/>
      <c r="AI66" s="276"/>
      <c r="AJ66" s="276"/>
      <c r="AK66" s="276"/>
      <c r="AL66" s="276"/>
      <c r="AM66" s="1547"/>
    </row>
    <row r="67" spans="1:39" ht="27" customHeight="1" x14ac:dyDescent="0.2">
      <c r="A67" s="118"/>
      <c r="B67" s="118"/>
      <c r="C67" s="118"/>
      <c r="D67" s="118"/>
      <c r="E67" s="118"/>
      <c r="F67" s="118"/>
      <c r="G67" s="118"/>
      <c r="H67" s="118"/>
      <c r="I67" s="118"/>
      <c r="J67" s="118"/>
      <c r="Y67" s="276"/>
      <c r="Z67" s="276"/>
      <c r="AA67" s="276"/>
      <c r="AB67" s="276"/>
      <c r="AC67" s="276"/>
      <c r="AD67" s="276"/>
      <c r="AE67" s="276"/>
      <c r="AF67" s="276"/>
      <c r="AG67" s="276"/>
      <c r="AH67" s="276"/>
      <c r="AI67" s="276"/>
      <c r="AJ67" s="276"/>
      <c r="AK67" s="276"/>
      <c r="AL67" s="276"/>
      <c r="AM67" s="1547"/>
    </row>
    <row r="68" spans="1:39" ht="27" customHeight="1" x14ac:dyDescent="0.2">
      <c r="A68" s="118"/>
      <c r="B68" s="118"/>
      <c r="C68" s="118"/>
      <c r="D68" s="118"/>
      <c r="E68" s="118"/>
      <c r="F68" s="118"/>
      <c r="G68" s="118"/>
      <c r="H68" s="118"/>
      <c r="I68" s="118"/>
      <c r="J68" s="118"/>
      <c r="Y68" s="276"/>
      <c r="Z68" s="276"/>
      <c r="AA68" s="276"/>
      <c r="AB68" s="276"/>
      <c r="AC68" s="276"/>
      <c r="AD68" s="276"/>
      <c r="AE68" s="276"/>
      <c r="AF68" s="276"/>
      <c r="AG68" s="276"/>
      <c r="AH68" s="276"/>
      <c r="AI68" s="276"/>
      <c r="AJ68" s="276"/>
      <c r="AK68" s="276"/>
      <c r="AL68" s="276"/>
      <c r="AM68" s="1547"/>
    </row>
    <row r="69" spans="1:39" ht="27" customHeight="1" x14ac:dyDescent="0.2">
      <c r="A69" s="266"/>
      <c r="B69" s="266"/>
      <c r="C69" s="266"/>
      <c r="D69" s="266"/>
      <c r="E69" s="266"/>
      <c r="F69" s="266"/>
      <c r="G69" s="266"/>
      <c r="H69" s="266"/>
      <c r="I69" s="266"/>
      <c r="J69" s="266"/>
      <c r="Y69" s="276"/>
      <c r="Z69" s="276"/>
      <c r="AA69" s="276"/>
      <c r="AB69" s="276"/>
      <c r="AC69" s="276"/>
      <c r="AD69" s="276"/>
      <c r="AE69" s="276"/>
      <c r="AF69" s="276"/>
      <c r="AG69" s="276"/>
      <c r="AH69" s="276"/>
      <c r="AI69" s="276"/>
      <c r="AJ69" s="276"/>
      <c r="AK69" s="276"/>
      <c r="AL69" s="276"/>
      <c r="AM69" s="1547"/>
    </row>
    <row r="70" spans="1:39" ht="27" customHeight="1" x14ac:dyDescent="0.2">
      <c r="A70" s="266"/>
      <c r="B70" s="266"/>
      <c r="C70" s="266"/>
      <c r="D70" s="266"/>
      <c r="E70" s="266"/>
      <c r="F70" s="266"/>
      <c r="G70" s="266"/>
      <c r="H70" s="266"/>
      <c r="I70" s="266"/>
      <c r="J70" s="266"/>
      <c r="Y70" s="276"/>
      <c r="Z70" s="276"/>
      <c r="AA70" s="276"/>
      <c r="AB70" s="276"/>
      <c r="AC70" s="276"/>
      <c r="AD70" s="276"/>
      <c r="AE70" s="276"/>
      <c r="AF70" s="276"/>
      <c r="AG70" s="276"/>
      <c r="AH70" s="276"/>
      <c r="AI70" s="276"/>
      <c r="AJ70" s="276"/>
      <c r="AK70" s="276"/>
      <c r="AL70" s="276"/>
      <c r="AM70" s="1547"/>
    </row>
    <row r="71" spans="1:39" ht="27" customHeight="1" x14ac:dyDescent="0.2">
      <c r="A71" s="266"/>
      <c r="B71" s="266"/>
      <c r="C71" s="266"/>
      <c r="D71" s="266"/>
      <c r="E71" s="266"/>
      <c r="F71" s="266"/>
      <c r="G71" s="266"/>
      <c r="H71" s="266"/>
      <c r="I71" s="266"/>
      <c r="J71" s="266"/>
      <c r="Y71" s="276"/>
      <c r="Z71" s="276"/>
      <c r="AA71" s="276"/>
      <c r="AB71" s="276"/>
      <c r="AC71" s="276"/>
      <c r="AD71" s="276"/>
      <c r="AE71" s="276"/>
      <c r="AF71" s="276"/>
      <c r="AG71" s="276"/>
      <c r="AH71" s="276"/>
      <c r="AI71" s="276"/>
      <c r="AJ71" s="276"/>
      <c r="AK71" s="276"/>
      <c r="AL71" s="276"/>
      <c r="AM71" s="1547"/>
    </row>
    <row r="72" spans="1:39" ht="27" customHeight="1" x14ac:dyDescent="0.2">
      <c r="A72" s="266"/>
      <c r="B72" s="266"/>
      <c r="C72" s="266"/>
      <c r="D72" s="266"/>
      <c r="E72" s="266"/>
      <c r="F72" s="266"/>
      <c r="G72" s="266"/>
      <c r="H72" s="266"/>
      <c r="I72" s="266"/>
      <c r="J72" s="266"/>
      <c r="Y72" s="276"/>
      <c r="Z72" s="276"/>
      <c r="AA72" s="276"/>
      <c r="AB72" s="276"/>
      <c r="AC72" s="276"/>
      <c r="AD72" s="276"/>
      <c r="AE72" s="276"/>
      <c r="AF72" s="276"/>
      <c r="AG72" s="276"/>
      <c r="AH72" s="276"/>
      <c r="AI72" s="276"/>
      <c r="AJ72" s="276"/>
      <c r="AK72" s="276"/>
      <c r="AL72" s="276"/>
      <c r="AM72" s="1547"/>
    </row>
    <row r="73" spans="1:39" ht="27" customHeight="1" x14ac:dyDescent="0.2">
      <c r="A73" s="266"/>
      <c r="B73" s="266"/>
      <c r="C73" s="266"/>
      <c r="D73" s="266"/>
      <c r="E73" s="266"/>
      <c r="F73" s="266"/>
      <c r="G73" s="266"/>
      <c r="H73" s="266"/>
      <c r="I73" s="266"/>
      <c r="J73" s="266"/>
      <c r="Y73" s="276"/>
      <c r="Z73" s="276"/>
      <c r="AA73" s="276"/>
      <c r="AB73" s="276"/>
      <c r="AC73" s="276"/>
      <c r="AD73" s="276"/>
      <c r="AE73" s="276"/>
      <c r="AF73" s="276"/>
      <c r="AG73" s="276"/>
      <c r="AH73" s="276"/>
      <c r="AI73" s="276"/>
      <c r="AJ73" s="276"/>
      <c r="AK73" s="276"/>
      <c r="AL73" s="276"/>
      <c r="AM73" s="1547"/>
    </row>
    <row r="74" spans="1:39" ht="27" customHeight="1" x14ac:dyDescent="0.2">
      <c r="A74" s="266"/>
      <c r="B74" s="266"/>
      <c r="C74" s="266"/>
      <c r="D74" s="266"/>
      <c r="E74" s="266"/>
      <c r="F74" s="266"/>
      <c r="G74" s="266"/>
      <c r="H74" s="266"/>
      <c r="I74" s="266"/>
      <c r="J74" s="266"/>
      <c r="Y74" s="276"/>
      <c r="Z74" s="276"/>
      <c r="AA74" s="276"/>
      <c r="AB74" s="276"/>
      <c r="AC74" s="276"/>
      <c r="AD74" s="276"/>
      <c r="AE74" s="276"/>
      <c r="AF74" s="276"/>
      <c r="AG74" s="276"/>
      <c r="AH74" s="276"/>
      <c r="AI74" s="276"/>
      <c r="AJ74" s="276"/>
      <c r="AK74" s="276"/>
      <c r="AL74" s="276"/>
      <c r="AM74" s="1547"/>
    </row>
    <row r="75" spans="1:39" ht="27" customHeight="1" x14ac:dyDescent="0.2">
      <c r="A75" s="266"/>
      <c r="B75" s="266"/>
      <c r="C75" s="266"/>
      <c r="D75" s="266"/>
      <c r="E75" s="266"/>
      <c r="F75" s="266"/>
      <c r="G75" s="266"/>
      <c r="H75" s="266"/>
      <c r="I75" s="266"/>
      <c r="J75" s="266"/>
      <c r="Y75" s="276"/>
      <c r="Z75" s="276"/>
      <c r="AA75" s="276"/>
      <c r="AB75" s="276"/>
      <c r="AC75" s="276"/>
      <c r="AD75" s="276"/>
      <c r="AE75" s="276"/>
      <c r="AF75" s="276"/>
      <c r="AG75" s="276"/>
      <c r="AH75" s="276"/>
      <c r="AI75" s="276"/>
      <c r="AJ75" s="276"/>
      <c r="AK75" s="276"/>
      <c r="AL75" s="276"/>
      <c r="AM75" s="1547"/>
    </row>
    <row r="76" spans="1:39" ht="27" customHeight="1" x14ac:dyDescent="0.2">
      <c r="A76" s="266"/>
      <c r="B76" s="266"/>
      <c r="C76" s="266"/>
      <c r="D76" s="266"/>
      <c r="E76" s="266"/>
      <c r="F76" s="266"/>
      <c r="G76" s="266"/>
      <c r="H76" s="266"/>
      <c r="I76" s="266"/>
      <c r="J76" s="266"/>
      <c r="Y76" s="276"/>
      <c r="Z76" s="276"/>
      <c r="AA76" s="276"/>
      <c r="AB76" s="276"/>
      <c r="AC76" s="276"/>
      <c r="AD76" s="276"/>
      <c r="AE76" s="276"/>
      <c r="AF76" s="276"/>
      <c r="AG76" s="276"/>
      <c r="AH76" s="276"/>
      <c r="AI76" s="276"/>
      <c r="AJ76" s="276"/>
      <c r="AK76" s="276"/>
      <c r="AL76" s="276"/>
      <c r="AM76" s="1547"/>
    </row>
    <row r="77" spans="1:39" ht="27" customHeight="1" x14ac:dyDescent="0.2">
      <c r="A77" s="266"/>
      <c r="B77" s="266"/>
      <c r="C77" s="266"/>
      <c r="D77" s="266"/>
      <c r="E77" s="266"/>
      <c r="F77" s="266"/>
      <c r="G77" s="266"/>
      <c r="H77" s="266"/>
      <c r="I77" s="266"/>
      <c r="J77" s="266"/>
      <c r="Y77" s="276"/>
      <c r="Z77" s="276"/>
      <c r="AA77" s="276"/>
      <c r="AB77" s="276"/>
      <c r="AC77" s="276"/>
      <c r="AD77" s="276"/>
      <c r="AE77" s="276"/>
      <c r="AF77" s="276"/>
      <c r="AG77" s="276"/>
      <c r="AH77" s="276"/>
      <c r="AI77" s="276"/>
      <c r="AJ77" s="276"/>
      <c r="AK77" s="276"/>
      <c r="AL77" s="276"/>
      <c r="AM77" s="1547"/>
    </row>
    <row r="78" spans="1:39" ht="27" customHeight="1" x14ac:dyDescent="0.2">
      <c r="A78" s="266"/>
      <c r="B78" s="266"/>
      <c r="C78" s="266"/>
      <c r="D78" s="266"/>
      <c r="E78" s="266"/>
      <c r="F78" s="266"/>
      <c r="G78" s="266"/>
      <c r="H78" s="266"/>
      <c r="I78" s="266"/>
      <c r="J78" s="266"/>
      <c r="Y78" s="276"/>
      <c r="Z78" s="276"/>
      <c r="AA78" s="276"/>
      <c r="AB78" s="276"/>
      <c r="AC78" s="276"/>
      <c r="AD78" s="276"/>
      <c r="AE78" s="276"/>
      <c r="AF78" s="276"/>
      <c r="AG78" s="276"/>
      <c r="AH78" s="276"/>
      <c r="AI78" s="276"/>
      <c r="AJ78" s="276"/>
      <c r="AK78" s="276"/>
      <c r="AL78" s="276"/>
      <c r="AM78" s="1547"/>
    </row>
    <row r="79" spans="1:39" ht="27" customHeight="1" x14ac:dyDescent="0.2">
      <c r="A79" s="266"/>
      <c r="B79" s="266"/>
      <c r="C79" s="266"/>
      <c r="D79" s="266"/>
      <c r="E79" s="266"/>
      <c r="F79" s="266"/>
      <c r="G79" s="266"/>
      <c r="H79" s="266"/>
      <c r="I79" s="266"/>
      <c r="J79" s="266"/>
      <c r="Y79" s="276"/>
      <c r="Z79" s="276"/>
      <c r="AA79" s="276"/>
      <c r="AB79" s="276"/>
      <c r="AC79" s="276"/>
      <c r="AD79" s="276"/>
      <c r="AE79" s="276"/>
      <c r="AF79" s="276"/>
      <c r="AG79" s="276"/>
      <c r="AH79" s="276"/>
      <c r="AI79" s="276"/>
      <c r="AJ79" s="276"/>
      <c r="AK79" s="276"/>
      <c r="AL79" s="276"/>
      <c r="AM79" s="1547"/>
    </row>
    <row r="80" spans="1:39" ht="27" customHeight="1" x14ac:dyDescent="0.2">
      <c r="A80" s="266"/>
      <c r="B80" s="266"/>
      <c r="C80" s="266"/>
      <c r="D80" s="266"/>
      <c r="E80" s="266"/>
      <c r="F80" s="266"/>
      <c r="G80" s="266"/>
      <c r="H80" s="266"/>
      <c r="I80" s="266"/>
      <c r="J80" s="266"/>
      <c r="Y80" s="276"/>
      <c r="Z80" s="276"/>
      <c r="AA80" s="276"/>
      <c r="AB80" s="276"/>
      <c r="AC80" s="276"/>
      <c r="AD80" s="276"/>
      <c r="AE80" s="276"/>
      <c r="AF80" s="276"/>
      <c r="AG80" s="276"/>
      <c r="AH80" s="276"/>
      <c r="AI80" s="276"/>
      <c r="AJ80" s="276"/>
      <c r="AK80" s="276"/>
      <c r="AL80" s="276"/>
      <c r="AM80" s="1547"/>
    </row>
    <row r="81" spans="1:39" ht="27" customHeight="1" x14ac:dyDescent="0.2">
      <c r="A81" s="266"/>
      <c r="B81" s="266"/>
      <c r="C81" s="266"/>
      <c r="D81" s="266"/>
      <c r="E81" s="266"/>
      <c r="F81" s="266"/>
      <c r="G81" s="266"/>
      <c r="H81" s="266"/>
      <c r="I81" s="266"/>
      <c r="J81" s="266"/>
      <c r="Y81" s="276"/>
      <c r="Z81" s="276"/>
      <c r="AA81" s="276"/>
      <c r="AB81" s="276"/>
      <c r="AC81" s="276"/>
      <c r="AD81" s="276"/>
      <c r="AE81" s="276"/>
      <c r="AF81" s="276"/>
      <c r="AG81" s="276"/>
      <c r="AH81" s="276"/>
      <c r="AI81" s="276"/>
      <c r="AJ81" s="276"/>
      <c r="AK81" s="276"/>
      <c r="AL81" s="276"/>
      <c r="AM81" s="1547"/>
    </row>
    <row r="82" spans="1:39" ht="27" customHeight="1" x14ac:dyDescent="0.2">
      <c r="A82" s="266"/>
      <c r="B82" s="266"/>
      <c r="C82" s="266"/>
      <c r="D82" s="266"/>
      <c r="E82" s="266"/>
      <c r="F82" s="266"/>
      <c r="G82" s="266"/>
      <c r="H82" s="266"/>
      <c r="I82" s="266"/>
      <c r="J82" s="266"/>
      <c r="Y82" s="276"/>
      <c r="Z82" s="276"/>
      <c r="AA82" s="276"/>
      <c r="AB82" s="276"/>
      <c r="AC82" s="276"/>
      <c r="AD82" s="276"/>
      <c r="AE82" s="276"/>
      <c r="AF82" s="276"/>
      <c r="AG82" s="276"/>
      <c r="AH82" s="276"/>
      <c r="AI82" s="276"/>
      <c r="AJ82" s="276"/>
      <c r="AK82" s="276"/>
      <c r="AL82" s="276"/>
      <c r="AM82" s="1547"/>
    </row>
    <row r="83" spans="1:39" ht="27" customHeight="1" x14ac:dyDescent="0.2">
      <c r="A83" s="266"/>
      <c r="B83" s="266"/>
      <c r="C83" s="266"/>
      <c r="D83" s="266"/>
      <c r="E83" s="266"/>
      <c r="F83" s="266"/>
      <c r="G83" s="266"/>
      <c r="H83" s="266"/>
      <c r="I83" s="266"/>
      <c r="J83" s="266"/>
      <c r="Y83" s="276"/>
      <c r="Z83" s="276"/>
      <c r="AA83" s="276"/>
      <c r="AB83" s="276"/>
      <c r="AC83" s="276"/>
      <c r="AD83" s="276"/>
      <c r="AE83" s="276"/>
      <c r="AF83" s="276"/>
      <c r="AG83" s="276"/>
      <c r="AH83" s="276"/>
      <c r="AI83" s="276"/>
      <c r="AJ83" s="276"/>
      <c r="AK83" s="276"/>
      <c r="AL83" s="276"/>
      <c r="AM83" s="1547"/>
    </row>
    <row r="84" spans="1:39" ht="27" customHeight="1" x14ac:dyDescent="0.2">
      <c r="A84" s="266"/>
      <c r="B84" s="266"/>
      <c r="C84" s="266"/>
      <c r="D84" s="266"/>
      <c r="E84" s="266"/>
      <c r="F84" s="266"/>
      <c r="G84" s="266"/>
      <c r="H84" s="266"/>
      <c r="I84" s="266"/>
      <c r="J84" s="266"/>
      <c r="Y84" s="276"/>
      <c r="Z84" s="276"/>
      <c r="AA84" s="276"/>
      <c r="AB84" s="276"/>
      <c r="AC84" s="276"/>
      <c r="AD84" s="276"/>
      <c r="AE84" s="276"/>
      <c r="AF84" s="276"/>
      <c r="AG84" s="276"/>
      <c r="AH84" s="276"/>
      <c r="AI84" s="276"/>
      <c r="AJ84" s="276"/>
      <c r="AK84" s="276"/>
      <c r="AL84" s="276"/>
      <c r="AM84" s="1547"/>
    </row>
    <row r="85" spans="1:39" ht="27" customHeight="1" x14ac:dyDescent="0.2">
      <c r="A85" s="266"/>
      <c r="B85" s="266"/>
      <c r="C85" s="266"/>
      <c r="D85" s="266"/>
      <c r="E85" s="266"/>
      <c r="F85" s="266"/>
      <c r="G85" s="266"/>
      <c r="H85" s="266"/>
      <c r="I85" s="266"/>
      <c r="J85" s="266"/>
      <c r="Y85" s="276"/>
      <c r="Z85" s="276"/>
      <c r="AA85" s="276"/>
      <c r="AB85" s="276"/>
      <c r="AC85" s="276"/>
      <c r="AD85" s="276"/>
      <c r="AE85" s="276"/>
      <c r="AF85" s="276"/>
      <c r="AG85" s="276"/>
      <c r="AH85" s="276"/>
      <c r="AI85" s="276"/>
      <c r="AJ85" s="276"/>
      <c r="AK85" s="276"/>
      <c r="AL85" s="276"/>
      <c r="AM85" s="1547"/>
    </row>
    <row r="86" spans="1:39" ht="27" customHeight="1" x14ac:dyDescent="0.2">
      <c r="A86" s="266"/>
      <c r="B86" s="266"/>
      <c r="C86" s="266"/>
      <c r="D86" s="266"/>
      <c r="E86" s="266"/>
      <c r="F86" s="266"/>
      <c r="G86" s="266"/>
      <c r="H86" s="266"/>
      <c r="I86" s="266"/>
      <c r="J86" s="266"/>
      <c r="Y86" s="276"/>
      <c r="Z86" s="276"/>
      <c r="AA86" s="276"/>
      <c r="AB86" s="276"/>
      <c r="AC86" s="276"/>
      <c r="AD86" s="276"/>
      <c r="AE86" s="276"/>
      <c r="AF86" s="276"/>
      <c r="AG86" s="276"/>
      <c r="AH86" s="276"/>
      <c r="AI86" s="276"/>
      <c r="AJ86" s="276"/>
      <c r="AK86" s="276"/>
      <c r="AL86" s="276"/>
      <c r="AM86" s="1547"/>
    </row>
    <row r="87" spans="1:39" ht="27" customHeight="1" x14ac:dyDescent="0.2">
      <c r="A87" s="266"/>
      <c r="B87" s="266"/>
      <c r="C87" s="266"/>
      <c r="D87" s="266"/>
      <c r="E87" s="266"/>
      <c r="F87" s="266"/>
      <c r="G87" s="266"/>
      <c r="H87" s="266"/>
      <c r="I87" s="266"/>
      <c r="J87" s="266"/>
      <c r="Y87" s="276"/>
      <c r="Z87" s="276"/>
      <c r="AA87" s="276"/>
      <c r="AB87" s="276"/>
      <c r="AC87" s="276"/>
      <c r="AD87" s="276"/>
      <c r="AE87" s="276"/>
      <c r="AF87" s="276"/>
      <c r="AG87" s="276"/>
      <c r="AH87" s="276"/>
      <c r="AI87" s="276"/>
      <c r="AJ87" s="276"/>
      <c r="AK87" s="276"/>
      <c r="AL87" s="276"/>
      <c r="AM87" s="1547"/>
    </row>
    <row r="88" spans="1:39" ht="27" customHeight="1" x14ac:dyDescent="0.2">
      <c r="A88" s="266"/>
      <c r="B88" s="266"/>
      <c r="C88" s="266"/>
      <c r="D88" s="266"/>
      <c r="E88" s="266"/>
      <c r="F88" s="266"/>
      <c r="G88" s="266"/>
      <c r="H88" s="266"/>
      <c r="I88" s="266"/>
      <c r="J88" s="266"/>
      <c r="Y88" s="276"/>
      <c r="Z88" s="276"/>
      <c r="AA88" s="276"/>
      <c r="AB88" s="276"/>
      <c r="AC88" s="276"/>
      <c r="AD88" s="276"/>
      <c r="AE88" s="276"/>
      <c r="AF88" s="276"/>
      <c r="AG88" s="276"/>
      <c r="AH88" s="276"/>
      <c r="AI88" s="276"/>
      <c r="AJ88" s="276"/>
      <c r="AK88" s="276"/>
      <c r="AL88" s="276"/>
      <c r="AM88" s="1547"/>
    </row>
    <row r="89" spans="1:39" ht="27" customHeight="1" x14ac:dyDescent="0.2">
      <c r="A89" s="266"/>
      <c r="B89" s="266"/>
      <c r="C89" s="266"/>
      <c r="D89" s="266"/>
      <c r="E89" s="266"/>
      <c r="F89" s="266"/>
      <c r="G89" s="266"/>
      <c r="H89" s="266"/>
      <c r="I89" s="266"/>
      <c r="J89" s="266"/>
      <c r="Y89" s="276"/>
      <c r="Z89" s="276"/>
      <c r="AA89" s="276"/>
      <c r="AB89" s="276"/>
      <c r="AC89" s="276"/>
      <c r="AD89" s="276"/>
      <c r="AE89" s="276"/>
      <c r="AF89" s="276"/>
      <c r="AG89" s="276"/>
      <c r="AH89" s="276"/>
      <c r="AI89" s="276"/>
      <c r="AJ89" s="276"/>
      <c r="AK89" s="276"/>
      <c r="AL89" s="276"/>
      <c r="AM89" s="1547"/>
    </row>
    <row r="90" spans="1:39" ht="27" customHeight="1" x14ac:dyDescent="0.2">
      <c r="A90" s="266"/>
      <c r="B90" s="266"/>
      <c r="C90" s="266"/>
      <c r="D90" s="266"/>
      <c r="E90" s="266"/>
      <c r="F90" s="266"/>
      <c r="G90" s="266"/>
      <c r="H90" s="266"/>
      <c r="I90" s="266"/>
      <c r="J90" s="266"/>
      <c r="Y90" s="276"/>
      <c r="Z90" s="276"/>
      <c r="AA90" s="276"/>
      <c r="AB90" s="276"/>
      <c r="AC90" s="276"/>
      <c r="AD90" s="276"/>
      <c r="AE90" s="276"/>
      <c r="AF90" s="276"/>
      <c r="AG90" s="276"/>
      <c r="AH90" s="276"/>
      <c r="AI90" s="276"/>
      <c r="AJ90" s="276"/>
      <c r="AK90" s="276"/>
      <c r="AL90" s="276"/>
      <c r="AM90" s="1547"/>
    </row>
    <row r="91" spans="1:39" ht="27" customHeight="1" x14ac:dyDescent="0.2">
      <c r="A91" s="266"/>
      <c r="B91" s="266"/>
      <c r="C91" s="266"/>
      <c r="D91" s="266"/>
      <c r="E91" s="266"/>
      <c r="F91" s="266"/>
      <c r="G91" s="266"/>
      <c r="H91" s="266"/>
      <c r="I91" s="266"/>
      <c r="J91" s="266"/>
      <c r="Y91" s="276"/>
      <c r="Z91" s="276"/>
      <c r="AA91" s="276"/>
      <c r="AB91" s="276"/>
      <c r="AC91" s="276"/>
      <c r="AD91" s="276"/>
      <c r="AE91" s="276"/>
      <c r="AF91" s="276"/>
      <c r="AG91" s="276"/>
      <c r="AH91" s="276"/>
      <c r="AI91" s="276"/>
      <c r="AJ91" s="276"/>
      <c r="AK91" s="276"/>
      <c r="AL91" s="276"/>
      <c r="AM91" s="1547"/>
    </row>
    <row r="92" spans="1:39" ht="27" customHeight="1" x14ac:dyDescent="0.2">
      <c r="A92" s="266"/>
      <c r="B92" s="266"/>
      <c r="C92" s="266"/>
      <c r="D92" s="266"/>
      <c r="E92" s="266"/>
      <c r="F92" s="266"/>
      <c r="G92" s="266"/>
      <c r="H92" s="266"/>
      <c r="I92" s="266"/>
      <c r="J92" s="266"/>
      <c r="Y92" s="276"/>
      <c r="Z92" s="276"/>
      <c r="AA92" s="276"/>
      <c r="AB92" s="276"/>
      <c r="AC92" s="276"/>
      <c r="AD92" s="276"/>
      <c r="AE92" s="276"/>
      <c r="AF92" s="276"/>
      <c r="AG92" s="276"/>
      <c r="AH92" s="276"/>
      <c r="AI92" s="276"/>
      <c r="AJ92" s="276"/>
      <c r="AK92" s="276"/>
      <c r="AL92" s="276"/>
      <c r="AM92" s="1547"/>
    </row>
    <row r="93" spans="1:39" ht="27" customHeight="1" x14ac:dyDescent="0.2">
      <c r="A93" s="266"/>
      <c r="B93" s="266"/>
      <c r="C93" s="266"/>
      <c r="D93" s="266"/>
      <c r="E93" s="266"/>
      <c r="F93" s="266"/>
      <c r="G93" s="266"/>
      <c r="H93" s="266"/>
      <c r="I93" s="266"/>
      <c r="J93" s="266"/>
      <c r="Y93" s="276"/>
      <c r="Z93" s="276"/>
      <c r="AA93" s="276"/>
      <c r="AB93" s="276"/>
      <c r="AC93" s="276"/>
      <c r="AD93" s="276"/>
      <c r="AE93" s="276"/>
      <c r="AF93" s="276"/>
      <c r="AG93" s="276"/>
      <c r="AH93" s="276"/>
      <c r="AI93" s="276"/>
      <c r="AJ93" s="276"/>
      <c r="AK93" s="276"/>
      <c r="AL93" s="276"/>
      <c r="AM93" s="1547"/>
    </row>
    <row r="94" spans="1:39" ht="27" customHeight="1" x14ac:dyDescent="0.2">
      <c r="A94" s="266"/>
      <c r="B94" s="266"/>
      <c r="C94" s="266"/>
      <c r="D94" s="266"/>
      <c r="E94" s="266"/>
      <c r="F94" s="266"/>
      <c r="G94" s="266"/>
      <c r="H94" s="266"/>
      <c r="I94" s="266"/>
      <c r="J94" s="266"/>
      <c r="Y94" s="276"/>
      <c r="Z94" s="276"/>
      <c r="AA94" s="276"/>
      <c r="AB94" s="276"/>
      <c r="AC94" s="276"/>
      <c r="AD94" s="276"/>
      <c r="AE94" s="276"/>
      <c r="AF94" s="276"/>
      <c r="AG94" s="276"/>
      <c r="AH94" s="276"/>
      <c r="AI94" s="276"/>
      <c r="AJ94" s="276"/>
      <c r="AK94" s="276"/>
      <c r="AL94" s="276"/>
      <c r="AM94" s="1547"/>
    </row>
    <row r="95" spans="1:39" ht="27" customHeight="1" x14ac:dyDescent="0.2">
      <c r="A95" s="266"/>
      <c r="B95" s="266"/>
      <c r="C95" s="266"/>
      <c r="D95" s="266"/>
      <c r="E95" s="266"/>
      <c r="F95" s="266"/>
      <c r="G95" s="266"/>
      <c r="H95" s="266"/>
      <c r="I95" s="266"/>
      <c r="J95" s="266"/>
      <c r="Y95" s="276"/>
      <c r="Z95" s="276"/>
      <c r="AA95" s="276"/>
      <c r="AB95" s="276"/>
      <c r="AC95" s="276"/>
      <c r="AD95" s="276"/>
      <c r="AE95" s="276"/>
      <c r="AF95" s="276"/>
      <c r="AG95" s="276"/>
      <c r="AH95" s="276"/>
      <c r="AI95" s="276"/>
      <c r="AJ95" s="276"/>
      <c r="AK95" s="276"/>
      <c r="AL95" s="276"/>
      <c r="AM95" s="1547"/>
    </row>
    <row r="96" spans="1:39" ht="27" customHeight="1" x14ac:dyDescent="0.2">
      <c r="A96" s="266"/>
      <c r="B96" s="266"/>
      <c r="C96" s="266"/>
      <c r="D96" s="266"/>
      <c r="E96" s="266"/>
      <c r="F96" s="266"/>
      <c r="G96" s="266"/>
      <c r="H96" s="266"/>
      <c r="I96" s="266"/>
      <c r="J96" s="266"/>
      <c r="Y96" s="276"/>
      <c r="Z96" s="276"/>
      <c r="AA96" s="276"/>
      <c r="AB96" s="276"/>
      <c r="AC96" s="276"/>
      <c r="AD96" s="276"/>
      <c r="AE96" s="276"/>
      <c r="AF96" s="276"/>
      <c r="AG96" s="276"/>
      <c r="AH96" s="276"/>
      <c r="AI96" s="276"/>
      <c r="AJ96" s="276"/>
      <c r="AK96" s="276"/>
      <c r="AL96" s="276"/>
      <c r="AM96" s="1547"/>
    </row>
    <row r="97" spans="1:39" ht="27" customHeight="1" x14ac:dyDescent="0.2">
      <c r="A97" s="266"/>
      <c r="B97" s="266"/>
      <c r="C97" s="266"/>
      <c r="D97" s="266"/>
      <c r="E97" s="266"/>
      <c r="F97" s="266"/>
      <c r="G97" s="266"/>
      <c r="H97" s="266"/>
      <c r="I97" s="266"/>
      <c r="J97" s="266"/>
      <c r="Y97" s="276"/>
      <c r="Z97" s="276"/>
      <c r="AA97" s="276"/>
      <c r="AB97" s="276"/>
      <c r="AC97" s="276"/>
      <c r="AD97" s="276"/>
      <c r="AE97" s="276"/>
      <c r="AF97" s="276"/>
      <c r="AG97" s="276"/>
      <c r="AH97" s="276"/>
      <c r="AI97" s="276"/>
      <c r="AJ97" s="276"/>
      <c r="AK97" s="276"/>
      <c r="AL97" s="276"/>
      <c r="AM97" s="1547"/>
    </row>
    <row r="98" spans="1:39" ht="27" customHeight="1" x14ac:dyDescent="0.2">
      <c r="A98" s="266"/>
      <c r="B98" s="266"/>
      <c r="C98" s="266"/>
      <c r="D98" s="266"/>
      <c r="E98" s="266"/>
      <c r="F98" s="266"/>
      <c r="G98" s="266"/>
      <c r="H98" s="266"/>
      <c r="I98" s="266"/>
      <c r="J98" s="266"/>
      <c r="Y98" s="276"/>
      <c r="Z98" s="276"/>
      <c r="AA98" s="276"/>
      <c r="AB98" s="276"/>
      <c r="AC98" s="276"/>
      <c r="AD98" s="276"/>
      <c r="AE98" s="276"/>
      <c r="AF98" s="276"/>
      <c r="AG98" s="276"/>
      <c r="AH98" s="276"/>
      <c r="AI98" s="276"/>
      <c r="AJ98" s="276"/>
      <c r="AK98" s="276"/>
      <c r="AL98" s="276"/>
      <c r="AM98" s="1547"/>
    </row>
    <row r="99" spans="1:39" ht="27" customHeight="1" x14ac:dyDescent="0.2">
      <c r="A99" s="266"/>
      <c r="B99" s="266"/>
      <c r="C99" s="266"/>
      <c r="D99" s="266"/>
      <c r="E99" s="266"/>
      <c r="F99" s="266"/>
      <c r="G99" s="266"/>
      <c r="H99" s="266"/>
      <c r="I99" s="266"/>
      <c r="J99" s="266"/>
      <c r="Y99" s="276"/>
      <c r="Z99" s="276"/>
      <c r="AA99" s="276"/>
      <c r="AB99" s="276"/>
      <c r="AC99" s="276"/>
      <c r="AD99" s="276"/>
      <c r="AE99" s="276"/>
      <c r="AF99" s="276"/>
      <c r="AG99" s="276"/>
      <c r="AH99" s="276"/>
      <c r="AI99" s="276"/>
      <c r="AJ99" s="276"/>
      <c r="AK99" s="276"/>
      <c r="AL99" s="276"/>
      <c r="AM99" s="1547"/>
    </row>
    <row r="100" spans="1:39" ht="27" customHeight="1" x14ac:dyDescent="0.2">
      <c r="A100" s="266"/>
      <c r="B100" s="266"/>
      <c r="C100" s="266"/>
      <c r="D100" s="266"/>
      <c r="E100" s="266"/>
      <c r="F100" s="266"/>
      <c r="G100" s="266"/>
      <c r="H100" s="266"/>
      <c r="I100" s="266"/>
      <c r="J100" s="266"/>
      <c r="Y100" s="276"/>
      <c r="Z100" s="276"/>
      <c r="AA100" s="276"/>
      <c r="AB100" s="276"/>
      <c r="AC100" s="276"/>
      <c r="AD100" s="276"/>
      <c r="AE100" s="276"/>
      <c r="AF100" s="276"/>
      <c r="AG100" s="276"/>
      <c r="AH100" s="276"/>
      <c r="AI100" s="276"/>
      <c r="AJ100" s="276"/>
      <c r="AK100" s="276"/>
      <c r="AL100" s="276"/>
      <c r="AM100" s="1547"/>
    </row>
    <row r="101" spans="1:39" ht="27" customHeight="1" x14ac:dyDescent="0.2">
      <c r="A101" s="266"/>
      <c r="B101" s="266"/>
      <c r="C101" s="266"/>
      <c r="D101" s="266"/>
      <c r="E101" s="266"/>
      <c r="F101" s="266"/>
      <c r="G101" s="266"/>
      <c r="H101" s="266"/>
      <c r="I101" s="266"/>
      <c r="J101" s="266"/>
      <c r="Y101" s="276"/>
      <c r="Z101" s="276"/>
      <c r="AA101" s="276"/>
      <c r="AB101" s="276"/>
      <c r="AC101" s="276"/>
      <c r="AD101" s="276"/>
      <c r="AE101" s="276"/>
      <c r="AF101" s="276"/>
      <c r="AG101" s="276"/>
      <c r="AH101" s="276"/>
      <c r="AI101" s="276"/>
      <c r="AJ101" s="276"/>
      <c r="AK101" s="276"/>
      <c r="AL101" s="276"/>
      <c r="AM101" s="1547"/>
    </row>
    <row r="102" spans="1:39" ht="27" customHeight="1" x14ac:dyDescent="0.2">
      <c r="A102" s="266"/>
      <c r="B102" s="266"/>
      <c r="C102" s="266"/>
      <c r="D102" s="266"/>
      <c r="E102" s="266"/>
      <c r="F102" s="266"/>
      <c r="G102" s="266"/>
      <c r="H102" s="266"/>
      <c r="I102" s="266"/>
      <c r="J102" s="266"/>
      <c r="Y102" s="276"/>
      <c r="Z102" s="276"/>
      <c r="AA102" s="276"/>
      <c r="AB102" s="276"/>
      <c r="AC102" s="276"/>
      <c r="AD102" s="276"/>
      <c r="AE102" s="276"/>
      <c r="AF102" s="276"/>
      <c r="AG102" s="276"/>
      <c r="AH102" s="276"/>
      <c r="AI102" s="276"/>
      <c r="AJ102" s="276"/>
      <c r="AK102" s="276"/>
      <c r="AL102" s="276"/>
      <c r="AM102" s="1547"/>
    </row>
    <row r="103" spans="1:39" ht="27" customHeight="1" x14ac:dyDescent="0.2">
      <c r="A103" s="266"/>
      <c r="B103" s="266"/>
      <c r="C103" s="266"/>
      <c r="D103" s="266"/>
      <c r="E103" s="266"/>
      <c r="F103" s="266"/>
      <c r="G103" s="266"/>
      <c r="H103" s="266"/>
      <c r="I103" s="266"/>
      <c r="J103" s="266"/>
      <c r="Y103" s="276"/>
      <c r="Z103" s="276"/>
      <c r="AA103" s="276"/>
      <c r="AB103" s="276"/>
      <c r="AC103" s="276"/>
      <c r="AD103" s="276"/>
      <c r="AE103" s="276"/>
      <c r="AF103" s="276"/>
      <c r="AG103" s="276"/>
      <c r="AH103" s="276"/>
      <c r="AI103" s="276"/>
      <c r="AJ103" s="276"/>
      <c r="AK103" s="276"/>
      <c r="AL103" s="276"/>
      <c r="AM103" s="1547"/>
    </row>
    <row r="104" spans="1:39" ht="27" customHeight="1" x14ac:dyDescent="0.2">
      <c r="A104" s="266"/>
      <c r="B104" s="266"/>
      <c r="C104" s="266"/>
      <c r="D104" s="266"/>
      <c r="E104" s="266"/>
      <c r="F104" s="266"/>
      <c r="G104" s="266"/>
      <c r="H104" s="266"/>
      <c r="I104" s="266"/>
      <c r="J104" s="266"/>
      <c r="Y104" s="276"/>
      <c r="Z104" s="276"/>
      <c r="AA104" s="276"/>
      <c r="AB104" s="276"/>
      <c r="AC104" s="276"/>
      <c r="AD104" s="276"/>
      <c r="AE104" s="276"/>
      <c r="AF104" s="276"/>
      <c r="AG104" s="276"/>
      <c r="AH104" s="276"/>
      <c r="AI104" s="276"/>
      <c r="AJ104" s="276"/>
      <c r="AK104" s="276"/>
      <c r="AL104" s="276"/>
      <c r="AM104" s="1547"/>
    </row>
    <row r="105" spans="1:39" ht="27" customHeight="1" x14ac:dyDescent="0.2">
      <c r="A105" s="266"/>
      <c r="B105" s="266"/>
      <c r="C105" s="266"/>
      <c r="D105" s="266"/>
      <c r="E105" s="266"/>
      <c r="F105" s="266"/>
      <c r="G105" s="266"/>
      <c r="H105" s="266"/>
      <c r="I105" s="266"/>
      <c r="J105" s="266"/>
      <c r="Y105" s="276"/>
      <c r="Z105" s="276"/>
      <c r="AA105" s="276"/>
      <c r="AB105" s="276"/>
      <c r="AC105" s="276"/>
      <c r="AD105" s="276"/>
      <c r="AE105" s="276"/>
      <c r="AF105" s="276"/>
      <c r="AG105" s="276"/>
      <c r="AH105" s="276"/>
      <c r="AI105" s="276"/>
      <c r="AJ105" s="276"/>
      <c r="AK105" s="276"/>
      <c r="AL105" s="276"/>
      <c r="AM105" s="1547"/>
    </row>
    <row r="106" spans="1:39" ht="27" customHeight="1" x14ac:dyDescent="0.2">
      <c r="A106" s="266"/>
      <c r="B106" s="266"/>
      <c r="C106" s="266"/>
      <c r="D106" s="266"/>
      <c r="E106" s="266"/>
      <c r="F106" s="266"/>
      <c r="G106" s="266"/>
      <c r="H106" s="266"/>
      <c r="I106" s="266"/>
      <c r="J106" s="266"/>
      <c r="Y106" s="276"/>
      <c r="Z106" s="276"/>
      <c r="AA106" s="276"/>
      <c r="AB106" s="276"/>
      <c r="AC106" s="276"/>
      <c r="AD106" s="276"/>
      <c r="AE106" s="276"/>
      <c r="AF106" s="276"/>
      <c r="AG106" s="276"/>
      <c r="AH106" s="276"/>
      <c r="AI106" s="276"/>
      <c r="AJ106" s="276"/>
      <c r="AK106" s="276"/>
      <c r="AL106" s="276"/>
      <c r="AM106" s="1547"/>
    </row>
    <row r="107" spans="1:39" ht="27" customHeight="1" x14ac:dyDescent="0.2">
      <c r="A107" s="266"/>
      <c r="B107" s="266"/>
      <c r="C107" s="266"/>
      <c r="D107" s="266"/>
      <c r="E107" s="266"/>
      <c r="F107" s="266"/>
      <c r="G107" s="266"/>
      <c r="H107" s="266"/>
      <c r="I107" s="266"/>
      <c r="J107" s="266"/>
      <c r="Y107" s="276"/>
      <c r="Z107" s="276"/>
      <c r="AA107" s="276"/>
      <c r="AB107" s="276"/>
      <c r="AC107" s="276"/>
      <c r="AD107" s="276"/>
      <c r="AE107" s="276"/>
      <c r="AF107" s="276"/>
      <c r="AG107" s="276"/>
      <c r="AH107" s="276"/>
      <c r="AI107" s="276"/>
      <c r="AJ107" s="276"/>
      <c r="AK107" s="276"/>
      <c r="AL107" s="276"/>
      <c r="AM107" s="1547"/>
    </row>
    <row r="108" spans="1:39" ht="27" customHeight="1" x14ac:dyDescent="0.2">
      <c r="A108" s="266"/>
      <c r="B108" s="266"/>
      <c r="C108" s="266"/>
      <c r="D108" s="266"/>
      <c r="E108" s="266"/>
      <c r="F108" s="266"/>
      <c r="G108" s="266"/>
      <c r="H108" s="266"/>
      <c r="I108" s="266"/>
      <c r="J108" s="266"/>
      <c r="Y108" s="276"/>
      <c r="Z108" s="276"/>
      <c r="AA108" s="276"/>
      <c r="AB108" s="276"/>
      <c r="AC108" s="276"/>
      <c r="AD108" s="276"/>
      <c r="AE108" s="276"/>
      <c r="AF108" s="276"/>
      <c r="AG108" s="276"/>
      <c r="AH108" s="276"/>
      <c r="AI108" s="276"/>
      <c r="AJ108" s="276"/>
      <c r="AK108" s="276"/>
      <c r="AL108" s="276"/>
      <c r="AM108" s="1547"/>
    </row>
    <row r="109" spans="1:39" ht="27" customHeight="1" x14ac:dyDescent="0.2">
      <c r="A109" s="266"/>
      <c r="B109" s="266"/>
      <c r="C109" s="266"/>
      <c r="D109" s="266"/>
      <c r="E109" s="266"/>
      <c r="F109" s="266"/>
      <c r="G109" s="266"/>
      <c r="H109" s="266"/>
      <c r="I109" s="266"/>
      <c r="J109" s="266"/>
      <c r="Y109" s="276"/>
      <c r="Z109" s="276"/>
      <c r="AA109" s="276"/>
      <c r="AB109" s="276"/>
      <c r="AC109" s="276"/>
      <c r="AD109" s="276"/>
      <c r="AE109" s="276"/>
      <c r="AF109" s="276"/>
      <c r="AG109" s="276"/>
      <c r="AH109" s="276"/>
      <c r="AI109" s="276"/>
      <c r="AJ109" s="276"/>
      <c r="AK109" s="276"/>
      <c r="AL109" s="276"/>
      <c r="AM109" s="1547"/>
    </row>
    <row r="110" spans="1:39" ht="27" customHeight="1" x14ac:dyDescent="0.2">
      <c r="A110" s="266"/>
      <c r="B110" s="266"/>
      <c r="C110" s="266"/>
      <c r="D110" s="266"/>
      <c r="E110" s="266"/>
      <c r="F110" s="266"/>
      <c r="G110" s="266"/>
      <c r="H110" s="266"/>
      <c r="I110" s="266"/>
      <c r="J110" s="266"/>
      <c r="Y110" s="276"/>
      <c r="Z110" s="276"/>
      <c r="AA110" s="276"/>
      <c r="AB110" s="276"/>
      <c r="AC110" s="276"/>
      <c r="AD110" s="276"/>
      <c r="AE110" s="276"/>
      <c r="AF110" s="276"/>
      <c r="AG110" s="276"/>
      <c r="AH110" s="276"/>
      <c r="AI110" s="276"/>
      <c r="AJ110" s="276"/>
      <c r="AK110" s="276"/>
      <c r="AL110" s="276"/>
      <c r="AM110" s="1547"/>
    </row>
    <row r="111" spans="1:39" ht="27" customHeight="1" x14ac:dyDescent="0.2">
      <c r="A111" s="266"/>
      <c r="B111" s="266"/>
      <c r="C111" s="266"/>
      <c r="D111" s="266"/>
      <c r="E111" s="266"/>
      <c r="F111" s="266"/>
      <c r="G111" s="266"/>
      <c r="H111" s="266"/>
      <c r="I111" s="266"/>
      <c r="J111" s="266"/>
      <c r="Y111" s="276"/>
      <c r="Z111" s="276"/>
      <c r="AA111" s="276"/>
      <c r="AB111" s="276"/>
      <c r="AC111" s="276"/>
      <c r="AD111" s="276"/>
      <c r="AE111" s="276"/>
      <c r="AF111" s="276"/>
      <c r="AG111" s="276"/>
      <c r="AH111" s="276"/>
      <c r="AI111" s="276"/>
      <c r="AJ111" s="276"/>
      <c r="AK111" s="276"/>
      <c r="AL111" s="276"/>
      <c r="AM111" s="1547"/>
    </row>
    <row r="112" spans="1:39" ht="27" customHeight="1" x14ac:dyDescent="0.2">
      <c r="A112" s="266"/>
      <c r="B112" s="266"/>
      <c r="C112" s="266"/>
      <c r="D112" s="266"/>
      <c r="E112" s="266"/>
      <c r="F112" s="266"/>
      <c r="G112" s="266"/>
      <c r="H112" s="266"/>
      <c r="I112" s="266"/>
      <c r="J112" s="266"/>
      <c r="Y112" s="276"/>
      <c r="Z112" s="276"/>
      <c r="AA112" s="276"/>
      <c r="AB112" s="276"/>
      <c r="AC112" s="276"/>
      <c r="AD112" s="276"/>
      <c r="AE112" s="276"/>
      <c r="AF112" s="276"/>
      <c r="AG112" s="276"/>
      <c r="AH112" s="276"/>
      <c r="AI112" s="276"/>
      <c r="AJ112" s="276"/>
      <c r="AK112" s="276"/>
      <c r="AL112" s="276"/>
      <c r="AM112" s="1547"/>
    </row>
    <row r="113" spans="1:39" ht="27" customHeight="1" x14ac:dyDescent="0.2">
      <c r="A113" s="266"/>
      <c r="B113" s="266"/>
      <c r="C113" s="266"/>
      <c r="D113" s="266"/>
      <c r="E113" s="266"/>
      <c r="F113" s="266"/>
      <c r="G113" s="266"/>
      <c r="H113" s="266"/>
      <c r="I113" s="266"/>
      <c r="J113" s="266"/>
      <c r="Y113" s="276"/>
      <c r="Z113" s="276"/>
      <c r="AA113" s="276"/>
      <c r="AB113" s="276"/>
      <c r="AC113" s="276"/>
      <c r="AD113" s="276"/>
      <c r="AE113" s="276"/>
      <c r="AF113" s="276"/>
      <c r="AG113" s="276"/>
      <c r="AH113" s="276"/>
      <c r="AI113" s="276"/>
      <c r="AJ113" s="276"/>
      <c r="AK113" s="276"/>
      <c r="AL113" s="276"/>
      <c r="AM113" s="1547"/>
    </row>
    <row r="114" spans="1:39" ht="27" customHeight="1" x14ac:dyDescent="0.2">
      <c r="A114" s="266"/>
      <c r="B114" s="266"/>
      <c r="C114" s="266"/>
      <c r="D114" s="266"/>
      <c r="E114" s="266"/>
      <c r="F114" s="266"/>
      <c r="G114" s="266"/>
      <c r="H114" s="266"/>
      <c r="I114" s="266"/>
      <c r="J114" s="266"/>
      <c r="Y114" s="276"/>
      <c r="Z114" s="276"/>
      <c r="AA114" s="276"/>
      <c r="AB114" s="276"/>
      <c r="AC114" s="276"/>
      <c r="AD114" s="276"/>
      <c r="AE114" s="276"/>
      <c r="AF114" s="276"/>
      <c r="AG114" s="276"/>
      <c r="AH114" s="276"/>
      <c r="AI114" s="276"/>
      <c r="AJ114" s="276"/>
      <c r="AK114" s="276"/>
      <c r="AL114" s="276"/>
      <c r="AM114" s="1547"/>
    </row>
    <row r="115" spans="1:39" ht="27" customHeight="1" x14ac:dyDescent="0.2">
      <c r="A115" s="266"/>
      <c r="B115" s="266"/>
      <c r="C115" s="266"/>
      <c r="D115" s="266"/>
      <c r="E115" s="266"/>
      <c r="F115" s="266"/>
      <c r="G115" s="266"/>
      <c r="H115" s="266"/>
      <c r="I115" s="266"/>
      <c r="J115" s="266"/>
      <c r="Y115" s="276"/>
      <c r="Z115" s="276"/>
      <c r="AA115" s="276"/>
      <c r="AB115" s="276"/>
      <c r="AC115" s="276"/>
      <c r="AD115" s="276"/>
      <c r="AE115" s="276"/>
      <c r="AF115" s="276"/>
      <c r="AG115" s="276"/>
      <c r="AH115" s="276"/>
      <c r="AI115" s="276"/>
      <c r="AJ115" s="276"/>
      <c r="AK115" s="276"/>
      <c r="AL115" s="276"/>
      <c r="AM115" s="1547"/>
    </row>
    <row r="116" spans="1:39" ht="27" customHeight="1" x14ac:dyDescent="0.2">
      <c r="A116" s="266"/>
      <c r="B116" s="266"/>
      <c r="C116" s="266"/>
      <c r="D116" s="266"/>
      <c r="E116" s="266"/>
      <c r="F116" s="266"/>
      <c r="G116" s="266"/>
      <c r="H116" s="266"/>
      <c r="I116" s="266"/>
      <c r="J116" s="266"/>
      <c r="Y116" s="276"/>
      <c r="Z116" s="276"/>
      <c r="AA116" s="276"/>
      <c r="AB116" s="276"/>
      <c r="AC116" s="276"/>
      <c r="AD116" s="276"/>
      <c r="AE116" s="276"/>
      <c r="AF116" s="276"/>
      <c r="AG116" s="276"/>
      <c r="AH116" s="276"/>
      <c r="AI116" s="276"/>
      <c r="AJ116" s="276"/>
      <c r="AK116" s="276"/>
      <c r="AL116" s="276"/>
      <c r="AM116" s="1547"/>
    </row>
    <row r="117" spans="1:39" ht="27" customHeight="1" x14ac:dyDescent="0.2">
      <c r="A117" s="266"/>
      <c r="B117" s="266"/>
      <c r="C117" s="266"/>
      <c r="D117" s="266"/>
      <c r="E117" s="266"/>
      <c r="F117" s="266"/>
      <c r="G117" s="266"/>
      <c r="H117" s="266"/>
      <c r="I117" s="266"/>
      <c r="J117" s="266"/>
      <c r="Y117" s="276"/>
      <c r="Z117" s="276"/>
      <c r="AA117" s="276"/>
      <c r="AB117" s="276"/>
      <c r="AC117" s="276"/>
      <c r="AD117" s="276"/>
      <c r="AE117" s="276"/>
      <c r="AF117" s="276"/>
      <c r="AG117" s="276"/>
      <c r="AH117" s="276"/>
      <c r="AI117" s="276"/>
      <c r="AJ117" s="276"/>
      <c r="AK117" s="276"/>
      <c r="AL117" s="276"/>
      <c r="AM117" s="1547"/>
    </row>
    <row r="118" spans="1:39" ht="27" customHeight="1" x14ac:dyDescent="0.2">
      <c r="A118" s="266"/>
      <c r="B118" s="266"/>
      <c r="C118" s="266"/>
      <c r="D118" s="266"/>
      <c r="E118" s="266"/>
      <c r="F118" s="266"/>
      <c r="G118" s="266"/>
      <c r="H118" s="266"/>
      <c r="I118" s="266"/>
      <c r="J118" s="266"/>
      <c r="Y118" s="276"/>
      <c r="Z118" s="276"/>
      <c r="AA118" s="276"/>
      <c r="AB118" s="276"/>
      <c r="AC118" s="276"/>
      <c r="AD118" s="276"/>
      <c r="AE118" s="276"/>
      <c r="AF118" s="276"/>
      <c r="AG118" s="276"/>
      <c r="AH118" s="276"/>
      <c r="AI118" s="276"/>
      <c r="AJ118" s="276"/>
      <c r="AK118" s="276"/>
      <c r="AL118" s="276"/>
      <c r="AM118" s="1547"/>
    </row>
    <row r="119" spans="1:39" ht="27" customHeight="1" x14ac:dyDescent="0.2">
      <c r="A119" s="266"/>
      <c r="B119" s="266"/>
      <c r="C119" s="266"/>
      <c r="D119" s="266"/>
      <c r="E119" s="266"/>
      <c r="F119" s="266"/>
      <c r="G119" s="266"/>
      <c r="H119" s="266"/>
      <c r="I119" s="266"/>
      <c r="J119" s="266"/>
      <c r="Y119" s="276"/>
      <c r="Z119" s="276"/>
      <c r="AA119" s="276"/>
      <c r="AB119" s="276"/>
      <c r="AC119" s="276"/>
      <c r="AD119" s="276"/>
      <c r="AE119" s="276"/>
      <c r="AF119" s="276"/>
      <c r="AG119" s="276"/>
      <c r="AH119" s="276"/>
      <c r="AI119" s="276"/>
      <c r="AJ119" s="276"/>
      <c r="AK119" s="276"/>
      <c r="AL119" s="276"/>
      <c r="AM119" s="1547"/>
    </row>
    <row r="120" spans="1:39" ht="27" customHeight="1" x14ac:dyDescent="0.2">
      <c r="A120" s="266"/>
      <c r="B120" s="266"/>
      <c r="C120" s="266"/>
      <c r="D120" s="266"/>
      <c r="E120" s="266"/>
      <c r="F120" s="266"/>
      <c r="G120" s="266"/>
      <c r="H120" s="266"/>
      <c r="I120" s="266"/>
      <c r="J120" s="266"/>
      <c r="Y120" s="276"/>
      <c r="Z120" s="276"/>
      <c r="AA120" s="276"/>
      <c r="AB120" s="276"/>
      <c r="AC120" s="276"/>
      <c r="AD120" s="276"/>
      <c r="AE120" s="276"/>
      <c r="AF120" s="276"/>
      <c r="AG120" s="276"/>
      <c r="AH120" s="276"/>
      <c r="AI120" s="276"/>
      <c r="AJ120" s="276"/>
      <c r="AK120" s="276"/>
      <c r="AL120" s="276"/>
      <c r="AM120" s="1547"/>
    </row>
    <row r="121" spans="1:39" ht="27" customHeight="1" x14ac:dyDescent="0.2">
      <c r="A121" s="266"/>
      <c r="B121" s="266"/>
      <c r="C121" s="266"/>
      <c r="D121" s="266"/>
      <c r="E121" s="266"/>
      <c r="F121" s="266"/>
      <c r="G121" s="266"/>
      <c r="H121" s="266"/>
      <c r="I121" s="266"/>
      <c r="J121" s="266"/>
      <c r="Y121" s="276"/>
      <c r="Z121" s="276"/>
      <c r="AA121" s="276"/>
      <c r="AB121" s="276"/>
      <c r="AC121" s="276"/>
      <c r="AD121" s="276"/>
      <c r="AE121" s="276"/>
      <c r="AF121" s="276"/>
      <c r="AG121" s="276"/>
      <c r="AH121" s="276"/>
      <c r="AI121" s="276"/>
      <c r="AJ121" s="276"/>
      <c r="AK121" s="276"/>
      <c r="AL121" s="276"/>
      <c r="AM121" s="1547"/>
    </row>
    <row r="122" spans="1:39" ht="27" customHeight="1" x14ac:dyDescent="0.2">
      <c r="A122" s="266"/>
      <c r="B122" s="266"/>
      <c r="C122" s="266"/>
      <c r="D122" s="266"/>
      <c r="E122" s="266"/>
      <c r="F122" s="266"/>
      <c r="G122" s="266"/>
      <c r="H122" s="266"/>
      <c r="I122" s="266"/>
      <c r="J122" s="266"/>
      <c r="Y122" s="276"/>
      <c r="Z122" s="276"/>
      <c r="AA122" s="276"/>
      <c r="AB122" s="276"/>
      <c r="AC122" s="276"/>
      <c r="AD122" s="276"/>
      <c r="AE122" s="276"/>
      <c r="AF122" s="276"/>
      <c r="AG122" s="276"/>
      <c r="AH122" s="276"/>
      <c r="AI122" s="276"/>
      <c r="AJ122" s="276"/>
      <c r="AK122" s="276"/>
      <c r="AL122" s="276"/>
      <c r="AM122" s="1547"/>
    </row>
    <row r="123" spans="1:39" ht="27" customHeight="1" x14ac:dyDescent="0.2">
      <c r="A123" s="266"/>
      <c r="B123" s="266"/>
      <c r="C123" s="266"/>
      <c r="D123" s="266"/>
      <c r="E123" s="266"/>
      <c r="F123" s="266"/>
      <c r="G123" s="266"/>
      <c r="H123" s="266"/>
      <c r="I123" s="266"/>
      <c r="J123" s="266"/>
      <c r="Y123" s="276"/>
      <c r="Z123" s="276"/>
      <c r="AA123" s="276"/>
      <c r="AB123" s="276"/>
      <c r="AC123" s="276"/>
      <c r="AD123" s="276"/>
      <c r="AE123" s="276"/>
      <c r="AF123" s="276"/>
      <c r="AG123" s="276"/>
      <c r="AH123" s="276"/>
      <c r="AI123" s="276"/>
      <c r="AJ123" s="276"/>
      <c r="AK123" s="276"/>
      <c r="AL123" s="276"/>
      <c r="AM123" s="1547"/>
    </row>
    <row r="124" spans="1:39" ht="27" customHeight="1" x14ac:dyDescent="0.2">
      <c r="A124" s="266"/>
      <c r="B124" s="266"/>
      <c r="C124" s="266"/>
      <c r="D124" s="266"/>
      <c r="E124" s="266"/>
      <c r="F124" s="266"/>
      <c r="G124" s="266"/>
      <c r="H124" s="266"/>
      <c r="I124" s="266"/>
      <c r="J124" s="266"/>
      <c r="Y124" s="276"/>
      <c r="Z124" s="276"/>
      <c r="AA124" s="276"/>
      <c r="AB124" s="276"/>
      <c r="AC124" s="276"/>
      <c r="AD124" s="276"/>
      <c r="AE124" s="276"/>
      <c r="AF124" s="276"/>
      <c r="AG124" s="276"/>
      <c r="AH124" s="276"/>
      <c r="AI124" s="276"/>
      <c r="AJ124" s="276"/>
      <c r="AK124" s="276"/>
      <c r="AL124" s="276"/>
      <c r="AM124" s="1547"/>
    </row>
    <row r="125" spans="1:39" ht="27" customHeight="1" x14ac:dyDescent="0.2">
      <c r="A125" s="266"/>
      <c r="B125" s="266"/>
      <c r="C125" s="266"/>
      <c r="D125" s="266"/>
      <c r="E125" s="266"/>
      <c r="F125" s="266"/>
      <c r="G125" s="266"/>
      <c r="H125" s="266"/>
      <c r="I125" s="266"/>
      <c r="J125" s="266"/>
      <c r="Y125" s="276"/>
      <c r="Z125" s="276"/>
      <c r="AA125" s="276"/>
      <c r="AB125" s="276"/>
      <c r="AC125" s="276"/>
      <c r="AD125" s="276"/>
      <c r="AE125" s="276"/>
      <c r="AF125" s="276"/>
      <c r="AG125" s="276"/>
      <c r="AH125" s="276"/>
      <c r="AI125" s="276"/>
      <c r="AJ125" s="276"/>
      <c r="AK125" s="276"/>
      <c r="AL125" s="276"/>
      <c r="AM125" s="1547"/>
    </row>
    <row r="126" spans="1:39" ht="27" customHeight="1" x14ac:dyDescent="0.2">
      <c r="A126" s="266"/>
      <c r="B126" s="266"/>
      <c r="C126" s="266"/>
      <c r="D126" s="266"/>
      <c r="E126" s="266"/>
      <c r="F126" s="266"/>
      <c r="G126" s="266"/>
      <c r="H126" s="266"/>
      <c r="I126" s="266"/>
      <c r="J126" s="266"/>
      <c r="Y126" s="276"/>
      <c r="Z126" s="276"/>
      <c r="AA126" s="276"/>
      <c r="AB126" s="276"/>
      <c r="AC126" s="276"/>
      <c r="AD126" s="276"/>
      <c r="AE126" s="276"/>
      <c r="AF126" s="276"/>
      <c r="AG126" s="276"/>
      <c r="AH126" s="276"/>
      <c r="AI126" s="276"/>
      <c r="AJ126" s="276"/>
      <c r="AK126" s="276"/>
      <c r="AL126" s="276"/>
      <c r="AM126" s="1547"/>
    </row>
    <row r="127" spans="1:39" ht="27" customHeight="1" x14ac:dyDescent="0.2">
      <c r="A127" s="266"/>
      <c r="B127" s="266"/>
      <c r="C127" s="266"/>
      <c r="D127" s="266"/>
      <c r="E127" s="266"/>
      <c r="F127" s="266"/>
      <c r="G127" s="266"/>
      <c r="H127" s="266"/>
      <c r="I127" s="266"/>
      <c r="J127" s="266"/>
      <c r="Y127" s="276"/>
      <c r="Z127" s="276"/>
      <c r="AA127" s="276"/>
      <c r="AB127" s="276"/>
      <c r="AC127" s="276"/>
      <c r="AD127" s="276"/>
      <c r="AE127" s="276"/>
      <c r="AF127" s="276"/>
      <c r="AG127" s="276"/>
      <c r="AH127" s="276"/>
      <c r="AI127" s="276"/>
      <c r="AJ127" s="276"/>
      <c r="AK127" s="276"/>
      <c r="AL127" s="276"/>
      <c r="AM127" s="1547"/>
    </row>
    <row r="128" spans="1:39" ht="27" customHeight="1" x14ac:dyDescent="0.2">
      <c r="A128" s="266"/>
      <c r="B128" s="266"/>
      <c r="C128" s="266"/>
      <c r="D128" s="266"/>
      <c r="E128" s="266"/>
      <c r="F128" s="266"/>
      <c r="G128" s="266"/>
      <c r="H128" s="266"/>
      <c r="I128" s="266"/>
      <c r="J128" s="266"/>
      <c r="Y128" s="276"/>
      <c r="Z128" s="276"/>
      <c r="AA128" s="276"/>
      <c r="AB128" s="276"/>
      <c r="AC128" s="276"/>
      <c r="AD128" s="276"/>
      <c r="AE128" s="276"/>
      <c r="AF128" s="276"/>
      <c r="AG128" s="276"/>
      <c r="AH128" s="276"/>
      <c r="AI128" s="276"/>
      <c r="AJ128" s="276"/>
      <c r="AK128" s="276"/>
      <c r="AL128" s="276"/>
      <c r="AM128" s="1547"/>
    </row>
    <row r="129" spans="1:39" ht="27" customHeight="1" x14ac:dyDescent="0.2">
      <c r="A129" s="266"/>
      <c r="B129" s="266"/>
      <c r="C129" s="266"/>
      <c r="D129" s="266"/>
      <c r="E129" s="266"/>
      <c r="F129" s="266"/>
      <c r="G129" s="266"/>
      <c r="H129" s="266"/>
      <c r="I129" s="266"/>
      <c r="J129" s="266"/>
      <c r="Y129" s="276"/>
      <c r="Z129" s="276"/>
      <c r="AA129" s="276"/>
      <c r="AB129" s="276"/>
      <c r="AC129" s="276"/>
      <c r="AD129" s="276"/>
      <c r="AE129" s="276"/>
      <c r="AF129" s="276"/>
      <c r="AG129" s="276"/>
      <c r="AH129" s="276"/>
      <c r="AI129" s="276"/>
      <c r="AJ129" s="276"/>
      <c r="AK129" s="276"/>
      <c r="AL129" s="276"/>
      <c r="AM129" s="1547"/>
    </row>
    <row r="130" spans="1:39" ht="27" customHeight="1" x14ac:dyDescent="0.2">
      <c r="A130" s="266"/>
      <c r="B130" s="266"/>
      <c r="C130" s="266"/>
      <c r="D130" s="266"/>
      <c r="E130" s="266"/>
      <c r="F130" s="266"/>
      <c r="G130" s="266"/>
      <c r="H130" s="266"/>
      <c r="I130" s="266"/>
      <c r="J130" s="266"/>
      <c r="Y130" s="276"/>
      <c r="Z130" s="276"/>
      <c r="AA130" s="276"/>
      <c r="AB130" s="276"/>
      <c r="AC130" s="276"/>
      <c r="AD130" s="276"/>
      <c r="AE130" s="276"/>
      <c r="AF130" s="276"/>
      <c r="AG130" s="276"/>
      <c r="AH130" s="276"/>
      <c r="AI130" s="276"/>
      <c r="AJ130" s="276"/>
      <c r="AK130" s="276"/>
      <c r="AL130" s="276"/>
      <c r="AM130" s="1547"/>
    </row>
    <row r="131" spans="1:39" ht="27" customHeight="1" x14ac:dyDescent="0.2">
      <c r="A131" s="266"/>
      <c r="B131" s="266"/>
      <c r="C131" s="266"/>
      <c r="D131" s="266"/>
      <c r="E131" s="266"/>
      <c r="F131" s="266"/>
      <c r="G131" s="266"/>
      <c r="H131" s="266"/>
      <c r="I131" s="266"/>
      <c r="J131" s="266"/>
      <c r="Y131" s="276"/>
      <c r="Z131" s="276"/>
      <c r="AA131" s="276"/>
      <c r="AB131" s="276"/>
      <c r="AC131" s="276"/>
      <c r="AD131" s="276"/>
      <c r="AE131" s="276"/>
      <c r="AF131" s="276"/>
      <c r="AG131" s="276"/>
      <c r="AH131" s="276"/>
      <c r="AI131" s="276"/>
      <c r="AJ131" s="276"/>
      <c r="AK131" s="276"/>
      <c r="AL131" s="276"/>
      <c r="AM131" s="1547"/>
    </row>
    <row r="132" spans="1:39" ht="27" customHeight="1" x14ac:dyDescent="0.2">
      <c r="A132" s="266"/>
      <c r="B132" s="266"/>
      <c r="C132" s="266"/>
      <c r="D132" s="266"/>
      <c r="E132" s="266"/>
      <c r="F132" s="266"/>
      <c r="G132" s="266"/>
      <c r="H132" s="266"/>
      <c r="I132" s="266"/>
      <c r="J132" s="266"/>
      <c r="Y132" s="276"/>
      <c r="Z132" s="276"/>
      <c r="AA132" s="276"/>
      <c r="AB132" s="276"/>
      <c r="AC132" s="276"/>
      <c r="AD132" s="276"/>
      <c r="AE132" s="276"/>
      <c r="AF132" s="276"/>
      <c r="AG132" s="276"/>
      <c r="AH132" s="276"/>
      <c r="AI132" s="276"/>
      <c r="AJ132" s="276"/>
      <c r="AK132" s="276"/>
      <c r="AL132" s="276"/>
      <c r="AM132" s="1547"/>
    </row>
    <row r="133" spans="1:39" ht="27" customHeight="1" x14ac:dyDescent="0.2">
      <c r="A133" s="266"/>
      <c r="B133" s="266"/>
      <c r="C133" s="266"/>
      <c r="D133" s="266"/>
      <c r="E133" s="266"/>
      <c r="F133" s="266"/>
      <c r="G133" s="266"/>
      <c r="H133" s="266"/>
      <c r="I133" s="266"/>
      <c r="J133" s="266"/>
    </row>
    <row r="134" spans="1:39" ht="27" customHeight="1" x14ac:dyDescent="0.2">
      <c r="A134" s="266"/>
      <c r="B134" s="266"/>
      <c r="C134" s="266"/>
      <c r="D134" s="266"/>
      <c r="E134" s="266"/>
      <c r="F134" s="266"/>
      <c r="G134" s="266"/>
      <c r="H134" s="266"/>
      <c r="I134" s="266"/>
      <c r="J134" s="266"/>
    </row>
    <row r="135" spans="1:39" ht="27" customHeight="1" x14ac:dyDescent="0.2">
      <c r="A135" s="266"/>
      <c r="B135" s="266"/>
      <c r="C135" s="266"/>
      <c r="D135" s="266"/>
      <c r="E135" s="266"/>
      <c r="F135" s="266"/>
      <c r="G135" s="266"/>
      <c r="H135" s="266"/>
      <c r="I135" s="266"/>
      <c r="J135" s="266"/>
    </row>
    <row r="136" spans="1:39" ht="27" customHeight="1" x14ac:dyDescent="0.2">
      <c r="A136" s="266"/>
      <c r="B136" s="266"/>
      <c r="C136" s="266"/>
      <c r="D136" s="266"/>
      <c r="E136" s="266"/>
      <c r="F136" s="266"/>
      <c r="G136" s="266"/>
      <c r="H136" s="266"/>
      <c r="I136" s="266"/>
      <c r="J136" s="266"/>
    </row>
    <row r="137" spans="1:39" ht="27" customHeight="1" x14ac:dyDescent="0.2">
      <c r="A137" s="266"/>
      <c r="B137" s="266"/>
      <c r="C137" s="266"/>
      <c r="D137" s="266"/>
      <c r="E137" s="266"/>
      <c r="F137" s="266"/>
      <c r="G137" s="266"/>
      <c r="H137" s="266"/>
      <c r="I137" s="266"/>
      <c r="J137" s="266"/>
    </row>
    <row r="138" spans="1:39" ht="27" customHeight="1" x14ac:dyDescent="0.2">
      <c r="A138" s="266"/>
      <c r="B138" s="266"/>
      <c r="C138" s="266"/>
      <c r="D138" s="266"/>
      <c r="E138" s="266"/>
      <c r="F138" s="266"/>
      <c r="G138" s="266"/>
      <c r="H138" s="266"/>
      <c r="I138" s="266"/>
      <c r="J138" s="266"/>
    </row>
    <row r="139" spans="1:39" ht="27" customHeight="1" x14ac:dyDescent="0.2">
      <c r="A139" s="266"/>
      <c r="B139" s="266"/>
      <c r="C139" s="266"/>
      <c r="D139" s="266"/>
      <c r="E139" s="266"/>
      <c r="F139" s="266"/>
      <c r="G139" s="266"/>
      <c r="H139" s="266"/>
      <c r="I139" s="266"/>
      <c r="J139" s="266"/>
    </row>
    <row r="140" spans="1:39" ht="27" customHeight="1" x14ac:dyDescent="0.2">
      <c r="A140" s="266"/>
      <c r="B140" s="266"/>
      <c r="C140" s="266"/>
      <c r="D140" s="266"/>
      <c r="E140" s="266"/>
      <c r="F140" s="266"/>
      <c r="G140" s="266"/>
      <c r="H140" s="266"/>
      <c r="I140" s="266"/>
      <c r="J140" s="266"/>
    </row>
  </sheetData>
  <mergeCells count="301">
    <mergeCell ref="AD55:AD56"/>
    <mergeCell ref="AE55:AE56"/>
    <mergeCell ref="Z55:Z56"/>
    <mergeCell ref="AA55:AA56"/>
    <mergeCell ref="AB55:AB56"/>
    <mergeCell ref="AL55:AL56"/>
    <mergeCell ref="AM55:AM56"/>
    <mergeCell ref="F57:Q57"/>
    <mergeCell ref="C59:G60"/>
    <mergeCell ref="AK55:AK56"/>
    <mergeCell ref="AI55:AI56"/>
    <mergeCell ref="AJ55:AJ56"/>
    <mergeCell ref="AF55:AF56"/>
    <mergeCell ref="AG55:AG56"/>
    <mergeCell ref="AH55:AH56"/>
    <mergeCell ref="AM50:AM52"/>
    <mergeCell ref="G55:G56"/>
    <mergeCell ref="H55:I56"/>
    <mergeCell ref="J55:J56"/>
    <mergeCell ref="K55:K56"/>
    <mergeCell ref="L55:L56"/>
    <mergeCell ref="M55:M56"/>
    <mergeCell ref="N55:N56"/>
    <mergeCell ref="O55:O56"/>
    <mergeCell ref="AK50:AK52"/>
    <mergeCell ref="AL50:AL52"/>
    <mergeCell ref="AJ50:AJ52"/>
    <mergeCell ref="AG50:AG52"/>
    <mergeCell ref="V55:V56"/>
    <mergeCell ref="W55:W56"/>
    <mergeCell ref="X55:X56"/>
    <mergeCell ref="Y55:Y56"/>
    <mergeCell ref="P55:P56"/>
    <mergeCell ref="Q55:Q56"/>
    <mergeCell ref="R55:R56"/>
    <mergeCell ref="S55:S56"/>
    <mergeCell ref="T55:T56"/>
    <mergeCell ref="U55:U56"/>
    <mergeCell ref="AC55:AC56"/>
    <mergeCell ref="AA50:AA52"/>
    <mergeCell ref="AB50:AB52"/>
    <mergeCell ref="AC50:AC52"/>
    <mergeCell ref="W50:W51"/>
    <mergeCell ref="X50:X51"/>
    <mergeCell ref="Y50:Y52"/>
    <mergeCell ref="Z50:Z52"/>
    <mergeCell ref="AH50:AH52"/>
    <mergeCell ref="AI50:AI52"/>
    <mergeCell ref="AD50:AD52"/>
    <mergeCell ref="AE50:AE52"/>
    <mergeCell ref="AF50:AF52"/>
    <mergeCell ref="S50:S52"/>
    <mergeCell ref="T50:T52"/>
    <mergeCell ref="U50:U52"/>
    <mergeCell ref="V50:V51"/>
    <mergeCell ref="N50:N52"/>
    <mergeCell ref="O50:O52"/>
    <mergeCell ref="P50:P52"/>
    <mergeCell ref="Q50:Q52"/>
    <mergeCell ref="R50:R52"/>
    <mergeCell ref="G50:G52"/>
    <mergeCell ref="H50:I52"/>
    <mergeCell ref="J50:J52"/>
    <mergeCell ref="K50:K52"/>
    <mergeCell ref="L50:L52"/>
    <mergeCell ref="M50:M52"/>
    <mergeCell ref="J47:J48"/>
    <mergeCell ref="K47:K48"/>
    <mergeCell ref="L47:L48"/>
    <mergeCell ref="M47:M48"/>
    <mergeCell ref="G40:G48"/>
    <mergeCell ref="H40:I48"/>
    <mergeCell ref="J40:J43"/>
    <mergeCell ref="K40:K43"/>
    <mergeCell ref="L40:L43"/>
    <mergeCell ref="M40:M43"/>
    <mergeCell ref="J44:J46"/>
    <mergeCell ref="K44:K46"/>
    <mergeCell ref="L44:L46"/>
    <mergeCell ref="M44:M46"/>
    <mergeCell ref="AH40:AH48"/>
    <mergeCell ref="AI40:AI48"/>
    <mergeCell ref="AD40:AD48"/>
    <mergeCell ref="AE40:AE48"/>
    <mergeCell ref="AF40:AF48"/>
    <mergeCell ref="AM40:AM48"/>
    <mergeCell ref="U43:U46"/>
    <mergeCell ref="V43:V44"/>
    <mergeCell ref="W43:W44"/>
    <mergeCell ref="X43:X44"/>
    <mergeCell ref="U47:U48"/>
    <mergeCell ref="V47:V48"/>
    <mergeCell ref="AK40:AK48"/>
    <mergeCell ref="AL40:AL48"/>
    <mergeCell ref="AJ40:AJ48"/>
    <mergeCell ref="AG40:AG48"/>
    <mergeCell ref="AA40:AA48"/>
    <mergeCell ref="AB40:AB48"/>
    <mergeCell ref="AC40:AC48"/>
    <mergeCell ref="S40:S48"/>
    <mergeCell ref="T40:T48"/>
    <mergeCell ref="U40:U42"/>
    <mergeCell ref="Y40:Y48"/>
    <mergeCell ref="Z40:Z48"/>
    <mergeCell ref="W47:W48"/>
    <mergeCell ref="X47:X48"/>
    <mergeCell ref="N40:N43"/>
    <mergeCell ref="O40:O48"/>
    <mergeCell ref="P40:P48"/>
    <mergeCell ref="Q40:Q43"/>
    <mergeCell ref="R40:R48"/>
    <mergeCell ref="N44:N46"/>
    <mergeCell ref="Q44:Q46"/>
    <mergeCell ref="Q47:Q48"/>
    <mergeCell ref="N47:N48"/>
    <mergeCell ref="AF32:AF37"/>
    <mergeCell ref="AG32:AG37"/>
    <mergeCell ref="J35:J36"/>
    <mergeCell ref="K35:K36"/>
    <mergeCell ref="L35:L36"/>
    <mergeCell ref="M35:M36"/>
    <mergeCell ref="Q35:Q36"/>
    <mergeCell ref="AL32:AL37"/>
    <mergeCell ref="AH32:AH37"/>
    <mergeCell ref="AC32:AC37"/>
    <mergeCell ref="AD32:AD37"/>
    <mergeCell ref="AE32:AE37"/>
    <mergeCell ref="Y32:Y37"/>
    <mergeCell ref="Z32:Z37"/>
    <mergeCell ref="AA32:AA37"/>
    <mergeCell ref="AB32:AB37"/>
    <mergeCell ref="P32:P37"/>
    <mergeCell ref="Q32:Q34"/>
    <mergeCell ref="R32:R37"/>
    <mergeCell ref="S32:S37"/>
    <mergeCell ref="T32:T37"/>
    <mergeCell ref="U32:U33"/>
    <mergeCell ref="AM28:AM30"/>
    <mergeCell ref="G32:G37"/>
    <mergeCell ref="H32:I37"/>
    <mergeCell ref="J32:J34"/>
    <mergeCell ref="K32:K34"/>
    <mergeCell ref="L32:L34"/>
    <mergeCell ref="M32:M34"/>
    <mergeCell ref="N32:N37"/>
    <mergeCell ref="O32:O37"/>
    <mergeCell ref="AK28:AK30"/>
    <mergeCell ref="AL28:AL30"/>
    <mergeCell ref="AJ28:AJ30"/>
    <mergeCell ref="AM32:AM37"/>
    <mergeCell ref="U34:U36"/>
    <mergeCell ref="V34:V35"/>
    <mergeCell ref="W34:W35"/>
    <mergeCell ref="X34:X35"/>
    <mergeCell ref="AK32:AK37"/>
    <mergeCell ref="AI32:AI37"/>
    <mergeCell ref="AJ32:AJ37"/>
    <mergeCell ref="AM24:AM26"/>
    <mergeCell ref="G28:G30"/>
    <mergeCell ref="H28:I30"/>
    <mergeCell ref="J28:J30"/>
    <mergeCell ref="K28:K30"/>
    <mergeCell ref="L28:L30"/>
    <mergeCell ref="M28:M30"/>
    <mergeCell ref="N28:N30"/>
    <mergeCell ref="O28:O30"/>
    <mergeCell ref="AK24:AK26"/>
    <mergeCell ref="AL24:AL26"/>
    <mergeCell ref="AJ24:AJ26"/>
    <mergeCell ref="AA28:AA30"/>
    <mergeCell ref="AB28:AB30"/>
    <mergeCell ref="AC28:AC30"/>
    <mergeCell ref="V28:V29"/>
    <mergeCell ref="X28:X29"/>
    <mergeCell ref="Y28:Y30"/>
    <mergeCell ref="Z28:Z30"/>
    <mergeCell ref="AG28:AG30"/>
    <mergeCell ref="AH28:AH30"/>
    <mergeCell ref="AI28:AI30"/>
    <mergeCell ref="AD28:AD30"/>
    <mergeCell ref="AE28:AE30"/>
    <mergeCell ref="AG24:AG26"/>
    <mergeCell ref="AH24:AH26"/>
    <mergeCell ref="AI24:AI26"/>
    <mergeCell ref="P28:P30"/>
    <mergeCell ref="Q28:Q30"/>
    <mergeCell ref="R28:R30"/>
    <mergeCell ref="S28:S30"/>
    <mergeCell ref="T28:T30"/>
    <mergeCell ref="U28:U30"/>
    <mergeCell ref="AF28:AF30"/>
    <mergeCell ref="P24:P26"/>
    <mergeCell ref="Q24:Q26"/>
    <mergeCell ref="R24:R26"/>
    <mergeCell ref="S24:S26"/>
    <mergeCell ref="AD24:AD26"/>
    <mergeCell ref="AE24:AE26"/>
    <mergeCell ref="AF24:AF26"/>
    <mergeCell ref="AA24:AA26"/>
    <mergeCell ref="AB24:AB26"/>
    <mergeCell ref="AC24:AC26"/>
    <mergeCell ref="Z19:Z22"/>
    <mergeCell ref="AH19:AH22"/>
    <mergeCell ref="AI19:AI22"/>
    <mergeCell ref="AD19:AD22"/>
    <mergeCell ref="AE19:AE22"/>
    <mergeCell ref="AF19:AF22"/>
    <mergeCell ref="AM19:AM22"/>
    <mergeCell ref="X20:X22"/>
    <mergeCell ref="G24:G26"/>
    <mergeCell ref="H24:I26"/>
    <mergeCell ref="J24:J26"/>
    <mergeCell ref="K24:K26"/>
    <mergeCell ref="L24:L26"/>
    <mergeCell ref="M24:M26"/>
    <mergeCell ref="AK19:AK22"/>
    <mergeCell ref="AL19:AL22"/>
    <mergeCell ref="AJ19:AJ22"/>
    <mergeCell ref="AG19:AG22"/>
    <mergeCell ref="T24:T26"/>
    <mergeCell ref="U24:U26"/>
    <mergeCell ref="Y24:Y26"/>
    <mergeCell ref="Z24:Z26"/>
    <mergeCell ref="N24:N26"/>
    <mergeCell ref="O24:O26"/>
    <mergeCell ref="AK14:AK15"/>
    <mergeCell ref="AL14:AL15"/>
    <mergeCell ref="AJ8:AJ13"/>
    <mergeCell ref="AJ14:AJ15"/>
    <mergeCell ref="AK7:AK13"/>
    <mergeCell ref="AL7:AL13"/>
    <mergeCell ref="AA19:AA22"/>
    <mergeCell ref="AB19:AB22"/>
    <mergeCell ref="AC19:AC22"/>
    <mergeCell ref="G19:G22"/>
    <mergeCell ref="H19:I22"/>
    <mergeCell ref="J19:J21"/>
    <mergeCell ref="K19:K21"/>
    <mergeCell ref="L19:L21"/>
    <mergeCell ref="M19:M21"/>
    <mergeCell ref="AG14:AG15"/>
    <mergeCell ref="AH14:AH15"/>
    <mergeCell ref="AI14:AI15"/>
    <mergeCell ref="AD14:AD15"/>
    <mergeCell ref="AE14:AE15"/>
    <mergeCell ref="AF14:AF15"/>
    <mergeCell ref="AA14:AA15"/>
    <mergeCell ref="AB14:AB15"/>
    <mergeCell ref="AC14:AC15"/>
    <mergeCell ref="N19:N21"/>
    <mergeCell ref="O19:O22"/>
    <mergeCell ref="P19:P22"/>
    <mergeCell ref="Q19:Q21"/>
    <mergeCell ref="R19:R22"/>
    <mergeCell ref="S19:S22"/>
    <mergeCell ref="T19:T22"/>
    <mergeCell ref="U19:U20"/>
    <mergeCell ref="Y19:Y22"/>
    <mergeCell ref="K7:K15"/>
    <mergeCell ref="L7:L15"/>
    <mergeCell ref="M7:M13"/>
    <mergeCell ref="N7:N15"/>
    <mergeCell ref="O7:O15"/>
    <mergeCell ref="M14:M15"/>
    <mergeCell ref="V14:V15"/>
    <mergeCell ref="Y14:Y15"/>
    <mergeCell ref="Z14:Z15"/>
    <mergeCell ref="P7:P15"/>
    <mergeCell ref="Q7:Q15"/>
    <mergeCell ref="R7:R15"/>
    <mergeCell ref="S7:S15"/>
    <mergeCell ref="T7:T15"/>
    <mergeCell ref="U7:U15"/>
    <mergeCell ref="V7:V13"/>
    <mergeCell ref="W7:W15"/>
    <mergeCell ref="X7:X15"/>
    <mergeCell ref="Y7:AD7"/>
    <mergeCell ref="A1:AK4"/>
    <mergeCell ref="A5:M6"/>
    <mergeCell ref="N5:AM5"/>
    <mergeCell ref="Y6:AJ6"/>
    <mergeCell ref="A7:A15"/>
    <mergeCell ref="B7:C15"/>
    <mergeCell ref="D7:D15"/>
    <mergeCell ref="E7:F15"/>
    <mergeCell ref="G7:G15"/>
    <mergeCell ref="H7:I15"/>
    <mergeCell ref="AM7:AM15"/>
    <mergeCell ref="Y8:Y13"/>
    <mergeCell ref="Z8:Z13"/>
    <mergeCell ref="AA8:AA13"/>
    <mergeCell ref="AB8:AB13"/>
    <mergeCell ref="AC8:AC13"/>
    <mergeCell ref="AD8:AD13"/>
    <mergeCell ref="AE8:AE13"/>
    <mergeCell ref="AE7:AJ7"/>
    <mergeCell ref="AF8:AF13"/>
    <mergeCell ref="AG8:AG13"/>
    <mergeCell ref="AH8:AH13"/>
    <mergeCell ref="AI8:AI13"/>
    <mergeCell ref="J7:J15"/>
  </mergeCells>
  <pageMargins left="0.7" right="0.7" top="0.75" bottom="0.75" header="0.3" footer="0.3"/>
  <pageSetup scale="55"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63"/>
  <sheetViews>
    <sheetView topLeftCell="R1" zoomScale="60" zoomScaleNormal="60" workbookViewId="0">
      <selection activeCell="AH12" sqref="AH12"/>
    </sheetView>
  </sheetViews>
  <sheetFormatPr baseColWidth="10" defaultColWidth="11.42578125" defaultRowHeight="15" x14ac:dyDescent="0.2"/>
  <cols>
    <col min="1" max="1" width="12.42578125" style="378" customWidth="1"/>
    <col min="2" max="2" width="20.140625" style="378" customWidth="1"/>
    <col min="3" max="3" width="11.85546875" style="378" customWidth="1"/>
    <col min="4" max="4" width="21.7109375" style="378" customWidth="1"/>
    <col min="5" max="5" width="12.28515625" style="1647" customWidth="1"/>
    <col min="6" max="6" width="23.5703125" style="378" customWidth="1"/>
    <col min="7" max="7" width="12.28515625" style="1647" customWidth="1"/>
    <col min="8" max="8" width="28.140625" style="340" customWidth="1"/>
    <col min="9" max="9" width="22" style="340" customWidth="1"/>
    <col min="10" max="10" width="15.28515625" style="340" customWidth="1"/>
    <col min="11" max="12" width="19" style="340" customWidth="1"/>
    <col min="13" max="13" width="27.140625" style="1589" bestFit="1" customWidth="1"/>
    <col min="14" max="14" width="14.85546875" style="1648" customWidth="1"/>
    <col min="15" max="15" width="25.85546875" style="340" customWidth="1"/>
    <col min="16" max="16" width="29.7109375" style="340" customWidth="1"/>
    <col min="17" max="17" width="43.7109375" style="340" customWidth="1"/>
    <col min="18" max="18" width="28.7109375" style="437" customWidth="1"/>
    <col min="19" max="19" width="25.7109375" style="437" customWidth="1"/>
    <col min="20" max="20" width="11.28515625" style="437" bestFit="1" customWidth="1"/>
    <col min="21" max="21" width="20.85546875" style="437" customWidth="1"/>
    <col min="22" max="33" width="9.85546875" style="378" customWidth="1"/>
    <col min="34" max="34" width="15.7109375" style="1645" customWidth="1"/>
    <col min="35" max="35" width="16.42578125" style="1649" customWidth="1"/>
    <col min="36" max="36" width="33.140625" style="378" customWidth="1"/>
    <col min="37" max="252" width="11.42578125" style="378"/>
    <col min="253" max="253" width="9.140625" style="378" customWidth="1"/>
    <col min="254" max="254" width="20.140625" style="378" customWidth="1"/>
    <col min="255" max="255" width="9.140625" style="378" customWidth="1"/>
    <col min="256" max="256" width="21.7109375" style="378" customWidth="1"/>
    <col min="257" max="257" width="9.140625" style="378" customWidth="1"/>
    <col min="258" max="258" width="21.7109375" style="378" customWidth="1"/>
    <col min="259" max="259" width="9.140625" style="378" customWidth="1"/>
    <col min="260" max="260" width="28.140625" style="378" customWidth="1"/>
    <col min="261" max="261" width="22" style="378" customWidth="1"/>
    <col min="262" max="262" width="39.85546875" style="378" customWidth="1"/>
    <col min="263" max="263" width="19" style="378" customWidth="1"/>
    <col min="264" max="264" width="27.140625" style="378" bestFit="1" customWidth="1"/>
    <col min="265" max="265" width="14.85546875" style="378" customWidth="1"/>
    <col min="266" max="266" width="20.28515625" style="378" customWidth="1"/>
    <col min="267" max="267" width="16.42578125" style="378" customWidth="1"/>
    <col min="268" max="268" width="43.7109375" style="378" customWidth="1"/>
    <col min="269" max="269" width="28.7109375" style="378" customWidth="1"/>
    <col min="270" max="271" width="20.85546875" style="378" customWidth="1"/>
    <col min="272" max="283" width="9.85546875" style="378" customWidth="1"/>
    <col min="284" max="284" width="15.7109375" style="378" customWidth="1"/>
    <col min="285" max="285" width="16.42578125" style="378" customWidth="1"/>
    <col min="286" max="286" width="28.7109375" style="378" customWidth="1"/>
    <col min="287" max="287" width="21.42578125" style="378" customWidth="1"/>
    <col min="288" max="288" width="15.7109375" style="378" bestFit="1" customWidth="1"/>
    <col min="289" max="508" width="11.42578125" style="378"/>
    <col min="509" max="509" width="9.140625" style="378" customWidth="1"/>
    <col min="510" max="510" width="20.140625" style="378" customWidth="1"/>
    <col min="511" max="511" width="9.140625" style="378" customWidth="1"/>
    <col min="512" max="512" width="21.7109375" style="378" customWidth="1"/>
    <col min="513" max="513" width="9.140625" style="378" customWidth="1"/>
    <col min="514" max="514" width="21.7109375" style="378" customWidth="1"/>
    <col min="515" max="515" width="9.140625" style="378" customWidth="1"/>
    <col min="516" max="516" width="28.140625" style="378" customWidth="1"/>
    <col min="517" max="517" width="22" style="378" customWidth="1"/>
    <col min="518" max="518" width="39.85546875" style="378" customWidth="1"/>
    <col min="519" max="519" width="19" style="378" customWidth="1"/>
    <col min="520" max="520" width="27.140625" style="378" bestFit="1" customWidth="1"/>
    <col min="521" max="521" width="14.85546875" style="378" customWidth="1"/>
    <col min="522" max="522" width="20.28515625" style="378" customWidth="1"/>
    <col min="523" max="523" width="16.42578125" style="378" customWidth="1"/>
    <col min="524" max="524" width="43.7109375" style="378" customWidth="1"/>
    <col min="525" max="525" width="28.7109375" style="378" customWidth="1"/>
    <col min="526" max="527" width="20.85546875" style="378" customWidth="1"/>
    <col min="528" max="539" width="9.85546875" style="378" customWidth="1"/>
    <col min="540" max="540" width="15.7109375" style="378" customWidth="1"/>
    <col min="541" max="541" width="16.42578125" style="378" customWidth="1"/>
    <col min="542" max="542" width="28.7109375" style="378" customWidth="1"/>
    <col min="543" max="543" width="21.42578125" style="378" customWidth="1"/>
    <col min="544" max="544" width="15.7109375" style="378" bestFit="1" customWidth="1"/>
    <col min="545" max="764" width="11.42578125" style="378"/>
    <col min="765" max="765" width="9.140625" style="378" customWidth="1"/>
    <col min="766" max="766" width="20.140625" style="378" customWidth="1"/>
    <col min="767" max="767" width="9.140625" style="378" customWidth="1"/>
    <col min="768" max="768" width="21.7109375" style="378" customWidth="1"/>
    <col min="769" max="769" width="9.140625" style="378" customWidth="1"/>
    <col min="770" max="770" width="21.7109375" style="378" customWidth="1"/>
    <col min="771" max="771" width="9.140625" style="378" customWidth="1"/>
    <col min="772" max="772" width="28.140625" style="378" customWidth="1"/>
    <col min="773" max="773" width="22" style="378" customWidth="1"/>
    <col min="774" max="774" width="39.85546875" style="378" customWidth="1"/>
    <col min="775" max="775" width="19" style="378" customWidth="1"/>
    <col min="776" max="776" width="27.140625" style="378" bestFit="1" customWidth="1"/>
    <col min="777" max="777" width="14.85546875" style="378" customWidth="1"/>
    <col min="778" max="778" width="20.28515625" style="378" customWidth="1"/>
    <col min="779" max="779" width="16.42578125" style="378" customWidth="1"/>
    <col min="780" max="780" width="43.7109375" style="378" customWidth="1"/>
    <col min="781" max="781" width="28.7109375" style="378" customWidth="1"/>
    <col min="782" max="783" width="20.85546875" style="378" customWidth="1"/>
    <col min="784" max="795" width="9.85546875" style="378" customWidth="1"/>
    <col min="796" max="796" width="15.7109375" style="378" customWidth="1"/>
    <col min="797" max="797" width="16.42578125" style="378" customWidth="1"/>
    <col min="798" max="798" width="28.7109375" style="378" customWidth="1"/>
    <col min="799" max="799" width="21.42578125" style="378" customWidth="1"/>
    <col min="800" max="800" width="15.7109375" style="378" bestFit="1" customWidth="1"/>
    <col min="801" max="1020" width="11.42578125" style="378"/>
    <col min="1021" max="1021" width="9.140625" style="378" customWidth="1"/>
    <col min="1022" max="1022" width="20.140625" style="378" customWidth="1"/>
    <col min="1023" max="1023" width="9.140625" style="378" customWidth="1"/>
    <col min="1024" max="1024" width="21.7109375" style="378" customWidth="1"/>
    <col min="1025" max="1025" width="9.140625" style="378" customWidth="1"/>
    <col min="1026" max="1026" width="21.7109375" style="378" customWidth="1"/>
    <col min="1027" max="1027" width="9.140625" style="378" customWidth="1"/>
    <col min="1028" max="1028" width="28.140625" style="378" customWidth="1"/>
    <col min="1029" max="1029" width="22" style="378" customWidth="1"/>
    <col min="1030" max="1030" width="39.85546875" style="378" customWidth="1"/>
    <col min="1031" max="1031" width="19" style="378" customWidth="1"/>
    <col min="1032" max="1032" width="27.140625" style="378" bestFit="1" customWidth="1"/>
    <col min="1033" max="1033" width="14.85546875" style="378" customWidth="1"/>
    <col min="1034" max="1034" width="20.28515625" style="378" customWidth="1"/>
    <col min="1035" max="1035" width="16.42578125" style="378" customWidth="1"/>
    <col min="1036" max="1036" width="43.7109375" style="378" customWidth="1"/>
    <col min="1037" max="1037" width="28.7109375" style="378" customWidth="1"/>
    <col min="1038" max="1039" width="20.85546875" style="378" customWidth="1"/>
    <col min="1040" max="1051" width="9.85546875" style="378" customWidth="1"/>
    <col min="1052" max="1052" width="15.7109375" style="378" customWidth="1"/>
    <col min="1053" max="1053" width="16.42578125" style="378" customWidth="1"/>
    <col min="1054" max="1054" width="28.7109375" style="378" customWidth="1"/>
    <col min="1055" max="1055" width="21.42578125" style="378" customWidth="1"/>
    <col min="1056" max="1056" width="15.7109375" style="378" bestFit="1" customWidth="1"/>
    <col min="1057" max="1276" width="11.42578125" style="378"/>
    <col min="1277" max="1277" width="9.140625" style="378" customWidth="1"/>
    <col min="1278" max="1278" width="20.140625" style="378" customWidth="1"/>
    <col min="1279" max="1279" width="9.140625" style="378" customWidth="1"/>
    <col min="1280" max="1280" width="21.7109375" style="378" customWidth="1"/>
    <col min="1281" max="1281" width="9.140625" style="378" customWidth="1"/>
    <col min="1282" max="1282" width="21.7109375" style="378" customWidth="1"/>
    <col min="1283" max="1283" width="9.140625" style="378" customWidth="1"/>
    <col min="1284" max="1284" width="28.140625" style="378" customWidth="1"/>
    <col min="1285" max="1285" width="22" style="378" customWidth="1"/>
    <col min="1286" max="1286" width="39.85546875" style="378" customWidth="1"/>
    <col min="1287" max="1287" width="19" style="378" customWidth="1"/>
    <col min="1288" max="1288" width="27.140625" style="378" bestFit="1" customWidth="1"/>
    <col min="1289" max="1289" width="14.85546875" style="378" customWidth="1"/>
    <col min="1290" max="1290" width="20.28515625" style="378" customWidth="1"/>
    <col min="1291" max="1291" width="16.42578125" style="378" customWidth="1"/>
    <col min="1292" max="1292" width="43.7109375" style="378" customWidth="1"/>
    <col min="1293" max="1293" width="28.7109375" style="378" customWidth="1"/>
    <col min="1294" max="1295" width="20.85546875" style="378" customWidth="1"/>
    <col min="1296" max="1307" width="9.85546875" style="378" customWidth="1"/>
    <col min="1308" max="1308" width="15.7109375" style="378" customWidth="1"/>
    <col min="1309" max="1309" width="16.42578125" style="378" customWidth="1"/>
    <col min="1310" max="1310" width="28.7109375" style="378" customWidth="1"/>
    <col min="1311" max="1311" width="21.42578125" style="378" customWidth="1"/>
    <col min="1312" max="1312" width="15.7109375" style="378" bestFit="1" customWidth="1"/>
    <col min="1313" max="1532" width="11.42578125" style="378"/>
    <col min="1533" max="1533" width="9.140625" style="378" customWidth="1"/>
    <col min="1534" max="1534" width="20.140625" style="378" customWidth="1"/>
    <col min="1535" max="1535" width="9.140625" style="378" customWidth="1"/>
    <col min="1536" max="1536" width="21.7109375" style="378" customWidth="1"/>
    <col min="1537" max="1537" width="9.140625" style="378" customWidth="1"/>
    <col min="1538" max="1538" width="21.7109375" style="378" customWidth="1"/>
    <col min="1539" max="1539" width="9.140625" style="378" customWidth="1"/>
    <col min="1540" max="1540" width="28.140625" style="378" customWidth="1"/>
    <col min="1541" max="1541" width="22" style="378" customWidth="1"/>
    <col min="1542" max="1542" width="39.85546875" style="378" customWidth="1"/>
    <col min="1543" max="1543" width="19" style="378" customWidth="1"/>
    <col min="1544" max="1544" width="27.140625" style="378" bestFit="1" customWidth="1"/>
    <col min="1545" max="1545" width="14.85546875" style="378" customWidth="1"/>
    <col min="1546" max="1546" width="20.28515625" style="378" customWidth="1"/>
    <col min="1547" max="1547" width="16.42578125" style="378" customWidth="1"/>
    <col min="1548" max="1548" width="43.7109375" style="378" customWidth="1"/>
    <col min="1549" max="1549" width="28.7109375" style="378" customWidth="1"/>
    <col min="1550" max="1551" width="20.85546875" style="378" customWidth="1"/>
    <col min="1552" max="1563" width="9.85546875" style="378" customWidth="1"/>
    <col min="1564" max="1564" width="15.7109375" style="378" customWidth="1"/>
    <col min="1565" max="1565" width="16.42578125" style="378" customWidth="1"/>
    <col min="1566" max="1566" width="28.7109375" style="378" customWidth="1"/>
    <col min="1567" max="1567" width="21.42578125" style="378" customWidth="1"/>
    <col min="1568" max="1568" width="15.7109375" style="378" bestFit="1" customWidth="1"/>
    <col min="1569" max="1788" width="11.42578125" style="378"/>
    <col min="1789" max="1789" width="9.140625" style="378" customWidth="1"/>
    <col min="1790" max="1790" width="20.140625" style="378" customWidth="1"/>
    <col min="1791" max="1791" width="9.140625" style="378" customWidth="1"/>
    <col min="1792" max="1792" width="21.7109375" style="378" customWidth="1"/>
    <col min="1793" max="1793" width="9.140625" style="378" customWidth="1"/>
    <col min="1794" max="1794" width="21.7109375" style="378" customWidth="1"/>
    <col min="1795" max="1795" width="9.140625" style="378" customWidth="1"/>
    <col min="1796" max="1796" width="28.140625" style="378" customWidth="1"/>
    <col min="1797" max="1797" width="22" style="378" customWidth="1"/>
    <col min="1798" max="1798" width="39.85546875" style="378" customWidth="1"/>
    <col min="1799" max="1799" width="19" style="378" customWidth="1"/>
    <col min="1800" max="1800" width="27.140625" style="378" bestFit="1" customWidth="1"/>
    <col min="1801" max="1801" width="14.85546875" style="378" customWidth="1"/>
    <col min="1802" max="1802" width="20.28515625" style="378" customWidth="1"/>
    <col min="1803" max="1803" width="16.42578125" style="378" customWidth="1"/>
    <col min="1804" max="1804" width="43.7109375" style="378" customWidth="1"/>
    <col min="1805" max="1805" width="28.7109375" style="378" customWidth="1"/>
    <col min="1806" max="1807" width="20.85546875" style="378" customWidth="1"/>
    <col min="1808" max="1819" width="9.85546875" style="378" customWidth="1"/>
    <col min="1820" max="1820" width="15.7109375" style="378" customWidth="1"/>
    <col min="1821" max="1821" width="16.42578125" style="378" customWidth="1"/>
    <col min="1822" max="1822" width="28.7109375" style="378" customWidth="1"/>
    <col min="1823" max="1823" width="21.42578125" style="378" customWidth="1"/>
    <col min="1824" max="1824" width="15.7109375" style="378" bestFit="1" customWidth="1"/>
    <col min="1825" max="2044" width="11.42578125" style="378"/>
    <col min="2045" max="2045" width="9.140625" style="378" customWidth="1"/>
    <col min="2046" max="2046" width="20.140625" style="378" customWidth="1"/>
    <col min="2047" max="2047" width="9.140625" style="378" customWidth="1"/>
    <col min="2048" max="2048" width="21.7109375" style="378" customWidth="1"/>
    <col min="2049" max="2049" width="9.140625" style="378" customWidth="1"/>
    <col min="2050" max="2050" width="21.7109375" style="378" customWidth="1"/>
    <col min="2051" max="2051" width="9.140625" style="378" customWidth="1"/>
    <col min="2052" max="2052" width="28.140625" style="378" customWidth="1"/>
    <col min="2053" max="2053" width="22" style="378" customWidth="1"/>
    <col min="2054" max="2054" width="39.85546875" style="378" customWidth="1"/>
    <col min="2055" max="2055" width="19" style="378" customWidth="1"/>
    <col min="2056" max="2056" width="27.140625" style="378" bestFit="1" customWidth="1"/>
    <col min="2057" max="2057" width="14.85546875" style="378" customWidth="1"/>
    <col min="2058" max="2058" width="20.28515625" style="378" customWidth="1"/>
    <col min="2059" max="2059" width="16.42578125" style="378" customWidth="1"/>
    <col min="2060" max="2060" width="43.7109375" style="378" customWidth="1"/>
    <col min="2061" max="2061" width="28.7109375" style="378" customWidth="1"/>
    <col min="2062" max="2063" width="20.85546875" style="378" customWidth="1"/>
    <col min="2064" max="2075" width="9.85546875" style="378" customWidth="1"/>
    <col min="2076" max="2076" width="15.7109375" style="378" customWidth="1"/>
    <col min="2077" max="2077" width="16.42578125" style="378" customWidth="1"/>
    <col min="2078" max="2078" width="28.7109375" style="378" customWidth="1"/>
    <col min="2079" max="2079" width="21.42578125" style="378" customWidth="1"/>
    <col min="2080" max="2080" width="15.7109375" style="378" bestFit="1" customWidth="1"/>
    <col min="2081" max="2300" width="11.42578125" style="378"/>
    <col min="2301" max="2301" width="9.140625" style="378" customWidth="1"/>
    <col min="2302" max="2302" width="20.140625" style="378" customWidth="1"/>
    <col min="2303" max="2303" width="9.140625" style="378" customWidth="1"/>
    <col min="2304" max="2304" width="21.7109375" style="378" customWidth="1"/>
    <col min="2305" max="2305" width="9.140625" style="378" customWidth="1"/>
    <col min="2306" max="2306" width="21.7109375" style="378" customWidth="1"/>
    <col min="2307" max="2307" width="9.140625" style="378" customWidth="1"/>
    <col min="2308" max="2308" width="28.140625" style="378" customWidth="1"/>
    <col min="2309" max="2309" width="22" style="378" customWidth="1"/>
    <col min="2310" max="2310" width="39.85546875" style="378" customWidth="1"/>
    <col min="2311" max="2311" width="19" style="378" customWidth="1"/>
    <col min="2312" max="2312" width="27.140625" style="378" bestFit="1" customWidth="1"/>
    <col min="2313" max="2313" width="14.85546875" style="378" customWidth="1"/>
    <col min="2314" max="2314" width="20.28515625" style="378" customWidth="1"/>
    <col min="2315" max="2315" width="16.42578125" style="378" customWidth="1"/>
    <col min="2316" max="2316" width="43.7109375" style="378" customWidth="1"/>
    <col min="2317" max="2317" width="28.7109375" style="378" customWidth="1"/>
    <col min="2318" max="2319" width="20.85546875" style="378" customWidth="1"/>
    <col min="2320" max="2331" width="9.85546875" style="378" customWidth="1"/>
    <col min="2332" max="2332" width="15.7109375" style="378" customWidth="1"/>
    <col min="2333" max="2333" width="16.42578125" style="378" customWidth="1"/>
    <col min="2334" max="2334" width="28.7109375" style="378" customWidth="1"/>
    <col min="2335" max="2335" width="21.42578125" style="378" customWidth="1"/>
    <col min="2336" max="2336" width="15.7109375" style="378" bestFit="1" customWidth="1"/>
    <col min="2337" max="2556" width="11.42578125" style="378"/>
    <col min="2557" max="2557" width="9.140625" style="378" customWidth="1"/>
    <col min="2558" max="2558" width="20.140625" style="378" customWidth="1"/>
    <col min="2559" max="2559" width="9.140625" style="378" customWidth="1"/>
    <col min="2560" max="2560" width="21.7109375" style="378" customWidth="1"/>
    <col min="2561" max="2561" width="9.140625" style="378" customWidth="1"/>
    <col min="2562" max="2562" width="21.7109375" style="378" customWidth="1"/>
    <col min="2563" max="2563" width="9.140625" style="378" customWidth="1"/>
    <col min="2564" max="2564" width="28.140625" style="378" customWidth="1"/>
    <col min="2565" max="2565" width="22" style="378" customWidth="1"/>
    <col min="2566" max="2566" width="39.85546875" style="378" customWidth="1"/>
    <col min="2567" max="2567" width="19" style="378" customWidth="1"/>
    <col min="2568" max="2568" width="27.140625" style="378" bestFit="1" customWidth="1"/>
    <col min="2569" max="2569" width="14.85546875" style="378" customWidth="1"/>
    <col min="2570" max="2570" width="20.28515625" style="378" customWidth="1"/>
    <col min="2571" max="2571" width="16.42578125" style="378" customWidth="1"/>
    <col min="2572" max="2572" width="43.7109375" style="378" customWidth="1"/>
    <col min="2573" max="2573" width="28.7109375" style="378" customWidth="1"/>
    <col min="2574" max="2575" width="20.85546875" style="378" customWidth="1"/>
    <col min="2576" max="2587" width="9.85546875" style="378" customWidth="1"/>
    <col min="2588" max="2588" width="15.7109375" style="378" customWidth="1"/>
    <col min="2589" max="2589" width="16.42578125" style="378" customWidth="1"/>
    <col min="2590" max="2590" width="28.7109375" style="378" customWidth="1"/>
    <col min="2591" max="2591" width="21.42578125" style="378" customWidth="1"/>
    <col min="2592" max="2592" width="15.7109375" style="378" bestFit="1" customWidth="1"/>
    <col min="2593" max="2812" width="11.42578125" style="378"/>
    <col min="2813" max="2813" width="9.140625" style="378" customWidth="1"/>
    <col min="2814" max="2814" width="20.140625" style="378" customWidth="1"/>
    <col min="2815" max="2815" width="9.140625" style="378" customWidth="1"/>
    <col min="2816" max="2816" width="21.7109375" style="378" customWidth="1"/>
    <col min="2817" max="2817" width="9.140625" style="378" customWidth="1"/>
    <col min="2818" max="2818" width="21.7109375" style="378" customWidth="1"/>
    <col min="2819" max="2819" width="9.140625" style="378" customWidth="1"/>
    <col min="2820" max="2820" width="28.140625" style="378" customWidth="1"/>
    <col min="2821" max="2821" width="22" style="378" customWidth="1"/>
    <col min="2822" max="2822" width="39.85546875" style="378" customWidth="1"/>
    <col min="2823" max="2823" width="19" style="378" customWidth="1"/>
    <col min="2824" max="2824" width="27.140625" style="378" bestFit="1" customWidth="1"/>
    <col min="2825" max="2825" width="14.85546875" style="378" customWidth="1"/>
    <col min="2826" max="2826" width="20.28515625" style="378" customWidth="1"/>
    <col min="2827" max="2827" width="16.42578125" style="378" customWidth="1"/>
    <col min="2828" max="2828" width="43.7109375" style="378" customWidth="1"/>
    <col min="2829" max="2829" width="28.7109375" style="378" customWidth="1"/>
    <col min="2830" max="2831" width="20.85546875" style="378" customWidth="1"/>
    <col min="2832" max="2843" width="9.85546875" style="378" customWidth="1"/>
    <col min="2844" max="2844" width="15.7109375" style="378" customWidth="1"/>
    <col min="2845" max="2845" width="16.42578125" style="378" customWidth="1"/>
    <col min="2846" max="2846" width="28.7109375" style="378" customWidth="1"/>
    <col min="2847" max="2847" width="21.42578125" style="378" customWidth="1"/>
    <col min="2848" max="2848" width="15.7109375" style="378" bestFit="1" customWidth="1"/>
    <col min="2849" max="3068" width="11.42578125" style="378"/>
    <col min="3069" max="3069" width="9.140625" style="378" customWidth="1"/>
    <col min="3070" max="3070" width="20.140625" style="378" customWidth="1"/>
    <col min="3071" max="3071" width="9.140625" style="378" customWidth="1"/>
    <col min="3072" max="3072" width="21.7109375" style="378" customWidth="1"/>
    <col min="3073" max="3073" width="9.140625" style="378" customWidth="1"/>
    <col min="3074" max="3074" width="21.7109375" style="378" customWidth="1"/>
    <col min="3075" max="3075" width="9.140625" style="378" customWidth="1"/>
    <col min="3076" max="3076" width="28.140625" style="378" customWidth="1"/>
    <col min="3077" max="3077" width="22" style="378" customWidth="1"/>
    <col min="3078" max="3078" width="39.85546875" style="378" customWidth="1"/>
    <col min="3079" max="3079" width="19" style="378" customWidth="1"/>
    <col min="3080" max="3080" width="27.140625" style="378" bestFit="1" customWidth="1"/>
    <col min="3081" max="3081" width="14.85546875" style="378" customWidth="1"/>
    <col min="3082" max="3082" width="20.28515625" style="378" customWidth="1"/>
    <col min="3083" max="3083" width="16.42578125" style="378" customWidth="1"/>
    <col min="3084" max="3084" width="43.7109375" style="378" customWidth="1"/>
    <col min="3085" max="3085" width="28.7109375" style="378" customWidth="1"/>
    <col min="3086" max="3087" width="20.85546875" style="378" customWidth="1"/>
    <col min="3088" max="3099" width="9.85546875" style="378" customWidth="1"/>
    <col min="3100" max="3100" width="15.7109375" style="378" customWidth="1"/>
    <col min="3101" max="3101" width="16.42578125" style="378" customWidth="1"/>
    <col min="3102" max="3102" width="28.7109375" style="378" customWidth="1"/>
    <col min="3103" max="3103" width="21.42578125" style="378" customWidth="1"/>
    <col min="3104" max="3104" width="15.7109375" style="378" bestFit="1" customWidth="1"/>
    <col min="3105" max="3324" width="11.42578125" style="378"/>
    <col min="3325" max="3325" width="9.140625" style="378" customWidth="1"/>
    <col min="3326" max="3326" width="20.140625" style="378" customWidth="1"/>
    <col min="3327" max="3327" width="9.140625" style="378" customWidth="1"/>
    <col min="3328" max="3328" width="21.7109375" style="378" customWidth="1"/>
    <col min="3329" max="3329" width="9.140625" style="378" customWidth="1"/>
    <col min="3330" max="3330" width="21.7109375" style="378" customWidth="1"/>
    <col min="3331" max="3331" width="9.140625" style="378" customWidth="1"/>
    <col min="3332" max="3332" width="28.140625" style="378" customWidth="1"/>
    <col min="3333" max="3333" width="22" style="378" customWidth="1"/>
    <col min="3334" max="3334" width="39.85546875" style="378" customWidth="1"/>
    <col min="3335" max="3335" width="19" style="378" customWidth="1"/>
    <col min="3336" max="3336" width="27.140625" style="378" bestFit="1" customWidth="1"/>
    <col min="3337" max="3337" width="14.85546875" style="378" customWidth="1"/>
    <col min="3338" max="3338" width="20.28515625" style="378" customWidth="1"/>
    <col min="3339" max="3339" width="16.42578125" style="378" customWidth="1"/>
    <col min="3340" max="3340" width="43.7109375" style="378" customWidth="1"/>
    <col min="3341" max="3341" width="28.7109375" style="378" customWidth="1"/>
    <col min="3342" max="3343" width="20.85546875" style="378" customWidth="1"/>
    <col min="3344" max="3355" width="9.85546875" style="378" customWidth="1"/>
    <col min="3356" max="3356" width="15.7109375" style="378" customWidth="1"/>
    <col min="3357" max="3357" width="16.42578125" style="378" customWidth="1"/>
    <col min="3358" max="3358" width="28.7109375" style="378" customWidth="1"/>
    <col min="3359" max="3359" width="21.42578125" style="378" customWidth="1"/>
    <col min="3360" max="3360" width="15.7109375" style="378" bestFit="1" customWidth="1"/>
    <col min="3361" max="3580" width="11.42578125" style="378"/>
    <col min="3581" max="3581" width="9.140625" style="378" customWidth="1"/>
    <col min="3582" max="3582" width="20.140625" style="378" customWidth="1"/>
    <col min="3583" max="3583" width="9.140625" style="378" customWidth="1"/>
    <col min="3584" max="3584" width="21.7109375" style="378" customWidth="1"/>
    <col min="3585" max="3585" width="9.140625" style="378" customWidth="1"/>
    <col min="3586" max="3586" width="21.7109375" style="378" customWidth="1"/>
    <col min="3587" max="3587" width="9.140625" style="378" customWidth="1"/>
    <col min="3588" max="3588" width="28.140625" style="378" customWidth="1"/>
    <col min="3589" max="3589" width="22" style="378" customWidth="1"/>
    <col min="3590" max="3590" width="39.85546875" style="378" customWidth="1"/>
    <col min="3591" max="3591" width="19" style="378" customWidth="1"/>
    <col min="3592" max="3592" width="27.140625" style="378" bestFit="1" customWidth="1"/>
    <col min="3593" max="3593" width="14.85546875" style="378" customWidth="1"/>
    <col min="3594" max="3594" width="20.28515625" style="378" customWidth="1"/>
    <col min="3595" max="3595" width="16.42578125" style="378" customWidth="1"/>
    <col min="3596" max="3596" width="43.7109375" style="378" customWidth="1"/>
    <col min="3597" max="3597" width="28.7109375" style="378" customWidth="1"/>
    <col min="3598" max="3599" width="20.85546875" style="378" customWidth="1"/>
    <col min="3600" max="3611" width="9.85546875" style="378" customWidth="1"/>
    <col min="3612" max="3612" width="15.7109375" style="378" customWidth="1"/>
    <col min="3613" max="3613" width="16.42578125" style="378" customWidth="1"/>
    <col min="3614" max="3614" width="28.7109375" style="378" customWidth="1"/>
    <col min="3615" max="3615" width="21.42578125" style="378" customWidth="1"/>
    <col min="3616" max="3616" width="15.7109375" style="378" bestFit="1" customWidth="1"/>
    <col min="3617" max="3836" width="11.42578125" style="378"/>
    <col min="3837" max="3837" width="9.140625" style="378" customWidth="1"/>
    <col min="3838" max="3838" width="20.140625" style="378" customWidth="1"/>
    <col min="3839" max="3839" width="9.140625" style="378" customWidth="1"/>
    <col min="3840" max="3840" width="21.7109375" style="378" customWidth="1"/>
    <col min="3841" max="3841" width="9.140625" style="378" customWidth="1"/>
    <col min="3842" max="3842" width="21.7109375" style="378" customWidth="1"/>
    <col min="3843" max="3843" width="9.140625" style="378" customWidth="1"/>
    <col min="3844" max="3844" width="28.140625" style="378" customWidth="1"/>
    <col min="3845" max="3845" width="22" style="378" customWidth="1"/>
    <col min="3846" max="3846" width="39.85546875" style="378" customWidth="1"/>
    <col min="3847" max="3847" width="19" style="378" customWidth="1"/>
    <col min="3848" max="3848" width="27.140625" style="378" bestFit="1" customWidth="1"/>
    <col min="3849" max="3849" width="14.85546875" style="378" customWidth="1"/>
    <col min="3850" max="3850" width="20.28515625" style="378" customWidth="1"/>
    <col min="3851" max="3851" width="16.42578125" style="378" customWidth="1"/>
    <col min="3852" max="3852" width="43.7109375" style="378" customWidth="1"/>
    <col min="3853" max="3853" width="28.7109375" style="378" customWidth="1"/>
    <col min="3854" max="3855" width="20.85546875" style="378" customWidth="1"/>
    <col min="3856" max="3867" width="9.85546875" style="378" customWidth="1"/>
    <col min="3868" max="3868" width="15.7109375" style="378" customWidth="1"/>
    <col min="3869" max="3869" width="16.42578125" style="378" customWidth="1"/>
    <col min="3870" max="3870" width="28.7109375" style="378" customWidth="1"/>
    <col min="3871" max="3871" width="21.42578125" style="378" customWidth="1"/>
    <col min="3872" max="3872" width="15.7109375" style="378" bestFit="1" customWidth="1"/>
    <col min="3873" max="4092" width="11.42578125" style="378"/>
    <col min="4093" max="4093" width="9.140625" style="378" customWidth="1"/>
    <col min="4094" max="4094" width="20.140625" style="378" customWidth="1"/>
    <col min="4095" max="4095" width="9.140625" style="378" customWidth="1"/>
    <col min="4096" max="4096" width="21.7109375" style="378" customWidth="1"/>
    <col min="4097" max="4097" width="9.140625" style="378" customWidth="1"/>
    <col min="4098" max="4098" width="21.7109375" style="378" customWidth="1"/>
    <col min="4099" max="4099" width="9.140625" style="378" customWidth="1"/>
    <col min="4100" max="4100" width="28.140625" style="378" customWidth="1"/>
    <col min="4101" max="4101" width="22" style="378" customWidth="1"/>
    <col min="4102" max="4102" width="39.85546875" style="378" customWidth="1"/>
    <col min="4103" max="4103" width="19" style="378" customWidth="1"/>
    <col min="4104" max="4104" width="27.140625" style="378" bestFit="1" customWidth="1"/>
    <col min="4105" max="4105" width="14.85546875" style="378" customWidth="1"/>
    <col min="4106" max="4106" width="20.28515625" style="378" customWidth="1"/>
    <col min="4107" max="4107" width="16.42578125" style="378" customWidth="1"/>
    <col min="4108" max="4108" width="43.7109375" style="378" customWidth="1"/>
    <col min="4109" max="4109" width="28.7109375" style="378" customWidth="1"/>
    <col min="4110" max="4111" width="20.85546875" style="378" customWidth="1"/>
    <col min="4112" max="4123" width="9.85546875" style="378" customWidth="1"/>
    <col min="4124" max="4124" width="15.7109375" style="378" customWidth="1"/>
    <col min="4125" max="4125" width="16.42578125" style="378" customWidth="1"/>
    <col min="4126" max="4126" width="28.7109375" style="378" customWidth="1"/>
    <col min="4127" max="4127" width="21.42578125" style="378" customWidth="1"/>
    <col min="4128" max="4128" width="15.7109375" style="378" bestFit="1" customWidth="1"/>
    <col min="4129" max="4348" width="11.42578125" style="378"/>
    <col min="4349" max="4349" width="9.140625" style="378" customWidth="1"/>
    <col min="4350" max="4350" width="20.140625" style="378" customWidth="1"/>
    <col min="4351" max="4351" width="9.140625" style="378" customWidth="1"/>
    <col min="4352" max="4352" width="21.7109375" style="378" customWidth="1"/>
    <col min="4353" max="4353" width="9.140625" style="378" customWidth="1"/>
    <col min="4354" max="4354" width="21.7109375" style="378" customWidth="1"/>
    <col min="4355" max="4355" width="9.140625" style="378" customWidth="1"/>
    <col min="4356" max="4356" width="28.140625" style="378" customWidth="1"/>
    <col min="4357" max="4357" width="22" style="378" customWidth="1"/>
    <col min="4358" max="4358" width="39.85546875" style="378" customWidth="1"/>
    <col min="4359" max="4359" width="19" style="378" customWidth="1"/>
    <col min="4360" max="4360" width="27.140625" style="378" bestFit="1" customWidth="1"/>
    <col min="4361" max="4361" width="14.85546875" style="378" customWidth="1"/>
    <col min="4362" max="4362" width="20.28515625" style="378" customWidth="1"/>
    <col min="4363" max="4363" width="16.42578125" style="378" customWidth="1"/>
    <col min="4364" max="4364" width="43.7109375" style="378" customWidth="1"/>
    <col min="4365" max="4365" width="28.7109375" style="378" customWidth="1"/>
    <col min="4366" max="4367" width="20.85546875" style="378" customWidth="1"/>
    <col min="4368" max="4379" width="9.85546875" style="378" customWidth="1"/>
    <col min="4380" max="4380" width="15.7109375" style="378" customWidth="1"/>
    <col min="4381" max="4381" width="16.42578125" style="378" customWidth="1"/>
    <col min="4382" max="4382" width="28.7109375" style="378" customWidth="1"/>
    <col min="4383" max="4383" width="21.42578125" style="378" customWidth="1"/>
    <col min="4384" max="4384" width="15.7109375" style="378" bestFit="1" customWidth="1"/>
    <col min="4385" max="4604" width="11.42578125" style="378"/>
    <col min="4605" max="4605" width="9.140625" style="378" customWidth="1"/>
    <col min="4606" max="4606" width="20.140625" style="378" customWidth="1"/>
    <col min="4607" max="4607" width="9.140625" style="378" customWidth="1"/>
    <col min="4608" max="4608" width="21.7109375" style="378" customWidth="1"/>
    <col min="4609" max="4609" width="9.140625" style="378" customWidth="1"/>
    <col min="4610" max="4610" width="21.7109375" style="378" customWidth="1"/>
    <col min="4611" max="4611" width="9.140625" style="378" customWidth="1"/>
    <col min="4612" max="4612" width="28.140625" style="378" customWidth="1"/>
    <col min="4613" max="4613" width="22" style="378" customWidth="1"/>
    <col min="4614" max="4614" width="39.85546875" style="378" customWidth="1"/>
    <col min="4615" max="4615" width="19" style="378" customWidth="1"/>
    <col min="4616" max="4616" width="27.140625" style="378" bestFit="1" customWidth="1"/>
    <col min="4617" max="4617" width="14.85546875" style="378" customWidth="1"/>
    <col min="4618" max="4618" width="20.28515625" style="378" customWidth="1"/>
    <col min="4619" max="4619" width="16.42578125" style="378" customWidth="1"/>
    <col min="4620" max="4620" width="43.7109375" style="378" customWidth="1"/>
    <col min="4621" max="4621" width="28.7109375" style="378" customWidth="1"/>
    <col min="4622" max="4623" width="20.85546875" style="378" customWidth="1"/>
    <col min="4624" max="4635" width="9.85546875" style="378" customWidth="1"/>
    <col min="4636" max="4636" width="15.7109375" style="378" customWidth="1"/>
    <col min="4637" max="4637" width="16.42578125" style="378" customWidth="1"/>
    <col min="4638" max="4638" width="28.7109375" style="378" customWidth="1"/>
    <col min="4639" max="4639" width="21.42578125" style="378" customWidth="1"/>
    <col min="4640" max="4640" width="15.7109375" style="378" bestFit="1" customWidth="1"/>
    <col min="4641" max="4860" width="11.42578125" style="378"/>
    <col min="4861" max="4861" width="9.140625" style="378" customWidth="1"/>
    <col min="4862" max="4862" width="20.140625" style="378" customWidth="1"/>
    <col min="4863" max="4863" width="9.140625" style="378" customWidth="1"/>
    <col min="4864" max="4864" width="21.7109375" style="378" customWidth="1"/>
    <col min="4865" max="4865" width="9.140625" style="378" customWidth="1"/>
    <col min="4866" max="4866" width="21.7109375" style="378" customWidth="1"/>
    <col min="4867" max="4867" width="9.140625" style="378" customWidth="1"/>
    <col min="4868" max="4868" width="28.140625" style="378" customWidth="1"/>
    <col min="4869" max="4869" width="22" style="378" customWidth="1"/>
    <col min="4870" max="4870" width="39.85546875" style="378" customWidth="1"/>
    <col min="4871" max="4871" width="19" style="378" customWidth="1"/>
    <col min="4872" max="4872" width="27.140625" style="378" bestFit="1" customWidth="1"/>
    <col min="4873" max="4873" width="14.85546875" style="378" customWidth="1"/>
    <col min="4874" max="4874" width="20.28515625" style="378" customWidth="1"/>
    <col min="4875" max="4875" width="16.42578125" style="378" customWidth="1"/>
    <col min="4876" max="4876" width="43.7109375" style="378" customWidth="1"/>
    <col min="4877" max="4877" width="28.7109375" style="378" customWidth="1"/>
    <col min="4878" max="4879" width="20.85546875" style="378" customWidth="1"/>
    <col min="4880" max="4891" width="9.85546875" style="378" customWidth="1"/>
    <col min="4892" max="4892" width="15.7109375" style="378" customWidth="1"/>
    <col min="4893" max="4893" width="16.42578125" style="378" customWidth="1"/>
    <col min="4894" max="4894" width="28.7109375" style="378" customWidth="1"/>
    <col min="4895" max="4895" width="21.42578125" style="378" customWidth="1"/>
    <col min="4896" max="4896" width="15.7109375" style="378" bestFit="1" customWidth="1"/>
    <col min="4897" max="5116" width="11.42578125" style="378"/>
    <col min="5117" max="5117" width="9.140625" style="378" customWidth="1"/>
    <col min="5118" max="5118" width="20.140625" style="378" customWidth="1"/>
    <col min="5119" max="5119" width="9.140625" style="378" customWidth="1"/>
    <col min="5120" max="5120" width="21.7109375" style="378" customWidth="1"/>
    <col min="5121" max="5121" width="9.140625" style="378" customWidth="1"/>
    <col min="5122" max="5122" width="21.7109375" style="378" customWidth="1"/>
    <col min="5123" max="5123" width="9.140625" style="378" customWidth="1"/>
    <col min="5124" max="5124" width="28.140625" style="378" customWidth="1"/>
    <col min="5125" max="5125" width="22" style="378" customWidth="1"/>
    <col min="5126" max="5126" width="39.85546875" style="378" customWidth="1"/>
    <col min="5127" max="5127" width="19" style="378" customWidth="1"/>
    <col min="5128" max="5128" width="27.140625" style="378" bestFit="1" customWidth="1"/>
    <col min="5129" max="5129" width="14.85546875" style="378" customWidth="1"/>
    <col min="5130" max="5130" width="20.28515625" style="378" customWidth="1"/>
    <col min="5131" max="5131" width="16.42578125" style="378" customWidth="1"/>
    <col min="5132" max="5132" width="43.7109375" style="378" customWidth="1"/>
    <col min="5133" max="5133" width="28.7109375" style="378" customWidth="1"/>
    <col min="5134" max="5135" width="20.85546875" style="378" customWidth="1"/>
    <col min="5136" max="5147" width="9.85546875" style="378" customWidth="1"/>
    <col min="5148" max="5148" width="15.7109375" style="378" customWidth="1"/>
    <col min="5149" max="5149" width="16.42578125" style="378" customWidth="1"/>
    <col min="5150" max="5150" width="28.7109375" style="378" customWidth="1"/>
    <col min="5151" max="5151" width="21.42578125" style="378" customWidth="1"/>
    <col min="5152" max="5152" width="15.7109375" style="378" bestFit="1" customWidth="1"/>
    <col min="5153" max="5372" width="11.42578125" style="378"/>
    <col min="5373" max="5373" width="9.140625" style="378" customWidth="1"/>
    <col min="5374" max="5374" width="20.140625" style="378" customWidth="1"/>
    <col min="5375" max="5375" width="9.140625" style="378" customWidth="1"/>
    <col min="5376" max="5376" width="21.7109375" style="378" customWidth="1"/>
    <col min="5377" max="5377" width="9.140625" style="378" customWidth="1"/>
    <col min="5378" max="5378" width="21.7109375" style="378" customWidth="1"/>
    <col min="5379" max="5379" width="9.140625" style="378" customWidth="1"/>
    <col min="5380" max="5380" width="28.140625" style="378" customWidth="1"/>
    <col min="5381" max="5381" width="22" style="378" customWidth="1"/>
    <col min="5382" max="5382" width="39.85546875" style="378" customWidth="1"/>
    <col min="5383" max="5383" width="19" style="378" customWidth="1"/>
    <col min="5384" max="5384" width="27.140625" style="378" bestFit="1" customWidth="1"/>
    <col min="5385" max="5385" width="14.85546875" style="378" customWidth="1"/>
    <col min="5386" max="5386" width="20.28515625" style="378" customWidth="1"/>
    <col min="5387" max="5387" width="16.42578125" style="378" customWidth="1"/>
    <col min="5388" max="5388" width="43.7109375" style="378" customWidth="1"/>
    <col min="5389" max="5389" width="28.7109375" style="378" customWidth="1"/>
    <col min="5390" max="5391" width="20.85546875" style="378" customWidth="1"/>
    <col min="5392" max="5403" width="9.85546875" style="378" customWidth="1"/>
    <col min="5404" max="5404" width="15.7109375" style="378" customWidth="1"/>
    <col min="5405" max="5405" width="16.42578125" style="378" customWidth="1"/>
    <col min="5406" max="5406" width="28.7109375" style="378" customWidth="1"/>
    <col min="5407" max="5407" width="21.42578125" style="378" customWidth="1"/>
    <col min="5408" max="5408" width="15.7109375" style="378" bestFit="1" customWidth="1"/>
    <col min="5409" max="5628" width="11.42578125" style="378"/>
    <col min="5629" max="5629" width="9.140625" style="378" customWidth="1"/>
    <col min="5630" max="5630" width="20.140625" style="378" customWidth="1"/>
    <col min="5631" max="5631" width="9.140625" style="378" customWidth="1"/>
    <col min="5632" max="5632" width="21.7109375" style="378" customWidth="1"/>
    <col min="5633" max="5633" width="9.140625" style="378" customWidth="1"/>
    <col min="5634" max="5634" width="21.7109375" style="378" customWidth="1"/>
    <col min="5635" max="5635" width="9.140625" style="378" customWidth="1"/>
    <col min="5636" max="5636" width="28.140625" style="378" customWidth="1"/>
    <col min="5637" max="5637" width="22" style="378" customWidth="1"/>
    <col min="5638" max="5638" width="39.85546875" style="378" customWidth="1"/>
    <col min="5639" max="5639" width="19" style="378" customWidth="1"/>
    <col min="5640" max="5640" width="27.140625" style="378" bestFit="1" customWidth="1"/>
    <col min="5641" max="5641" width="14.85546875" style="378" customWidth="1"/>
    <col min="5642" max="5642" width="20.28515625" style="378" customWidth="1"/>
    <col min="5643" max="5643" width="16.42578125" style="378" customWidth="1"/>
    <col min="5644" max="5644" width="43.7109375" style="378" customWidth="1"/>
    <col min="5645" max="5645" width="28.7109375" style="378" customWidth="1"/>
    <col min="5646" max="5647" width="20.85546875" style="378" customWidth="1"/>
    <col min="5648" max="5659" width="9.85546875" style="378" customWidth="1"/>
    <col min="5660" max="5660" width="15.7109375" style="378" customWidth="1"/>
    <col min="5661" max="5661" width="16.42578125" style="378" customWidth="1"/>
    <col min="5662" max="5662" width="28.7109375" style="378" customWidth="1"/>
    <col min="5663" max="5663" width="21.42578125" style="378" customWidth="1"/>
    <col min="5664" max="5664" width="15.7109375" style="378" bestFit="1" customWidth="1"/>
    <col min="5665" max="5884" width="11.42578125" style="378"/>
    <col min="5885" max="5885" width="9.140625" style="378" customWidth="1"/>
    <col min="5886" max="5886" width="20.140625" style="378" customWidth="1"/>
    <col min="5887" max="5887" width="9.140625" style="378" customWidth="1"/>
    <col min="5888" max="5888" width="21.7109375" style="378" customWidth="1"/>
    <col min="5889" max="5889" width="9.140625" style="378" customWidth="1"/>
    <col min="5890" max="5890" width="21.7109375" style="378" customWidth="1"/>
    <col min="5891" max="5891" width="9.140625" style="378" customWidth="1"/>
    <col min="5892" max="5892" width="28.140625" style="378" customWidth="1"/>
    <col min="5893" max="5893" width="22" style="378" customWidth="1"/>
    <col min="5894" max="5894" width="39.85546875" style="378" customWidth="1"/>
    <col min="5895" max="5895" width="19" style="378" customWidth="1"/>
    <col min="5896" max="5896" width="27.140625" style="378" bestFit="1" customWidth="1"/>
    <col min="5897" max="5897" width="14.85546875" style="378" customWidth="1"/>
    <col min="5898" max="5898" width="20.28515625" style="378" customWidth="1"/>
    <col min="5899" max="5899" width="16.42578125" style="378" customWidth="1"/>
    <col min="5900" max="5900" width="43.7109375" style="378" customWidth="1"/>
    <col min="5901" max="5901" width="28.7109375" style="378" customWidth="1"/>
    <col min="5902" max="5903" width="20.85546875" style="378" customWidth="1"/>
    <col min="5904" max="5915" width="9.85546875" style="378" customWidth="1"/>
    <col min="5916" max="5916" width="15.7109375" style="378" customWidth="1"/>
    <col min="5917" max="5917" width="16.42578125" style="378" customWidth="1"/>
    <col min="5918" max="5918" width="28.7109375" style="378" customWidth="1"/>
    <col min="5919" max="5919" width="21.42578125" style="378" customWidth="1"/>
    <col min="5920" max="5920" width="15.7109375" style="378" bestFit="1" customWidth="1"/>
    <col min="5921" max="6140" width="11.42578125" style="378"/>
    <col min="6141" max="6141" width="9.140625" style="378" customWidth="1"/>
    <col min="6142" max="6142" width="20.140625" style="378" customWidth="1"/>
    <col min="6143" max="6143" width="9.140625" style="378" customWidth="1"/>
    <col min="6144" max="6144" width="21.7109375" style="378" customWidth="1"/>
    <col min="6145" max="6145" width="9.140625" style="378" customWidth="1"/>
    <col min="6146" max="6146" width="21.7109375" style="378" customWidth="1"/>
    <col min="6147" max="6147" width="9.140625" style="378" customWidth="1"/>
    <col min="6148" max="6148" width="28.140625" style="378" customWidth="1"/>
    <col min="6149" max="6149" width="22" style="378" customWidth="1"/>
    <col min="6150" max="6150" width="39.85546875" style="378" customWidth="1"/>
    <col min="6151" max="6151" width="19" style="378" customWidth="1"/>
    <col min="6152" max="6152" width="27.140625" style="378" bestFit="1" customWidth="1"/>
    <col min="6153" max="6153" width="14.85546875" style="378" customWidth="1"/>
    <col min="6154" max="6154" width="20.28515625" style="378" customWidth="1"/>
    <col min="6155" max="6155" width="16.42578125" style="378" customWidth="1"/>
    <col min="6156" max="6156" width="43.7109375" style="378" customWidth="1"/>
    <col min="6157" max="6157" width="28.7109375" style="378" customWidth="1"/>
    <col min="6158" max="6159" width="20.85546875" style="378" customWidth="1"/>
    <col min="6160" max="6171" width="9.85546875" style="378" customWidth="1"/>
    <col min="6172" max="6172" width="15.7109375" style="378" customWidth="1"/>
    <col min="6173" max="6173" width="16.42578125" style="378" customWidth="1"/>
    <col min="6174" max="6174" width="28.7109375" style="378" customWidth="1"/>
    <col min="6175" max="6175" width="21.42578125" style="378" customWidth="1"/>
    <col min="6176" max="6176" width="15.7109375" style="378" bestFit="1" customWidth="1"/>
    <col min="6177" max="6396" width="11.42578125" style="378"/>
    <col min="6397" max="6397" width="9.140625" style="378" customWidth="1"/>
    <col min="6398" max="6398" width="20.140625" style="378" customWidth="1"/>
    <col min="6399" max="6399" width="9.140625" style="378" customWidth="1"/>
    <col min="6400" max="6400" width="21.7109375" style="378" customWidth="1"/>
    <col min="6401" max="6401" width="9.140625" style="378" customWidth="1"/>
    <col min="6402" max="6402" width="21.7109375" style="378" customWidth="1"/>
    <col min="6403" max="6403" width="9.140625" style="378" customWidth="1"/>
    <col min="6404" max="6404" width="28.140625" style="378" customWidth="1"/>
    <col min="6405" max="6405" width="22" style="378" customWidth="1"/>
    <col min="6406" max="6406" width="39.85546875" style="378" customWidth="1"/>
    <col min="6407" max="6407" width="19" style="378" customWidth="1"/>
    <col min="6408" max="6408" width="27.140625" style="378" bestFit="1" customWidth="1"/>
    <col min="6409" max="6409" width="14.85546875" style="378" customWidth="1"/>
    <col min="6410" max="6410" width="20.28515625" style="378" customWidth="1"/>
    <col min="6411" max="6411" width="16.42578125" style="378" customWidth="1"/>
    <col min="6412" max="6412" width="43.7109375" style="378" customWidth="1"/>
    <col min="6413" max="6413" width="28.7109375" style="378" customWidth="1"/>
    <col min="6414" max="6415" width="20.85546875" style="378" customWidth="1"/>
    <col min="6416" max="6427" width="9.85546875" style="378" customWidth="1"/>
    <col min="6428" max="6428" width="15.7109375" style="378" customWidth="1"/>
    <col min="6429" max="6429" width="16.42578125" style="378" customWidth="1"/>
    <col min="6430" max="6430" width="28.7109375" style="378" customWidth="1"/>
    <col min="6431" max="6431" width="21.42578125" style="378" customWidth="1"/>
    <col min="6432" max="6432" width="15.7109375" style="378" bestFit="1" customWidth="1"/>
    <col min="6433" max="6652" width="11.42578125" style="378"/>
    <col min="6653" max="6653" width="9.140625" style="378" customWidth="1"/>
    <col min="6654" max="6654" width="20.140625" style="378" customWidth="1"/>
    <col min="6655" max="6655" width="9.140625" style="378" customWidth="1"/>
    <col min="6656" max="6656" width="21.7109375" style="378" customWidth="1"/>
    <col min="6657" max="6657" width="9.140625" style="378" customWidth="1"/>
    <col min="6658" max="6658" width="21.7109375" style="378" customWidth="1"/>
    <col min="6659" max="6659" width="9.140625" style="378" customWidth="1"/>
    <col min="6660" max="6660" width="28.140625" style="378" customWidth="1"/>
    <col min="6661" max="6661" width="22" style="378" customWidth="1"/>
    <col min="6662" max="6662" width="39.85546875" style="378" customWidth="1"/>
    <col min="6663" max="6663" width="19" style="378" customWidth="1"/>
    <col min="6664" max="6664" width="27.140625" style="378" bestFit="1" customWidth="1"/>
    <col min="6665" max="6665" width="14.85546875" style="378" customWidth="1"/>
    <col min="6666" max="6666" width="20.28515625" style="378" customWidth="1"/>
    <col min="6667" max="6667" width="16.42578125" style="378" customWidth="1"/>
    <col min="6668" max="6668" width="43.7109375" style="378" customWidth="1"/>
    <col min="6669" max="6669" width="28.7109375" style="378" customWidth="1"/>
    <col min="6670" max="6671" width="20.85546875" style="378" customWidth="1"/>
    <col min="6672" max="6683" width="9.85546875" style="378" customWidth="1"/>
    <col min="6684" max="6684" width="15.7109375" style="378" customWidth="1"/>
    <col min="6685" max="6685" width="16.42578125" style="378" customWidth="1"/>
    <col min="6686" max="6686" width="28.7109375" style="378" customWidth="1"/>
    <col min="6687" max="6687" width="21.42578125" style="378" customWidth="1"/>
    <col min="6688" max="6688" width="15.7109375" style="378" bestFit="1" customWidth="1"/>
    <col min="6689" max="6908" width="11.42578125" style="378"/>
    <col min="6909" max="6909" width="9.140625" style="378" customWidth="1"/>
    <col min="6910" max="6910" width="20.140625" style="378" customWidth="1"/>
    <col min="6911" max="6911" width="9.140625" style="378" customWidth="1"/>
    <col min="6912" max="6912" width="21.7109375" style="378" customWidth="1"/>
    <col min="6913" max="6913" width="9.140625" style="378" customWidth="1"/>
    <col min="6914" max="6914" width="21.7109375" style="378" customWidth="1"/>
    <col min="6915" max="6915" width="9.140625" style="378" customWidth="1"/>
    <col min="6916" max="6916" width="28.140625" style="378" customWidth="1"/>
    <col min="6917" max="6917" width="22" style="378" customWidth="1"/>
    <col min="6918" max="6918" width="39.85546875" style="378" customWidth="1"/>
    <col min="6919" max="6919" width="19" style="378" customWidth="1"/>
    <col min="6920" max="6920" width="27.140625" style="378" bestFit="1" customWidth="1"/>
    <col min="6921" max="6921" width="14.85546875" style="378" customWidth="1"/>
    <col min="6922" max="6922" width="20.28515625" style="378" customWidth="1"/>
    <col min="6923" max="6923" width="16.42578125" style="378" customWidth="1"/>
    <col min="6924" max="6924" width="43.7109375" style="378" customWidth="1"/>
    <col min="6925" max="6925" width="28.7109375" style="378" customWidth="1"/>
    <col min="6926" max="6927" width="20.85546875" style="378" customWidth="1"/>
    <col min="6928" max="6939" width="9.85546875" style="378" customWidth="1"/>
    <col min="6940" max="6940" width="15.7109375" style="378" customWidth="1"/>
    <col min="6941" max="6941" width="16.42578125" style="378" customWidth="1"/>
    <col min="6942" max="6942" width="28.7109375" style="378" customWidth="1"/>
    <col min="6943" max="6943" width="21.42578125" style="378" customWidth="1"/>
    <col min="6944" max="6944" width="15.7109375" style="378" bestFit="1" customWidth="1"/>
    <col min="6945" max="7164" width="11.42578125" style="378"/>
    <col min="7165" max="7165" width="9.140625" style="378" customWidth="1"/>
    <col min="7166" max="7166" width="20.140625" style="378" customWidth="1"/>
    <col min="7167" max="7167" width="9.140625" style="378" customWidth="1"/>
    <col min="7168" max="7168" width="21.7109375" style="378" customWidth="1"/>
    <col min="7169" max="7169" width="9.140625" style="378" customWidth="1"/>
    <col min="7170" max="7170" width="21.7109375" style="378" customWidth="1"/>
    <col min="7171" max="7171" width="9.140625" style="378" customWidth="1"/>
    <col min="7172" max="7172" width="28.140625" style="378" customWidth="1"/>
    <col min="7173" max="7173" width="22" style="378" customWidth="1"/>
    <col min="7174" max="7174" width="39.85546875" style="378" customWidth="1"/>
    <col min="7175" max="7175" width="19" style="378" customWidth="1"/>
    <col min="7176" max="7176" width="27.140625" style="378" bestFit="1" customWidth="1"/>
    <col min="7177" max="7177" width="14.85546875" style="378" customWidth="1"/>
    <col min="7178" max="7178" width="20.28515625" style="378" customWidth="1"/>
    <col min="7179" max="7179" width="16.42578125" style="378" customWidth="1"/>
    <col min="7180" max="7180" width="43.7109375" style="378" customWidth="1"/>
    <col min="7181" max="7181" width="28.7109375" style="378" customWidth="1"/>
    <col min="7182" max="7183" width="20.85546875" style="378" customWidth="1"/>
    <col min="7184" max="7195" width="9.85546875" style="378" customWidth="1"/>
    <col min="7196" max="7196" width="15.7109375" style="378" customWidth="1"/>
    <col min="7197" max="7197" width="16.42578125" style="378" customWidth="1"/>
    <col min="7198" max="7198" width="28.7109375" style="378" customWidth="1"/>
    <col min="7199" max="7199" width="21.42578125" style="378" customWidth="1"/>
    <col min="7200" max="7200" width="15.7109375" style="378" bestFit="1" customWidth="1"/>
    <col min="7201" max="7420" width="11.42578125" style="378"/>
    <col min="7421" max="7421" width="9.140625" style="378" customWidth="1"/>
    <col min="7422" max="7422" width="20.140625" style="378" customWidth="1"/>
    <col min="7423" max="7423" width="9.140625" style="378" customWidth="1"/>
    <col min="7424" max="7424" width="21.7109375" style="378" customWidth="1"/>
    <col min="7425" max="7425" width="9.140625" style="378" customWidth="1"/>
    <col min="7426" max="7426" width="21.7109375" style="378" customWidth="1"/>
    <col min="7427" max="7427" width="9.140625" style="378" customWidth="1"/>
    <col min="7428" max="7428" width="28.140625" style="378" customWidth="1"/>
    <col min="7429" max="7429" width="22" style="378" customWidth="1"/>
    <col min="7430" max="7430" width="39.85546875" style="378" customWidth="1"/>
    <col min="7431" max="7431" width="19" style="378" customWidth="1"/>
    <col min="7432" max="7432" width="27.140625" style="378" bestFit="1" customWidth="1"/>
    <col min="7433" max="7433" width="14.85546875" style="378" customWidth="1"/>
    <col min="7434" max="7434" width="20.28515625" style="378" customWidth="1"/>
    <col min="7435" max="7435" width="16.42578125" style="378" customWidth="1"/>
    <col min="7436" max="7436" width="43.7109375" style="378" customWidth="1"/>
    <col min="7437" max="7437" width="28.7109375" style="378" customWidth="1"/>
    <col min="7438" max="7439" width="20.85546875" style="378" customWidth="1"/>
    <col min="7440" max="7451" width="9.85546875" style="378" customWidth="1"/>
    <col min="7452" max="7452" width="15.7109375" style="378" customWidth="1"/>
    <col min="7453" max="7453" width="16.42578125" style="378" customWidth="1"/>
    <col min="7454" max="7454" width="28.7109375" style="378" customWidth="1"/>
    <col min="7455" max="7455" width="21.42578125" style="378" customWidth="1"/>
    <col min="7456" max="7456" width="15.7109375" style="378" bestFit="1" customWidth="1"/>
    <col min="7457" max="7676" width="11.42578125" style="378"/>
    <col min="7677" max="7677" width="9.140625" style="378" customWidth="1"/>
    <col min="7678" max="7678" width="20.140625" style="378" customWidth="1"/>
    <col min="7679" max="7679" width="9.140625" style="378" customWidth="1"/>
    <col min="7680" max="7680" width="21.7109375" style="378" customWidth="1"/>
    <col min="7681" max="7681" width="9.140625" style="378" customWidth="1"/>
    <col min="7682" max="7682" width="21.7109375" style="378" customWidth="1"/>
    <col min="7683" max="7683" width="9.140625" style="378" customWidth="1"/>
    <col min="7684" max="7684" width="28.140625" style="378" customWidth="1"/>
    <col min="7685" max="7685" width="22" style="378" customWidth="1"/>
    <col min="7686" max="7686" width="39.85546875" style="378" customWidth="1"/>
    <col min="7687" max="7687" width="19" style="378" customWidth="1"/>
    <col min="7688" max="7688" width="27.140625" style="378" bestFit="1" customWidth="1"/>
    <col min="7689" max="7689" width="14.85546875" style="378" customWidth="1"/>
    <col min="7690" max="7690" width="20.28515625" style="378" customWidth="1"/>
    <col min="7691" max="7691" width="16.42578125" style="378" customWidth="1"/>
    <col min="7692" max="7692" width="43.7109375" style="378" customWidth="1"/>
    <col min="7693" max="7693" width="28.7109375" style="378" customWidth="1"/>
    <col min="7694" max="7695" width="20.85546875" style="378" customWidth="1"/>
    <col min="7696" max="7707" width="9.85546875" style="378" customWidth="1"/>
    <col min="7708" max="7708" width="15.7109375" style="378" customWidth="1"/>
    <col min="7709" max="7709" width="16.42578125" style="378" customWidth="1"/>
    <col min="7710" max="7710" width="28.7109375" style="378" customWidth="1"/>
    <col min="7711" max="7711" width="21.42578125" style="378" customWidth="1"/>
    <col min="7712" max="7712" width="15.7109375" style="378" bestFit="1" customWidth="1"/>
    <col min="7713" max="7932" width="11.42578125" style="378"/>
    <col min="7933" max="7933" width="9.140625" style="378" customWidth="1"/>
    <col min="7934" max="7934" width="20.140625" style="378" customWidth="1"/>
    <col min="7935" max="7935" width="9.140625" style="378" customWidth="1"/>
    <col min="7936" max="7936" width="21.7109375" style="378" customWidth="1"/>
    <col min="7937" max="7937" width="9.140625" style="378" customWidth="1"/>
    <col min="7938" max="7938" width="21.7109375" style="378" customWidth="1"/>
    <col min="7939" max="7939" width="9.140625" style="378" customWidth="1"/>
    <col min="7940" max="7940" width="28.140625" style="378" customWidth="1"/>
    <col min="7941" max="7941" width="22" style="378" customWidth="1"/>
    <col min="7942" max="7942" width="39.85546875" style="378" customWidth="1"/>
    <col min="7943" max="7943" width="19" style="378" customWidth="1"/>
    <col min="7944" max="7944" width="27.140625" style="378" bestFit="1" customWidth="1"/>
    <col min="7945" max="7945" width="14.85546875" style="378" customWidth="1"/>
    <col min="7946" max="7946" width="20.28515625" style="378" customWidth="1"/>
    <col min="7947" max="7947" width="16.42578125" style="378" customWidth="1"/>
    <col min="7948" max="7948" width="43.7109375" style="378" customWidth="1"/>
    <col min="7949" max="7949" width="28.7109375" style="378" customWidth="1"/>
    <col min="7950" max="7951" width="20.85546875" style="378" customWidth="1"/>
    <col min="7952" max="7963" width="9.85546875" style="378" customWidth="1"/>
    <col min="7964" max="7964" width="15.7109375" style="378" customWidth="1"/>
    <col min="7965" max="7965" width="16.42578125" style="378" customWidth="1"/>
    <col min="7966" max="7966" width="28.7109375" style="378" customWidth="1"/>
    <col min="7967" max="7967" width="21.42578125" style="378" customWidth="1"/>
    <col min="7968" max="7968" width="15.7109375" style="378" bestFit="1" customWidth="1"/>
    <col min="7969" max="8188" width="11.42578125" style="378"/>
    <col min="8189" max="8189" width="9.140625" style="378" customWidth="1"/>
    <col min="8190" max="8190" width="20.140625" style="378" customWidth="1"/>
    <col min="8191" max="8191" width="9.140625" style="378" customWidth="1"/>
    <col min="8192" max="8192" width="21.7109375" style="378" customWidth="1"/>
    <col min="8193" max="8193" width="9.140625" style="378" customWidth="1"/>
    <col min="8194" max="8194" width="21.7109375" style="378" customWidth="1"/>
    <col min="8195" max="8195" width="9.140625" style="378" customWidth="1"/>
    <col min="8196" max="8196" width="28.140625" style="378" customWidth="1"/>
    <col min="8197" max="8197" width="22" style="378" customWidth="1"/>
    <col min="8198" max="8198" width="39.85546875" style="378" customWidth="1"/>
    <col min="8199" max="8199" width="19" style="378" customWidth="1"/>
    <col min="8200" max="8200" width="27.140625" style="378" bestFit="1" customWidth="1"/>
    <col min="8201" max="8201" width="14.85546875" style="378" customWidth="1"/>
    <col min="8202" max="8202" width="20.28515625" style="378" customWidth="1"/>
    <col min="8203" max="8203" width="16.42578125" style="378" customWidth="1"/>
    <col min="8204" max="8204" width="43.7109375" style="378" customWidth="1"/>
    <col min="8205" max="8205" width="28.7109375" style="378" customWidth="1"/>
    <col min="8206" max="8207" width="20.85546875" style="378" customWidth="1"/>
    <col min="8208" max="8219" width="9.85546875" style="378" customWidth="1"/>
    <col min="8220" max="8220" width="15.7109375" style="378" customWidth="1"/>
    <col min="8221" max="8221" width="16.42578125" style="378" customWidth="1"/>
    <col min="8222" max="8222" width="28.7109375" style="378" customWidth="1"/>
    <col min="8223" max="8223" width="21.42578125" style="378" customWidth="1"/>
    <col min="8224" max="8224" width="15.7109375" style="378" bestFit="1" customWidth="1"/>
    <col min="8225" max="8444" width="11.42578125" style="378"/>
    <col min="8445" max="8445" width="9.140625" style="378" customWidth="1"/>
    <col min="8446" max="8446" width="20.140625" style="378" customWidth="1"/>
    <col min="8447" max="8447" width="9.140625" style="378" customWidth="1"/>
    <col min="8448" max="8448" width="21.7109375" style="378" customWidth="1"/>
    <col min="8449" max="8449" width="9.140625" style="378" customWidth="1"/>
    <col min="8450" max="8450" width="21.7109375" style="378" customWidth="1"/>
    <col min="8451" max="8451" width="9.140625" style="378" customWidth="1"/>
    <col min="8452" max="8452" width="28.140625" style="378" customWidth="1"/>
    <col min="8453" max="8453" width="22" style="378" customWidth="1"/>
    <col min="8454" max="8454" width="39.85546875" style="378" customWidth="1"/>
    <col min="8455" max="8455" width="19" style="378" customWidth="1"/>
    <col min="8456" max="8456" width="27.140625" style="378" bestFit="1" customWidth="1"/>
    <col min="8457" max="8457" width="14.85546875" style="378" customWidth="1"/>
    <col min="8458" max="8458" width="20.28515625" style="378" customWidth="1"/>
    <col min="8459" max="8459" width="16.42578125" style="378" customWidth="1"/>
    <col min="8460" max="8460" width="43.7109375" style="378" customWidth="1"/>
    <col min="8461" max="8461" width="28.7109375" style="378" customWidth="1"/>
    <col min="8462" max="8463" width="20.85546875" style="378" customWidth="1"/>
    <col min="8464" max="8475" width="9.85546875" style="378" customWidth="1"/>
    <col min="8476" max="8476" width="15.7109375" style="378" customWidth="1"/>
    <col min="8477" max="8477" width="16.42578125" style="378" customWidth="1"/>
    <col min="8478" max="8478" width="28.7109375" style="378" customWidth="1"/>
    <col min="8479" max="8479" width="21.42578125" style="378" customWidth="1"/>
    <col min="8480" max="8480" width="15.7109375" style="378" bestFit="1" customWidth="1"/>
    <col min="8481" max="8700" width="11.42578125" style="378"/>
    <col min="8701" max="8701" width="9.140625" style="378" customWidth="1"/>
    <col min="8702" max="8702" width="20.140625" style="378" customWidth="1"/>
    <col min="8703" max="8703" width="9.140625" style="378" customWidth="1"/>
    <col min="8704" max="8704" width="21.7109375" style="378" customWidth="1"/>
    <col min="8705" max="8705" width="9.140625" style="378" customWidth="1"/>
    <col min="8706" max="8706" width="21.7109375" style="378" customWidth="1"/>
    <col min="8707" max="8707" width="9.140625" style="378" customWidth="1"/>
    <col min="8708" max="8708" width="28.140625" style="378" customWidth="1"/>
    <col min="8709" max="8709" width="22" style="378" customWidth="1"/>
    <col min="8710" max="8710" width="39.85546875" style="378" customWidth="1"/>
    <col min="8711" max="8711" width="19" style="378" customWidth="1"/>
    <col min="8712" max="8712" width="27.140625" style="378" bestFit="1" customWidth="1"/>
    <col min="8713" max="8713" width="14.85546875" style="378" customWidth="1"/>
    <col min="8714" max="8714" width="20.28515625" style="378" customWidth="1"/>
    <col min="8715" max="8715" width="16.42578125" style="378" customWidth="1"/>
    <col min="8716" max="8716" width="43.7109375" style="378" customWidth="1"/>
    <col min="8717" max="8717" width="28.7109375" style="378" customWidth="1"/>
    <col min="8718" max="8719" width="20.85546875" style="378" customWidth="1"/>
    <col min="8720" max="8731" width="9.85546875" style="378" customWidth="1"/>
    <col min="8732" max="8732" width="15.7109375" style="378" customWidth="1"/>
    <col min="8733" max="8733" width="16.42578125" style="378" customWidth="1"/>
    <col min="8734" max="8734" width="28.7109375" style="378" customWidth="1"/>
    <col min="8735" max="8735" width="21.42578125" style="378" customWidth="1"/>
    <col min="8736" max="8736" width="15.7109375" style="378" bestFit="1" customWidth="1"/>
    <col min="8737" max="8956" width="11.42578125" style="378"/>
    <col min="8957" max="8957" width="9.140625" style="378" customWidth="1"/>
    <col min="8958" max="8958" width="20.140625" style="378" customWidth="1"/>
    <col min="8959" max="8959" width="9.140625" style="378" customWidth="1"/>
    <col min="8960" max="8960" width="21.7109375" style="378" customWidth="1"/>
    <col min="8961" max="8961" width="9.140625" style="378" customWidth="1"/>
    <col min="8962" max="8962" width="21.7109375" style="378" customWidth="1"/>
    <col min="8963" max="8963" width="9.140625" style="378" customWidth="1"/>
    <col min="8964" max="8964" width="28.140625" style="378" customWidth="1"/>
    <col min="8965" max="8965" width="22" style="378" customWidth="1"/>
    <col min="8966" max="8966" width="39.85546875" style="378" customWidth="1"/>
    <col min="8967" max="8967" width="19" style="378" customWidth="1"/>
    <col min="8968" max="8968" width="27.140625" style="378" bestFit="1" customWidth="1"/>
    <col min="8969" max="8969" width="14.85546875" style="378" customWidth="1"/>
    <col min="8970" max="8970" width="20.28515625" style="378" customWidth="1"/>
    <col min="8971" max="8971" width="16.42578125" style="378" customWidth="1"/>
    <col min="8972" max="8972" width="43.7109375" style="378" customWidth="1"/>
    <col min="8973" max="8973" width="28.7109375" style="378" customWidth="1"/>
    <col min="8974" max="8975" width="20.85546875" style="378" customWidth="1"/>
    <col min="8976" max="8987" width="9.85546875" style="378" customWidth="1"/>
    <col min="8988" max="8988" width="15.7109375" style="378" customWidth="1"/>
    <col min="8989" max="8989" width="16.42578125" style="378" customWidth="1"/>
    <col min="8990" max="8990" width="28.7109375" style="378" customWidth="1"/>
    <col min="8991" max="8991" width="21.42578125" style="378" customWidth="1"/>
    <col min="8992" max="8992" width="15.7109375" style="378" bestFit="1" customWidth="1"/>
    <col min="8993" max="9212" width="11.42578125" style="378"/>
    <col min="9213" max="9213" width="9.140625" style="378" customWidth="1"/>
    <col min="9214" max="9214" width="20.140625" style="378" customWidth="1"/>
    <col min="9215" max="9215" width="9.140625" style="378" customWidth="1"/>
    <col min="9216" max="9216" width="21.7109375" style="378" customWidth="1"/>
    <col min="9217" max="9217" width="9.140625" style="378" customWidth="1"/>
    <col min="9218" max="9218" width="21.7109375" style="378" customWidth="1"/>
    <col min="9219" max="9219" width="9.140625" style="378" customWidth="1"/>
    <col min="9220" max="9220" width="28.140625" style="378" customWidth="1"/>
    <col min="9221" max="9221" width="22" style="378" customWidth="1"/>
    <col min="9222" max="9222" width="39.85546875" style="378" customWidth="1"/>
    <col min="9223" max="9223" width="19" style="378" customWidth="1"/>
    <col min="9224" max="9224" width="27.140625" style="378" bestFit="1" customWidth="1"/>
    <col min="9225" max="9225" width="14.85546875" style="378" customWidth="1"/>
    <col min="9226" max="9226" width="20.28515625" style="378" customWidth="1"/>
    <col min="9227" max="9227" width="16.42578125" style="378" customWidth="1"/>
    <col min="9228" max="9228" width="43.7109375" style="378" customWidth="1"/>
    <col min="9229" max="9229" width="28.7109375" style="378" customWidth="1"/>
    <col min="9230" max="9231" width="20.85546875" style="378" customWidth="1"/>
    <col min="9232" max="9243" width="9.85546875" style="378" customWidth="1"/>
    <col min="9244" max="9244" width="15.7109375" style="378" customWidth="1"/>
    <col min="9245" max="9245" width="16.42578125" style="378" customWidth="1"/>
    <col min="9246" max="9246" width="28.7109375" style="378" customWidth="1"/>
    <col min="9247" max="9247" width="21.42578125" style="378" customWidth="1"/>
    <col min="9248" max="9248" width="15.7109375" style="378" bestFit="1" customWidth="1"/>
    <col min="9249" max="9468" width="11.42578125" style="378"/>
    <col min="9469" max="9469" width="9.140625" style="378" customWidth="1"/>
    <col min="9470" max="9470" width="20.140625" style="378" customWidth="1"/>
    <col min="9471" max="9471" width="9.140625" style="378" customWidth="1"/>
    <col min="9472" max="9472" width="21.7109375" style="378" customWidth="1"/>
    <col min="9473" max="9473" width="9.140625" style="378" customWidth="1"/>
    <col min="9474" max="9474" width="21.7109375" style="378" customWidth="1"/>
    <col min="9475" max="9475" width="9.140625" style="378" customWidth="1"/>
    <col min="9476" max="9476" width="28.140625" style="378" customWidth="1"/>
    <col min="9477" max="9477" width="22" style="378" customWidth="1"/>
    <col min="9478" max="9478" width="39.85546875" style="378" customWidth="1"/>
    <col min="9479" max="9479" width="19" style="378" customWidth="1"/>
    <col min="9480" max="9480" width="27.140625" style="378" bestFit="1" customWidth="1"/>
    <col min="9481" max="9481" width="14.85546875" style="378" customWidth="1"/>
    <col min="9482" max="9482" width="20.28515625" style="378" customWidth="1"/>
    <col min="9483" max="9483" width="16.42578125" style="378" customWidth="1"/>
    <col min="9484" max="9484" width="43.7109375" style="378" customWidth="1"/>
    <col min="9485" max="9485" width="28.7109375" style="378" customWidth="1"/>
    <col min="9486" max="9487" width="20.85546875" style="378" customWidth="1"/>
    <col min="9488" max="9499" width="9.85546875" style="378" customWidth="1"/>
    <col min="9500" max="9500" width="15.7109375" style="378" customWidth="1"/>
    <col min="9501" max="9501" width="16.42578125" style="378" customWidth="1"/>
    <col min="9502" max="9502" width="28.7109375" style="378" customWidth="1"/>
    <col min="9503" max="9503" width="21.42578125" style="378" customWidth="1"/>
    <col min="9504" max="9504" width="15.7109375" style="378" bestFit="1" customWidth="1"/>
    <col min="9505" max="9724" width="11.42578125" style="378"/>
    <col min="9725" max="9725" width="9.140625" style="378" customWidth="1"/>
    <col min="9726" max="9726" width="20.140625" style="378" customWidth="1"/>
    <col min="9727" max="9727" width="9.140625" style="378" customWidth="1"/>
    <col min="9728" max="9728" width="21.7109375" style="378" customWidth="1"/>
    <col min="9729" max="9729" width="9.140625" style="378" customWidth="1"/>
    <col min="9730" max="9730" width="21.7109375" style="378" customWidth="1"/>
    <col min="9731" max="9731" width="9.140625" style="378" customWidth="1"/>
    <col min="9732" max="9732" width="28.140625" style="378" customWidth="1"/>
    <col min="9733" max="9733" width="22" style="378" customWidth="1"/>
    <col min="9734" max="9734" width="39.85546875" style="378" customWidth="1"/>
    <col min="9735" max="9735" width="19" style="378" customWidth="1"/>
    <col min="9736" max="9736" width="27.140625" style="378" bestFit="1" customWidth="1"/>
    <col min="9737" max="9737" width="14.85546875" style="378" customWidth="1"/>
    <col min="9738" max="9738" width="20.28515625" style="378" customWidth="1"/>
    <col min="9739" max="9739" width="16.42578125" style="378" customWidth="1"/>
    <col min="9740" max="9740" width="43.7109375" style="378" customWidth="1"/>
    <col min="9741" max="9741" width="28.7109375" style="378" customWidth="1"/>
    <col min="9742" max="9743" width="20.85546875" style="378" customWidth="1"/>
    <col min="9744" max="9755" width="9.85546875" style="378" customWidth="1"/>
    <col min="9756" max="9756" width="15.7109375" style="378" customWidth="1"/>
    <col min="9757" max="9757" width="16.42578125" style="378" customWidth="1"/>
    <col min="9758" max="9758" width="28.7109375" style="378" customWidth="1"/>
    <col min="9759" max="9759" width="21.42578125" style="378" customWidth="1"/>
    <col min="9760" max="9760" width="15.7109375" style="378" bestFit="1" customWidth="1"/>
    <col min="9761" max="9980" width="11.42578125" style="378"/>
    <col min="9981" max="9981" width="9.140625" style="378" customWidth="1"/>
    <col min="9982" max="9982" width="20.140625" style="378" customWidth="1"/>
    <col min="9983" max="9983" width="9.140625" style="378" customWidth="1"/>
    <col min="9984" max="9984" width="21.7109375" style="378" customWidth="1"/>
    <col min="9985" max="9985" width="9.140625" style="378" customWidth="1"/>
    <col min="9986" max="9986" width="21.7109375" style="378" customWidth="1"/>
    <col min="9987" max="9987" width="9.140625" style="378" customWidth="1"/>
    <col min="9988" max="9988" width="28.140625" style="378" customWidth="1"/>
    <col min="9989" max="9989" width="22" style="378" customWidth="1"/>
    <col min="9990" max="9990" width="39.85546875" style="378" customWidth="1"/>
    <col min="9991" max="9991" width="19" style="378" customWidth="1"/>
    <col min="9992" max="9992" width="27.140625" style="378" bestFit="1" customWidth="1"/>
    <col min="9993" max="9993" width="14.85546875" style="378" customWidth="1"/>
    <col min="9994" max="9994" width="20.28515625" style="378" customWidth="1"/>
    <col min="9995" max="9995" width="16.42578125" style="378" customWidth="1"/>
    <col min="9996" max="9996" width="43.7109375" style="378" customWidth="1"/>
    <col min="9997" max="9997" width="28.7109375" style="378" customWidth="1"/>
    <col min="9998" max="9999" width="20.85546875" style="378" customWidth="1"/>
    <col min="10000" max="10011" width="9.85546875" style="378" customWidth="1"/>
    <col min="10012" max="10012" width="15.7109375" style="378" customWidth="1"/>
    <col min="10013" max="10013" width="16.42578125" style="378" customWidth="1"/>
    <col min="10014" max="10014" width="28.7109375" style="378" customWidth="1"/>
    <col min="10015" max="10015" width="21.42578125" style="378" customWidth="1"/>
    <col min="10016" max="10016" width="15.7109375" style="378" bestFit="1" customWidth="1"/>
    <col min="10017" max="10236" width="11.42578125" style="378"/>
    <col min="10237" max="10237" width="9.140625" style="378" customWidth="1"/>
    <col min="10238" max="10238" width="20.140625" style="378" customWidth="1"/>
    <col min="10239" max="10239" width="9.140625" style="378" customWidth="1"/>
    <col min="10240" max="10240" width="21.7109375" style="378" customWidth="1"/>
    <col min="10241" max="10241" width="9.140625" style="378" customWidth="1"/>
    <col min="10242" max="10242" width="21.7109375" style="378" customWidth="1"/>
    <col min="10243" max="10243" width="9.140625" style="378" customWidth="1"/>
    <col min="10244" max="10244" width="28.140625" style="378" customWidth="1"/>
    <col min="10245" max="10245" width="22" style="378" customWidth="1"/>
    <col min="10246" max="10246" width="39.85546875" style="378" customWidth="1"/>
    <col min="10247" max="10247" width="19" style="378" customWidth="1"/>
    <col min="10248" max="10248" width="27.140625" style="378" bestFit="1" customWidth="1"/>
    <col min="10249" max="10249" width="14.85546875" style="378" customWidth="1"/>
    <col min="10250" max="10250" width="20.28515625" style="378" customWidth="1"/>
    <col min="10251" max="10251" width="16.42578125" style="378" customWidth="1"/>
    <col min="10252" max="10252" width="43.7109375" style="378" customWidth="1"/>
    <col min="10253" max="10253" width="28.7109375" style="378" customWidth="1"/>
    <col min="10254" max="10255" width="20.85546875" style="378" customWidth="1"/>
    <col min="10256" max="10267" width="9.85546875" style="378" customWidth="1"/>
    <col min="10268" max="10268" width="15.7109375" style="378" customWidth="1"/>
    <col min="10269" max="10269" width="16.42578125" style="378" customWidth="1"/>
    <col min="10270" max="10270" width="28.7109375" style="378" customWidth="1"/>
    <col min="10271" max="10271" width="21.42578125" style="378" customWidth="1"/>
    <col min="10272" max="10272" width="15.7109375" style="378" bestFit="1" customWidth="1"/>
    <col min="10273" max="10492" width="11.42578125" style="378"/>
    <col min="10493" max="10493" width="9.140625" style="378" customWidth="1"/>
    <col min="10494" max="10494" width="20.140625" style="378" customWidth="1"/>
    <col min="10495" max="10495" width="9.140625" style="378" customWidth="1"/>
    <col min="10496" max="10496" width="21.7109375" style="378" customWidth="1"/>
    <col min="10497" max="10497" width="9.140625" style="378" customWidth="1"/>
    <col min="10498" max="10498" width="21.7109375" style="378" customWidth="1"/>
    <col min="10499" max="10499" width="9.140625" style="378" customWidth="1"/>
    <col min="10500" max="10500" width="28.140625" style="378" customWidth="1"/>
    <col min="10501" max="10501" width="22" style="378" customWidth="1"/>
    <col min="10502" max="10502" width="39.85546875" style="378" customWidth="1"/>
    <col min="10503" max="10503" width="19" style="378" customWidth="1"/>
    <col min="10504" max="10504" width="27.140625" style="378" bestFit="1" customWidth="1"/>
    <col min="10505" max="10505" width="14.85546875" style="378" customWidth="1"/>
    <col min="10506" max="10506" width="20.28515625" style="378" customWidth="1"/>
    <col min="10507" max="10507" width="16.42578125" style="378" customWidth="1"/>
    <col min="10508" max="10508" width="43.7109375" style="378" customWidth="1"/>
    <col min="10509" max="10509" width="28.7109375" style="378" customWidth="1"/>
    <col min="10510" max="10511" width="20.85546875" style="378" customWidth="1"/>
    <col min="10512" max="10523" width="9.85546875" style="378" customWidth="1"/>
    <col min="10524" max="10524" width="15.7109375" style="378" customWidth="1"/>
    <col min="10525" max="10525" width="16.42578125" style="378" customWidth="1"/>
    <col min="10526" max="10526" width="28.7109375" style="378" customWidth="1"/>
    <col min="10527" max="10527" width="21.42578125" style="378" customWidth="1"/>
    <col min="10528" max="10528" width="15.7109375" style="378" bestFit="1" customWidth="1"/>
    <col min="10529" max="10748" width="11.42578125" style="378"/>
    <col min="10749" max="10749" width="9.140625" style="378" customWidth="1"/>
    <col min="10750" max="10750" width="20.140625" style="378" customWidth="1"/>
    <col min="10751" max="10751" width="9.140625" style="378" customWidth="1"/>
    <col min="10752" max="10752" width="21.7109375" style="378" customWidth="1"/>
    <col min="10753" max="10753" width="9.140625" style="378" customWidth="1"/>
    <col min="10754" max="10754" width="21.7109375" style="378" customWidth="1"/>
    <col min="10755" max="10755" width="9.140625" style="378" customWidth="1"/>
    <col min="10756" max="10756" width="28.140625" style="378" customWidth="1"/>
    <col min="10757" max="10757" width="22" style="378" customWidth="1"/>
    <col min="10758" max="10758" width="39.85546875" style="378" customWidth="1"/>
    <col min="10759" max="10759" width="19" style="378" customWidth="1"/>
    <col min="10760" max="10760" width="27.140625" style="378" bestFit="1" customWidth="1"/>
    <col min="10761" max="10761" width="14.85546875" style="378" customWidth="1"/>
    <col min="10762" max="10762" width="20.28515625" style="378" customWidth="1"/>
    <col min="10763" max="10763" width="16.42578125" style="378" customWidth="1"/>
    <col min="10764" max="10764" width="43.7109375" style="378" customWidth="1"/>
    <col min="10765" max="10765" width="28.7109375" style="378" customWidth="1"/>
    <col min="10766" max="10767" width="20.85546875" style="378" customWidth="1"/>
    <col min="10768" max="10779" width="9.85546875" style="378" customWidth="1"/>
    <col min="10780" max="10780" width="15.7109375" style="378" customWidth="1"/>
    <col min="10781" max="10781" width="16.42578125" style="378" customWidth="1"/>
    <col min="10782" max="10782" width="28.7109375" style="378" customWidth="1"/>
    <col min="10783" max="10783" width="21.42578125" style="378" customWidth="1"/>
    <col min="10784" max="10784" width="15.7109375" style="378" bestFit="1" customWidth="1"/>
    <col min="10785" max="11004" width="11.42578125" style="378"/>
    <col min="11005" max="11005" width="9.140625" style="378" customWidth="1"/>
    <col min="11006" max="11006" width="20.140625" style="378" customWidth="1"/>
    <col min="11007" max="11007" width="9.140625" style="378" customWidth="1"/>
    <col min="11008" max="11008" width="21.7109375" style="378" customWidth="1"/>
    <col min="11009" max="11009" width="9.140625" style="378" customWidth="1"/>
    <col min="11010" max="11010" width="21.7109375" style="378" customWidth="1"/>
    <col min="11011" max="11011" width="9.140625" style="378" customWidth="1"/>
    <col min="11012" max="11012" width="28.140625" style="378" customWidth="1"/>
    <col min="11013" max="11013" width="22" style="378" customWidth="1"/>
    <col min="11014" max="11014" width="39.85546875" style="378" customWidth="1"/>
    <col min="11015" max="11015" width="19" style="378" customWidth="1"/>
    <col min="11016" max="11016" width="27.140625" style="378" bestFit="1" customWidth="1"/>
    <col min="11017" max="11017" width="14.85546875" style="378" customWidth="1"/>
    <col min="11018" max="11018" width="20.28515625" style="378" customWidth="1"/>
    <col min="11019" max="11019" width="16.42578125" style="378" customWidth="1"/>
    <col min="11020" max="11020" width="43.7109375" style="378" customWidth="1"/>
    <col min="11021" max="11021" width="28.7109375" style="378" customWidth="1"/>
    <col min="11022" max="11023" width="20.85546875" style="378" customWidth="1"/>
    <col min="11024" max="11035" width="9.85546875" style="378" customWidth="1"/>
    <col min="11036" max="11036" width="15.7109375" style="378" customWidth="1"/>
    <col min="11037" max="11037" width="16.42578125" style="378" customWidth="1"/>
    <col min="11038" max="11038" width="28.7109375" style="378" customWidth="1"/>
    <col min="11039" max="11039" width="21.42578125" style="378" customWidth="1"/>
    <col min="11040" max="11040" width="15.7109375" style="378" bestFit="1" customWidth="1"/>
    <col min="11041" max="11260" width="11.42578125" style="378"/>
    <col min="11261" max="11261" width="9.140625" style="378" customWidth="1"/>
    <col min="11262" max="11262" width="20.140625" style="378" customWidth="1"/>
    <col min="11263" max="11263" width="9.140625" style="378" customWidth="1"/>
    <col min="11264" max="11264" width="21.7109375" style="378" customWidth="1"/>
    <col min="11265" max="11265" width="9.140625" style="378" customWidth="1"/>
    <col min="11266" max="11266" width="21.7109375" style="378" customWidth="1"/>
    <col min="11267" max="11267" width="9.140625" style="378" customWidth="1"/>
    <col min="11268" max="11268" width="28.140625" style="378" customWidth="1"/>
    <col min="11269" max="11269" width="22" style="378" customWidth="1"/>
    <col min="11270" max="11270" width="39.85546875" style="378" customWidth="1"/>
    <col min="11271" max="11271" width="19" style="378" customWidth="1"/>
    <col min="11272" max="11272" width="27.140625" style="378" bestFit="1" customWidth="1"/>
    <col min="11273" max="11273" width="14.85546875" style="378" customWidth="1"/>
    <col min="11274" max="11274" width="20.28515625" style="378" customWidth="1"/>
    <col min="11275" max="11275" width="16.42578125" style="378" customWidth="1"/>
    <col min="11276" max="11276" width="43.7109375" style="378" customWidth="1"/>
    <col min="11277" max="11277" width="28.7109375" style="378" customWidth="1"/>
    <col min="11278" max="11279" width="20.85546875" style="378" customWidth="1"/>
    <col min="11280" max="11291" width="9.85546875" style="378" customWidth="1"/>
    <col min="11292" max="11292" width="15.7109375" style="378" customWidth="1"/>
    <col min="11293" max="11293" width="16.42578125" style="378" customWidth="1"/>
    <col min="11294" max="11294" width="28.7109375" style="378" customWidth="1"/>
    <col min="11295" max="11295" width="21.42578125" style="378" customWidth="1"/>
    <col min="11296" max="11296" width="15.7109375" style="378" bestFit="1" customWidth="1"/>
    <col min="11297" max="11516" width="11.42578125" style="378"/>
    <col min="11517" max="11517" width="9.140625" style="378" customWidth="1"/>
    <col min="11518" max="11518" width="20.140625" style="378" customWidth="1"/>
    <col min="11519" max="11519" width="9.140625" style="378" customWidth="1"/>
    <col min="11520" max="11520" width="21.7109375" style="378" customWidth="1"/>
    <col min="11521" max="11521" width="9.140625" style="378" customWidth="1"/>
    <col min="11522" max="11522" width="21.7109375" style="378" customWidth="1"/>
    <col min="11523" max="11523" width="9.140625" style="378" customWidth="1"/>
    <col min="11524" max="11524" width="28.140625" style="378" customWidth="1"/>
    <col min="11525" max="11525" width="22" style="378" customWidth="1"/>
    <col min="11526" max="11526" width="39.85546875" style="378" customWidth="1"/>
    <col min="11527" max="11527" width="19" style="378" customWidth="1"/>
    <col min="11528" max="11528" width="27.140625" style="378" bestFit="1" customWidth="1"/>
    <col min="11529" max="11529" width="14.85546875" style="378" customWidth="1"/>
    <col min="11530" max="11530" width="20.28515625" style="378" customWidth="1"/>
    <col min="11531" max="11531" width="16.42578125" style="378" customWidth="1"/>
    <col min="11532" max="11532" width="43.7109375" style="378" customWidth="1"/>
    <col min="11533" max="11533" width="28.7109375" style="378" customWidth="1"/>
    <col min="11534" max="11535" width="20.85546875" style="378" customWidth="1"/>
    <col min="11536" max="11547" width="9.85546875" style="378" customWidth="1"/>
    <col min="11548" max="11548" width="15.7109375" style="378" customWidth="1"/>
    <col min="11549" max="11549" width="16.42578125" style="378" customWidth="1"/>
    <col min="11550" max="11550" width="28.7109375" style="378" customWidth="1"/>
    <col min="11551" max="11551" width="21.42578125" style="378" customWidth="1"/>
    <col min="11552" max="11552" width="15.7109375" style="378" bestFit="1" customWidth="1"/>
    <col min="11553" max="11772" width="11.42578125" style="378"/>
    <col min="11773" max="11773" width="9.140625" style="378" customWidth="1"/>
    <col min="11774" max="11774" width="20.140625" style="378" customWidth="1"/>
    <col min="11775" max="11775" width="9.140625" style="378" customWidth="1"/>
    <col min="11776" max="11776" width="21.7109375" style="378" customWidth="1"/>
    <col min="11777" max="11777" width="9.140625" style="378" customWidth="1"/>
    <col min="11778" max="11778" width="21.7109375" style="378" customWidth="1"/>
    <col min="11779" max="11779" width="9.140625" style="378" customWidth="1"/>
    <col min="11780" max="11780" width="28.140625" style="378" customWidth="1"/>
    <col min="11781" max="11781" width="22" style="378" customWidth="1"/>
    <col min="11782" max="11782" width="39.85546875" style="378" customWidth="1"/>
    <col min="11783" max="11783" width="19" style="378" customWidth="1"/>
    <col min="11784" max="11784" width="27.140625" style="378" bestFit="1" customWidth="1"/>
    <col min="11785" max="11785" width="14.85546875" style="378" customWidth="1"/>
    <col min="11786" max="11786" width="20.28515625" style="378" customWidth="1"/>
    <col min="11787" max="11787" width="16.42578125" style="378" customWidth="1"/>
    <col min="11788" max="11788" width="43.7109375" style="378" customWidth="1"/>
    <col min="11789" max="11789" width="28.7109375" style="378" customWidth="1"/>
    <col min="11790" max="11791" width="20.85546875" style="378" customWidth="1"/>
    <col min="11792" max="11803" width="9.85546875" style="378" customWidth="1"/>
    <col min="11804" max="11804" width="15.7109375" style="378" customWidth="1"/>
    <col min="11805" max="11805" width="16.42578125" style="378" customWidth="1"/>
    <col min="11806" max="11806" width="28.7109375" style="378" customWidth="1"/>
    <col min="11807" max="11807" width="21.42578125" style="378" customWidth="1"/>
    <col min="11808" max="11808" width="15.7109375" style="378" bestFit="1" customWidth="1"/>
    <col min="11809" max="12028" width="11.42578125" style="378"/>
    <col min="12029" max="12029" width="9.140625" style="378" customWidth="1"/>
    <col min="12030" max="12030" width="20.140625" style="378" customWidth="1"/>
    <col min="12031" max="12031" width="9.140625" style="378" customWidth="1"/>
    <col min="12032" max="12032" width="21.7109375" style="378" customWidth="1"/>
    <col min="12033" max="12033" width="9.140625" style="378" customWidth="1"/>
    <col min="12034" max="12034" width="21.7109375" style="378" customWidth="1"/>
    <col min="12035" max="12035" width="9.140625" style="378" customWidth="1"/>
    <col min="12036" max="12036" width="28.140625" style="378" customWidth="1"/>
    <col min="12037" max="12037" width="22" style="378" customWidth="1"/>
    <col min="12038" max="12038" width="39.85546875" style="378" customWidth="1"/>
    <col min="12039" max="12039" width="19" style="378" customWidth="1"/>
    <col min="12040" max="12040" width="27.140625" style="378" bestFit="1" customWidth="1"/>
    <col min="12041" max="12041" width="14.85546875" style="378" customWidth="1"/>
    <col min="12042" max="12042" width="20.28515625" style="378" customWidth="1"/>
    <col min="12043" max="12043" width="16.42578125" style="378" customWidth="1"/>
    <col min="12044" max="12044" width="43.7109375" style="378" customWidth="1"/>
    <col min="12045" max="12045" width="28.7109375" style="378" customWidth="1"/>
    <col min="12046" max="12047" width="20.85546875" style="378" customWidth="1"/>
    <col min="12048" max="12059" width="9.85546875" style="378" customWidth="1"/>
    <col min="12060" max="12060" width="15.7109375" style="378" customWidth="1"/>
    <col min="12061" max="12061" width="16.42578125" style="378" customWidth="1"/>
    <col min="12062" max="12062" width="28.7109375" style="378" customWidth="1"/>
    <col min="12063" max="12063" width="21.42578125" style="378" customWidth="1"/>
    <col min="12064" max="12064" width="15.7109375" style="378" bestFit="1" customWidth="1"/>
    <col min="12065" max="12284" width="11.42578125" style="378"/>
    <col min="12285" max="12285" width="9.140625" style="378" customWidth="1"/>
    <col min="12286" max="12286" width="20.140625" style="378" customWidth="1"/>
    <col min="12287" max="12287" width="9.140625" style="378" customWidth="1"/>
    <col min="12288" max="12288" width="21.7109375" style="378" customWidth="1"/>
    <col min="12289" max="12289" width="9.140625" style="378" customWidth="1"/>
    <col min="12290" max="12290" width="21.7109375" style="378" customWidth="1"/>
    <col min="12291" max="12291" width="9.140625" style="378" customWidth="1"/>
    <col min="12292" max="12292" width="28.140625" style="378" customWidth="1"/>
    <col min="12293" max="12293" width="22" style="378" customWidth="1"/>
    <col min="12294" max="12294" width="39.85546875" style="378" customWidth="1"/>
    <col min="12295" max="12295" width="19" style="378" customWidth="1"/>
    <col min="12296" max="12296" width="27.140625" style="378" bestFit="1" customWidth="1"/>
    <col min="12297" max="12297" width="14.85546875" style="378" customWidth="1"/>
    <col min="12298" max="12298" width="20.28515625" style="378" customWidth="1"/>
    <col min="12299" max="12299" width="16.42578125" style="378" customWidth="1"/>
    <col min="12300" max="12300" width="43.7109375" style="378" customWidth="1"/>
    <col min="12301" max="12301" width="28.7109375" style="378" customWidth="1"/>
    <col min="12302" max="12303" width="20.85546875" style="378" customWidth="1"/>
    <col min="12304" max="12315" width="9.85546875" style="378" customWidth="1"/>
    <col min="12316" max="12316" width="15.7109375" style="378" customWidth="1"/>
    <col min="12317" max="12317" width="16.42578125" style="378" customWidth="1"/>
    <col min="12318" max="12318" width="28.7109375" style="378" customWidth="1"/>
    <col min="12319" max="12319" width="21.42578125" style="378" customWidth="1"/>
    <col min="12320" max="12320" width="15.7109375" style="378" bestFit="1" customWidth="1"/>
    <col min="12321" max="12540" width="11.42578125" style="378"/>
    <col min="12541" max="12541" width="9.140625" style="378" customWidth="1"/>
    <col min="12542" max="12542" width="20.140625" style="378" customWidth="1"/>
    <col min="12543" max="12543" width="9.140625" style="378" customWidth="1"/>
    <col min="12544" max="12544" width="21.7109375" style="378" customWidth="1"/>
    <col min="12545" max="12545" width="9.140625" style="378" customWidth="1"/>
    <col min="12546" max="12546" width="21.7109375" style="378" customWidth="1"/>
    <col min="12547" max="12547" width="9.140625" style="378" customWidth="1"/>
    <col min="12548" max="12548" width="28.140625" style="378" customWidth="1"/>
    <col min="12549" max="12549" width="22" style="378" customWidth="1"/>
    <col min="12550" max="12550" width="39.85546875" style="378" customWidth="1"/>
    <col min="12551" max="12551" width="19" style="378" customWidth="1"/>
    <col min="12552" max="12552" width="27.140625" style="378" bestFit="1" customWidth="1"/>
    <col min="12553" max="12553" width="14.85546875" style="378" customWidth="1"/>
    <col min="12554" max="12554" width="20.28515625" style="378" customWidth="1"/>
    <col min="12555" max="12555" width="16.42578125" style="378" customWidth="1"/>
    <col min="12556" max="12556" width="43.7109375" style="378" customWidth="1"/>
    <col min="12557" max="12557" width="28.7109375" style="378" customWidth="1"/>
    <col min="12558" max="12559" width="20.85546875" style="378" customWidth="1"/>
    <col min="12560" max="12571" width="9.85546875" style="378" customWidth="1"/>
    <col min="12572" max="12572" width="15.7109375" style="378" customWidth="1"/>
    <col min="12573" max="12573" width="16.42578125" style="378" customWidth="1"/>
    <col min="12574" max="12574" width="28.7109375" style="378" customWidth="1"/>
    <col min="12575" max="12575" width="21.42578125" style="378" customWidth="1"/>
    <col min="12576" max="12576" width="15.7109375" style="378" bestFit="1" customWidth="1"/>
    <col min="12577" max="12796" width="11.42578125" style="378"/>
    <col min="12797" max="12797" width="9.140625" style="378" customWidth="1"/>
    <col min="12798" max="12798" width="20.140625" style="378" customWidth="1"/>
    <col min="12799" max="12799" width="9.140625" style="378" customWidth="1"/>
    <col min="12800" max="12800" width="21.7109375" style="378" customWidth="1"/>
    <col min="12801" max="12801" width="9.140625" style="378" customWidth="1"/>
    <col min="12802" max="12802" width="21.7109375" style="378" customWidth="1"/>
    <col min="12803" max="12803" width="9.140625" style="378" customWidth="1"/>
    <col min="12804" max="12804" width="28.140625" style="378" customWidth="1"/>
    <col min="12805" max="12805" width="22" style="378" customWidth="1"/>
    <col min="12806" max="12806" width="39.85546875" style="378" customWidth="1"/>
    <col min="12807" max="12807" width="19" style="378" customWidth="1"/>
    <col min="12808" max="12808" width="27.140625" style="378" bestFit="1" customWidth="1"/>
    <col min="12809" max="12809" width="14.85546875" style="378" customWidth="1"/>
    <col min="12810" max="12810" width="20.28515625" style="378" customWidth="1"/>
    <col min="12811" max="12811" width="16.42578125" style="378" customWidth="1"/>
    <col min="12812" max="12812" width="43.7109375" style="378" customWidth="1"/>
    <col min="12813" max="12813" width="28.7109375" style="378" customWidth="1"/>
    <col min="12814" max="12815" width="20.85546875" style="378" customWidth="1"/>
    <col min="12816" max="12827" width="9.85546875" style="378" customWidth="1"/>
    <col min="12828" max="12828" width="15.7109375" style="378" customWidth="1"/>
    <col min="12829" max="12829" width="16.42578125" style="378" customWidth="1"/>
    <col min="12830" max="12830" width="28.7109375" style="378" customWidth="1"/>
    <col min="12831" max="12831" width="21.42578125" style="378" customWidth="1"/>
    <col min="12832" max="12832" width="15.7109375" style="378" bestFit="1" customWidth="1"/>
    <col min="12833" max="13052" width="11.42578125" style="378"/>
    <col min="13053" max="13053" width="9.140625" style="378" customWidth="1"/>
    <col min="13054" max="13054" width="20.140625" style="378" customWidth="1"/>
    <col min="13055" max="13055" width="9.140625" style="378" customWidth="1"/>
    <col min="13056" max="13056" width="21.7109375" style="378" customWidth="1"/>
    <col min="13057" max="13057" width="9.140625" style="378" customWidth="1"/>
    <col min="13058" max="13058" width="21.7109375" style="378" customWidth="1"/>
    <col min="13059" max="13059" width="9.140625" style="378" customWidth="1"/>
    <col min="13060" max="13060" width="28.140625" style="378" customWidth="1"/>
    <col min="13061" max="13061" width="22" style="378" customWidth="1"/>
    <col min="13062" max="13062" width="39.85546875" style="378" customWidth="1"/>
    <col min="13063" max="13063" width="19" style="378" customWidth="1"/>
    <col min="13064" max="13064" width="27.140625" style="378" bestFit="1" customWidth="1"/>
    <col min="13065" max="13065" width="14.85546875" style="378" customWidth="1"/>
    <col min="13066" max="13066" width="20.28515625" style="378" customWidth="1"/>
    <col min="13067" max="13067" width="16.42578125" style="378" customWidth="1"/>
    <col min="13068" max="13068" width="43.7109375" style="378" customWidth="1"/>
    <col min="13069" max="13069" width="28.7109375" style="378" customWidth="1"/>
    <col min="13070" max="13071" width="20.85546875" style="378" customWidth="1"/>
    <col min="13072" max="13083" width="9.85546875" style="378" customWidth="1"/>
    <col min="13084" max="13084" width="15.7109375" style="378" customWidth="1"/>
    <col min="13085" max="13085" width="16.42578125" style="378" customWidth="1"/>
    <col min="13086" max="13086" width="28.7109375" style="378" customWidth="1"/>
    <col min="13087" max="13087" width="21.42578125" style="378" customWidth="1"/>
    <col min="13088" max="13088" width="15.7109375" style="378" bestFit="1" customWidth="1"/>
    <col min="13089" max="13308" width="11.42578125" style="378"/>
    <col min="13309" max="13309" width="9.140625" style="378" customWidth="1"/>
    <col min="13310" max="13310" width="20.140625" style="378" customWidth="1"/>
    <col min="13311" max="13311" width="9.140625" style="378" customWidth="1"/>
    <col min="13312" max="13312" width="21.7109375" style="378" customWidth="1"/>
    <col min="13313" max="13313" width="9.140625" style="378" customWidth="1"/>
    <col min="13314" max="13314" width="21.7109375" style="378" customWidth="1"/>
    <col min="13315" max="13315" width="9.140625" style="378" customWidth="1"/>
    <col min="13316" max="13316" width="28.140625" style="378" customWidth="1"/>
    <col min="13317" max="13317" width="22" style="378" customWidth="1"/>
    <col min="13318" max="13318" width="39.85546875" style="378" customWidth="1"/>
    <col min="13319" max="13319" width="19" style="378" customWidth="1"/>
    <col min="13320" max="13320" width="27.140625" style="378" bestFit="1" customWidth="1"/>
    <col min="13321" max="13321" width="14.85546875" style="378" customWidth="1"/>
    <col min="13322" max="13322" width="20.28515625" style="378" customWidth="1"/>
    <col min="13323" max="13323" width="16.42578125" style="378" customWidth="1"/>
    <col min="13324" max="13324" width="43.7109375" style="378" customWidth="1"/>
    <col min="13325" max="13325" width="28.7109375" style="378" customWidth="1"/>
    <col min="13326" max="13327" width="20.85546875" style="378" customWidth="1"/>
    <col min="13328" max="13339" width="9.85546875" style="378" customWidth="1"/>
    <col min="13340" max="13340" width="15.7109375" style="378" customWidth="1"/>
    <col min="13341" max="13341" width="16.42578125" style="378" customWidth="1"/>
    <col min="13342" max="13342" width="28.7109375" style="378" customWidth="1"/>
    <col min="13343" max="13343" width="21.42578125" style="378" customWidth="1"/>
    <col min="13344" max="13344" width="15.7109375" style="378" bestFit="1" customWidth="1"/>
    <col min="13345" max="13564" width="11.42578125" style="378"/>
    <col min="13565" max="13565" width="9.140625" style="378" customWidth="1"/>
    <col min="13566" max="13566" width="20.140625" style="378" customWidth="1"/>
    <col min="13567" max="13567" width="9.140625" style="378" customWidth="1"/>
    <col min="13568" max="13568" width="21.7109375" style="378" customWidth="1"/>
    <col min="13569" max="13569" width="9.140625" style="378" customWidth="1"/>
    <col min="13570" max="13570" width="21.7109375" style="378" customWidth="1"/>
    <col min="13571" max="13571" width="9.140625" style="378" customWidth="1"/>
    <col min="13572" max="13572" width="28.140625" style="378" customWidth="1"/>
    <col min="13573" max="13573" width="22" style="378" customWidth="1"/>
    <col min="13574" max="13574" width="39.85546875" style="378" customWidth="1"/>
    <col min="13575" max="13575" width="19" style="378" customWidth="1"/>
    <col min="13576" max="13576" width="27.140625" style="378" bestFit="1" customWidth="1"/>
    <col min="13577" max="13577" width="14.85546875" style="378" customWidth="1"/>
    <col min="13578" max="13578" width="20.28515625" style="378" customWidth="1"/>
    <col min="13579" max="13579" width="16.42578125" style="378" customWidth="1"/>
    <col min="13580" max="13580" width="43.7109375" style="378" customWidth="1"/>
    <col min="13581" max="13581" width="28.7109375" style="378" customWidth="1"/>
    <col min="13582" max="13583" width="20.85546875" style="378" customWidth="1"/>
    <col min="13584" max="13595" width="9.85546875" style="378" customWidth="1"/>
    <col min="13596" max="13596" width="15.7109375" style="378" customWidth="1"/>
    <col min="13597" max="13597" width="16.42578125" style="378" customWidth="1"/>
    <col min="13598" max="13598" width="28.7109375" style="378" customWidth="1"/>
    <col min="13599" max="13599" width="21.42578125" style="378" customWidth="1"/>
    <col min="13600" max="13600" width="15.7109375" style="378" bestFit="1" customWidth="1"/>
    <col min="13601" max="13820" width="11.42578125" style="378"/>
    <col min="13821" max="13821" width="9.140625" style="378" customWidth="1"/>
    <col min="13822" max="13822" width="20.140625" style="378" customWidth="1"/>
    <col min="13823" max="13823" width="9.140625" style="378" customWidth="1"/>
    <col min="13824" max="13824" width="21.7109375" style="378" customWidth="1"/>
    <col min="13825" max="13825" width="9.140625" style="378" customWidth="1"/>
    <col min="13826" max="13826" width="21.7109375" style="378" customWidth="1"/>
    <col min="13827" max="13827" width="9.140625" style="378" customWidth="1"/>
    <col min="13828" max="13828" width="28.140625" style="378" customWidth="1"/>
    <col min="13829" max="13829" width="22" style="378" customWidth="1"/>
    <col min="13830" max="13830" width="39.85546875" style="378" customWidth="1"/>
    <col min="13831" max="13831" width="19" style="378" customWidth="1"/>
    <col min="13832" max="13832" width="27.140625" style="378" bestFit="1" customWidth="1"/>
    <col min="13833" max="13833" width="14.85546875" style="378" customWidth="1"/>
    <col min="13834" max="13834" width="20.28515625" style="378" customWidth="1"/>
    <col min="13835" max="13835" width="16.42578125" style="378" customWidth="1"/>
    <col min="13836" max="13836" width="43.7109375" style="378" customWidth="1"/>
    <col min="13837" max="13837" width="28.7109375" style="378" customWidth="1"/>
    <col min="13838" max="13839" width="20.85546875" style="378" customWidth="1"/>
    <col min="13840" max="13851" width="9.85546875" style="378" customWidth="1"/>
    <col min="13852" max="13852" width="15.7109375" style="378" customWidth="1"/>
    <col min="13853" max="13853" width="16.42578125" style="378" customWidth="1"/>
    <col min="13854" max="13854" width="28.7109375" style="378" customWidth="1"/>
    <col min="13855" max="13855" width="21.42578125" style="378" customWidth="1"/>
    <col min="13856" max="13856" width="15.7109375" style="378" bestFit="1" customWidth="1"/>
    <col min="13857" max="14076" width="11.42578125" style="378"/>
    <col min="14077" max="14077" width="9.140625" style="378" customWidth="1"/>
    <col min="14078" max="14078" width="20.140625" style="378" customWidth="1"/>
    <col min="14079" max="14079" width="9.140625" style="378" customWidth="1"/>
    <col min="14080" max="14080" width="21.7109375" style="378" customWidth="1"/>
    <col min="14081" max="14081" width="9.140625" style="378" customWidth="1"/>
    <col min="14082" max="14082" width="21.7109375" style="378" customWidth="1"/>
    <col min="14083" max="14083" width="9.140625" style="378" customWidth="1"/>
    <col min="14084" max="14084" width="28.140625" style="378" customWidth="1"/>
    <col min="14085" max="14085" width="22" style="378" customWidth="1"/>
    <col min="14086" max="14086" width="39.85546875" style="378" customWidth="1"/>
    <col min="14087" max="14087" width="19" style="378" customWidth="1"/>
    <col min="14088" max="14088" width="27.140625" style="378" bestFit="1" customWidth="1"/>
    <col min="14089" max="14089" width="14.85546875" style="378" customWidth="1"/>
    <col min="14090" max="14090" width="20.28515625" style="378" customWidth="1"/>
    <col min="14091" max="14091" width="16.42578125" style="378" customWidth="1"/>
    <col min="14092" max="14092" width="43.7109375" style="378" customWidth="1"/>
    <col min="14093" max="14093" width="28.7109375" style="378" customWidth="1"/>
    <col min="14094" max="14095" width="20.85546875" style="378" customWidth="1"/>
    <col min="14096" max="14107" width="9.85546875" style="378" customWidth="1"/>
    <col min="14108" max="14108" width="15.7109375" style="378" customWidth="1"/>
    <col min="14109" max="14109" width="16.42578125" style="378" customWidth="1"/>
    <col min="14110" max="14110" width="28.7109375" style="378" customWidth="1"/>
    <col min="14111" max="14111" width="21.42578125" style="378" customWidth="1"/>
    <col min="14112" max="14112" width="15.7109375" style="378" bestFit="1" customWidth="1"/>
    <col min="14113" max="14332" width="11.42578125" style="378"/>
    <col min="14333" max="14333" width="9.140625" style="378" customWidth="1"/>
    <col min="14334" max="14334" width="20.140625" style="378" customWidth="1"/>
    <col min="14335" max="14335" width="9.140625" style="378" customWidth="1"/>
    <col min="14336" max="14336" width="21.7109375" style="378" customWidth="1"/>
    <col min="14337" max="14337" width="9.140625" style="378" customWidth="1"/>
    <col min="14338" max="14338" width="21.7109375" style="378" customWidth="1"/>
    <col min="14339" max="14339" width="9.140625" style="378" customWidth="1"/>
    <col min="14340" max="14340" width="28.140625" style="378" customWidth="1"/>
    <col min="14341" max="14341" width="22" style="378" customWidth="1"/>
    <col min="14342" max="14342" width="39.85546875" style="378" customWidth="1"/>
    <col min="14343" max="14343" width="19" style="378" customWidth="1"/>
    <col min="14344" max="14344" width="27.140625" style="378" bestFit="1" customWidth="1"/>
    <col min="14345" max="14345" width="14.85546875" style="378" customWidth="1"/>
    <col min="14346" max="14346" width="20.28515625" style="378" customWidth="1"/>
    <col min="14347" max="14347" width="16.42578125" style="378" customWidth="1"/>
    <col min="14348" max="14348" width="43.7109375" style="378" customWidth="1"/>
    <col min="14349" max="14349" width="28.7109375" style="378" customWidth="1"/>
    <col min="14350" max="14351" width="20.85546875" style="378" customWidth="1"/>
    <col min="14352" max="14363" width="9.85546875" style="378" customWidth="1"/>
    <col min="14364" max="14364" width="15.7109375" style="378" customWidth="1"/>
    <col min="14365" max="14365" width="16.42578125" style="378" customWidth="1"/>
    <col min="14366" max="14366" width="28.7109375" style="378" customWidth="1"/>
    <col min="14367" max="14367" width="21.42578125" style="378" customWidth="1"/>
    <col min="14368" max="14368" width="15.7109375" style="378" bestFit="1" customWidth="1"/>
    <col min="14369" max="14588" width="11.42578125" style="378"/>
    <col min="14589" max="14589" width="9.140625" style="378" customWidth="1"/>
    <col min="14590" max="14590" width="20.140625" style="378" customWidth="1"/>
    <col min="14591" max="14591" width="9.140625" style="378" customWidth="1"/>
    <col min="14592" max="14592" width="21.7109375" style="378" customWidth="1"/>
    <col min="14593" max="14593" width="9.140625" style="378" customWidth="1"/>
    <col min="14594" max="14594" width="21.7109375" style="378" customWidth="1"/>
    <col min="14595" max="14595" width="9.140625" style="378" customWidth="1"/>
    <col min="14596" max="14596" width="28.140625" style="378" customWidth="1"/>
    <col min="14597" max="14597" width="22" style="378" customWidth="1"/>
    <col min="14598" max="14598" width="39.85546875" style="378" customWidth="1"/>
    <col min="14599" max="14599" width="19" style="378" customWidth="1"/>
    <col min="14600" max="14600" width="27.140625" style="378" bestFit="1" customWidth="1"/>
    <col min="14601" max="14601" width="14.85546875" style="378" customWidth="1"/>
    <col min="14602" max="14602" width="20.28515625" style="378" customWidth="1"/>
    <col min="14603" max="14603" width="16.42578125" style="378" customWidth="1"/>
    <col min="14604" max="14604" width="43.7109375" style="378" customWidth="1"/>
    <col min="14605" max="14605" width="28.7109375" style="378" customWidth="1"/>
    <col min="14606" max="14607" width="20.85546875" style="378" customWidth="1"/>
    <col min="14608" max="14619" width="9.85546875" style="378" customWidth="1"/>
    <col min="14620" max="14620" width="15.7109375" style="378" customWidth="1"/>
    <col min="14621" max="14621" width="16.42578125" style="378" customWidth="1"/>
    <col min="14622" max="14622" width="28.7109375" style="378" customWidth="1"/>
    <col min="14623" max="14623" width="21.42578125" style="378" customWidth="1"/>
    <col min="14624" max="14624" width="15.7109375" style="378" bestFit="1" customWidth="1"/>
    <col min="14625" max="14844" width="11.42578125" style="378"/>
    <col min="14845" max="14845" width="9.140625" style="378" customWidth="1"/>
    <col min="14846" max="14846" width="20.140625" style="378" customWidth="1"/>
    <col min="14847" max="14847" width="9.140625" style="378" customWidth="1"/>
    <col min="14848" max="14848" width="21.7109375" style="378" customWidth="1"/>
    <col min="14849" max="14849" width="9.140625" style="378" customWidth="1"/>
    <col min="14850" max="14850" width="21.7109375" style="378" customWidth="1"/>
    <col min="14851" max="14851" width="9.140625" style="378" customWidth="1"/>
    <col min="14852" max="14852" width="28.140625" style="378" customWidth="1"/>
    <col min="14853" max="14853" width="22" style="378" customWidth="1"/>
    <col min="14854" max="14854" width="39.85546875" style="378" customWidth="1"/>
    <col min="14855" max="14855" width="19" style="378" customWidth="1"/>
    <col min="14856" max="14856" width="27.140625" style="378" bestFit="1" customWidth="1"/>
    <col min="14857" max="14857" width="14.85546875" style="378" customWidth="1"/>
    <col min="14858" max="14858" width="20.28515625" style="378" customWidth="1"/>
    <col min="14859" max="14859" width="16.42578125" style="378" customWidth="1"/>
    <col min="14860" max="14860" width="43.7109375" style="378" customWidth="1"/>
    <col min="14861" max="14861" width="28.7109375" style="378" customWidth="1"/>
    <col min="14862" max="14863" width="20.85546875" style="378" customWidth="1"/>
    <col min="14864" max="14875" width="9.85546875" style="378" customWidth="1"/>
    <col min="14876" max="14876" width="15.7109375" style="378" customWidth="1"/>
    <col min="14877" max="14877" width="16.42578125" style="378" customWidth="1"/>
    <col min="14878" max="14878" width="28.7109375" style="378" customWidth="1"/>
    <col min="14879" max="14879" width="21.42578125" style="378" customWidth="1"/>
    <col min="14880" max="14880" width="15.7109375" style="378" bestFit="1" customWidth="1"/>
    <col min="14881" max="15100" width="11.42578125" style="378"/>
    <col min="15101" max="15101" width="9.140625" style="378" customWidth="1"/>
    <col min="15102" max="15102" width="20.140625" style="378" customWidth="1"/>
    <col min="15103" max="15103" width="9.140625" style="378" customWidth="1"/>
    <col min="15104" max="15104" width="21.7109375" style="378" customWidth="1"/>
    <col min="15105" max="15105" width="9.140625" style="378" customWidth="1"/>
    <col min="15106" max="15106" width="21.7109375" style="378" customWidth="1"/>
    <col min="15107" max="15107" width="9.140625" style="378" customWidth="1"/>
    <col min="15108" max="15108" width="28.140625" style="378" customWidth="1"/>
    <col min="15109" max="15109" width="22" style="378" customWidth="1"/>
    <col min="15110" max="15110" width="39.85546875" style="378" customWidth="1"/>
    <col min="15111" max="15111" width="19" style="378" customWidth="1"/>
    <col min="15112" max="15112" width="27.140625" style="378" bestFit="1" customWidth="1"/>
    <col min="15113" max="15113" width="14.85546875" style="378" customWidth="1"/>
    <col min="15114" max="15114" width="20.28515625" style="378" customWidth="1"/>
    <col min="15115" max="15115" width="16.42578125" style="378" customWidth="1"/>
    <col min="15116" max="15116" width="43.7109375" style="378" customWidth="1"/>
    <col min="15117" max="15117" width="28.7109375" style="378" customWidth="1"/>
    <col min="15118" max="15119" width="20.85546875" style="378" customWidth="1"/>
    <col min="15120" max="15131" width="9.85546875" style="378" customWidth="1"/>
    <col min="15132" max="15132" width="15.7109375" style="378" customWidth="1"/>
    <col min="15133" max="15133" width="16.42578125" style="378" customWidth="1"/>
    <col min="15134" max="15134" width="28.7109375" style="378" customWidth="1"/>
    <col min="15135" max="15135" width="21.42578125" style="378" customWidth="1"/>
    <col min="15136" max="15136" width="15.7109375" style="378" bestFit="1" customWidth="1"/>
    <col min="15137" max="15356" width="11.42578125" style="378"/>
    <col min="15357" max="15357" width="9.140625" style="378" customWidth="1"/>
    <col min="15358" max="15358" width="20.140625" style="378" customWidth="1"/>
    <col min="15359" max="15359" width="9.140625" style="378" customWidth="1"/>
    <col min="15360" max="15360" width="21.7109375" style="378" customWidth="1"/>
    <col min="15361" max="15361" width="9.140625" style="378" customWidth="1"/>
    <col min="15362" max="15362" width="21.7109375" style="378" customWidth="1"/>
    <col min="15363" max="15363" width="9.140625" style="378" customWidth="1"/>
    <col min="15364" max="15364" width="28.140625" style="378" customWidth="1"/>
    <col min="15365" max="15365" width="22" style="378" customWidth="1"/>
    <col min="15366" max="15366" width="39.85546875" style="378" customWidth="1"/>
    <col min="15367" max="15367" width="19" style="378" customWidth="1"/>
    <col min="15368" max="15368" width="27.140625" style="378" bestFit="1" customWidth="1"/>
    <col min="15369" max="15369" width="14.85546875" style="378" customWidth="1"/>
    <col min="15370" max="15370" width="20.28515625" style="378" customWidth="1"/>
    <col min="15371" max="15371" width="16.42578125" style="378" customWidth="1"/>
    <col min="15372" max="15372" width="43.7109375" style="378" customWidth="1"/>
    <col min="15373" max="15373" width="28.7109375" style="378" customWidth="1"/>
    <col min="15374" max="15375" width="20.85546875" style="378" customWidth="1"/>
    <col min="15376" max="15387" width="9.85546875" style="378" customWidth="1"/>
    <col min="15388" max="15388" width="15.7109375" style="378" customWidth="1"/>
    <col min="15389" max="15389" width="16.42578125" style="378" customWidth="1"/>
    <col min="15390" max="15390" width="28.7109375" style="378" customWidth="1"/>
    <col min="15391" max="15391" width="21.42578125" style="378" customWidth="1"/>
    <col min="15392" max="15392" width="15.7109375" style="378" bestFit="1" customWidth="1"/>
    <col min="15393" max="15612" width="11.42578125" style="378"/>
    <col min="15613" max="15613" width="9.140625" style="378" customWidth="1"/>
    <col min="15614" max="15614" width="20.140625" style="378" customWidth="1"/>
    <col min="15615" max="15615" width="9.140625" style="378" customWidth="1"/>
    <col min="15616" max="15616" width="21.7109375" style="378" customWidth="1"/>
    <col min="15617" max="15617" width="9.140625" style="378" customWidth="1"/>
    <col min="15618" max="15618" width="21.7109375" style="378" customWidth="1"/>
    <col min="15619" max="15619" width="9.140625" style="378" customWidth="1"/>
    <col min="15620" max="15620" width="28.140625" style="378" customWidth="1"/>
    <col min="15621" max="15621" width="22" style="378" customWidth="1"/>
    <col min="15622" max="15622" width="39.85546875" style="378" customWidth="1"/>
    <col min="15623" max="15623" width="19" style="378" customWidth="1"/>
    <col min="15624" max="15624" width="27.140625" style="378" bestFit="1" customWidth="1"/>
    <col min="15625" max="15625" width="14.85546875" style="378" customWidth="1"/>
    <col min="15626" max="15626" width="20.28515625" style="378" customWidth="1"/>
    <col min="15627" max="15627" width="16.42578125" style="378" customWidth="1"/>
    <col min="15628" max="15628" width="43.7109375" style="378" customWidth="1"/>
    <col min="15629" max="15629" width="28.7109375" style="378" customWidth="1"/>
    <col min="15630" max="15631" width="20.85546875" style="378" customWidth="1"/>
    <col min="15632" max="15643" width="9.85546875" style="378" customWidth="1"/>
    <col min="15644" max="15644" width="15.7109375" style="378" customWidth="1"/>
    <col min="15645" max="15645" width="16.42578125" style="378" customWidth="1"/>
    <col min="15646" max="15646" width="28.7109375" style="378" customWidth="1"/>
    <col min="15647" max="15647" width="21.42578125" style="378" customWidth="1"/>
    <col min="15648" max="15648" width="15.7109375" style="378" bestFit="1" customWidth="1"/>
    <col min="15649" max="15868" width="11.42578125" style="378"/>
    <col min="15869" max="15869" width="9.140625" style="378" customWidth="1"/>
    <col min="15870" max="15870" width="20.140625" style="378" customWidth="1"/>
    <col min="15871" max="15871" width="9.140625" style="378" customWidth="1"/>
    <col min="15872" max="15872" width="21.7109375" style="378" customWidth="1"/>
    <col min="15873" max="15873" width="9.140625" style="378" customWidth="1"/>
    <col min="15874" max="15874" width="21.7109375" style="378" customWidth="1"/>
    <col min="15875" max="15875" width="9.140625" style="378" customWidth="1"/>
    <col min="15876" max="15876" width="28.140625" style="378" customWidth="1"/>
    <col min="15877" max="15877" width="22" style="378" customWidth="1"/>
    <col min="15878" max="15878" width="39.85546875" style="378" customWidth="1"/>
    <col min="15879" max="15879" width="19" style="378" customWidth="1"/>
    <col min="15880" max="15880" width="27.140625" style="378" bestFit="1" customWidth="1"/>
    <col min="15881" max="15881" width="14.85546875" style="378" customWidth="1"/>
    <col min="15882" max="15882" width="20.28515625" style="378" customWidth="1"/>
    <col min="15883" max="15883" width="16.42578125" style="378" customWidth="1"/>
    <col min="15884" max="15884" width="43.7109375" style="378" customWidth="1"/>
    <col min="15885" max="15885" width="28.7109375" style="378" customWidth="1"/>
    <col min="15886" max="15887" width="20.85546875" style="378" customWidth="1"/>
    <col min="15888" max="15899" width="9.85546875" style="378" customWidth="1"/>
    <col min="15900" max="15900" width="15.7109375" style="378" customWidth="1"/>
    <col min="15901" max="15901" width="16.42578125" style="378" customWidth="1"/>
    <col min="15902" max="15902" width="28.7109375" style="378" customWidth="1"/>
    <col min="15903" max="15903" width="21.42578125" style="378" customWidth="1"/>
    <col min="15904" max="15904" width="15.7109375" style="378" bestFit="1" customWidth="1"/>
    <col min="15905" max="16124" width="11.42578125" style="378"/>
    <col min="16125" max="16125" width="9.140625" style="378" customWidth="1"/>
    <col min="16126" max="16126" width="20.140625" style="378" customWidth="1"/>
    <col min="16127" max="16127" width="9.140625" style="378" customWidth="1"/>
    <col min="16128" max="16128" width="21.7109375" style="378" customWidth="1"/>
    <col min="16129" max="16129" width="9.140625" style="378" customWidth="1"/>
    <col min="16130" max="16130" width="21.7109375" style="378" customWidth="1"/>
    <col min="16131" max="16131" width="9.140625" style="378" customWidth="1"/>
    <col min="16132" max="16132" width="28.140625" style="378" customWidth="1"/>
    <col min="16133" max="16133" width="22" style="378" customWidth="1"/>
    <col min="16134" max="16134" width="39.85546875" style="378" customWidth="1"/>
    <col min="16135" max="16135" width="19" style="378" customWidth="1"/>
    <col min="16136" max="16136" width="27.140625" style="378" bestFit="1" customWidth="1"/>
    <col min="16137" max="16137" width="14.85546875" style="378" customWidth="1"/>
    <col min="16138" max="16138" width="20.28515625" style="378" customWidth="1"/>
    <col min="16139" max="16139" width="16.42578125" style="378" customWidth="1"/>
    <col min="16140" max="16140" width="43.7109375" style="378" customWidth="1"/>
    <col min="16141" max="16141" width="28.7109375" style="378" customWidth="1"/>
    <col min="16142" max="16143" width="20.85546875" style="378" customWidth="1"/>
    <col min="16144" max="16155" width="9.85546875" style="378" customWidth="1"/>
    <col min="16156" max="16156" width="15.7109375" style="378" customWidth="1"/>
    <col min="16157" max="16157" width="16.42578125" style="378" customWidth="1"/>
    <col min="16158" max="16158" width="28.7109375" style="378" customWidth="1"/>
    <col min="16159" max="16159" width="21.42578125" style="378" customWidth="1"/>
    <col min="16160" max="16160" width="15.7109375" style="378" bestFit="1" customWidth="1"/>
    <col min="16161" max="16384" width="11.42578125" style="378"/>
  </cols>
  <sheetData>
    <row r="1" spans="1:69"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816" t="s">
        <v>0</v>
      </c>
      <c r="AJ1" s="816" t="s">
        <v>1999</v>
      </c>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row>
    <row r="2" spans="1:69"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26" t="s">
        <v>1</v>
      </c>
      <c r="AJ2" s="816" t="s">
        <v>848</v>
      </c>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row>
    <row r="3" spans="1:69"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816" t="s">
        <v>3</v>
      </c>
      <c r="AJ3" s="816" t="s">
        <v>2000</v>
      </c>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row>
    <row r="4" spans="1:69"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816" t="s">
        <v>4</v>
      </c>
      <c r="AJ4" s="817" t="s">
        <v>849</v>
      </c>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row>
    <row r="5" spans="1:69" s="1597" customFormat="1" ht="18.75" customHeight="1" x14ac:dyDescent="0.2">
      <c r="A5" s="3433" t="s">
        <v>5</v>
      </c>
      <c r="B5" s="3433"/>
      <c r="C5" s="3433"/>
      <c r="D5" s="3433"/>
      <c r="E5" s="3433"/>
      <c r="F5" s="3433"/>
      <c r="G5" s="3433"/>
      <c r="H5" s="3433"/>
      <c r="I5" s="3433"/>
      <c r="J5" s="3433"/>
      <c r="K5" s="3436" t="s">
        <v>6</v>
      </c>
      <c r="L5" s="3437"/>
      <c r="M5" s="3437"/>
      <c r="N5" s="3437"/>
      <c r="O5" s="3437"/>
      <c r="P5" s="3437"/>
      <c r="Q5" s="3437"/>
      <c r="R5" s="3437"/>
      <c r="S5" s="3437"/>
      <c r="T5" s="3437"/>
      <c r="U5" s="3437"/>
      <c r="V5" s="3433" t="s">
        <v>7</v>
      </c>
      <c r="W5" s="3433"/>
      <c r="X5" s="3433"/>
      <c r="Y5" s="3433"/>
      <c r="Z5" s="3433"/>
      <c r="AA5" s="3433"/>
      <c r="AB5" s="3433"/>
      <c r="AC5" s="3433"/>
      <c r="AD5" s="3433"/>
      <c r="AE5" s="3433"/>
      <c r="AF5" s="3433"/>
      <c r="AG5" s="3433"/>
      <c r="AH5" s="3433"/>
      <c r="AI5" s="3433"/>
      <c r="AJ5" s="3433"/>
    </row>
    <row r="6" spans="1:69" s="1598" customFormat="1" ht="18.75" customHeight="1" x14ac:dyDescent="0.2">
      <c r="A6" s="3434"/>
      <c r="B6" s="3434"/>
      <c r="C6" s="3434"/>
      <c r="D6" s="3434"/>
      <c r="E6" s="3434"/>
      <c r="F6" s="3434"/>
      <c r="G6" s="3434"/>
      <c r="H6" s="3434"/>
      <c r="I6" s="3434"/>
      <c r="J6" s="3434"/>
      <c r="K6" s="3438"/>
      <c r="L6" s="3439"/>
      <c r="M6" s="3439"/>
      <c r="N6" s="3439"/>
      <c r="O6" s="3439"/>
      <c r="P6" s="3439"/>
      <c r="Q6" s="3439"/>
      <c r="R6" s="3439"/>
      <c r="S6" s="3439"/>
      <c r="T6" s="3439"/>
      <c r="U6" s="3439"/>
      <c r="V6" s="3435"/>
      <c r="W6" s="3435"/>
      <c r="X6" s="3435"/>
      <c r="Y6" s="3435"/>
      <c r="Z6" s="3435"/>
      <c r="AA6" s="3435"/>
      <c r="AB6" s="3435"/>
      <c r="AC6" s="3435"/>
      <c r="AD6" s="3435"/>
      <c r="AE6" s="3435"/>
      <c r="AF6" s="3435"/>
      <c r="AG6" s="3435"/>
      <c r="AH6" s="3434"/>
      <c r="AI6" s="3434"/>
      <c r="AJ6" s="3434"/>
    </row>
    <row r="7" spans="1:69" s="1157" customFormat="1" ht="57" customHeight="1" x14ac:dyDescent="0.2">
      <c r="A7" s="3435"/>
      <c r="B7" s="3435"/>
      <c r="C7" s="3435"/>
      <c r="D7" s="3435"/>
      <c r="E7" s="3435"/>
      <c r="F7" s="3435"/>
      <c r="G7" s="3435"/>
      <c r="H7" s="3435"/>
      <c r="I7" s="3435"/>
      <c r="J7" s="3435"/>
      <c r="K7" s="3440"/>
      <c r="L7" s="3441"/>
      <c r="M7" s="3441"/>
      <c r="N7" s="3441"/>
      <c r="O7" s="3441"/>
      <c r="P7" s="3441"/>
      <c r="Q7" s="3441"/>
      <c r="R7" s="3441"/>
      <c r="S7" s="3441"/>
      <c r="T7" s="3441"/>
      <c r="U7" s="3441"/>
      <c r="V7" s="3110" t="s">
        <v>1713</v>
      </c>
      <c r="W7" s="3111"/>
      <c r="X7" s="3111"/>
      <c r="Y7" s="3111"/>
      <c r="Z7" s="3111"/>
      <c r="AA7" s="3442"/>
      <c r="AB7" s="3110" t="s">
        <v>24</v>
      </c>
      <c r="AC7" s="3111"/>
      <c r="AD7" s="3111"/>
      <c r="AE7" s="3111"/>
      <c r="AF7" s="3111"/>
      <c r="AG7" s="3111"/>
      <c r="AH7" s="3443"/>
      <c r="AI7" s="3443"/>
      <c r="AJ7" s="3443"/>
    </row>
    <row r="8" spans="1:69" s="1599" customFormat="1" ht="59.25" customHeight="1" x14ac:dyDescent="0.25">
      <c r="A8" s="1834" t="s">
        <v>8</v>
      </c>
      <c r="B8" s="1834" t="s">
        <v>1714</v>
      </c>
      <c r="C8" s="1834" t="s">
        <v>8</v>
      </c>
      <c r="D8" s="1834" t="s">
        <v>1715</v>
      </c>
      <c r="E8" s="1834" t="s">
        <v>8</v>
      </c>
      <c r="F8" s="1834" t="s">
        <v>1716</v>
      </c>
      <c r="G8" s="1834" t="s">
        <v>8</v>
      </c>
      <c r="H8" s="1834" t="s">
        <v>1717</v>
      </c>
      <c r="I8" s="1834" t="s">
        <v>13</v>
      </c>
      <c r="J8" s="1835" t="s">
        <v>1718</v>
      </c>
      <c r="K8" s="1834" t="s">
        <v>15</v>
      </c>
      <c r="L8" s="1834" t="s">
        <v>8</v>
      </c>
      <c r="M8" s="1834" t="s">
        <v>1719</v>
      </c>
      <c r="N8" s="1834" t="s">
        <v>17</v>
      </c>
      <c r="O8" s="1834" t="s">
        <v>1720</v>
      </c>
      <c r="P8" s="1834" t="s">
        <v>19</v>
      </c>
      <c r="Q8" s="1834" t="s">
        <v>20</v>
      </c>
      <c r="R8" s="1834" t="s">
        <v>21</v>
      </c>
      <c r="S8" s="1836" t="s">
        <v>18</v>
      </c>
      <c r="T8" s="1834" t="s">
        <v>8</v>
      </c>
      <c r="U8" s="1834" t="s">
        <v>22</v>
      </c>
      <c r="V8" s="1839" t="s">
        <v>28</v>
      </c>
      <c r="W8" s="1840" t="s">
        <v>29</v>
      </c>
      <c r="X8" s="1841" t="s">
        <v>30</v>
      </c>
      <c r="Y8" s="1841" t="s">
        <v>31</v>
      </c>
      <c r="Z8" s="1839" t="s">
        <v>32</v>
      </c>
      <c r="AA8" s="1839" t="s">
        <v>33</v>
      </c>
      <c r="AB8" s="1829" t="s">
        <v>34</v>
      </c>
      <c r="AC8" s="1829" t="s">
        <v>35</v>
      </c>
      <c r="AD8" s="1829" t="s">
        <v>36</v>
      </c>
      <c r="AE8" s="1829" t="s">
        <v>37</v>
      </c>
      <c r="AF8" s="1829" t="s">
        <v>38</v>
      </c>
      <c r="AG8" s="1829" t="s">
        <v>39</v>
      </c>
      <c r="AH8" s="1842" t="s">
        <v>25</v>
      </c>
      <c r="AI8" s="1842" t="s">
        <v>26</v>
      </c>
      <c r="AJ8" s="1843" t="s">
        <v>27</v>
      </c>
    </row>
    <row r="9" spans="1:69" s="1" customFormat="1" ht="27.75" customHeight="1" x14ac:dyDescent="0.2">
      <c r="A9" s="1600">
        <v>2</v>
      </c>
      <c r="B9" s="3444" t="s">
        <v>740</v>
      </c>
      <c r="C9" s="3445"/>
      <c r="D9" s="3445"/>
      <c r="E9" s="1601"/>
      <c r="F9" s="1601"/>
      <c r="G9" s="1601"/>
      <c r="H9" s="1601"/>
      <c r="I9" s="1601"/>
      <c r="J9" s="1601"/>
      <c r="K9" s="1601"/>
      <c r="L9" s="1601"/>
      <c r="M9" s="1601"/>
      <c r="N9" s="1601"/>
      <c r="O9" s="1601"/>
      <c r="P9" s="1601"/>
      <c r="Q9" s="1601"/>
      <c r="R9" s="1601"/>
      <c r="S9" s="1601"/>
      <c r="T9" s="1601"/>
      <c r="U9" s="1601"/>
      <c r="V9" s="1601"/>
      <c r="W9" s="1601"/>
      <c r="X9" s="1601"/>
      <c r="Y9" s="1601"/>
      <c r="Z9" s="1601"/>
      <c r="AA9" s="1601"/>
      <c r="AB9" s="1601"/>
      <c r="AC9" s="1601"/>
      <c r="AD9" s="1601"/>
      <c r="AE9" s="1601"/>
      <c r="AF9" s="1601"/>
      <c r="AG9" s="1601"/>
      <c r="AH9" s="1602"/>
      <c r="AI9" s="1602"/>
      <c r="AJ9" s="1603"/>
      <c r="AK9" s="1604"/>
    </row>
    <row r="10" spans="1:69" s="1" customFormat="1" ht="27.75" customHeight="1" x14ac:dyDescent="0.2">
      <c r="A10" s="1605"/>
      <c r="B10" s="1606"/>
      <c r="C10" s="1607">
        <v>4</v>
      </c>
      <c r="D10" s="3453" t="s">
        <v>1721</v>
      </c>
      <c r="E10" s="3454"/>
      <c r="F10" s="3454"/>
      <c r="G10" s="3454"/>
      <c r="H10" s="3454"/>
      <c r="I10" s="3454"/>
      <c r="J10" s="3454"/>
      <c r="K10" s="3454"/>
      <c r="L10" s="3454"/>
      <c r="M10" s="3454"/>
      <c r="N10" s="3454"/>
      <c r="O10" s="3454"/>
      <c r="P10" s="3454"/>
      <c r="Q10" s="3454"/>
      <c r="R10" s="3454"/>
      <c r="S10" s="3454"/>
      <c r="T10" s="3454"/>
      <c r="U10" s="3454"/>
      <c r="V10" s="3454"/>
      <c r="W10" s="3454"/>
      <c r="X10" s="3454"/>
      <c r="Y10" s="3454"/>
      <c r="Z10" s="3454"/>
      <c r="AA10" s="3454"/>
      <c r="AB10" s="3454"/>
      <c r="AC10" s="3454"/>
      <c r="AD10" s="3454"/>
      <c r="AE10" s="3454"/>
      <c r="AF10" s="3454"/>
      <c r="AG10" s="3454"/>
      <c r="AH10" s="3454"/>
      <c r="AI10" s="3454"/>
      <c r="AJ10" s="3455"/>
      <c r="AK10" s="1604"/>
    </row>
    <row r="11" spans="1:69" s="1" customFormat="1" ht="27.75" customHeight="1" x14ac:dyDescent="0.2">
      <c r="A11" s="1608"/>
      <c r="B11" s="1609"/>
      <c r="C11" s="1606"/>
      <c r="D11" s="1605"/>
      <c r="E11" s="1610">
        <v>14</v>
      </c>
      <c r="F11" s="3456" t="s">
        <v>1722</v>
      </c>
      <c r="G11" s="3456"/>
      <c r="H11" s="3456"/>
      <c r="I11" s="3456"/>
      <c r="J11" s="3456"/>
      <c r="K11" s="3456"/>
      <c r="L11" s="3456"/>
      <c r="M11" s="3456"/>
      <c r="N11" s="3456"/>
      <c r="O11" s="3456"/>
      <c r="P11" s="3456"/>
      <c r="Q11" s="3456"/>
      <c r="R11" s="3456"/>
      <c r="S11" s="3456"/>
      <c r="T11" s="3456"/>
      <c r="U11" s="3456"/>
      <c r="V11" s="3456"/>
      <c r="W11" s="3456"/>
      <c r="X11" s="3456"/>
      <c r="Y11" s="3456"/>
      <c r="Z11" s="3456"/>
      <c r="AA11" s="3456"/>
      <c r="AB11" s="3456"/>
      <c r="AC11" s="3456"/>
      <c r="AD11" s="3456"/>
      <c r="AE11" s="3456"/>
      <c r="AF11" s="3456"/>
      <c r="AG11" s="3456"/>
      <c r="AH11" s="3456"/>
      <c r="AI11" s="3456"/>
      <c r="AJ11" s="3456"/>
      <c r="AK11" s="1604"/>
    </row>
    <row r="12" spans="1:69" s="1622" customFormat="1" ht="105.75" customHeight="1" x14ac:dyDescent="0.2">
      <c r="A12" s="1611"/>
      <c r="B12" s="1612"/>
      <c r="C12" s="1611"/>
      <c r="D12" s="1612"/>
      <c r="E12" s="1613"/>
      <c r="F12" s="1614"/>
      <c r="G12" s="1615">
        <v>54</v>
      </c>
      <c r="H12" s="1588" t="s">
        <v>375</v>
      </c>
      <c r="I12" s="893" t="s">
        <v>1723</v>
      </c>
      <c r="J12" s="893">
        <v>130</v>
      </c>
      <c r="K12" s="893" t="s">
        <v>1724</v>
      </c>
      <c r="L12" s="1628">
        <v>171</v>
      </c>
      <c r="M12" s="1588" t="s">
        <v>1725</v>
      </c>
      <c r="N12" s="1616">
        <f>+O12/S22</f>
        <v>8.2751239247208785E-2</v>
      </c>
      <c r="O12" s="1617">
        <f>+'[7] poai marzo 31+R.Bce '!$AP$7</f>
        <v>214850780</v>
      </c>
      <c r="P12" s="1588" t="s">
        <v>1726</v>
      </c>
      <c r="Q12" s="1588" t="s">
        <v>1727</v>
      </c>
      <c r="R12" s="1588" t="s">
        <v>1728</v>
      </c>
      <c r="S12" s="1618">
        <v>214850780</v>
      </c>
      <c r="T12" s="1619"/>
      <c r="U12" s="1619" t="s">
        <v>1729</v>
      </c>
      <c r="V12" s="1620">
        <v>270</v>
      </c>
      <c r="W12" s="1620">
        <v>189</v>
      </c>
      <c r="X12" s="1620">
        <v>189</v>
      </c>
      <c r="Y12" s="1620">
        <v>459</v>
      </c>
      <c r="Z12" s="1620">
        <v>1215</v>
      </c>
      <c r="AA12" s="1620">
        <v>378</v>
      </c>
      <c r="AB12" s="1620"/>
      <c r="AC12" s="1620"/>
      <c r="AD12" s="1620"/>
      <c r="AE12" s="1620"/>
      <c r="AF12" s="1620"/>
      <c r="AG12" s="1620"/>
      <c r="AH12" s="1621">
        <v>42917</v>
      </c>
      <c r="AI12" s="1621">
        <v>43099</v>
      </c>
      <c r="AJ12" s="1620" t="s">
        <v>1730</v>
      </c>
    </row>
    <row r="13" spans="1:69" s="1" customFormat="1" ht="27.75" customHeight="1" x14ac:dyDescent="0.2">
      <c r="A13" s="1608"/>
      <c r="B13" s="1609"/>
      <c r="C13" s="1609"/>
      <c r="D13" s="1608"/>
      <c r="E13" s="1623">
        <v>15</v>
      </c>
      <c r="F13" s="3457" t="s">
        <v>400</v>
      </c>
      <c r="G13" s="3457"/>
      <c r="H13" s="3457"/>
      <c r="I13" s="3457"/>
      <c r="J13" s="3457"/>
      <c r="K13" s="1624"/>
      <c r="L13" s="1624"/>
      <c r="M13" s="1624"/>
      <c r="N13" s="1624"/>
      <c r="O13" s="1624"/>
      <c r="P13" s="1624"/>
      <c r="Q13" s="1624"/>
      <c r="R13" s="1624"/>
      <c r="S13" s="1625">
        <v>284552340</v>
      </c>
      <c r="T13" s="1624"/>
      <c r="U13" s="1624"/>
      <c r="V13" s="1624"/>
      <c r="W13" s="1624"/>
      <c r="X13" s="1624"/>
      <c r="Y13" s="1624"/>
      <c r="Z13" s="1624"/>
      <c r="AA13" s="1624"/>
      <c r="AB13" s="1624"/>
      <c r="AC13" s="1624"/>
      <c r="AD13" s="1624"/>
      <c r="AE13" s="1624"/>
      <c r="AF13" s="1624"/>
      <c r="AG13" s="1624"/>
      <c r="AH13" s="1626"/>
      <c r="AI13" s="1626"/>
      <c r="AJ13" s="1624"/>
      <c r="AK13" s="1604"/>
    </row>
    <row r="14" spans="1:69" s="1622" customFormat="1" ht="58.5" customHeight="1" x14ac:dyDescent="0.2">
      <c r="A14" s="1627"/>
      <c r="B14" s="1612"/>
      <c r="C14" s="1611"/>
      <c r="D14" s="1612"/>
      <c r="E14" s="3458"/>
      <c r="F14" s="2098"/>
      <c r="G14" s="2745">
        <v>59</v>
      </c>
      <c r="H14" s="2133" t="s">
        <v>413</v>
      </c>
      <c r="I14" s="2745" t="s">
        <v>16</v>
      </c>
      <c r="J14" s="2745">
        <v>12</v>
      </c>
      <c r="K14" s="2745" t="s">
        <v>1724</v>
      </c>
      <c r="L14" s="3446">
        <v>171</v>
      </c>
      <c r="M14" s="2133" t="s">
        <v>1725</v>
      </c>
      <c r="N14" s="3447">
        <f>+O14/$S$22</f>
        <v>0.26341213832275179</v>
      </c>
      <c r="O14" s="3449">
        <f>+'[7] poai marzo 31+R.Bce '!$AP$9</f>
        <v>683908832</v>
      </c>
      <c r="P14" s="2133" t="s">
        <v>1726</v>
      </c>
      <c r="Q14" s="2133" t="s">
        <v>1731</v>
      </c>
      <c r="R14" s="2745" t="s">
        <v>1732</v>
      </c>
      <c r="S14" s="1618">
        <v>649058052</v>
      </c>
      <c r="T14" s="1619"/>
      <c r="U14" s="1619" t="s">
        <v>1733</v>
      </c>
      <c r="V14" s="3460">
        <v>270</v>
      </c>
      <c r="W14" s="3460">
        <v>189</v>
      </c>
      <c r="X14" s="3460">
        <v>189</v>
      </c>
      <c r="Y14" s="3460">
        <v>459</v>
      </c>
      <c r="Z14" s="3460">
        <v>1215</v>
      </c>
      <c r="AA14" s="3460">
        <v>378</v>
      </c>
      <c r="AB14" s="3460"/>
      <c r="AC14" s="3460"/>
      <c r="AD14" s="3460"/>
      <c r="AE14" s="3460"/>
      <c r="AF14" s="3460"/>
      <c r="AG14" s="3460"/>
      <c r="AH14" s="3464">
        <v>42736</v>
      </c>
      <c r="AI14" s="3464">
        <v>42916</v>
      </c>
      <c r="AJ14" s="3460" t="s">
        <v>1730</v>
      </c>
    </row>
    <row r="15" spans="1:69" s="1622" customFormat="1" ht="58.5" customHeight="1" x14ac:dyDescent="0.2">
      <c r="A15" s="1627"/>
      <c r="B15" s="1612"/>
      <c r="C15" s="1611"/>
      <c r="D15" s="1612"/>
      <c r="E15" s="3459"/>
      <c r="F15" s="2099"/>
      <c r="G15" s="2747"/>
      <c r="H15" s="2135"/>
      <c r="I15" s="2747"/>
      <c r="J15" s="2747"/>
      <c r="K15" s="2747"/>
      <c r="L15" s="3446"/>
      <c r="M15" s="2134"/>
      <c r="N15" s="3448"/>
      <c r="O15" s="3450"/>
      <c r="P15" s="2134"/>
      <c r="Q15" s="2134"/>
      <c r="R15" s="2747"/>
      <c r="S15" s="1618">
        <v>34850780</v>
      </c>
      <c r="T15" s="1619"/>
      <c r="U15" s="1619" t="s">
        <v>1729</v>
      </c>
      <c r="V15" s="3461"/>
      <c r="W15" s="3461"/>
      <c r="X15" s="3461"/>
      <c r="Y15" s="3461"/>
      <c r="Z15" s="3461"/>
      <c r="AA15" s="3461"/>
      <c r="AB15" s="3461"/>
      <c r="AC15" s="3461"/>
      <c r="AD15" s="3461"/>
      <c r="AE15" s="3461"/>
      <c r="AF15" s="3461"/>
      <c r="AG15" s="3461"/>
      <c r="AH15" s="3465"/>
      <c r="AI15" s="3465"/>
      <c r="AJ15" s="3461"/>
    </row>
    <row r="16" spans="1:69" s="1622" customFormat="1" ht="58.5" customHeight="1" x14ac:dyDescent="0.2">
      <c r="A16" s="1627"/>
      <c r="B16" s="1612"/>
      <c r="C16" s="1611"/>
      <c r="D16" s="1612"/>
      <c r="E16" s="3459"/>
      <c r="F16" s="2099"/>
      <c r="G16" s="2745">
        <v>57</v>
      </c>
      <c r="H16" s="2133" t="s">
        <v>401</v>
      </c>
      <c r="I16" s="2745" t="s">
        <v>16</v>
      </c>
      <c r="J16" s="2745">
        <v>12</v>
      </c>
      <c r="K16" s="2745" t="s">
        <v>1724</v>
      </c>
      <c r="L16" s="3446"/>
      <c r="M16" s="2134"/>
      <c r="N16" s="3447">
        <f>+O16/S22</f>
        <v>0.26341213870790858</v>
      </c>
      <c r="O16" s="3449">
        <f>+'[7] poai marzo 31+R.Bce '!$AP$10</f>
        <v>683908833</v>
      </c>
      <c r="P16" s="2134"/>
      <c r="Q16" s="2134"/>
      <c r="R16" s="2745" t="s">
        <v>1734</v>
      </c>
      <c r="S16" s="1618">
        <v>649058053</v>
      </c>
      <c r="T16" s="1619"/>
      <c r="U16" s="1619" t="s">
        <v>1733</v>
      </c>
      <c r="V16" s="3461"/>
      <c r="W16" s="3461"/>
      <c r="X16" s="3461"/>
      <c r="Y16" s="3461"/>
      <c r="Z16" s="3461"/>
      <c r="AA16" s="3461"/>
      <c r="AB16" s="3461"/>
      <c r="AC16" s="3461"/>
      <c r="AD16" s="3461"/>
      <c r="AE16" s="3461"/>
      <c r="AF16" s="3461"/>
      <c r="AG16" s="3461"/>
      <c r="AH16" s="3465"/>
      <c r="AI16" s="3465"/>
      <c r="AJ16" s="3461"/>
    </row>
    <row r="17" spans="1:36" s="1622" customFormat="1" ht="58.5" customHeight="1" x14ac:dyDescent="0.2">
      <c r="A17" s="1627"/>
      <c r="B17" s="1612"/>
      <c r="C17" s="1611"/>
      <c r="D17" s="1612"/>
      <c r="E17" s="3459"/>
      <c r="F17" s="2099"/>
      <c r="G17" s="2747"/>
      <c r="H17" s="2135"/>
      <c r="I17" s="2747"/>
      <c r="J17" s="2747"/>
      <c r="K17" s="2747"/>
      <c r="L17" s="3446"/>
      <c r="M17" s="2134"/>
      <c r="N17" s="3448"/>
      <c r="O17" s="3450"/>
      <c r="P17" s="2134"/>
      <c r="Q17" s="2134"/>
      <c r="R17" s="2747"/>
      <c r="S17" s="1618">
        <v>34850780</v>
      </c>
      <c r="T17" s="1619"/>
      <c r="U17" s="1619" t="s">
        <v>1729</v>
      </c>
      <c r="V17" s="3461"/>
      <c r="W17" s="3461"/>
      <c r="X17" s="3461"/>
      <c r="Y17" s="3461"/>
      <c r="Z17" s="3461"/>
      <c r="AA17" s="3461"/>
      <c r="AB17" s="3461"/>
      <c r="AC17" s="3461"/>
      <c r="AD17" s="3461"/>
      <c r="AE17" s="3461"/>
      <c r="AF17" s="3461"/>
      <c r="AG17" s="3461"/>
      <c r="AH17" s="3465"/>
      <c r="AI17" s="3465"/>
      <c r="AJ17" s="3461"/>
    </row>
    <row r="18" spans="1:36" s="1622" customFormat="1" ht="58.5" customHeight="1" x14ac:dyDescent="0.2">
      <c r="A18" s="1627"/>
      <c r="B18" s="1629"/>
      <c r="C18" s="1627"/>
      <c r="D18" s="1630"/>
      <c r="E18" s="3459"/>
      <c r="F18" s="2099"/>
      <c r="G18" s="2745">
        <v>60</v>
      </c>
      <c r="H18" s="2133" t="s">
        <v>1989</v>
      </c>
      <c r="I18" s="2745" t="s">
        <v>16</v>
      </c>
      <c r="J18" s="2745">
        <v>12</v>
      </c>
      <c r="K18" s="2745" t="s">
        <v>1724</v>
      </c>
      <c r="L18" s="3446"/>
      <c r="M18" s="2134"/>
      <c r="N18" s="3451">
        <f>+O18/S22</f>
        <v>0.12123499260498556</v>
      </c>
      <c r="O18" s="3449">
        <f>+'[7] poai marzo 31+R.Bce '!$AP$11</f>
        <v>314767887</v>
      </c>
      <c r="P18" s="2134"/>
      <c r="Q18" s="2134"/>
      <c r="R18" s="2745" t="s">
        <v>1735</v>
      </c>
      <c r="S18" s="3462">
        <v>314767887</v>
      </c>
      <c r="T18" s="3468"/>
      <c r="U18" s="3468" t="s">
        <v>1729</v>
      </c>
      <c r="V18" s="3461"/>
      <c r="W18" s="3461"/>
      <c r="X18" s="3461"/>
      <c r="Y18" s="3461"/>
      <c r="Z18" s="3461"/>
      <c r="AA18" s="3461"/>
      <c r="AB18" s="3461"/>
      <c r="AC18" s="3461"/>
      <c r="AD18" s="3461"/>
      <c r="AE18" s="3461"/>
      <c r="AF18" s="3461"/>
      <c r="AG18" s="3461"/>
      <c r="AH18" s="3465"/>
      <c r="AI18" s="3465"/>
      <c r="AJ18" s="3461"/>
    </row>
    <row r="19" spans="1:36" s="1622" customFormat="1" ht="58.5" customHeight="1" x14ac:dyDescent="0.2">
      <c r="A19" s="1627"/>
      <c r="B19" s="1629"/>
      <c r="C19" s="1627"/>
      <c r="D19" s="1630"/>
      <c r="E19" s="3459"/>
      <c r="F19" s="2099"/>
      <c r="G19" s="2746"/>
      <c r="H19" s="2134"/>
      <c r="I19" s="2746"/>
      <c r="J19" s="2746"/>
      <c r="K19" s="2747"/>
      <c r="L19" s="3446"/>
      <c r="M19" s="2134"/>
      <c r="N19" s="3452"/>
      <c r="O19" s="3450"/>
      <c r="P19" s="2134"/>
      <c r="Q19" s="2134"/>
      <c r="R19" s="2747"/>
      <c r="S19" s="3463"/>
      <c r="T19" s="3469"/>
      <c r="U19" s="3469"/>
      <c r="V19" s="3461"/>
      <c r="W19" s="3461"/>
      <c r="X19" s="3461"/>
      <c r="Y19" s="3461"/>
      <c r="Z19" s="3461"/>
      <c r="AA19" s="3461"/>
      <c r="AB19" s="3461"/>
      <c r="AC19" s="3461"/>
      <c r="AD19" s="3461"/>
      <c r="AE19" s="3461"/>
      <c r="AF19" s="3461"/>
      <c r="AG19" s="3461"/>
      <c r="AH19" s="3465"/>
      <c r="AI19" s="3465"/>
      <c r="AJ19" s="3461"/>
    </row>
    <row r="20" spans="1:36" s="1622" customFormat="1" ht="58.5" customHeight="1" x14ac:dyDescent="0.2">
      <c r="A20" s="1627"/>
      <c r="B20" s="1629"/>
      <c r="C20" s="1627"/>
      <c r="D20" s="1630"/>
      <c r="E20" s="3459"/>
      <c r="F20" s="2099"/>
      <c r="G20" s="2098">
        <v>63</v>
      </c>
      <c r="H20" s="2754" t="s">
        <v>425</v>
      </c>
      <c r="I20" s="2745" t="s">
        <v>16</v>
      </c>
      <c r="J20" s="2745">
        <v>250</v>
      </c>
      <c r="K20" s="2745" t="s">
        <v>1724</v>
      </c>
      <c r="L20" s="3446"/>
      <c r="M20" s="2134"/>
      <c r="N20" s="3451">
        <f>+O20/$S$22</f>
        <v>0.26918949111714524</v>
      </c>
      <c r="O20" s="3449">
        <f>+'[7] poai marzo 31+R.Bce '!$AP$12</f>
        <v>698908834</v>
      </c>
      <c r="P20" s="2134"/>
      <c r="Q20" s="2134"/>
      <c r="R20" s="2133" t="s">
        <v>1736</v>
      </c>
      <c r="S20" s="1618">
        <v>599058054</v>
      </c>
      <c r="T20" s="1619"/>
      <c r="U20" s="1619" t="s">
        <v>1733</v>
      </c>
      <c r="V20" s="3461"/>
      <c r="W20" s="3461"/>
      <c r="X20" s="3461"/>
      <c r="Y20" s="3461"/>
      <c r="Z20" s="3461"/>
      <c r="AA20" s="3461"/>
      <c r="AB20" s="3461"/>
      <c r="AC20" s="3461"/>
      <c r="AD20" s="3461"/>
      <c r="AE20" s="3461"/>
      <c r="AF20" s="3461"/>
      <c r="AG20" s="3461"/>
      <c r="AH20" s="3465"/>
      <c r="AI20" s="3465"/>
      <c r="AJ20" s="3461"/>
    </row>
    <row r="21" spans="1:36" s="1622" customFormat="1" ht="58.5" customHeight="1" x14ac:dyDescent="0.2">
      <c r="A21" s="1627"/>
      <c r="B21" s="1629"/>
      <c r="C21" s="1627"/>
      <c r="D21" s="1630"/>
      <c r="E21" s="3459"/>
      <c r="F21" s="2099"/>
      <c r="G21" s="2099"/>
      <c r="H21" s="2755"/>
      <c r="I21" s="2746"/>
      <c r="J21" s="2746"/>
      <c r="K21" s="2746"/>
      <c r="L21" s="3446"/>
      <c r="M21" s="2134"/>
      <c r="N21" s="3470"/>
      <c r="O21" s="3471"/>
      <c r="P21" s="2134"/>
      <c r="Q21" s="2134"/>
      <c r="R21" s="2135"/>
      <c r="S21" s="1618">
        <v>99850780</v>
      </c>
      <c r="T21" s="1619"/>
      <c r="U21" s="1619" t="s">
        <v>1729</v>
      </c>
      <c r="V21" s="3461"/>
      <c r="W21" s="3461"/>
      <c r="X21" s="3461"/>
      <c r="Y21" s="3461"/>
      <c r="Z21" s="3461"/>
      <c r="AA21" s="3461"/>
      <c r="AB21" s="3461"/>
      <c r="AC21" s="3461"/>
      <c r="AD21" s="3461"/>
      <c r="AE21" s="3461"/>
      <c r="AF21" s="3461"/>
      <c r="AG21" s="3461"/>
      <c r="AH21" s="3465"/>
      <c r="AI21" s="3465"/>
      <c r="AJ21" s="3461"/>
    </row>
    <row r="22" spans="1:36" s="1640" customFormat="1" ht="27.75" customHeight="1" x14ac:dyDescent="0.2">
      <c r="A22" s="3466" t="s">
        <v>98</v>
      </c>
      <c r="B22" s="3467"/>
      <c r="C22" s="3467"/>
      <c r="D22" s="3467"/>
      <c r="E22" s="3467"/>
      <c r="F22" s="3467"/>
      <c r="G22" s="3467"/>
      <c r="H22" s="3467"/>
      <c r="I22" s="3467"/>
      <c r="J22" s="3467"/>
      <c r="K22" s="3467"/>
      <c r="L22" s="3467"/>
      <c r="M22" s="3467"/>
      <c r="N22" s="3467"/>
      <c r="O22" s="1631">
        <f>SUM(O12:O21)</f>
        <v>2596345166</v>
      </c>
      <c r="P22" s="1632"/>
      <c r="Q22" s="1633"/>
      <c r="R22" s="1633"/>
      <c r="S22" s="1634">
        <f>SUM(S14:S21)+SUM(S12:S12)</f>
        <v>2596345166</v>
      </c>
      <c r="T22" s="1635"/>
      <c r="U22" s="1635"/>
      <c r="V22" s="1636"/>
      <c r="W22" s="1636"/>
      <c r="X22" s="1636"/>
      <c r="Y22" s="1636"/>
      <c r="Z22" s="1636"/>
      <c r="AA22" s="1636"/>
      <c r="AB22" s="1636"/>
      <c r="AC22" s="1636"/>
      <c r="AD22" s="1636"/>
      <c r="AE22" s="1636"/>
      <c r="AF22" s="1636"/>
      <c r="AG22" s="1636"/>
      <c r="AH22" s="1637"/>
      <c r="AI22" s="1638"/>
      <c r="AJ22" s="1639"/>
    </row>
    <row r="23" spans="1:36" s="1640" customFormat="1" ht="18.75" customHeight="1" x14ac:dyDescent="0.2">
      <c r="E23" s="1641"/>
      <c r="G23" s="1641"/>
      <c r="M23" s="1642"/>
      <c r="N23" s="1643"/>
      <c r="R23" s="1644"/>
      <c r="S23" s="1644"/>
      <c r="T23" s="1644"/>
      <c r="U23" s="1644"/>
      <c r="AH23" s="1645"/>
      <c r="AI23" s="1646"/>
    </row>
    <row r="24" spans="1:36" s="1640" customFormat="1" x14ac:dyDescent="0.2">
      <c r="E24" s="1641"/>
      <c r="G24" s="1641"/>
      <c r="M24" s="1642"/>
      <c r="N24" s="1643"/>
      <c r="R24" s="1644"/>
      <c r="S24" s="1644"/>
      <c r="T24" s="1644"/>
      <c r="U24" s="1644"/>
      <c r="AH24" s="1645"/>
      <c r="AI24" s="1646"/>
    </row>
    <row r="25" spans="1:36" s="1640" customFormat="1" x14ac:dyDescent="0.2">
      <c r="E25" s="1641"/>
      <c r="G25" s="1641"/>
      <c r="M25" s="1642"/>
      <c r="N25" s="1643"/>
      <c r="R25" s="1644"/>
      <c r="S25" s="1644"/>
      <c r="T25" s="1644"/>
      <c r="U25" s="1644"/>
      <c r="AH25" s="1645"/>
      <c r="AI25" s="1646"/>
    </row>
    <row r="26" spans="1:36" s="1640" customFormat="1" x14ac:dyDescent="0.2">
      <c r="E26" s="1641"/>
      <c r="G26" s="1641"/>
      <c r="M26" s="1642"/>
      <c r="N26" s="1643"/>
      <c r="R26" s="1644"/>
      <c r="S26" s="1644"/>
      <c r="T26" s="1644"/>
      <c r="U26" s="1644"/>
      <c r="AH26" s="1645"/>
      <c r="AI26" s="1646"/>
    </row>
    <row r="27" spans="1:36" s="1640" customFormat="1" x14ac:dyDescent="0.2">
      <c r="E27" s="1641"/>
      <c r="G27" s="1641"/>
      <c r="M27" s="1642"/>
      <c r="N27" s="1643"/>
      <c r="R27" s="1644"/>
      <c r="S27" s="1644"/>
      <c r="T27" s="1644"/>
      <c r="U27" s="1644"/>
      <c r="AH27" s="1645"/>
      <c r="AI27" s="1646"/>
    </row>
    <row r="28" spans="1:36" s="1640" customFormat="1" x14ac:dyDescent="0.2">
      <c r="E28" s="1641"/>
      <c r="G28" s="1641"/>
      <c r="M28" s="1642"/>
      <c r="N28" s="1643"/>
      <c r="R28" s="1644"/>
      <c r="S28" s="1644"/>
      <c r="T28" s="1644"/>
      <c r="U28" s="1644"/>
      <c r="AH28" s="1645"/>
      <c r="AI28" s="1646"/>
    </row>
    <row r="29" spans="1:36" s="1640" customFormat="1" x14ac:dyDescent="0.2">
      <c r="E29" s="1641"/>
      <c r="G29" s="1641"/>
      <c r="M29" s="1642"/>
      <c r="N29" s="1643"/>
      <c r="R29" s="1644"/>
      <c r="S29" s="1644"/>
      <c r="T29" s="1644"/>
      <c r="U29" s="1644"/>
      <c r="AH29" s="1645"/>
      <c r="AI29" s="1646"/>
    </row>
    <row r="30" spans="1:36" s="1640" customFormat="1" x14ac:dyDescent="0.2">
      <c r="E30" s="1641"/>
      <c r="G30" s="1641"/>
      <c r="M30" s="1642"/>
      <c r="N30" s="1643"/>
      <c r="R30" s="1644"/>
      <c r="S30" s="1644"/>
      <c r="T30" s="1644"/>
      <c r="U30" s="1644"/>
      <c r="AH30" s="1645"/>
      <c r="AI30" s="1646"/>
    </row>
    <row r="31" spans="1:36" s="1640" customFormat="1" x14ac:dyDescent="0.2">
      <c r="E31" s="1641"/>
      <c r="G31" s="1641"/>
      <c r="M31" s="1642"/>
      <c r="N31" s="1643"/>
      <c r="R31" s="1644"/>
      <c r="S31" s="1644"/>
      <c r="T31" s="1644"/>
      <c r="U31" s="1644"/>
      <c r="AH31" s="1645"/>
      <c r="AI31" s="1646"/>
    </row>
    <row r="32" spans="1:36" s="1640" customFormat="1" x14ac:dyDescent="0.2">
      <c r="E32" s="1641"/>
      <c r="G32" s="1641"/>
      <c r="M32" s="1642"/>
      <c r="N32" s="1643"/>
      <c r="R32" s="1644"/>
      <c r="S32" s="1644"/>
      <c r="T32" s="1644"/>
      <c r="U32" s="1644"/>
      <c r="AH32" s="1645"/>
      <c r="AI32" s="1646"/>
    </row>
    <row r="33" spans="5:35" s="1640" customFormat="1" x14ac:dyDescent="0.2">
      <c r="E33" s="1641"/>
      <c r="G33" s="1641"/>
      <c r="M33" s="1642"/>
      <c r="N33" s="1643"/>
      <c r="R33" s="1644"/>
      <c r="S33" s="1644"/>
      <c r="T33" s="1644"/>
      <c r="U33" s="1644"/>
      <c r="AH33" s="1645"/>
      <c r="AI33" s="1646"/>
    </row>
    <row r="34" spans="5:35" s="1640" customFormat="1" x14ac:dyDescent="0.2">
      <c r="E34" s="1641"/>
      <c r="G34" s="1641"/>
      <c r="M34" s="1642"/>
      <c r="N34" s="1643"/>
      <c r="R34" s="1644"/>
      <c r="S34" s="1644"/>
      <c r="T34" s="1644"/>
      <c r="U34" s="1644"/>
      <c r="AH34" s="1645"/>
      <c r="AI34" s="1646"/>
    </row>
    <row r="35" spans="5:35" s="1640" customFormat="1" x14ac:dyDescent="0.2">
      <c r="E35" s="1641"/>
      <c r="G35" s="1641"/>
      <c r="M35" s="1642"/>
      <c r="N35" s="1643"/>
      <c r="R35" s="1644"/>
      <c r="S35" s="1644"/>
      <c r="T35" s="1644"/>
      <c r="U35" s="1644"/>
      <c r="AH35" s="1645"/>
      <c r="AI35" s="1646"/>
    </row>
    <row r="36" spans="5:35" s="1640" customFormat="1" x14ac:dyDescent="0.2">
      <c r="E36" s="1641"/>
      <c r="G36" s="1641"/>
      <c r="M36" s="1642"/>
      <c r="N36" s="1643"/>
      <c r="R36" s="1644"/>
      <c r="S36" s="1644"/>
      <c r="T36" s="1644"/>
      <c r="U36" s="1644"/>
      <c r="AH36" s="1645"/>
      <c r="AI36" s="1646"/>
    </row>
    <row r="37" spans="5:35" s="1640" customFormat="1" x14ac:dyDescent="0.2">
      <c r="E37" s="1641"/>
      <c r="G37" s="1641"/>
      <c r="M37" s="1642"/>
      <c r="N37" s="1643"/>
      <c r="R37" s="1644"/>
      <c r="S37" s="1644"/>
      <c r="T37" s="1644"/>
      <c r="U37" s="1644"/>
      <c r="AH37" s="1645"/>
      <c r="AI37" s="1646"/>
    </row>
    <row r="38" spans="5:35" s="1640" customFormat="1" x14ac:dyDescent="0.2">
      <c r="E38" s="1641"/>
      <c r="G38" s="1641"/>
      <c r="M38" s="1642"/>
      <c r="N38" s="1643"/>
      <c r="R38" s="1644"/>
      <c r="S38" s="1644"/>
      <c r="T38" s="1644"/>
      <c r="U38" s="1644"/>
      <c r="AH38" s="1645"/>
      <c r="AI38" s="1646"/>
    </row>
    <row r="39" spans="5:35" s="1640" customFormat="1" x14ac:dyDescent="0.2">
      <c r="E39" s="1641"/>
      <c r="G39" s="1641"/>
      <c r="M39" s="1642"/>
      <c r="N39" s="1643"/>
      <c r="R39" s="1644"/>
      <c r="S39" s="1644"/>
      <c r="T39" s="1644"/>
      <c r="U39" s="1644"/>
      <c r="AH39" s="1645"/>
      <c r="AI39" s="1646"/>
    </row>
    <row r="40" spans="5:35" s="1640" customFormat="1" x14ac:dyDescent="0.2">
      <c r="E40" s="1641"/>
      <c r="G40" s="1641"/>
      <c r="M40" s="1642"/>
      <c r="N40" s="1643"/>
      <c r="R40" s="1644"/>
      <c r="S40" s="1644"/>
      <c r="T40" s="1644"/>
      <c r="U40" s="1644"/>
      <c r="AH40" s="1645"/>
      <c r="AI40" s="1646"/>
    </row>
    <row r="41" spans="5:35" s="1640" customFormat="1" x14ac:dyDescent="0.2">
      <c r="E41" s="1641"/>
      <c r="G41" s="1641"/>
      <c r="M41" s="1642"/>
      <c r="N41" s="1643"/>
      <c r="R41" s="1644"/>
      <c r="S41" s="1644"/>
      <c r="T41" s="1644"/>
      <c r="U41" s="1644"/>
      <c r="AH41" s="1645"/>
      <c r="AI41" s="1646"/>
    </row>
    <row r="42" spans="5:35" s="1640" customFormat="1" x14ac:dyDescent="0.2">
      <c r="E42" s="1641"/>
      <c r="G42" s="1641"/>
      <c r="M42" s="1642"/>
      <c r="N42" s="1643"/>
      <c r="R42" s="1644"/>
      <c r="S42" s="1644"/>
      <c r="T42" s="1644"/>
      <c r="U42" s="1644"/>
      <c r="AH42" s="1645"/>
      <c r="AI42" s="1646"/>
    </row>
    <row r="43" spans="5:35" s="1640" customFormat="1" x14ac:dyDescent="0.2">
      <c r="E43" s="1641"/>
      <c r="G43" s="1641"/>
      <c r="M43" s="1642"/>
      <c r="N43" s="1643"/>
      <c r="R43" s="1644"/>
      <c r="S43" s="1644"/>
      <c r="T43" s="1644"/>
      <c r="U43" s="1644"/>
      <c r="AH43" s="1645"/>
      <c r="AI43" s="1646"/>
    </row>
    <row r="44" spans="5:35" s="1640" customFormat="1" x14ac:dyDescent="0.2">
      <c r="E44" s="1641"/>
      <c r="G44" s="1641"/>
      <c r="M44" s="1642"/>
      <c r="N44" s="1643"/>
      <c r="R44" s="1644"/>
      <c r="S44" s="1644"/>
      <c r="T44" s="1644"/>
      <c r="U44" s="1644"/>
      <c r="AH44" s="1645"/>
      <c r="AI44" s="1646"/>
    </row>
    <row r="45" spans="5:35" s="1640" customFormat="1" x14ac:dyDescent="0.2">
      <c r="E45" s="1641"/>
      <c r="G45" s="1641"/>
      <c r="M45" s="1642"/>
      <c r="N45" s="1643"/>
      <c r="R45" s="1644"/>
      <c r="S45" s="1644"/>
      <c r="T45" s="1644"/>
      <c r="U45" s="1644"/>
      <c r="AH45" s="1645"/>
      <c r="AI45" s="1646"/>
    </row>
    <row r="46" spans="5:35" s="1640" customFormat="1" x14ac:dyDescent="0.2">
      <c r="E46" s="1641"/>
      <c r="G46" s="1641"/>
      <c r="M46" s="1642"/>
      <c r="N46" s="1643"/>
      <c r="R46" s="1644"/>
      <c r="S46" s="1644"/>
      <c r="T46" s="1644"/>
      <c r="U46" s="1644"/>
      <c r="AH46" s="1645"/>
      <c r="AI46" s="1646"/>
    </row>
    <row r="47" spans="5:35" s="1640" customFormat="1" x14ac:dyDescent="0.2">
      <c r="E47" s="1641"/>
      <c r="G47" s="1641"/>
      <c r="M47" s="1642"/>
      <c r="N47" s="1643"/>
      <c r="R47" s="1644"/>
      <c r="S47" s="1644"/>
      <c r="T47" s="1644"/>
      <c r="U47" s="1644"/>
      <c r="AH47" s="1645"/>
      <c r="AI47" s="1646"/>
    </row>
    <row r="48" spans="5:35" s="1640" customFormat="1" x14ac:dyDescent="0.2">
      <c r="E48" s="1641"/>
      <c r="G48" s="1641"/>
      <c r="M48" s="1642"/>
      <c r="N48" s="1643"/>
      <c r="R48" s="1644"/>
      <c r="S48" s="1644"/>
      <c r="T48" s="1644"/>
      <c r="U48" s="1644"/>
      <c r="AH48" s="1645"/>
      <c r="AI48" s="1646"/>
    </row>
    <row r="49" spans="5:35" s="1640" customFormat="1" x14ac:dyDescent="0.2">
      <c r="E49" s="1641"/>
      <c r="G49" s="1641"/>
      <c r="M49" s="1642"/>
      <c r="N49" s="1643"/>
      <c r="R49" s="1644"/>
      <c r="S49" s="1644"/>
      <c r="T49" s="1644"/>
      <c r="U49" s="1644"/>
      <c r="AH49" s="1645"/>
      <c r="AI49" s="1646"/>
    </row>
    <row r="50" spans="5:35" s="1640" customFormat="1" x14ac:dyDescent="0.2">
      <c r="E50" s="1641"/>
      <c r="G50" s="1641"/>
      <c r="M50" s="1642"/>
      <c r="N50" s="1643"/>
      <c r="R50" s="1644"/>
      <c r="S50" s="1644"/>
      <c r="T50" s="1644"/>
      <c r="U50" s="1644"/>
      <c r="AH50" s="1645"/>
      <c r="AI50" s="1646"/>
    </row>
    <row r="51" spans="5:35" s="1640" customFormat="1" x14ac:dyDescent="0.2">
      <c r="E51" s="1641"/>
      <c r="G51" s="1641"/>
      <c r="M51" s="1642"/>
      <c r="N51" s="1643"/>
      <c r="R51" s="1644"/>
      <c r="S51" s="1644"/>
      <c r="T51" s="1644"/>
      <c r="U51" s="1644"/>
      <c r="AH51" s="1645"/>
      <c r="AI51" s="1646"/>
    </row>
    <row r="52" spans="5:35" s="1640" customFormat="1" x14ac:dyDescent="0.2">
      <c r="E52" s="1641"/>
      <c r="G52" s="1641"/>
      <c r="M52" s="1642"/>
      <c r="N52" s="1643"/>
      <c r="R52" s="1644"/>
      <c r="S52" s="1644"/>
      <c r="T52" s="1644"/>
      <c r="U52" s="1644"/>
      <c r="AH52" s="1645"/>
      <c r="AI52" s="1646"/>
    </row>
    <row r="53" spans="5:35" s="1640" customFormat="1" x14ac:dyDescent="0.2">
      <c r="E53" s="1641"/>
      <c r="G53" s="1641"/>
      <c r="M53" s="1642"/>
      <c r="N53" s="1643"/>
      <c r="R53" s="1644"/>
      <c r="S53" s="1644"/>
      <c r="T53" s="1644"/>
      <c r="U53" s="1644"/>
      <c r="AH53" s="1645"/>
      <c r="AI53" s="1646"/>
    </row>
    <row r="54" spans="5:35" s="1640" customFormat="1" x14ac:dyDescent="0.2">
      <c r="E54" s="1641"/>
      <c r="G54" s="1641"/>
      <c r="M54" s="1642"/>
      <c r="N54" s="1643"/>
      <c r="R54" s="1644"/>
      <c r="S54" s="1644"/>
      <c r="T54" s="1644"/>
      <c r="U54" s="1644"/>
      <c r="AH54" s="1645"/>
      <c r="AI54" s="1646"/>
    </row>
    <row r="55" spans="5:35" s="1640" customFormat="1" x14ac:dyDescent="0.2">
      <c r="E55" s="1641"/>
      <c r="G55" s="1641"/>
      <c r="M55" s="1642"/>
      <c r="N55" s="1643"/>
      <c r="R55" s="1644"/>
      <c r="S55" s="1644"/>
      <c r="T55" s="1644"/>
      <c r="U55" s="1644"/>
      <c r="AH55" s="1645"/>
      <c r="AI55" s="1646"/>
    </row>
    <row r="56" spans="5:35" s="1640" customFormat="1" x14ac:dyDescent="0.2">
      <c r="E56" s="1641"/>
      <c r="G56" s="1641"/>
      <c r="M56" s="1642"/>
      <c r="N56" s="1643"/>
      <c r="R56" s="1644"/>
      <c r="S56" s="1644"/>
      <c r="T56" s="1644"/>
      <c r="U56" s="1644"/>
      <c r="AH56" s="1645"/>
      <c r="AI56" s="1646"/>
    </row>
    <row r="57" spans="5:35" s="1640" customFormat="1" x14ac:dyDescent="0.2">
      <c r="E57" s="1641"/>
      <c r="G57" s="1641"/>
      <c r="M57" s="1642"/>
      <c r="N57" s="1643"/>
      <c r="R57" s="1644"/>
      <c r="S57" s="1644"/>
      <c r="T57" s="1644"/>
      <c r="U57" s="1644"/>
      <c r="AH57" s="1645"/>
      <c r="AI57" s="1646"/>
    </row>
    <row r="58" spans="5:35" s="1640" customFormat="1" x14ac:dyDescent="0.2">
      <c r="E58" s="1641"/>
      <c r="G58" s="1641"/>
      <c r="M58" s="1642"/>
      <c r="N58" s="1643"/>
      <c r="R58" s="1644"/>
      <c r="S58" s="1644"/>
      <c r="T58" s="1644"/>
      <c r="U58" s="1644"/>
      <c r="AH58" s="1645"/>
      <c r="AI58" s="1646"/>
    </row>
    <row r="59" spans="5:35" s="1640" customFormat="1" x14ac:dyDescent="0.2">
      <c r="E59" s="1641"/>
      <c r="G59" s="1641"/>
      <c r="M59" s="1642"/>
      <c r="N59" s="1643"/>
      <c r="R59" s="1644"/>
      <c r="S59" s="1644"/>
      <c r="T59" s="1644"/>
      <c r="U59" s="1644"/>
      <c r="AH59" s="1645"/>
      <c r="AI59" s="1646"/>
    </row>
    <row r="60" spans="5:35" s="1640" customFormat="1" x14ac:dyDescent="0.2">
      <c r="E60" s="1641"/>
      <c r="G60" s="1641"/>
      <c r="M60" s="1642"/>
      <c r="N60" s="1643"/>
      <c r="R60" s="1644"/>
      <c r="S60" s="1644"/>
      <c r="T60" s="1644"/>
      <c r="U60" s="1644"/>
      <c r="AH60" s="1645"/>
      <c r="AI60" s="1646"/>
    </row>
    <row r="61" spans="5:35" s="1640" customFormat="1" x14ac:dyDescent="0.2">
      <c r="E61" s="1641"/>
      <c r="G61" s="1641"/>
      <c r="M61" s="1642"/>
      <c r="N61" s="1643"/>
      <c r="R61" s="1644"/>
      <c r="S61" s="1644"/>
      <c r="T61" s="1644"/>
      <c r="U61" s="1644"/>
      <c r="AH61" s="1645"/>
      <c r="AI61" s="1646"/>
    </row>
    <row r="62" spans="5:35" s="1640" customFormat="1" x14ac:dyDescent="0.2">
      <c r="E62" s="1641"/>
      <c r="G62" s="1641"/>
      <c r="M62" s="1642"/>
      <c r="N62" s="1643"/>
      <c r="R62" s="1644"/>
      <c r="S62" s="1644"/>
      <c r="T62" s="1644"/>
      <c r="U62" s="1644"/>
      <c r="AH62" s="1645"/>
      <c r="AI62" s="1646"/>
    </row>
    <row r="63" spans="5:35" s="1640" customFormat="1" x14ac:dyDescent="0.2">
      <c r="E63" s="1641"/>
      <c r="G63" s="1641"/>
      <c r="M63" s="1642"/>
      <c r="N63" s="1643"/>
      <c r="R63" s="1644"/>
      <c r="S63" s="1644"/>
      <c r="T63" s="1644"/>
      <c r="U63" s="1644"/>
      <c r="AH63" s="1645"/>
      <c r="AI63" s="1646"/>
    </row>
    <row r="64" spans="5:35" s="1640" customFormat="1" x14ac:dyDescent="0.2">
      <c r="E64" s="1641"/>
      <c r="G64" s="1641"/>
      <c r="M64" s="1642"/>
      <c r="N64" s="1643"/>
      <c r="R64" s="1644"/>
      <c r="S64" s="1644"/>
      <c r="T64" s="1644"/>
      <c r="U64" s="1644"/>
      <c r="AH64" s="1645"/>
      <c r="AI64" s="1646"/>
    </row>
    <row r="65" spans="5:35" s="1640" customFormat="1" x14ac:dyDescent="0.2">
      <c r="E65" s="1641"/>
      <c r="G65" s="1641"/>
      <c r="M65" s="1642"/>
      <c r="N65" s="1643"/>
      <c r="R65" s="1644"/>
      <c r="S65" s="1644"/>
      <c r="T65" s="1644"/>
      <c r="U65" s="1644"/>
      <c r="AH65" s="1645"/>
      <c r="AI65" s="1646"/>
    </row>
    <row r="66" spans="5:35" s="1640" customFormat="1" x14ac:dyDescent="0.2">
      <c r="E66" s="1641"/>
      <c r="G66" s="1641"/>
      <c r="M66" s="1642"/>
      <c r="N66" s="1643"/>
      <c r="R66" s="1644"/>
      <c r="S66" s="1644"/>
      <c r="T66" s="1644"/>
      <c r="U66" s="1644"/>
      <c r="AH66" s="1645"/>
      <c r="AI66" s="1646"/>
    </row>
    <row r="67" spans="5:35" s="1640" customFormat="1" x14ac:dyDescent="0.2">
      <c r="E67" s="1641"/>
      <c r="G67" s="1641"/>
      <c r="M67" s="1642"/>
      <c r="N67" s="1643"/>
      <c r="R67" s="1644"/>
      <c r="S67" s="1644"/>
      <c r="T67" s="1644"/>
      <c r="U67" s="1644"/>
      <c r="AH67" s="1645"/>
      <c r="AI67" s="1646"/>
    </row>
    <row r="68" spans="5:35" s="1640" customFormat="1" x14ac:dyDescent="0.2">
      <c r="E68" s="1641"/>
      <c r="G68" s="1641"/>
      <c r="M68" s="1642"/>
      <c r="N68" s="1643"/>
      <c r="R68" s="1644"/>
      <c r="S68" s="1644"/>
      <c r="T68" s="1644"/>
      <c r="U68" s="1644"/>
      <c r="AH68" s="1645"/>
      <c r="AI68" s="1646"/>
    </row>
    <row r="69" spans="5:35" s="1640" customFormat="1" x14ac:dyDescent="0.2">
      <c r="E69" s="1641"/>
      <c r="G69" s="1641"/>
      <c r="M69" s="1642"/>
      <c r="N69" s="1643"/>
      <c r="R69" s="1644"/>
      <c r="S69" s="1644"/>
      <c r="T69" s="1644"/>
      <c r="U69" s="1644"/>
      <c r="AH69" s="1645"/>
      <c r="AI69" s="1646"/>
    </row>
    <row r="70" spans="5:35" s="1640" customFormat="1" x14ac:dyDescent="0.2">
      <c r="E70" s="1641"/>
      <c r="G70" s="1641"/>
      <c r="M70" s="1642"/>
      <c r="N70" s="1643"/>
      <c r="R70" s="1644"/>
      <c r="S70" s="1644"/>
      <c r="T70" s="1644"/>
      <c r="U70" s="1644"/>
      <c r="AH70" s="1645"/>
      <c r="AI70" s="1646"/>
    </row>
    <row r="71" spans="5:35" s="1640" customFormat="1" x14ac:dyDescent="0.2">
      <c r="E71" s="1641"/>
      <c r="G71" s="1641"/>
      <c r="M71" s="1642"/>
      <c r="N71" s="1643"/>
      <c r="R71" s="1644"/>
      <c r="S71" s="1644"/>
      <c r="T71" s="1644"/>
      <c r="U71" s="1644"/>
      <c r="AH71" s="1645"/>
      <c r="AI71" s="1646"/>
    </row>
    <row r="72" spans="5:35" s="1640" customFormat="1" x14ac:dyDescent="0.2">
      <c r="E72" s="1641"/>
      <c r="G72" s="1641"/>
      <c r="M72" s="1642"/>
      <c r="N72" s="1643"/>
      <c r="R72" s="1644"/>
      <c r="S72" s="1644"/>
      <c r="T72" s="1644"/>
      <c r="U72" s="1644"/>
      <c r="AH72" s="1645"/>
      <c r="AI72" s="1646"/>
    </row>
    <row r="73" spans="5:35" s="1640" customFormat="1" x14ac:dyDescent="0.2">
      <c r="E73" s="1641"/>
      <c r="G73" s="1641"/>
      <c r="M73" s="1642"/>
      <c r="N73" s="1643"/>
      <c r="R73" s="1644"/>
      <c r="S73" s="1644"/>
      <c r="T73" s="1644"/>
      <c r="U73" s="1644"/>
      <c r="AH73" s="1645"/>
      <c r="AI73" s="1646"/>
    </row>
    <row r="74" spans="5:35" s="1640" customFormat="1" x14ac:dyDescent="0.2">
      <c r="E74" s="1641"/>
      <c r="G74" s="1641"/>
      <c r="M74" s="1642"/>
      <c r="N74" s="1643"/>
      <c r="R74" s="1644"/>
      <c r="S74" s="1644"/>
      <c r="T74" s="1644"/>
      <c r="U74" s="1644"/>
      <c r="AH74" s="1645"/>
      <c r="AI74" s="1646"/>
    </row>
    <row r="75" spans="5:35" s="1640" customFormat="1" x14ac:dyDescent="0.2">
      <c r="E75" s="1641"/>
      <c r="G75" s="1641"/>
      <c r="M75" s="1642"/>
      <c r="N75" s="1643"/>
      <c r="R75" s="1644"/>
      <c r="S75" s="1644"/>
      <c r="T75" s="1644"/>
      <c r="U75" s="1644"/>
      <c r="AH75" s="1645"/>
      <c r="AI75" s="1646"/>
    </row>
    <row r="76" spans="5:35" s="1640" customFormat="1" x14ac:dyDescent="0.2">
      <c r="E76" s="1641"/>
      <c r="G76" s="1641"/>
      <c r="M76" s="1642"/>
      <c r="N76" s="1643"/>
      <c r="R76" s="1644"/>
      <c r="S76" s="1644"/>
      <c r="T76" s="1644"/>
      <c r="U76" s="1644"/>
      <c r="AH76" s="1645"/>
      <c r="AI76" s="1646"/>
    </row>
    <row r="77" spans="5:35" s="1640" customFormat="1" x14ac:dyDescent="0.2">
      <c r="E77" s="1641"/>
      <c r="G77" s="1641"/>
      <c r="M77" s="1642"/>
      <c r="N77" s="1643"/>
      <c r="R77" s="1644"/>
      <c r="S77" s="1644"/>
      <c r="T77" s="1644"/>
      <c r="U77" s="1644"/>
      <c r="AH77" s="1645"/>
      <c r="AI77" s="1646"/>
    </row>
    <row r="78" spans="5:35" s="1640" customFormat="1" x14ac:dyDescent="0.2">
      <c r="E78" s="1641"/>
      <c r="G78" s="1641"/>
      <c r="M78" s="1642"/>
      <c r="N78" s="1643"/>
      <c r="R78" s="1644"/>
      <c r="S78" s="1644"/>
      <c r="T78" s="1644"/>
      <c r="U78" s="1644"/>
      <c r="AH78" s="1645"/>
      <c r="AI78" s="1646"/>
    </row>
    <row r="79" spans="5:35" s="1640" customFormat="1" x14ac:dyDescent="0.2">
      <c r="E79" s="1641"/>
      <c r="G79" s="1641"/>
      <c r="M79" s="1642"/>
      <c r="N79" s="1643"/>
      <c r="R79" s="1644"/>
      <c r="S79" s="1644"/>
      <c r="T79" s="1644"/>
      <c r="U79" s="1644"/>
      <c r="AH79" s="1645"/>
      <c r="AI79" s="1646"/>
    </row>
    <row r="80" spans="5:35" s="1640" customFormat="1" x14ac:dyDescent="0.2">
      <c r="E80" s="1641"/>
      <c r="G80" s="1641"/>
      <c r="M80" s="1642"/>
      <c r="N80" s="1643"/>
      <c r="R80" s="1644"/>
      <c r="S80" s="1644"/>
      <c r="T80" s="1644"/>
      <c r="U80" s="1644"/>
      <c r="AH80" s="1645"/>
      <c r="AI80" s="1646"/>
    </row>
    <row r="81" spans="5:35" s="1640" customFormat="1" x14ac:dyDescent="0.2">
      <c r="E81" s="1641"/>
      <c r="G81" s="1641"/>
      <c r="M81" s="1642"/>
      <c r="N81" s="1643"/>
      <c r="R81" s="1644"/>
      <c r="S81" s="1644"/>
      <c r="T81" s="1644"/>
      <c r="U81" s="1644"/>
      <c r="AH81" s="1645"/>
      <c r="AI81" s="1646"/>
    </row>
    <row r="82" spans="5:35" s="1640" customFormat="1" x14ac:dyDescent="0.2">
      <c r="E82" s="1641"/>
      <c r="G82" s="1641"/>
      <c r="M82" s="1642"/>
      <c r="N82" s="1643"/>
      <c r="R82" s="1644"/>
      <c r="S82" s="1644"/>
      <c r="T82" s="1644"/>
      <c r="U82" s="1644"/>
      <c r="AH82" s="1645"/>
      <c r="AI82" s="1646"/>
    </row>
    <row r="83" spans="5:35" s="1640" customFormat="1" x14ac:dyDescent="0.2">
      <c r="E83" s="1641"/>
      <c r="G83" s="1641"/>
      <c r="M83" s="1642"/>
      <c r="N83" s="1643"/>
      <c r="R83" s="1644"/>
      <c r="S83" s="1644"/>
      <c r="T83" s="1644"/>
      <c r="U83" s="1644"/>
      <c r="AH83" s="1645"/>
      <c r="AI83" s="1646"/>
    </row>
    <row r="84" spans="5:35" s="1640" customFormat="1" x14ac:dyDescent="0.2">
      <c r="E84" s="1641"/>
      <c r="G84" s="1641"/>
      <c r="M84" s="1642"/>
      <c r="N84" s="1643"/>
      <c r="R84" s="1644"/>
      <c r="S84" s="1644"/>
      <c r="T84" s="1644"/>
      <c r="U84" s="1644"/>
      <c r="AH84" s="1645"/>
      <c r="AI84" s="1646"/>
    </row>
    <row r="85" spans="5:35" s="1640" customFormat="1" x14ac:dyDescent="0.2">
      <c r="E85" s="1641"/>
      <c r="G85" s="1641"/>
      <c r="M85" s="1642"/>
      <c r="N85" s="1643"/>
      <c r="R85" s="1644"/>
      <c r="S85" s="1644"/>
      <c r="T85" s="1644"/>
      <c r="U85" s="1644"/>
      <c r="AH85" s="1645"/>
      <c r="AI85" s="1646"/>
    </row>
    <row r="86" spans="5:35" s="1640" customFormat="1" x14ac:dyDescent="0.2">
      <c r="E86" s="1641"/>
      <c r="G86" s="1641"/>
      <c r="M86" s="1642"/>
      <c r="N86" s="1643"/>
      <c r="R86" s="1644"/>
      <c r="S86" s="1644"/>
      <c r="T86" s="1644"/>
      <c r="U86" s="1644"/>
      <c r="AH86" s="1645"/>
      <c r="AI86" s="1646"/>
    </row>
    <row r="87" spans="5:35" s="1640" customFormat="1" x14ac:dyDescent="0.2">
      <c r="E87" s="1641"/>
      <c r="G87" s="1641"/>
      <c r="M87" s="1642"/>
      <c r="N87" s="1643"/>
      <c r="R87" s="1644"/>
      <c r="S87" s="1644"/>
      <c r="T87" s="1644"/>
      <c r="U87" s="1644"/>
      <c r="AH87" s="1645"/>
      <c r="AI87" s="1646"/>
    </row>
    <row r="88" spans="5:35" s="1640" customFormat="1" x14ac:dyDescent="0.2">
      <c r="E88" s="1641"/>
      <c r="G88" s="1641"/>
      <c r="M88" s="1642"/>
      <c r="N88" s="1643"/>
      <c r="R88" s="1644"/>
      <c r="S88" s="1644"/>
      <c r="T88" s="1644"/>
      <c r="U88" s="1644"/>
      <c r="AH88" s="1645"/>
      <c r="AI88" s="1646"/>
    </row>
    <row r="89" spans="5:35" s="1640" customFormat="1" x14ac:dyDescent="0.2">
      <c r="E89" s="1641"/>
      <c r="G89" s="1641"/>
      <c r="M89" s="1642"/>
      <c r="N89" s="1643"/>
      <c r="R89" s="1644"/>
      <c r="S89" s="1644"/>
      <c r="T89" s="1644"/>
      <c r="U89" s="1644"/>
      <c r="AH89" s="1645"/>
      <c r="AI89" s="1646"/>
    </row>
    <row r="90" spans="5:35" s="1640" customFormat="1" x14ac:dyDescent="0.2">
      <c r="E90" s="1641"/>
      <c r="G90" s="1641"/>
      <c r="M90" s="1642"/>
      <c r="N90" s="1643"/>
      <c r="R90" s="1644"/>
      <c r="S90" s="1644"/>
      <c r="T90" s="1644"/>
      <c r="U90" s="1644"/>
      <c r="AH90" s="1645"/>
      <c r="AI90" s="1646"/>
    </row>
    <row r="91" spans="5:35" s="1640" customFormat="1" x14ac:dyDescent="0.2">
      <c r="E91" s="1641"/>
      <c r="G91" s="1641"/>
      <c r="M91" s="1642"/>
      <c r="N91" s="1643"/>
      <c r="R91" s="1644"/>
      <c r="S91" s="1644"/>
      <c r="T91" s="1644"/>
      <c r="U91" s="1644"/>
      <c r="AH91" s="1645"/>
      <c r="AI91" s="1646"/>
    </row>
    <row r="92" spans="5:35" s="1640" customFormat="1" x14ac:dyDescent="0.2">
      <c r="E92" s="1641"/>
      <c r="G92" s="1641"/>
      <c r="M92" s="1642"/>
      <c r="N92" s="1643"/>
      <c r="R92" s="1644"/>
      <c r="S92" s="1644"/>
      <c r="T92" s="1644"/>
      <c r="U92" s="1644"/>
      <c r="AH92" s="1645"/>
      <c r="AI92" s="1646"/>
    </row>
    <row r="93" spans="5:35" s="1640" customFormat="1" x14ac:dyDescent="0.2">
      <c r="E93" s="1641"/>
      <c r="G93" s="1641"/>
      <c r="M93" s="1642"/>
      <c r="N93" s="1643"/>
      <c r="R93" s="1644"/>
      <c r="S93" s="1644"/>
      <c r="T93" s="1644"/>
      <c r="U93" s="1644"/>
      <c r="AH93" s="1645"/>
      <c r="AI93" s="1646"/>
    </row>
    <row r="94" spans="5:35" s="1640" customFormat="1" x14ac:dyDescent="0.2">
      <c r="E94" s="1641"/>
      <c r="G94" s="1641"/>
      <c r="M94" s="1642"/>
      <c r="N94" s="1643"/>
      <c r="R94" s="1644"/>
      <c r="S94" s="1644"/>
      <c r="T94" s="1644"/>
      <c r="U94" s="1644"/>
      <c r="AH94" s="1645"/>
      <c r="AI94" s="1646"/>
    </row>
    <row r="95" spans="5:35" s="1640" customFormat="1" x14ac:dyDescent="0.2">
      <c r="E95" s="1641"/>
      <c r="G95" s="1641"/>
      <c r="M95" s="1642"/>
      <c r="N95" s="1643"/>
      <c r="R95" s="1644"/>
      <c r="S95" s="1644"/>
      <c r="T95" s="1644"/>
      <c r="U95" s="1644"/>
      <c r="AH95" s="1645"/>
      <c r="AI95" s="1646"/>
    </row>
    <row r="96" spans="5:35" s="1640" customFormat="1" x14ac:dyDescent="0.2">
      <c r="E96" s="1641"/>
      <c r="G96" s="1641"/>
      <c r="M96" s="1642"/>
      <c r="N96" s="1643"/>
      <c r="R96" s="1644"/>
      <c r="S96" s="1644"/>
      <c r="T96" s="1644"/>
      <c r="U96" s="1644"/>
      <c r="AH96" s="1645"/>
      <c r="AI96" s="1646"/>
    </row>
    <row r="97" spans="5:35" s="1640" customFormat="1" x14ac:dyDescent="0.2">
      <c r="E97" s="1641"/>
      <c r="G97" s="1641"/>
      <c r="M97" s="1642"/>
      <c r="N97" s="1643"/>
      <c r="R97" s="1644"/>
      <c r="S97" s="1644"/>
      <c r="T97" s="1644"/>
      <c r="U97" s="1644"/>
      <c r="AH97" s="1645"/>
      <c r="AI97" s="1646"/>
    </row>
    <row r="98" spans="5:35" s="1640" customFormat="1" x14ac:dyDescent="0.2">
      <c r="E98" s="1641"/>
      <c r="G98" s="1641"/>
      <c r="M98" s="1642"/>
      <c r="N98" s="1643"/>
      <c r="R98" s="1644"/>
      <c r="S98" s="1644"/>
      <c r="T98" s="1644"/>
      <c r="U98" s="1644"/>
      <c r="AH98" s="1645"/>
      <c r="AI98" s="1646"/>
    </row>
    <row r="99" spans="5:35" s="1640" customFormat="1" x14ac:dyDescent="0.2">
      <c r="E99" s="1641"/>
      <c r="G99" s="1641"/>
      <c r="M99" s="1642"/>
      <c r="N99" s="1643"/>
      <c r="R99" s="1644"/>
      <c r="S99" s="1644"/>
      <c r="T99" s="1644"/>
      <c r="U99" s="1644"/>
      <c r="AH99" s="1645"/>
      <c r="AI99" s="1646"/>
    </row>
    <row r="100" spans="5:35" s="1640" customFormat="1" x14ac:dyDescent="0.2">
      <c r="E100" s="1641"/>
      <c r="G100" s="1641"/>
      <c r="M100" s="1642"/>
      <c r="N100" s="1643"/>
      <c r="R100" s="1644"/>
      <c r="S100" s="1644"/>
      <c r="T100" s="1644"/>
      <c r="U100" s="1644"/>
      <c r="AH100" s="1645"/>
      <c r="AI100" s="1646"/>
    </row>
    <row r="101" spans="5:35" s="1640" customFormat="1" x14ac:dyDescent="0.2">
      <c r="E101" s="1641"/>
      <c r="G101" s="1641"/>
      <c r="M101" s="1642"/>
      <c r="N101" s="1643"/>
      <c r="R101" s="1644"/>
      <c r="S101" s="1644"/>
      <c r="T101" s="1644"/>
      <c r="U101" s="1644"/>
      <c r="AH101" s="1645"/>
      <c r="AI101" s="1646"/>
    </row>
    <row r="102" spans="5:35" s="1640" customFormat="1" x14ac:dyDescent="0.2">
      <c r="E102" s="1641"/>
      <c r="G102" s="1641"/>
      <c r="M102" s="1642"/>
      <c r="N102" s="1643"/>
      <c r="R102" s="1644"/>
      <c r="S102" s="1644"/>
      <c r="T102" s="1644"/>
      <c r="U102" s="1644"/>
      <c r="AH102" s="1645"/>
      <c r="AI102" s="1646"/>
    </row>
    <row r="103" spans="5:35" s="1640" customFormat="1" x14ac:dyDescent="0.2">
      <c r="E103" s="1641"/>
      <c r="G103" s="1641"/>
      <c r="M103" s="1642"/>
      <c r="N103" s="1643"/>
      <c r="R103" s="1644"/>
      <c r="S103" s="1644"/>
      <c r="T103" s="1644"/>
      <c r="U103" s="1644"/>
      <c r="AH103" s="1645"/>
      <c r="AI103" s="1646"/>
    </row>
    <row r="104" spans="5:35" s="1640" customFormat="1" x14ac:dyDescent="0.2">
      <c r="E104" s="1641"/>
      <c r="G104" s="1641"/>
      <c r="M104" s="1642"/>
      <c r="N104" s="1643"/>
      <c r="R104" s="1644"/>
      <c r="S104" s="1644"/>
      <c r="T104" s="1644"/>
      <c r="U104" s="1644"/>
      <c r="AH104" s="1645"/>
      <c r="AI104" s="1646"/>
    </row>
    <row r="105" spans="5:35" s="1640" customFormat="1" x14ac:dyDescent="0.2">
      <c r="E105" s="1641"/>
      <c r="G105" s="1641"/>
      <c r="M105" s="1642"/>
      <c r="N105" s="1643"/>
      <c r="R105" s="1644"/>
      <c r="S105" s="1644"/>
      <c r="T105" s="1644"/>
      <c r="U105" s="1644"/>
      <c r="AH105" s="1645"/>
      <c r="AI105" s="1646"/>
    </row>
    <row r="106" spans="5:35" s="1640" customFormat="1" x14ac:dyDescent="0.2">
      <c r="E106" s="1641"/>
      <c r="G106" s="1641"/>
      <c r="M106" s="1642"/>
      <c r="N106" s="1643"/>
      <c r="R106" s="1644"/>
      <c r="S106" s="1644"/>
      <c r="T106" s="1644"/>
      <c r="U106" s="1644"/>
      <c r="AH106" s="1645"/>
      <c r="AI106" s="1646"/>
    </row>
    <row r="107" spans="5:35" s="1640" customFormat="1" x14ac:dyDescent="0.2">
      <c r="E107" s="1641"/>
      <c r="G107" s="1641"/>
      <c r="M107" s="1642"/>
      <c r="N107" s="1643"/>
      <c r="R107" s="1644"/>
      <c r="S107" s="1644"/>
      <c r="T107" s="1644"/>
      <c r="U107" s="1644"/>
      <c r="AH107" s="1645"/>
      <c r="AI107" s="1646"/>
    </row>
    <row r="108" spans="5:35" s="1640" customFormat="1" x14ac:dyDescent="0.2">
      <c r="E108" s="1641"/>
      <c r="G108" s="1641"/>
      <c r="M108" s="1642"/>
      <c r="N108" s="1643"/>
      <c r="R108" s="1644"/>
      <c r="S108" s="1644"/>
      <c r="T108" s="1644"/>
      <c r="U108" s="1644"/>
      <c r="AH108" s="1645"/>
      <c r="AI108" s="1646"/>
    </row>
    <row r="109" spans="5:35" s="1640" customFormat="1" x14ac:dyDescent="0.2">
      <c r="E109" s="1641"/>
      <c r="G109" s="1641"/>
      <c r="M109" s="1642"/>
      <c r="N109" s="1643"/>
      <c r="R109" s="1644"/>
      <c r="S109" s="1644"/>
      <c r="T109" s="1644"/>
      <c r="U109" s="1644"/>
      <c r="AH109" s="1645"/>
      <c r="AI109" s="1646"/>
    </row>
    <row r="110" spans="5:35" s="1640" customFormat="1" x14ac:dyDescent="0.2">
      <c r="E110" s="1641"/>
      <c r="G110" s="1641"/>
      <c r="M110" s="1642"/>
      <c r="N110" s="1643"/>
      <c r="R110" s="1644"/>
      <c r="S110" s="1644"/>
      <c r="T110" s="1644"/>
      <c r="U110" s="1644"/>
      <c r="AH110" s="1645"/>
      <c r="AI110" s="1646"/>
    </row>
    <row r="111" spans="5:35" s="1640" customFormat="1" x14ac:dyDescent="0.2">
      <c r="E111" s="1641"/>
      <c r="G111" s="1641"/>
      <c r="M111" s="1642"/>
      <c r="N111" s="1643"/>
      <c r="R111" s="1644"/>
      <c r="S111" s="1644"/>
      <c r="T111" s="1644"/>
      <c r="U111" s="1644"/>
      <c r="AH111" s="1645"/>
      <c r="AI111" s="1646"/>
    </row>
    <row r="112" spans="5:35" s="1640" customFormat="1" x14ac:dyDescent="0.2">
      <c r="E112" s="1641"/>
      <c r="G112" s="1641"/>
      <c r="M112" s="1642"/>
      <c r="N112" s="1643"/>
      <c r="R112" s="1644"/>
      <c r="S112" s="1644"/>
      <c r="T112" s="1644"/>
      <c r="U112" s="1644"/>
      <c r="AH112" s="1645"/>
      <c r="AI112" s="1646"/>
    </row>
    <row r="113" spans="5:35" s="1640" customFormat="1" x14ac:dyDescent="0.2">
      <c r="E113" s="1641"/>
      <c r="G113" s="1641"/>
      <c r="M113" s="1642"/>
      <c r="N113" s="1643"/>
      <c r="R113" s="1644"/>
      <c r="S113" s="1644"/>
      <c r="T113" s="1644"/>
      <c r="U113" s="1644"/>
      <c r="AH113" s="1645"/>
      <c r="AI113" s="1646"/>
    </row>
    <row r="114" spans="5:35" s="1640" customFormat="1" x14ac:dyDescent="0.2">
      <c r="E114" s="1641"/>
      <c r="G114" s="1641"/>
      <c r="M114" s="1642"/>
      <c r="N114" s="1643"/>
      <c r="R114" s="1644"/>
      <c r="S114" s="1644"/>
      <c r="T114" s="1644"/>
      <c r="U114" s="1644"/>
      <c r="AH114" s="1645"/>
      <c r="AI114" s="1646"/>
    </row>
    <row r="115" spans="5:35" s="1640" customFormat="1" x14ac:dyDescent="0.2">
      <c r="E115" s="1641"/>
      <c r="G115" s="1641"/>
      <c r="M115" s="1642"/>
      <c r="N115" s="1643"/>
      <c r="R115" s="1644"/>
      <c r="S115" s="1644"/>
      <c r="T115" s="1644"/>
      <c r="U115" s="1644"/>
      <c r="AH115" s="1645"/>
      <c r="AI115" s="1646"/>
    </row>
    <row r="116" spans="5:35" s="1640" customFormat="1" x14ac:dyDescent="0.2">
      <c r="E116" s="1641"/>
      <c r="G116" s="1641"/>
      <c r="M116" s="1642"/>
      <c r="N116" s="1643"/>
      <c r="R116" s="1644"/>
      <c r="S116" s="1644"/>
      <c r="T116" s="1644"/>
      <c r="U116" s="1644"/>
      <c r="AH116" s="1645"/>
      <c r="AI116" s="1646"/>
    </row>
    <row r="117" spans="5:35" s="1640" customFormat="1" x14ac:dyDescent="0.2">
      <c r="E117" s="1641"/>
      <c r="G117" s="1641"/>
      <c r="M117" s="1642"/>
      <c r="N117" s="1643"/>
      <c r="R117" s="1644"/>
      <c r="S117" s="1644"/>
      <c r="T117" s="1644"/>
      <c r="U117" s="1644"/>
      <c r="AH117" s="1645"/>
      <c r="AI117" s="1646"/>
    </row>
    <row r="118" spans="5:35" s="1640" customFormat="1" x14ac:dyDescent="0.2">
      <c r="E118" s="1641"/>
      <c r="G118" s="1641"/>
      <c r="M118" s="1642"/>
      <c r="N118" s="1643"/>
      <c r="R118" s="1644"/>
      <c r="S118" s="1644"/>
      <c r="T118" s="1644"/>
      <c r="U118" s="1644"/>
      <c r="AH118" s="1645"/>
      <c r="AI118" s="1646"/>
    </row>
    <row r="119" spans="5:35" s="1640" customFormat="1" x14ac:dyDescent="0.2">
      <c r="E119" s="1641"/>
      <c r="G119" s="1641"/>
      <c r="M119" s="1642"/>
      <c r="N119" s="1643"/>
      <c r="R119" s="1644"/>
      <c r="S119" s="1644"/>
      <c r="T119" s="1644"/>
      <c r="U119" s="1644"/>
      <c r="AH119" s="1645"/>
      <c r="AI119" s="1646"/>
    </row>
    <row r="120" spans="5:35" s="1640" customFormat="1" x14ac:dyDescent="0.2">
      <c r="E120" s="1641"/>
      <c r="G120" s="1641"/>
      <c r="M120" s="1642"/>
      <c r="N120" s="1643"/>
      <c r="R120" s="1644"/>
      <c r="S120" s="1644"/>
      <c r="T120" s="1644"/>
      <c r="U120" s="1644"/>
      <c r="AH120" s="1645"/>
      <c r="AI120" s="1646"/>
    </row>
    <row r="121" spans="5:35" s="1640" customFormat="1" x14ac:dyDescent="0.2">
      <c r="E121" s="1641"/>
      <c r="G121" s="1641"/>
      <c r="M121" s="1642"/>
      <c r="N121" s="1643"/>
      <c r="R121" s="1644"/>
      <c r="S121" s="1644"/>
      <c r="T121" s="1644"/>
      <c r="U121" s="1644"/>
      <c r="AH121" s="1645"/>
      <c r="AI121" s="1646"/>
    </row>
    <row r="122" spans="5:35" s="1640" customFormat="1" x14ac:dyDescent="0.2">
      <c r="E122" s="1641"/>
      <c r="G122" s="1641"/>
      <c r="M122" s="1642"/>
      <c r="N122" s="1643"/>
      <c r="R122" s="1644"/>
      <c r="S122" s="1644"/>
      <c r="T122" s="1644"/>
      <c r="U122" s="1644"/>
      <c r="AH122" s="1645"/>
      <c r="AI122" s="1646"/>
    </row>
    <row r="123" spans="5:35" s="1640" customFormat="1" x14ac:dyDescent="0.2">
      <c r="E123" s="1641"/>
      <c r="G123" s="1641"/>
      <c r="M123" s="1642"/>
      <c r="N123" s="1643"/>
      <c r="R123" s="1644"/>
      <c r="S123" s="1644"/>
      <c r="T123" s="1644"/>
      <c r="U123" s="1644"/>
      <c r="AH123" s="1645"/>
      <c r="AI123" s="1646"/>
    </row>
    <row r="124" spans="5:35" s="1640" customFormat="1" x14ac:dyDescent="0.2">
      <c r="E124" s="1641"/>
      <c r="G124" s="1641"/>
      <c r="M124" s="1642"/>
      <c r="N124" s="1643"/>
      <c r="R124" s="1644"/>
      <c r="S124" s="1644"/>
      <c r="T124" s="1644"/>
      <c r="U124" s="1644"/>
      <c r="AH124" s="1645"/>
      <c r="AI124" s="1646"/>
    </row>
    <row r="125" spans="5:35" s="1640" customFormat="1" x14ac:dyDescent="0.2">
      <c r="E125" s="1641"/>
      <c r="G125" s="1641"/>
      <c r="M125" s="1642"/>
      <c r="N125" s="1643"/>
      <c r="R125" s="1644"/>
      <c r="S125" s="1644"/>
      <c r="T125" s="1644"/>
      <c r="U125" s="1644"/>
      <c r="AH125" s="1645"/>
      <c r="AI125" s="1646"/>
    </row>
    <row r="126" spans="5:35" s="1640" customFormat="1" x14ac:dyDescent="0.2">
      <c r="E126" s="1641"/>
      <c r="G126" s="1641"/>
      <c r="M126" s="1642"/>
      <c r="N126" s="1643"/>
      <c r="R126" s="1644"/>
      <c r="S126" s="1644"/>
      <c r="T126" s="1644"/>
      <c r="U126" s="1644"/>
      <c r="AH126" s="1645"/>
      <c r="AI126" s="1646"/>
    </row>
    <row r="127" spans="5:35" s="1640" customFormat="1" x14ac:dyDescent="0.2">
      <c r="E127" s="1641"/>
      <c r="G127" s="1641"/>
      <c r="M127" s="1642"/>
      <c r="N127" s="1643"/>
      <c r="R127" s="1644"/>
      <c r="S127" s="1644"/>
      <c r="T127" s="1644"/>
      <c r="U127" s="1644"/>
      <c r="AH127" s="1645"/>
      <c r="AI127" s="1646"/>
    </row>
    <row r="128" spans="5:35" s="1640" customFormat="1" x14ac:dyDescent="0.2">
      <c r="E128" s="1641"/>
      <c r="G128" s="1641"/>
      <c r="M128" s="1642"/>
      <c r="N128" s="1643"/>
      <c r="R128" s="1644"/>
      <c r="S128" s="1644"/>
      <c r="T128" s="1644"/>
      <c r="U128" s="1644"/>
      <c r="AH128" s="1645"/>
      <c r="AI128" s="1646"/>
    </row>
    <row r="129" spans="5:35" s="1640" customFormat="1" x14ac:dyDescent="0.2">
      <c r="E129" s="1641"/>
      <c r="G129" s="1641"/>
      <c r="M129" s="1642"/>
      <c r="N129" s="1643"/>
      <c r="R129" s="1644"/>
      <c r="S129" s="1644"/>
      <c r="T129" s="1644"/>
      <c r="U129" s="1644"/>
      <c r="AH129" s="1645"/>
      <c r="AI129" s="1646"/>
    </row>
    <row r="130" spans="5:35" s="1640" customFormat="1" x14ac:dyDescent="0.2">
      <c r="E130" s="1641"/>
      <c r="G130" s="1641"/>
      <c r="M130" s="1642"/>
      <c r="N130" s="1643"/>
      <c r="R130" s="1644"/>
      <c r="S130" s="1644"/>
      <c r="T130" s="1644"/>
      <c r="U130" s="1644"/>
      <c r="AH130" s="1645"/>
      <c r="AI130" s="1646"/>
    </row>
    <row r="131" spans="5:35" s="1640" customFormat="1" x14ac:dyDescent="0.2">
      <c r="E131" s="1641"/>
      <c r="G131" s="1641"/>
      <c r="M131" s="1642"/>
      <c r="N131" s="1643"/>
      <c r="R131" s="1644"/>
      <c r="S131" s="1644"/>
      <c r="T131" s="1644"/>
      <c r="U131" s="1644"/>
      <c r="AH131" s="1645"/>
      <c r="AI131" s="1646"/>
    </row>
    <row r="132" spans="5:35" s="1640" customFormat="1" x14ac:dyDescent="0.2">
      <c r="E132" s="1641"/>
      <c r="G132" s="1641"/>
      <c r="M132" s="1642"/>
      <c r="N132" s="1643"/>
      <c r="R132" s="1644"/>
      <c r="S132" s="1644"/>
      <c r="T132" s="1644"/>
      <c r="U132" s="1644"/>
      <c r="AH132" s="1645"/>
      <c r="AI132" s="1646"/>
    </row>
    <row r="133" spans="5:35" s="1640" customFormat="1" x14ac:dyDescent="0.2">
      <c r="E133" s="1641"/>
      <c r="G133" s="1641"/>
      <c r="M133" s="1642"/>
      <c r="N133" s="1643"/>
      <c r="R133" s="1644"/>
      <c r="S133" s="1644"/>
      <c r="T133" s="1644"/>
      <c r="U133" s="1644"/>
      <c r="AH133" s="1645"/>
      <c r="AI133" s="1646"/>
    </row>
    <row r="134" spans="5:35" s="1640" customFormat="1" x14ac:dyDescent="0.2">
      <c r="E134" s="1641"/>
      <c r="G134" s="1641"/>
      <c r="M134" s="1642"/>
      <c r="N134" s="1643"/>
      <c r="R134" s="1644"/>
      <c r="S134" s="1644"/>
      <c r="T134" s="1644"/>
      <c r="U134" s="1644"/>
      <c r="AH134" s="1645"/>
      <c r="AI134" s="1646"/>
    </row>
    <row r="135" spans="5:35" s="1640" customFormat="1" x14ac:dyDescent="0.2">
      <c r="E135" s="1641"/>
      <c r="G135" s="1641"/>
      <c r="M135" s="1642"/>
      <c r="N135" s="1643"/>
      <c r="R135" s="1644"/>
      <c r="S135" s="1644"/>
      <c r="T135" s="1644"/>
      <c r="U135" s="1644"/>
      <c r="AH135" s="1645"/>
      <c r="AI135" s="1646"/>
    </row>
    <row r="136" spans="5:35" s="1640" customFormat="1" x14ac:dyDescent="0.2">
      <c r="E136" s="1641"/>
      <c r="G136" s="1641"/>
      <c r="M136" s="1642"/>
      <c r="N136" s="1643"/>
      <c r="R136" s="1644"/>
      <c r="S136" s="1644"/>
      <c r="T136" s="1644"/>
      <c r="U136" s="1644"/>
      <c r="AH136" s="1645"/>
      <c r="AI136" s="1646"/>
    </row>
    <row r="137" spans="5:35" s="1640" customFormat="1" x14ac:dyDescent="0.2">
      <c r="E137" s="1641"/>
      <c r="G137" s="1641"/>
      <c r="M137" s="1642"/>
      <c r="N137" s="1643"/>
      <c r="R137" s="1644"/>
      <c r="S137" s="1644"/>
      <c r="T137" s="1644"/>
      <c r="U137" s="1644"/>
      <c r="AH137" s="1645"/>
      <c r="AI137" s="1646"/>
    </row>
    <row r="138" spans="5:35" s="1640" customFormat="1" x14ac:dyDescent="0.2">
      <c r="E138" s="1641"/>
      <c r="G138" s="1641"/>
      <c r="M138" s="1642"/>
      <c r="N138" s="1643"/>
      <c r="R138" s="1644"/>
      <c r="S138" s="1644"/>
      <c r="T138" s="1644"/>
      <c r="U138" s="1644"/>
      <c r="AH138" s="1645"/>
      <c r="AI138" s="1646"/>
    </row>
    <row r="139" spans="5:35" s="1640" customFormat="1" x14ac:dyDescent="0.2">
      <c r="E139" s="1641"/>
      <c r="G139" s="1641"/>
      <c r="M139" s="1642"/>
      <c r="N139" s="1643"/>
      <c r="R139" s="1644"/>
      <c r="S139" s="1644"/>
      <c r="T139" s="1644"/>
      <c r="U139" s="1644"/>
      <c r="AH139" s="1645"/>
      <c r="AI139" s="1646"/>
    </row>
    <row r="140" spans="5:35" s="1640" customFormat="1" x14ac:dyDescent="0.2">
      <c r="E140" s="1641"/>
      <c r="G140" s="1641"/>
      <c r="M140" s="1642"/>
      <c r="N140" s="1643"/>
      <c r="R140" s="1644"/>
      <c r="S140" s="1644"/>
      <c r="T140" s="1644"/>
      <c r="U140" s="1644"/>
      <c r="AH140" s="1645"/>
      <c r="AI140" s="1646"/>
    </row>
    <row r="141" spans="5:35" s="1640" customFormat="1" x14ac:dyDescent="0.2">
      <c r="E141" s="1641"/>
      <c r="G141" s="1641"/>
      <c r="M141" s="1642"/>
      <c r="N141" s="1643"/>
      <c r="R141" s="1644"/>
      <c r="S141" s="1644"/>
      <c r="T141" s="1644"/>
      <c r="U141" s="1644"/>
      <c r="AH141" s="1645"/>
      <c r="AI141" s="1646"/>
    </row>
    <row r="142" spans="5:35" s="1640" customFormat="1" x14ac:dyDescent="0.2">
      <c r="E142" s="1641"/>
      <c r="G142" s="1641"/>
      <c r="M142" s="1642"/>
      <c r="N142" s="1643"/>
      <c r="R142" s="1644"/>
      <c r="S142" s="1644"/>
      <c r="T142" s="1644"/>
      <c r="U142" s="1644"/>
      <c r="AH142" s="1645"/>
      <c r="AI142" s="1646"/>
    </row>
    <row r="143" spans="5:35" s="1640" customFormat="1" x14ac:dyDescent="0.2">
      <c r="E143" s="1641"/>
      <c r="G143" s="1641"/>
      <c r="M143" s="1642"/>
      <c r="N143" s="1643"/>
      <c r="R143" s="1644"/>
      <c r="S143" s="1644"/>
      <c r="T143" s="1644"/>
      <c r="U143" s="1644"/>
      <c r="AH143" s="1645"/>
      <c r="AI143" s="1646"/>
    </row>
    <row r="144" spans="5:35" s="1640" customFormat="1" x14ac:dyDescent="0.2">
      <c r="E144" s="1641"/>
      <c r="G144" s="1641"/>
      <c r="M144" s="1642"/>
      <c r="N144" s="1643"/>
      <c r="R144" s="1644"/>
      <c r="S144" s="1644"/>
      <c r="T144" s="1644"/>
      <c r="U144" s="1644"/>
      <c r="AH144" s="1645"/>
      <c r="AI144" s="1646"/>
    </row>
    <row r="145" spans="5:35" s="1640" customFormat="1" x14ac:dyDescent="0.2">
      <c r="E145" s="1641"/>
      <c r="G145" s="1641"/>
      <c r="M145" s="1642"/>
      <c r="N145" s="1643"/>
      <c r="R145" s="1644"/>
      <c r="S145" s="1644"/>
      <c r="T145" s="1644"/>
      <c r="U145" s="1644"/>
      <c r="AH145" s="1645"/>
      <c r="AI145" s="1646"/>
    </row>
    <row r="146" spans="5:35" s="1640" customFormat="1" x14ac:dyDescent="0.2">
      <c r="E146" s="1641"/>
      <c r="G146" s="1641"/>
      <c r="M146" s="1642"/>
      <c r="N146" s="1643"/>
      <c r="R146" s="1644"/>
      <c r="S146" s="1644"/>
      <c r="T146" s="1644"/>
      <c r="U146" s="1644"/>
      <c r="AH146" s="1645"/>
      <c r="AI146" s="1646"/>
    </row>
    <row r="147" spans="5:35" s="1640" customFormat="1" x14ac:dyDescent="0.2">
      <c r="E147" s="1641"/>
      <c r="G147" s="1641"/>
      <c r="M147" s="1642"/>
      <c r="N147" s="1643"/>
      <c r="R147" s="1644"/>
      <c r="S147" s="1644"/>
      <c r="T147" s="1644"/>
      <c r="U147" s="1644"/>
      <c r="AH147" s="1645"/>
      <c r="AI147" s="1646"/>
    </row>
    <row r="148" spans="5:35" s="1640" customFormat="1" x14ac:dyDescent="0.2">
      <c r="E148" s="1641"/>
      <c r="G148" s="1641"/>
      <c r="M148" s="1642"/>
      <c r="N148" s="1643"/>
      <c r="R148" s="1644"/>
      <c r="S148" s="1644"/>
      <c r="T148" s="1644"/>
      <c r="U148" s="1644"/>
      <c r="AH148" s="1645"/>
      <c r="AI148" s="1646"/>
    </row>
    <row r="149" spans="5:35" s="1640" customFormat="1" x14ac:dyDescent="0.2">
      <c r="E149" s="1641"/>
      <c r="G149" s="1641"/>
      <c r="M149" s="1642"/>
      <c r="N149" s="1643"/>
      <c r="R149" s="1644"/>
      <c r="S149" s="1644"/>
      <c r="T149" s="1644"/>
      <c r="U149" s="1644"/>
      <c r="AH149" s="1645"/>
      <c r="AI149" s="1646"/>
    </row>
    <row r="150" spans="5:35" s="1640" customFormat="1" x14ac:dyDescent="0.2">
      <c r="E150" s="1641"/>
      <c r="G150" s="1641"/>
      <c r="M150" s="1642"/>
      <c r="N150" s="1643"/>
      <c r="R150" s="1644"/>
      <c r="S150" s="1644"/>
      <c r="T150" s="1644"/>
      <c r="U150" s="1644"/>
      <c r="AH150" s="1645"/>
      <c r="AI150" s="1646"/>
    </row>
    <row r="151" spans="5:35" s="1640" customFormat="1" x14ac:dyDescent="0.2">
      <c r="E151" s="1641"/>
      <c r="G151" s="1641"/>
      <c r="M151" s="1642"/>
      <c r="N151" s="1643"/>
      <c r="R151" s="1644"/>
      <c r="S151" s="1644"/>
      <c r="T151" s="1644"/>
      <c r="U151" s="1644"/>
      <c r="AH151" s="1645"/>
      <c r="AI151" s="1646"/>
    </row>
    <row r="152" spans="5:35" s="1640" customFormat="1" x14ac:dyDescent="0.2">
      <c r="E152" s="1641"/>
      <c r="G152" s="1641"/>
      <c r="M152" s="1642"/>
      <c r="N152" s="1643"/>
      <c r="R152" s="1644"/>
      <c r="S152" s="1644"/>
      <c r="T152" s="1644"/>
      <c r="U152" s="1644"/>
      <c r="AH152" s="1645"/>
      <c r="AI152" s="1646"/>
    </row>
    <row r="153" spans="5:35" s="1640" customFormat="1" x14ac:dyDescent="0.2">
      <c r="E153" s="1641"/>
      <c r="G153" s="1641"/>
      <c r="M153" s="1642"/>
      <c r="N153" s="1643"/>
      <c r="R153" s="1644"/>
      <c r="S153" s="1644"/>
      <c r="T153" s="1644"/>
      <c r="U153" s="1644"/>
      <c r="AH153" s="1645"/>
      <c r="AI153" s="1646"/>
    </row>
    <row r="154" spans="5:35" s="1640" customFormat="1" x14ac:dyDescent="0.2">
      <c r="E154" s="1641"/>
      <c r="G154" s="1641"/>
      <c r="M154" s="1642"/>
      <c r="N154" s="1643"/>
      <c r="R154" s="1644"/>
      <c r="S154" s="1644"/>
      <c r="T154" s="1644"/>
      <c r="U154" s="1644"/>
      <c r="AH154" s="1645"/>
      <c r="AI154" s="1646"/>
    </row>
    <row r="155" spans="5:35" s="1640" customFormat="1" x14ac:dyDescent="0.2">
      <c r="E155" s="1641"/>
      <c r="G155" s="1641"/>
      <c r="M155" s="1642"/>
      <c r="N155" s="1643"/>
      <c r="R155" s="1644"/>
      <c r="S155" s="1644"/>
      <c r="T155" s="1644"/>
      <c r="U155" s="1644"/>
      <c r="AH155" s="1645"/>
      <c r="AI155" s="1646"/>
    </row>
    <row r="156" spans="5:35" s="1640" customFormat="1" x14ac:dyDescent="0.2">
      <c r="E156" s="1641"/>
      <c r="G156" s="1641"/>
      <c r="M156" s="1642"/>
      <c r="N156" s="1643"/>
      <c r="R156" s="1644"/>
      <c r="S156" s="1644"/>
      <c r="T156" s="1644"/>
      <c r="U156" s="1644"/>
      <c r="AH156" s="1645"/>
      <c r="AI156" s="1646"/>
    </row>
    <row r="157" spans="5:35" s="1640" customFormat="1" x14ac:dyDescent="0.2">
      <c r="E157" s="1641"/>
      <c r="G157" s="1641"/>
      <c r="M157" s="1642"/>
      <c r="N157" s="1643"/>
      <c r="R157" s="1644"/>
      <c r="S157" s="1644"/>
      <c r="T157" s="1644"/>
      <c r="U157" s="1644"/>
      <c r="AH157" s="1645"/>
      <c r="AI157" s="1646"/>
    </row>
    <row r="158" spans="5:35" s="1640" customFormat="1" x14ac:dyDescent="0.2">
      <c r="E158" s="1641"/>
      <c r="G158" s="1641"/>
      <c r="M158" s="1642"/>
      <c r="N158" s="1643"/>
      <c r="R158" s="1644"/>
      <c r="S158" s="1644"/>
      <c r="T158" s="1644"/>
      <c r="U158" s="1644"/>
      <c r="AH158" s="1645"/>
      <c r="AI158" s="1646"/>
    </row>
    <row r="159" spans="5:35" s="1640" customFormat="1" x14ac:dyDescent="0.2">
      <c r="E159" s="1641"/>
      <c r="G159" s="1641"/>
      <c r="M159" s="1642"/>
      <c r="N159" s="1643"/>
      <c r="R159" s="1644"/>
      <c r="S159" s="1644"/>
      <c r="T159" s="1644"/>
      <c r="U159" s="1644"/>
      <c r="AH159" s="1645"/>
      <c r="AI159" s="1646"/>
    </row>
    <row r="160" spans="5:35" s="1640" customFormat="1" x14ac:dyDescent="0.2">
      <c r="E160" s="1641"/>
      <c r="G160" s="1641"/>
      <c r="M160" s="1642"/>
      <c r="N160" s="1643"/>
      <c r="R160" s="1644"/>
      <c r="S160" s="1644"/>
      <c r="T160" s="1644"/>
      <c r="U160" s="1644"/>
      <c r="AH160" s="1645"/>
      <c r="AI160" s="1646"/>
    </row>
    <row r="161" spans="5:35" s="1640" customFormat="1" x14ac:dyDescent="0.2">
      <c r="E161" s="1641"/>
      <c r="G161" s="1641"/>
      <c r="M161" s="1642"/>
      <c r="N161" s="1643"/>
      <c r="R161" s="1644"/>
      <c r="S161" s="1644"/>
      <c r="T161" s="1644"/>
      <c r="U161" s="1644"/>
      <c r="AH161" s="1645"/>
      <c r="AI161" s="1646"/>
    </row>
    <row r="162" spans="5:35" s="1640" customFormat="1" x14ac:dyDescent="0.2">
      <c r="E162" s="1641"/>
      <c r="G162" s="1641"/>
      <c r="M162" s="1642"/>
      <c r="N162" s="1643"/>
      <c r="R162" s="1644"/>
      <c r="S162" s="1644"/>
      <c r="T162" s="1644"/>
      <c r="U162" s="1644"/>
      <c r="AH162" s="1645"/>
      <c r="AI162" s="1646"/>
    </row>
    <row r="163" spans="5:35" s="1640" customFormat="1" x14ac:dyDescent="0.2">
      <c r="E163" s="1641"/>
      <c r="G163" s="1641"/>
      <c r="M163" s="1642"/>
      <c r="N163" s="1643"/>
      <c r="R163" s="1644"/>
      <c r="S163" s="1644"/>
      <c r="T163" s="1644"/>
      <c r="U163" s="1644"/>
      <c r="AH163" s="1645"/>
      <c r="AI163" s="1646"/>
    </row>
    <row r="164" spans="5:35" s="1640" customFormat="1" x14ac:dyDescent="0.2">
      <c r="E164" s="1641"/>
      <c r="G164" s="1641"/>
      <c r="M164" s="1642"/>
      <c r="N164" s="1643"/>
      <c r="R164" s="1644"/>
      <c r="S164" s="1644"/>
      <c r="T164" s="1644"/>
      <c r="U164" s="1644"/>
      <c r="AH164" s="1645"/>
      <c r="AI164" s="1646"/>
    </row>
    <row r="165" spans="5:35" s="1640" customFormat="1" x14ac:dyDescent="0.2">
      <c r="E165" s="1641"/>
      <c r="G165" s="1641"/>
      <c r="M165" s="1642"/>
      <c r="N165" s="1643"/>
      <c r="R165" s="1644"/>
      <c r="S165" s="1644"/>
      <c r="T165" s="1644"/>
      <c r="U165" s="1644"/>
      <c r="AH165" s="1645"/>
      <c r="AI165" s="1646"/>
    </row>
    <row r="166" spans="5:35" s="1640" customFormat="1" x14ac:dyDescent="0.2">
      <c r="E166" s="1641"/>
      <c r="G166" s="1641"/>
      <c r="M166" s="1642"/>
      <c r="N166" s="1643"/>
      <c r="R166" s="1644"/>
      <c r="S166" s="1644"/>
      <c r="T166" s="1644"/>
      <c r="U166" s="1644"/>
      <c r="AH166" s="1645"/>
      <c r="AI166" s="1646"/>
    </row>
    <row r="167" spans="5:35" s="1640" customFormat="1" x14ac:dyDescent="0.2">
      <c r="E167" s="1641"/>
      <c r="G167" s="1641"/>
      <c r="M167" s="1642"/>
      <c r="N167" s="1643"/>
      <c r="R167" s="1644"/>
      <c r="S167" s="1644"/>
      <c r="T167" s="1644"/>
      <c r="U167" s="1644"/>
      <c r="AH167" s="1645"/>
      <c r="AI167" s="1646"/>
    </row>
    <row r="168" spans="5:35" s="1640" customFormat="1" x14ac:dyDescent="0.2">
      <c r="E168" s="1641"/>
      <c r="G168" s="1641"/>
      <c r="M168" s="1642"/>
      <c r="N168" s="1643"/>
      <c r="R168" s="1644"/>
      <c r="S168" s="1644"/>
      <c r="T168" s="1644"/>
      <c r="U168" s="1644"/>
      <c r="AH168" s="1645"/>
      <c r="AI168" s="1646"/>
    </row>
    <row r="169" spans="5:35" s="1640" customFormat="1" x14ac:dyDescent="0.2">
      <c r="E169" s="1641"/>
      <c r="G169" s="1641"/>
      <c r="M169" s="1642"/>
      <c r="N169" s="1643"/>
      <c r="R169" s="1644"/>
      <c r="S169" s="1644"/>
      <c r="T169" s="1644"/>
      <c r="U169" s="1644"/>
      <c r="AH169" s="1645"/>
      <c r="AI169" s="1646"/>
    </row>
    <row r="170" spans="5:35" s="1640" customFormat="1" x14ac:dyDescent="0.2">
      <c r="E170" s="1641"/>
      <c r="G170" s="1641"/>
      <c r="M170" s="1642"/>
      <c r="N170" s="1643"/>
      <c r="R170" s="1644"/>
      <c r="S170" s="1644"/>
      <c r="T170" s="1644"/>
      <c r="U170" s="1644"/>
      <c r="AH170" s="1645"/>
      <c r="AI170" s="1646"/>
    </row>
    <row r="171" spans="5:35" s="1640" customFormat="1" x14ac:dyDescent="0.2">
      <c r="E171" s="1641"/>
      <c r="G171" s="1641"/>
      <c r="M171" s="1642"/>
      <c r="N171" s="1643"/>
      <c r="R171" s="1644"/>
      <c r="S171" s="1644"/>
      <c r="T171" s="1644"/>
      <c r="U171" s="1644"/>
      <c r="AH171" s="1645"/>
      <c r="AI171" s="1646"/>
    </row>
    <row r="172" spans="5:35" s="1640" customFormat="1" x14ac:dyDescent="0.2">
      <c r="E172" s="1641"/>
      <c r="G172" s="1641"/>
      <c r="M172" s="1642"/>
      <c r="N172" s="1643"/>
      <c r="R172" s="1644"/>
      <c r="S172" s="1644"/>
      <c r="T172" s="1644"/>
      <c r="U172" s="1644"/>
      <c r="AH172" s="1645"/>
      <c r="AI172" s="1646"/>
    </row>
    <row r="173" spans="5:35" s="1640" customFormat="1" x14ac:dyDescent="0.2">
      <c r="E173" s="1641"/>
      <c r="G173" s="1641"/>
      <c r="M173" s="1642"/>
      <c r="N173" s="1643"/>
      <c r="R173" s="1644"/>
      <c r="S173" s="1644"/>
      <c r="T173" s="1644"/>
      <c r="U173" s="1644"/>
      <c r="AH173" s="1645"/>
      <c r="AI173" s="1646"/>
    </row>
    <row r="174" spans="5:35" s="1640" customFormat="1" x14ac:dyDescent="0.2">
      <c r="E174" s="1641"/>
      <c r="G174" s="1641"/>
      <c r="M174" s="1642"/>
      <c r="N174" s="1643"/>
      <c r="R174" s="1644"/>
      <c r="S174" s="1644"/>
      <c r="T174" s="1644"/>
      <c r="U174" s="1644"/>
      <c r="AH174" s="1645"/>
      <c r="AI174" s="1646"/>
    </row>
    <row r="175" spans="5:35" s="1640" customFormat="1" x14ac:dyDescent="0.2">
      <c r="E175" s="1641"/>
      <c r="G175" s="1641"/>
      <c r="M175" s="1642"/>
      <c r="N175" s="1643"/>
      <c r="R175" s="1644"/>
      <c r="S175" s="1644"/>
      <c r="T175" s="1644"/>
      <c r="U175" s="1644"/>
      <c r="AH175" s="1645"/>
      <c r="AI175" s="1646"/>
    </row>
    <row r="176" spans="5:35" s="1640" customFormat="1" x14ac:dyDescent="0.2">
      <c r="E176" s="1641"/>
      <c r="G176" s="1641"/>
      <c r="M176" s="1642"/>
      <c r="N176" s="1643"/>
      <c r="R176" s="1644"/>
      <c r="S176" s="1644"/>
      <c r="T176" s="1644"/>
      <c r="U176" s="1644"/>
      <c r="AH176" s="1645"/>
      <c r="AI176" s="1646"/>
    </row>
    <row r="177" spans="5:35" s="1640" customFormat="1" x14ac:dyDescent="0.2">
      <c r="E177" s="1641"/>
      <c r="G177" s="1641"/>
      <c r="M177" s="1642"/>
      <c r="N177" s="1643"/>
      <c r="R177" s="1644"/>
      <c r="S177" s="1644"/>
      <c r="T177" s="1644"/>
      <c r="U177" s="1644"/>
      <c r="AH177" s="1645"/>
      <c r="AI177" s="1646"/>
    </row>
    <row r="178" spans="5:35" s="1640" customFormat="1" x14ac:dyDescent="0.2">
      <c r="E178" s="1641"/>
      <c r="G178" s="1641"/>
      <c r="M178" s="1642"/>
      <c r="N178" s="1643"/>
      <c r="R178" s="1644"/>
      <c r="S178" s="1644"/>
      <c r="T178" s="1644"/>
      <c r="U178" s="1644"/>
      <c r="AH178" s="1645"/>
      <c r="AI178" s="1646"/>
    </row>
    <row r="179" spans="5:35" s="1640" customFormat="1" x14ac:dyDescent="0.2">
      <c r="E179" s="1641"/>
      <c r="G179" s="1641"/>
      <c r="M179" s="1642"/>
      <c r="N179" s="1643"/>
      <c r="R179" s="1644"/>
      <c r="S179" s="1644"/>
      <c r="T179" s="1644"/>
      <c r="U179" s="1644"/>
      <c r="AH179" s="1645"/>
      <c r="AI179" s="1646"/>
    </row>
    <row r="180" spans="5:35" s="1640" customFormat="1" x14ac:dyDescent="0.2">
      <c r="E180" s="1641"/>
      <c r="G180" s="1641"/>
      <c r="M180" s="1642"/>
      <c r="N180" s="1643"/>
      <c r="R180" s="1644"/>
      <c r="S180" s="1644"/>
      <c r="T180" s="1644"/>
      <c r="U180" s="1644"/>
      <c r="AH180" s="1645"/>
      <c r="AI180" s="1646"/>
    </row>
    <row r="181" spans="5:35" s="1640" customFormat="1" x14ac:dyDescent="0.2">
      <c r="E181" s="1641"/>
      <c r="G181" s="1641"/>
      <c r="M181" s="1642"/>
      <c r="N181" s="1643"/>
      <c r="R181" s="1644"/>
      <c r="S181" s="1644"/>
      <c r="T181" s="1644"/>
      <c r="U181" s="1644"/>
      <c r="AH181" s="1645"/>
      <c r="AI181" s="1646"/>
    </row>
    <row r="182" spans="5:35" s="1640" customFormat="1" x14ac:dyDescent="0.2">
      <c r="E182" s="1641"/>
      <c r="G182" s="1641"/>
      <c r="M182" s="1642"/>
      <c r="N182" s="1643"/>
      <c r="R182" s="1644"/>
      <c r="S182" s="1644"/>
      <c r="T182" s="1644"/>
      <c r="U182" s="1644"/>
      <c r="AH182" s="1645"/>
      <c r="AI182" s="1646"/>
    </row>
    <row r="183" spans="5:35" s="1640" customFormat="1" x14ac:dyDescent="0.2">
      <c r="E183" s="1641"/>
      <c r="G183" s="1641"/>
      <c r="M183" s="1642"/>
      <c r="N183" s="1643"/>
      <c r="R183" s="1644"/>
      <c r="S183" s="1644"/>
      <c r="T183" s="1644"/>
      <c r="U183" s="1644"/>
      <c r="AH183" s="1645"/>
      <c r="AI183" s="1646"/>
    </row>
    <row r="184" spans="5:35" s="1640" customFormat="1" x14ac:dyDescent="0.2">
      <c r="E184" s="1641"/>
      <c r="G184" s="1641"/>
      <c r="M184" s="1642"/>
      <c r="N184" s="1643"/>
      <c r="R184" s="1644"/>
      <c r="S184" s="1644"/>
      <c r="T184" s="1644"/>
      <c r="U184" s="1644"/>
      <c r="AH184" s="1645"/>
      <c r="AI184" s="1646"/>
    </row>
    <row r="185" spans="5:35" s="1640" customFormat="1" x14ac:dyDescent="0.2">
      <c r="E185" s="1641"/>
      <c r="G185" s="1641"/>
      <c r="M185" s="1642"/>
      <c r="N185" s="1643"/>
      <c r="R185" s="1644"/>
      <c r="S185" s="1644"/>
      <c r="T185" s="1644"/>
      <c r="U185" s="1644"/>
      <c r="AH185" s="1645"/>
      <c r="AI185" s="1646"/>
    </row>
    <row r="186" spans="5:35" s="1640" customFormat="1" x14ac:dyDescent="0.2">
      <c r="E186" s="1641"/>
      <c r="G186" s="1641"/>
      <c r="M186" s="1642"/>
      <c r="N186" s="1643"/>
      <c r="R186" s="1644"/>
      <c r="S186" s="1644"/>
      <c r="T186" s="1644"/>
      <c r="U186" s="1644"/>
      <c r="AH186" s="1645"/>
      <c r="AI186" s="1646"/>
    </row>
    <row r="187" spans="5:35" s="1640" customFormat="1" x14ac:dyDescent="0.2">
      <c r="E187" s="1641"/>
      <c r="G187" s="1641"/>
      <c r="M187" s="1642"/>
      <c r="N187" s="1643"/>
      <c r="R187" s="1644"/>
      <c r="S187" s="1644"/>
      <c r="T187" s="1644"/>
      <c r="U187" s="1644"/>
      <c r="AH187" s="1645"/>
      <c r="AI187" s="1646"/>
    </row>
    <row r="188" spans="5:35" s="1640" customFormat="1" x14ac:dyDescent="0.2">
      <c r="E188" s="1641"/>
      <c r="G188" s="1641"/>
      <c r="M188" s="1642"/>
      <c r="N188" s="1643"/>
      <c r="R188" s="1644"/>
      <c r="S188" s="1644"/>
      <c r="T188" s="1644"/>
      <c r="U188" s="1644"/>
      <c r="AH188" s="1645"/>
      <c r="AI188" s="1646"/>
    </row>
    <row r="189" spans="5:35" s="1640" customFormat="1" x14ac:dyDescent="0.2">
      <c r="E189" s="1641"/>
      <c r="G189" s="1641"/>
      <c r="M189" s="1642"/>
      <c r="N189" s="1643"/>
      <c r="R189" s="1644"/>
      <c r="S189" s="1644"/>
      <c r="T189" s="1644"/>
      <c r="U189" s="1644"/>
      <c r="AH189" s="1645"/>
      <c r="AI189" s="1646"/>
    </row>
    <row r="190" spans="5:35" s="1640" customFormat="1" x14ac:dyDescent="0.2">
      <c r="E190" s="1641"/>
      <c r="G190" s="1641"/>
      <c r="M190" s="1642"/>
      <c r="N190" s="1643"/>
      <c r="R190" s="1644"/>
      <c r="S190" s="1644"/>
      <c r="T190" s="1644"/>
      <c r="U190" s="1644"/>
      <c r="AH190" s="1645"/>
      <c r="AI190" s="1646"/>
    </row>
    <row r="191" spans="5:35" s="1640" customFormat="1" x14ac:dyDescent="0.2">
      <c r="E191" s="1641"/>
      <c r="G191" s="1641"/>
      <c r="M191" s="1642"/>
      <c r="N191" s="1643"/>
      <c r="R191" s="1644"/>
      <c r="S191" s="1644"/>
      <c r="T191" s="1644"/>
      <c r="U191" s="1644"/>
      <c r="AH191" s="1645"/>
      <c r="AI191" s="1646"/>
    </row>
    <row r="192" spans="5:35" s="1640" customFormat="1" x14ac:dyDescent="0.2">
      <c r="E192" s="1641"/>
      <c r="G192" s="1641"/>
      <c r="M192" s="1642"/>
      <c r="N192" s="1643"/>
      <c r="R192" s="1644"/>
      <c r="S192" s="1644"/>
      <c r="T192" s="1644"/>
      <c r="U192" s="1644"/>
      <c r="AH192" s="1645"/>
      <c r="AI192" s="1646"/>
    </row>
    <row r="193" spans="5:35" s="1640" customFormat="1" x14ac:dyDescent="0.2">
      <c r="E193" s="1641"/>
      <c r="G193" s="1641"/>
      <c r="M193" s="1642"/>
      <c r="N193" s="1643"/>
      <c r="R193" s="1644"/>
      <c r="S193" s="1644"/>
      <c r="T193" s="1644"/>
      <c r="U193" s="1644"/>
      <c r="AH193" s="1645"/>
      <c r="AI193" s="1646"/>
    </row>
    <row r="194" spans="5:35" s="1640" customFormat="1" x14ac:dyDescent="0.2">
      <c r="E194" s="1641"/>
      <c r="G194" s="1641"/>
      <c r="M194" s="1642"/>
      <c r="N194" s="1643"/>
      <c r="R194" s="1644"/>
      <c r="S194" s="1644"/>
      <c r="T194" s="1644"/>
      <c r="U194" s="1644"/>
      <c r="AH194" s="1645"/>
      <c r="AI194" s="1646"/>
    </row>
    <row r="195" spans="5:35" s="1640" customFormat="1" x14ac:dyDescent="0.2">
      <c r="E195" s="1641"/>
      <c r="G195" s="1641"/>
      <c r="M195" s="1642"/>
      <c r="N195" s="1643"/>
      <c r="R195" s="1644"/>
      <c r="S195" s="1644"/>
      <c r="T195" s="1644"/>
      <c r="U195" s="1644"/>
      <c r="AH195" s="1645"/>
      <c r="AI195" s="1646"/>
    </row>
    <row r="196" spans="5:35" s="1640" customFormat="1" x14ac:dyDescent="0.2">
      <c r="E196" s="1641"/>
      <c r="G196" s="1641"/>
      <c r="M196" s="1642"/>
      <c r="N196" s="1643"/>
      <c r="R196" s="1644"/>
      <c r="S196" s="1644"/>
      <c r="T196" s="1644"/>
      <c r="U196" s="1644"/>
      <c r="AH196" s="1645"/>
      <c r="AI196" s="1646"/>
    </row>
    <row r="197" spans="5:35" s="1640" customFormat="1" x14ac:dyDescent="0.2">
      <c r="E197" s="1641"/>
      <c r="G197" s="1641"/>
      <c r="M197" s="1642"/>
      <c r="N197" s="1643"/>
      <c r="R197" s="1644"/>
      <c r="S197" s="1644"/>
      <c r="T197" s="1644"/>
      <c r="U197" s="1644"/>
      <c r="AH197" s="1645"/>
      <c r="AI197" s="1646"/>
    </row>
    <row r="198" spans="5:35" s="1640" customFormat="1" x14ac:dyDescent="0.2">
      <c r="E198" s="1641"/>
      <c r="G198" s="1641"/>
      <c r="M198" s="1642"/>
      <c r="N198" s="1643"/>
      <c r="R198" s="1644"/>
      <c r="S198" s="1644"/>
      <c r="T198" s="1644"/>
      <c r="U198" s="1644"/>
      <c r="AH198" s="1645"/>
      <c r="AI198" s="1646"/>
    </row>
    <row r="199" spans="5:35" s="1640" customFormat="1" x14ac:dyDescent="0.2">
      <c r="E199" s="1641"/>
      <c r="G199" s="1641"/>
      <c r="M199" s="1642"/>
      <c r="N199" s="1643"/>
      <c r="R199" s="1644"/>
      <c r="S199" s="1644"/>
      <c r="T199" s="1644"/>
      <c r="U199" s="1644"/>
      <c r="AH199" s="1645"/>
      <c r="AI199" s="1646"/>
    </row>
    <row r="200" spans="5:35" s="1640" customFormat="1" x14ac:dyDescent="0.2">
      <c r="E200" s="1641"/>
      <c r="G200" s="1641"/>
      <c r="M200" s="1642"/>
      <c r="N200" s="1643"/>
      <c r="R200" s="1644"/>
      <c r="S200" s="1644"/>
      <c r="T200" s="1644"/>
      <c r="U200" s="1644"/>
      <c r="AH200" s="1645"/>
      <c r="AI200" s="1646"/>
    </row>
    <row r="201" spans="5:35" s="1640" customFormat="1" x14ac:dyDescent="0.2">
      <c r="E201" s="1641"/>
      <c r="G201" s="1641"/>
      <c r="M201" s="1642"/>
      <c r="N201" s="1643"/>
      <c r="R201" s="1644"/>
      <c r="S201" s="1644"/>
      <c r="T201" s="1644"/>
      <c r="U201" s="1644"/>
      <c r="AH201" s="1645"/>
      <c r="AI201" s="1646"/>
    </row>
    <row r="202" spans="5:35" s="1640" customFormat="1" x14ac:dyDescent="0.2">
      <c r="E202" s="1641"/>
      <c r="G202" s="1641"/>
      <c r="M202" s="1642"/>
      <c r="N202" s="1643"/>
      <c r="R202" s="1644"/>
      <c r="S202" s="1644"/>
      <c r="T202" s="1644"/>
      <c r="U202" s="1644"/>
      <c r="AH202" s="1645"/>
      <c r="AI202" s="1646"/>
    </row>
    <row r="203" spans="5:35" s="1640" customFormat="1" x14ac:dyDescent="0.2">
      <c r="E203" s="1641"/>
      <c r="G203" s="1641"/>
      <c r="M203" s="1642"/>
      <c r="N203" s="1643"/>
      <c r="R203" s="1644"/>
      <c r="S203" s="1644"/>
      <c r="T203" s="1644"/>
      <c r="U203" s="1644"/>
      <c r="AH203" s="1645"/>
      <c r="AI203" s="1646"/>
    </row>
    <row r="204" spans="5:35" s="1640" customFormat="1" x14ac:dyDescent="0.2">
      <c r="E204" s="1641"/>
      <c r="G204" s="1641"/>
      <c r="M204" s="1642"/>
      <c r="N204" s="1643"/>
      <c r="R204" s="1644"/>
      <c r="S204" s="1644"/>
      <c r="T204" s="1644"/>
      <c r="U204" s="1644"/>
      <c r="AH204" s="1645"/>
      <c r="AI204" s="1646"/>
    </row>
    <row r="205" spans="5:35" s="1640" customFormat="1" x14ac:dyDescent="0.2">
      <c r="E205" s="1641"/>
      <c r="G205" s="1641"/>
      <c r="M205" s="1642"/>
      <c r="N205" s="1643"/>
      <c r="R205" s="1644"/>
      <c r="S205" s="1644"/>
      <c r="T205" s="1644"/>
      <c r="U205" s="1644"/>
      <c r="AH205" s="1645"/>
      <c r="AI205" s="1646"/>
    </row>
    <row r="206" spans="5:35" s="1640" customFormat="1" x14ac:dyDescent="0.2">
      <c r="E206" s="1641"/>
      <c r="G206" s="1641"/>
      <c r="M206" s="1642"/>
      <c r="N206" s="1643"/>
      <c r="R206" s="1644"/>
      <c r="S206" s="1644"/>
      <c r="T206" s="1644"/>
      <c r="U206" s="1644"/>
      <c r="AH206" s="1645"/>
      <c r="AI206" s="1646"/>
    </row>
    <row r="207" spans="5:35" s="1640" customFormat="1" x14ac:dyDescent="0.2">
      <c r="E207" s="1641"/>
      <c r="G207" s="1641"/>
      <c r="M207" s="1642"/>
      <c r="N207" s="1643"/>
      <c r="R207" s="1644"/>
      <c r="S207" s="1644"/>
      <c r="T207" s="1644"/>
      <c r="U207" s="1644"/>
      <c r="AH207" s="1645"/>
      <c r="AI207" s="1646"/>
    </row>
    <row r="208" spans="5:35" s="1640" customFormat="1" x14ac:dyDescent="0.2">
      <c r="E208" s="1641"/>
      <c r="G208" s="1641"/>
      <c r="M208" s="1642"/>
      <c r="N208" s="1643"/>
      <c r="R208" s="1644"/>
      <c r="S208" s="1644"/>
      <c r="T208" s="1644"/>
      <c r="U208" s="1644"/>
      <c r="AH208" s="1645"/>
      <c r="AI208" s="1646"/>
    </row>
    <row r="209" spans="5:35" s="1640" customFormat="1" x14ac:dyDescent="0.2">
      <c r="E209" s="1641"/>
      <c r="G209" s="1641"/>
      <c r="M209" s="1642"/>
      <c r="N209" s="1643"/>
      <c r="R209" s="1644"/>
      <c r="S209" s="1644"/>
      <c r="T209" s="1644"/>
      <c r="U209" s="1644"/>
      <c r="AH209" s="1645"/>
      <c r="AI209" s="1646"/>
    </row>
    <row r="210" spans="5:35" s="1640" customFormat="1" x14ac:dyDescent="0.2">
      <c r="E210" s="1641"/>
      <c r="G210" s="1641"/>
      <c r="M210" s="1642"/>
      <c r="N210" s="1643"/>
      <c r="R210" s="1644"/>
      <c r="S210" s="1644"/>
      <c r="T210" s="1644"/>
      <c r="U210" s="1644"/>
      <c r="AH210" s="1645"/>
      <c r="AI210" s="1646"/>
    </row>
    <row r="211" spans="5:35" s="1640" customFormat="1" x14ac:dyDescent="0.2">
      <c r="E211" s="1641"/>
      <c r="G211" s="1641"/>
      <c r="M211" s="1642"/>
      <c r="N211" s="1643"/>
      <c r="R211" s="1644"/>
      <c r="S211" s="1644"/>
      <c r="T211" s="1644"/>
      <c r="U211" s="1644"/>
      <c r="AH211" s="1645"/>
      <c r="AI211" s="1646"/>
    </row>
    <row r="212" spans="5:35" s="1640" customFormat="1" x14ac:dyDescent="0.2">
      <c r="E212" s="1641"/>
      <c r="G212" s="1641"/>
      <c r="M212" s="1642"/>
      <c r="N212" s="1643"/>
      <c r="R212" s="1644"/>
      <c r="S212" s="1644"/>
      <c r="T212" s="1644"/>
      <c r="U212" s="1644"/>
      <c r="AH212" s="1645"/>
      <c r="AI212" s="1646"/>
    </row>
    <row r="213" spans="5:35" s="1640" customFormat="1" x14ac:dyDescent="0.2">
      <c r="E213" s="1641"/>
      <c r="G213" s="1641"/>
      <c r="M213" s="1642"/>
      <c r="N213" s="1643"/>
      <c r="R213" s="1644"/>
      <c r="S213" s="1644"/>
      <c r="T213" s="1644"/>
      <c r="U213" s="1644"/>
      <c r="AH213" s="1645"/>
      <c r="AI213" s="1646"/>
    </row>
    <row r="214" spans="5:35" s="1640" customFormat="1" x14ac:dyDescent="0.2">
      <c r="E214" s="1641"/>
      <c r="G214" s="1641"/>
      <c r="M214" s="1642"/>
      <c r="N214" s="1643"/>
      <c r="R214" s="1644"/>
      <c r="S214" s="1644"/>
      <c r="T214" s="1644"/>
      <c r="U214" s="1644"/>
      <c r="AH214" s="1645"/>
      <c r="AI214" s="1646"/>
    </row>
    <row r="215" spans="5:35" s="1640" customFormat="1" x14ac:dyDescent="0.2">
      <c r="E215" s="1641"/>
      <c r="G215" s="1641"/>
      <c r="M215" s="1642"/>
      <c r="N215" s="1643"/>
      <c r="R215" s="1644"/>
      <c r="S215" s="1644"/>
      <c r="T215" s="1644"/>
      <c r="U215" s="1644"/>
      <c r="AH215" s="1645"/>
      <c r="AI215" s="1646"/>
    </row>
    <row r="216" spans="5:35" s="1640" customFormat="1" x14ac:dyDescent="0.2">
      <c r="E216" s="1641"/>
      <c r="G216" s="1641"/>
      <c r="M216" s="1642"/>
      <c r="N216" s="1643"/>
      <c r="R216" s="1644"/>
      <c r="S216" s="1644"/>
      <c r="T216" s="1644"/>
      <c r="U216" s="1644"/>
      <c r="AH216" s="1645"/>
      <c r="AI216" s="1646"/>
    </row>
    <row r="217" spans="5:35" s="1640" customFormat="1" x14ac:dyDescent="0.2">
      <c r="E217" s="1641"/>
      <c r="G217" s="1641"/>
      <c r="M217" s="1642"/>
      <c r="N217" s="1643"/>
      <c r="R217" s="1644"/>
      <c r="S217" s="1644"/>
      <c r="T217" s="1644"/>
      <c r="U217" s="1644"/>
      <c r="AH217" s="1645"/>
      <c r="AI217" s="1646"/>
    </row>
    <row r="218" spans="5:35" s="1640" customFormat="1" x14ac:dyDescent="0.2">
      <c r="E218" s="1641"/>
      <c r="G218" s="1641"/>
      <c r="M218" s="1642"/>
      <c r="N218" s="1643"/>
      <c r="R218" s="1644"/>
      <c r="S218" s="1644"/>
      <c r="T218" s="1644"/>
      <c r="U218" s="1644"/>
      <c r="AH218" s="1645"/>
      <c r="AI218" s="1646"/>
    </row>
    <row r="219" spans="5:35" s="1640" customFormat="1" x14ac:dyDescent="0.2">
      <c r="E219" s="1641"/>
      <c r="G219" s="1641"/>
      <c r="M219" s="1642"/>
      <c r="N219" s="1643"/>
      <c r="R219" s="1644"/>
      <c r="S219" s="1644"/>
      <c r="T219" s="1644"/>
      <c r="U219" s="1644"/>
      <c r="AH219" s="1645"/>
      <c r="AI219" s="1646"/>
    </row>
    <row r="220" spans="5:35" s="1640" customFormat="1" x14ac:dyDescent="0.2">
      <c r="E220" s="1641"/>
      <c r="G220" s="1641"/>
      <c r="M220" s="1642"/>
      <c r="N220" s="1643"/>
      <c r="R220" s="1644"/>
      <c r="S220" s="1644"/>
      <c r="T220" s="1644"/>
      <c r="U220" s="1644"/>
      <c r="AH220" s="1645"/>
      <c r="AI220" s="1646"/>
    </row>
    <row r="221" spans="5:35" s="1640" customFormat="1" x14ac:dyDescent="0.2">
      <c r="E221" s="1641"/>
      <c r="G221" s="1641"/>
      <c r="M221" s="1642"/>
      <c r="N221" s="1643"/>
      <c r="R221" s="1644"/>
      <c r="S221" s="1644"/>
      <c r="T221" s="1644"/>
      <c r="U221" s="1644"/>
      <c r="AH221" s="1645"/>
      <c r="AI221" s="1646"/>
    </row>
    <row r="222" spans="5:35" s="1640" customFormat="1" x14ac:dyDescent="0.2">
      <c r="E222" s="1641"/>
      <c r="G222" s="1641"/>
      <c r="M222" s="1642"/>
      <c r="N222" s="1643"/>
      <c r="R222" s="1644"/>
      <c r="S222" s="1644"/>
      <c r="T222" s="1644"/>
      <c r="U222" s="1644"/>
      <c r="AH222" s="1645"/>
      <c r="AI222" s="1646"/>
    </row>
    <row r="223" spans="5:35" s="1640" customFormat="1" x14ac:dyDescent="0.2">
      <c r="E223" s="1641"/>
      <c r="G223" s="1641"/>
      <c r="M223" s="1642"/>
      <c r="N223" s="1643"/>
      <c r="R223" s="1644"/>
      <c r="S223" s="1644"/>
      <c r="T223" s="1644"/>
      <c r="U223" s="1644"/>
      <c r="AH223" s="1645"/>
      <c r="AI223" s="1646"/>
    </row>
    <row r="224" spans="5:35" s="1640" customFormat="1" x14ac:dyDescent="0.2">
      <c r="E224" s="1641"/>
      <c r="G224" s="1641"/>
      <c r="M224" s="1642"/>
      <c r="N224" s="1643"/>
      <c r="R224" s="1644"/>
      <c r="S224" s="1644"/>
      <c r="T224" s="1644"/>
      <c r="U224" s="1644"/>
      <c r="AH224" s="1645"/>
      <c r="AI224" s="1646"/>
    </row>
    <row r="225" spans="5:35" s="1640" customFormat="1" x14ac:dyDescent="0.2">
      <c r="E225" s="1641"/>
      <c r="G225" s="1641"/>
      <c r="M225" s="1642"/>
      <c r="N225" s="1643"/>
      <c r="R225" s="1644"/>
      <c r="S225" s="1644"/>
      <c r="T225" s="1644"/>
      <c r="U225" s="1644"/>
      <c r="AH225" s="1645"/>
      <c r="AI225" s="1646"/>
    </row>
    <row r="226" spans="5:35" s="1640" customFormat="1" x14ac:dyDescent="0.2">
      <c r="E226" s="1641"/>
      <c r="G226" s="1641"/>
      <c r="M226" s="1642"/>
      <c r="N226" s="1643"/>
      <c r="R226" s="1644"/>
      <c r="S226" s="1644"/>
      <c r="T226" s="1644"/>
      <c r="U226" s="1644"/>
      <c r="AH226" s="1645"/>
      <c r="AI226" s="1646"/>
    </row>
    <row r="227" spans="5:35" s="1640" customFormat="1" x14ac:dyDescent="0.2">
      <c r="E227" s="1641"/>
      <c r="G227" s="1641"/>
      <c r="M227" s="1642"/>
      <c r="N227" s="1643"/>
      <c r="R227" s="1644"/>
      <c r="S227" s="1644"/>
      <c r="T227" s="1644"/>
      <c r="U227" s="1644"/>
      <c r="AH227" s="1645"/>
      <c r="AI227" s="1646"/>
    </row>
    <row r="228" spans="5:35" s="1640" customFormat="1" x14ac:dyDescent="0.2">
      <c r="E228" s="1641"/>
      <c r="G228" s="1641"/>
      <c r="M228" s="1642"/>
      <c r="N228" s="1643"/>
      <c r="R228" s="1644"/>
      <c r="S228" s="1644"/>
      <c r="T228" s="1644"/>
      <c r="U228" s="1644"/>
      <c r="AH228" s="1645"/>
      <c r="AI228" s="1646"/>
    </row>
    <row r="229" spans="5:35" s="1640" customFormat="1" x14ac:dyDescent="0.2">
      <c r="E229" s="1641"/>
      <c r="G229" s="1641"/>
      <c r="M229" s="1642"/>
      <c r="N229" s="1643"/>
      <c r="R229" s="1644"/>
      <c r="S229" s="1644"/>
      <c r="T229" s="1644"/>
      <c r="U229" s="1644"/>
      <c r="AH229" s="1645"/>
      <c r="AI229" s="1646"/>
    </row>
    <row r="230" spans="5:35" s="1640" customFormat="1" x14ac:dyDescent="0.2">
      <c r="E230" s="1641"/>
      <c r="G230" s="1641"/>
      <c r="M230" s="1642"/>
      <c r="N230" s="1643"/>
      <c r="R230" s="1644"/>
      <c r="S230" s="1644"/>
      <c r="T230" s="1644"/>
      <c r="U230" s="1644"/>
      <c r="AH230" s="1645"/>
      <c r="AI230" s="1646"/>
    </row>
    <row r="231" spans="5:35" s="1640" customFormat="1" x14ac:dyDescent="0.2">
      <c r="E231" s="1641"/>
      <c r="G231" s="1641"/>
      <c r="M231" s="1642"/>
      <c r="N231" s="1643"/>
      <c r="R231" s="1644"/>
      <c r="S231" s="1644"/>
      <c r="T231" s="1644"/>
      <c r="U231" s="1644"/>
      <c r="AH231" s="1645"/>
      <c r="AI231" s="1646"/>
    </row>
    <row r="232" spans="5:35" s="1640" customFormat="1" x14ac:dyDescent="0.2">
      <c r="E232" s="1641"/>
      <c r="G232" s="1641"/>
      <c r="M232" s="1642"/>
      <c r="N232" s="1643"/>
      <c r="R232" s="1644"/>
      <c r="S232" s="1644"/>
      <c r="T232" s="1644"/>
      <c r="U232" s="1644"/>
      <c r="AH232" s="1645"/>
      <c r="AI232" s="1646"/>
    </row>
    <row r="233" spans="5:35" s="1640" customFormat="1" x14ac:dyDescent="0.2">
      <c r="E233" s="1641"/>
      <c r="G233" s="1641"/>
      <c r="M233" s="1642"/>
      <c r="N233" s="1643"/>
      <c r="R233" s="1644"/>
      <c r="S233" s="1644"/>
      <c r="T233" s="1644"/>
      <c r="U233" s="1644"/>
      <c r="AH233" s="1645"/>
      <c r="AI233" s="1646"/>
    </row>
    <row r="234" spans="5:35" s="1640" customFormat="1" x14ac:dyDescent="0.2">
      <c r="E234" s="1641"/>
      <c r="G234" s="1641"/>
      <c r="M234" s="1642"/>
      <c r="N234" s="1643"/>
      <c r="R234" s="1644"/>
      <c r="S234" s="1644"/>
      <c r="T234" s="1644"/>
      <c r="U234" s="1644"/>
      <c r="AH234" s="1645"/>
      <c r="AI234" s="1646"/>
    </row>
    <row r="235" spans="5:35" s="1640" customFormat="1" x14ac:dyDescent="0.2">
      <c r="E235" s="1641"/>
      <c r="G235" s="1641"/>
      <c r="M235" s="1642"/>
      <c r="N235" s="1643"/>
      <c r="R235" s="1644"/>
      <c r="S235" s="1644"/>
      <c r="T235" s="1644"/>
      <c r="U235" s="1644"/>
      <c r="AH235" s="1645"/>
      <c r="AI235" s="1646"/>
    </row>
    <row r="236" spans="5:35" s="1640" customFormat="1" x14ac:dyDescent="0.2">
      <c r="E236" s="1641"/>
      <c r="G236" s="1641"/>
      <c r="M236" s="1642"/>
      <c r="N236" s="1643"/>
      <c r="R236" s="1644"/>
      <c r="S236" s="1644"/>
      <c r="T236" s="1644"/>
      <c r="U236" s="1644"/>
      <c r="AH236" s="1645"/>
      <c r="AI236" s="1646"/>
    </row>
    <row r="237" spans="5:35" s="1640" customFormat="1" x14ac:dyDescent="0.2">
      <c r="E237" s="1641"/>
      <c r="G237" s="1641"/>
      <c r="M237" s="1642"/>
      <c r="N237" s="1643"/>
      <c r="R237" s="1644"/>
      <c r="S237" s="1644"/>
      <c r="T237" s="1644"/>
      <c r="U237" s="1644"/>
      <c r="AH237" s="1645"/>
      <c r="AI237" s="1646"/>
    </row>
    <row r="238" spans="5:35" s="1640" customFormat="1" x14ac:dyDescent="0.2">
      <c r="E238" s="1641"/>
      <c r="G238" s="1641"/>
      <c r="M238" s="1642"/>
      <c r="N238" s="1643"/>
      <c r="R238" s="1644"/>
      <c r="S238" s="1644"/>
      <c r="T238" s="1644"/>
      <c r="U238" s="1644"/>
      <c r="AH238" s="1645"/>
      <c r="AI238" s="1646"/>
    </row>
    <row r="239" spans="5:35" s="1640" customFormat="1" x14ac:dyDescent="0.2">
      <c r="E239" s="1641"/>
      <c r="G239" s="1641"/>
      <c r="M239" s="1642"/>
      <c r="N239" s="1643"/>
      <c r="R239" s="1644"/>
      <c r="S239" s="1644"/>
      <c r="T239" s="1644"/>
      <c r="U239" s="1644"/>
      <c r="AH239" s="1645"/>
      <c r="AI239" s="1646"/>
    </row>
    <row r="240" spans="5:35" s="1640" customFormat="1" x14ac:dyDescent="0.2">
      <c r="E240" s="1641"/>
      <c r="G240" s="1641"/>
      <c r="M240" s="1642"/>
      <c r="N240" s="1643"/>
      <c r="R240" s="1644"/>
      <c r="S240" s="1644"/>
      <c r="T240" s="1644"/>
      <c r="U240" s="1644"/>
      <c r="AH240" s="1645"/>
      <c r="AI240" s="1646"/>
    </row>
    <row r="241" spans="5:35" s="1640" customFormat="1" x14ac:dyDescent="0.2">
      <c r="E241" s="1641"/>
      <c r="G241" s="1641"/>
      <c r="M241" s="1642"/>
      <c r="N241" s="1643"/>
      <c r="R241" s="1644"/>
      <c r="S241" s="1644"/>
      <c r="T241" s="1644"/>
      <c r="U241" s="1644"/>
      <c r="AH241" s="1645"/>
      <c r="AI241" s="1646"/>
    </row>
    <row r="242" spans="5:35" s="1640" customFormat="1" x14ac:dyDescent="0.2">
      <c r="E242" s="1641"/>
      <c r="G242" s="1641"/>
      <c r="M242" s="1642"/>
      <c r="N242" s="1643"/>
      <c r="R242" s="1644"/>
      <c r="S242" s="1644"/>
      <c r="T242" s="1644"/>
      <c r="U242" s="1644"/>
      <c r="AH242" s="1645"/>
      <c r="AI242" s="1646"/>
    </row>
    <row r="243" spans="5:35" s="1640" customFormat="1" x14ac:dyDescent="0.2">
      <c r="E243" s="1641"/>
      <c r="G243" s="1641"/>
      <c r="M243" s="1642"/>
      <c r="N243" s="1643"/>
      <c r="R243" s="1644"/>
      <c r="S243" s="1644"/>
      <c r="T243" s="1644"/>
      <c r="U243" s="1644"/>
      <c r="AH243" s="1645"/>
      <c r="AI243" s="1646"/>
    </row>
    <row r="244" spans="5:35" s="1640" customFormat="1" x14ac:dyDescent="0.2">
      <c r="E244" s="1641"/>
      <c r="G244" s="1641"/>
      <c r="M244" s="1642"/>
      <c r="N244" s="1643"/>
      <c r="R244" s="1644"/>
      <c r="S244" s="1644"/>
      <c r="T244" s="1644"/>
      <c r="U244" s="1644"/>
      <c r="AH244" s="1645"/>
      <c r="AI244" s="1646"/>
    </row>
    <row r="245" spans="5:35" s="1640" customFormat="1" x14ac:dyDescent="0.2">
      <c r="E245" s="1641"/>
      <c r="G245" s="1641"/>
      <c r="M245" s="1642"/>
      <c r="N245" s="1643"/>
      <c r="R245" s="1644"/>
      <c r="S245" s="1644"/>
      <c r="T245" s="1644"/>
      <c r="U245" s="1644"/>
      <c r="AH245" s="1645"/>
      <c r="AI245" s="1646"/>
    </row>
    <row r="246" spans="5:35" s="1640" customFormat="1" x14ac:dyDescent="0.2">
      <c r="E246" s="1641"/>
      <c r="G246" s="1641"/>
      <c r="M246" s="1642"/>
      <c r="N246" s="1643"/>
      <c r="R246" s="1644"/>
      <c r="S246" s="1644"/>
      <c r="T246" s="1644"/>
      <c r="U246" s="1644"/>
      <c r="AH246" s="1645"/>
      <c r="AI246" s="1646"/>
    </row>
    <row r="247" spans="5:35" s="1640" customFormat="1" x14ac:dyDescent="0.2">
      <c r="E247" s="1641"/>
      <c r="G247" s="1641"/>
      <c r="M247" s="1642"/>
      <c r="N247" s="1643"/>
      <c r="R247" s="1644"/>
      <c r="S247" s="1644"/>
      <c r="T247" s="1644"/>
      <c r="U247" s="1644"/>
      <c r="AH247" s="1645"/>
      <c r="AI247" s="1646"/>
    </row>
    <row r="248" spans="5:35" s="1640" customFormat="1" x14ac:dyDescent="0.2">
      <c r="E248" s="1641"/>
      <c r="G248" s="1641"/>
      <c r="M248" s="1642"/>
      <c r="N248" s="1643"/>
      <c r="R248" s="1644"/>
      <c r="S248" s="1644"/>
      <c r="T248" s="1644"/>
      <c r="U248" s="1644"/>
      <c r="AH248" s="1645"/>
      <c r="AI248" s="1646"/>
    </row>
    <row r="249" spans="5:35" s="1640" customFormat="1" x14ac:dyDescent="0.2">
      <c r="E249" s="1641"/>
      <c r="G249" s="1641"/>
      <c r="M249" s="1642"/>
      <c r="N249" s="1643"/>
      <c r="R249" s="1644"/>
      <c r="S249" s="1644"/>
      <c r="T249" s="1644"/>
      <c r="U249" s="1644"/>
      <c r="AH249" s="1645"/>
      <c r="AI249" s="1646"/>
    </row>
    <row r="250" spans="5:35" s="1640" customFormat="1" x14ac:dyDescent="0.2">
      <c r="E250" s="1641"/>
      <c r="G250" s="1641"/>
      <c r="M250" s="1642"/>
      <c r="N250" s="1643"/>
      <c r="R250" s="1644"/>
      <c r="S250" s="1644"/>
      <c r="T250" s="1644"/>
      <c r="U250" s="1644"/>
      <c r="AH250" s="1645"/>
      <c r="AI250" s="1646"/>
    </row>
    <row r="251" spans="5:35" s="1640" customFormat="1" x14ac:dyDescent="0.2">
      <c r="E251" s="1641"/>
      <c r="G251" s="1641"/>
      <c r="M251" s="1642"/>
      <c r="N251" s="1643"/>
      <c r="R251" s="1644"/>
      <c r="S251" s="1644"/>
      <c r="T251" s="1644"/>
      <c r="U251" s="1644"/>
      <c r="AH251" s="1645"/>
      <c r="AI251" s="1646"/>
    </row>
    <row r="252" spans="5:35" s="1640" customFormat="1" x14ac:dyDescent="0.2">
      <c r="E252" s="1641"/>
      <c r="G252" s="1641"/>
      <c r="M252" s="1642"/>
      <c r="N252" s="1643"/>
      <c r="R252" s="1644"/>
      <c r="S252" s="1644"/>
      <c r="T252" s="1644"/>
      <c r="U252" s="1644"/>
      <c r="AH252" s="1645"/>
      <c r="AI252" s="1646"/>
    </row>
    <row r="253" spans="5:35" s="1640" customFormat="1" x14ac:dyDescent="0.2">
      <c r="E253" s="1641"/>
      <c r="G253" s="1641"/>
      <c r="M253" s="1642"/>
      <c r="N253" s="1643"/>
      <c r="R253" s="1644"/>
      <c r="S253" s="1644"/>
      <c r="T253" s="1644"/>
      <c r="U253" s="1644"/>
      <c r="AH253" s="1645"/>
      <c r="AI253" s="1646"/>
    </row>
    <row r="254" spans="5:35" s="1640" customFormat="1" x14ac:dyDescent="0.2">
      <c r="E254" s="1641"/>
      <c r="G254" s="1641"/>
      <c r="M254" s="1642"/>
      <c r="N254" s="1643"/>
      <c r="R254" s="1644"/>
      <c r="S254" s="1644"/>
      <c r="T254" s="1644"/>
      <c r="U254" s="1644"/>
      <c r="AH254" s="1645"/>
      <c r="AI254" s="1646"/>
    </row>
    <row r="255" spans="5:35" s="1640" customFormat="1" x14ac:dyDescent="0.2">
      <c r="E255" s="1641"/>
      <c r="G255" s="1641"/>
      <c r="M255" s="1642"/>
      <c r="N255" s="1643"/>
      <c r="R255" s="1644"/>
      <c r="S255" s="1644"/>
      <c r="T255" s="1644"/>
      <c r="U255" s="1644"/>
      <c r="AH255" s="1645"/>
      <c r="AI255" s="1646"/>
    </row>
    <row r="256" spans="5:35" s="1640" customFormat="1" x14ac:dyDescent="0.2">
      <c r="E256" s="1641"/>
      <c r="G256" s="1641"/>
      <c r="M256" s="1642"/>
      <c r="N256" s="1643"/>
      <c r="R256" s="1644"/>
      <c r="S256" s="1644"/>
      <c r="T256" s="1644"/>
      <c r="U256" s="1644"/>
      <c r="AH256" s="1645"/>
      <c r="AI256" s="1646"/>
    </row>
    <row r="257" spans="5:35" s="1640" customFormat="1" x14ac:dyDescent="0.2">
      <c r="E257" s="1641"/>
      <c r="G257" s="1641"/>
      <c r="M257" s="1642"/>
      <c r="N257" s="1643"/>
      <c r="R257" s="1644"/>
      <c r="S257" s="1644"/>
      <c r="T257" s="1644"/>
      <c r="U257" s="1644"/>
      <c r="AH257" s="1645"/>
      <c r="AI257" s="1646"/>
    </row>
    <row r="258" spans="5:35" s="1640" customFormat="1" x14ac:dyDescent="0.2">
      <c r="E258" s="1641"/>
      <c r="G258" s="1641"/>
      <c r="M258" s="1642"/>
      <c r="N258" s="1643"/>
      <c r="R258" s="1644"/>
      <c r="S258" s="1644"/>
      <c r="T258" s="1644"/>
      <c r="U258" s="1644"/>
      <c r="AH258" s="1645"/>
      <c r="AI258" s="1646"/>
    </row>
    <row r="259" spans="5:35" s="1640" customFormat="1" x14ac:dyDescent="0.2">
      <c r="E259" s="1641"/>
      <c r="G259" s="1641"/>
      <c r="M259" s="1642"/>
      <c r="N259" s="1643"/>
      <c r="R259" s="1644"/>
      <c r="S259" s="1644"/>
      <c r="T259" s="1644"/>
      <c r="U259" s="1644"/>
      <c r="AH259" s="1645"/>
      <c r="AI259" s="1646"/>
    </row>
    <row r="260" spans="5:35" s="1640" customFormat="1" x14ac:dyDescent="0.2">
      <c r="E260" s="1641"/>
      <c r="G260" s="1641"/>
      <c r="M260" s="1642"/>
      <c r="N260" s="1643"/>
      <c r="R260" s="1644"/>
      <c r="S260" s="1644"/>
      <c r="T260" s="1644"/>
      <c r="U260" s="1644"/>
      <c r="AH260" s="1645"/>
      <c r="AI260" s="1646"/>
    </row>
    <row r="261" spans="5:35" s="1640" customFormat="1" x14ac:dyDescent="0.2">
      <c r="E261" s="1641"/>
      <c r="G261" s="1641"/>
      <c r="M261" s="1642"/>
      <c r="N261" s="1643"/>
      <c r="R261" s="1644"/>
      <c r="S261" s="1644"/>
      <c r="T261" s="1644"/>
      <c r="U261" s="1644"/>
      <c r="AH261" s="1645"/>
      <c r="AI261" s="1646"/>
    </row>
    <row r="262" spans="5:35" s="1640" customFormat="1" x14ac:dyDescent="0.2">
      <c r="E262" s="1641"/>
      <c r="G262" s="1641"/>
      <c r="M262" s="1642"/>
      <c r="N262" s="1643"/>
      <c r="R262" s="1644"/>
      <c r="S262" s="1644"/>
      <c r="T262" s="1644"/>
      <c r="U262" s="1644"/>
      <c r="AH262" s="1645"/>
      <c r="AI262" s="1646"/>
    </row>
    <row r="263" spans="5:35" s="1640" customFormat="1" x14ac:dyDescent="0.2">
      <c r="E263" s="1641"/>
      <c r="G263" s="1641"/>
      <c r="M263" s="1642"/>
      <c r="N263" s="1643"/>
      <c r="R263" s="1644"/>
      <c r="S263" s="1644"/>
      <c r="T263" s="1644"/>
      <c r="U263" s="1644"/>
      <c r="AH263" s="1645"/>
      <c r="AI263" s="1646"/>
    </row>
    <row r="264" spans="5:35" s="1640" customFormat="1" x14ac:dyDescent="0.2">
      <c r="E264" s="1641"/>
      <c r="G264" s="1641"/>
      <c r="M264" s="1642"/>
      <c r="N264" s="1643"/>
      <c r="R264" s="1644"/>
      <c r="S264" s="1644"/>
      <c r="T264" s="1644"/>
      <c r="U264" s="1644"/>
      <c r="AH264" s="1645"/>
      <c r="AI264" s="1646"/>
    </row>
    <row r="265" spans="5:35" s="1640" customFormat="1" x14ac:dyDescent="0.2">
      <c r="E265" s="1641"/>
      <c r="G265" s="1641"/>
      <c r="M265" s="1642"/>
      <c r="N265" s="1643"/>
      <c r="R265" s="1644"/>
      <c r="S265" s="1644"/>
      <c r="T265" s="1644"/>
      <c r="U265" s="1644"/>
      <c r="AH265" s="1645"/>
      <c r="AI265" s="1646"/>
    </row>
    <row r="266" spans="5:35" s="1640" customFormat="1" x14ac:dyDescent="0.2">
      <c r="E266" s="1641"/>
      <c r="G266" s="1641"/>
      <c r="M266" s="1642"/>
      <c r="N266" s="1643"/>
      <c r="R266" s="1644"/>
      <c r="S266" s="1644"/>
      <c r="T266" s="1644"/>
      <c r="U266" s="1644"/>
      <c r="AH266" s="1645"/>
      <c r="AI266" s="1646"/>
    </row>
    <row r="267" spans="5:35" s="1640" customFormat="1" x14ac:dyDescent="0.2">
      <c r="E267" s="1641"/>
      <c r="G267" s="1641"/>
      <c r="M267" s="1642"/>
      <c r="N267" s="1643"/>
      <c r="R267" s="1644"/>
      <c r="S267" s="1644"/>
      <c r="T267" s="1644"/>
      <c r="U267" s="1644"/>
      <c r="AH267" s="1645"/>
      <c r="AI267" s="1646"/>
    </row>
    <row r="268" spans="5:35" s="1640" customFormat="1" x14ac:dyDescent="0.2">
      <c r="E268" s="1641"/>
      <c r="G268" s="1641"/>
      <c r="M268" s="1642"/>
      <c r="N268" s="1643"/>
      <c r="R268" s="1644"/>
      <c r="S268" s="1644"/>
      <c r="T268" s="1644"/>
      <c r="U268" s="1644"/>
      <c r="AH268" s="1645"/>
      <c r="AI268" s="1646"/>
    </row>
    <row r="269" spans="5:35" s="1640" customFormat="1" x14ac:dyDescent="0.2">
      <c r="E269" s="1641"/>
      <c r="G269" s="1641"/>
      <c r="M269" s="1642"/>
      <c r="N269" s="1643"/>
      <c r="R269" s="1644"/>
      <c r="S269" s="1644"/>
      <c r="T269" s="1644"/>
      <c r="U269" s="1644"/>
      <c r="AH269" s="1645"/>
      <c r="AI269" s="1646"/>
    </row>
    <row r="270" spans="5:35" s="1640" customFormat="1" x14ac:dyDescent="0.2">
      <c r="E270" s="1641"/>
      <c r="G270" s="1641"/>
      <c r="M270" s="1642"/>
      <c r="N270" s="1643"/>
      <c r="R270" s="1644"/>
      <c r="S270" s="1644"/>
      <c r="T270" s="1644"/>
      <c r="U270" s="1644"/>
      <c r="AH270" s="1645"/>
      <c r="AI270" s="1646"/>
    </row>
    <row r="271" spans="5:35" s="1640" customFormat="1" x14ac:dyDescent="0.2">
      <c r="E271" s="1641"/>
      <c r="G271" s="1641"/>
      <c r="M271" s="1642"/>
      <c r="N271" s="1643"/>
      <c r="R271" s="1644"/>
      <c r="S271" s="1644"/>
      <c r="T271" s="1644"/>
      <c r="U271" s="1644"/>
      <c r="AH271" s="1645"/>
      <c r="AI271" s="1646"/>
    </row>
    <row r="272" spans="5:35" s="1640" customFormat="1" x14ac:dyDescent="0.2">
      <c r="E272" s="1641"/>
      <c r="G272" s="1641"/>
      <c r="M272" s="1642"/>
      <c r="N272" s="1643"/>
      <c r="R272" s="1644"/>
      <c r="S272" s="1644"/>
      <c r="T272" s="1644"/>
      <c r="U272" s="1644"/>
      <c r="AH272" s="1645"/>
      <c r="AI272" s="1646"/>
    </row>
    <row r="273" spans="5:35" s="1640" customFormat="1" x14ac:dyDescent="0.2">
      <c r="E273" s="1641"/>
      <c r="G273" s="1641"/>
      <c r="M273" s="1642"/>
      <c r="N273" s="1643"/>
      <c r="R273" s="1644"/>
      <c r="S273" s="1644"/>
      <c r="T273" s="1644"/>
      <c r="U273" s="1644"/>
      <c r="AH273" s="1645"/>
      <c r="AI273" s="1646"/>
    </row>
    <row r="274" spans="5:35" s="1640" customFormat="1" x14ac:dyDescent="0.2">
      <c r="E274" s="1641"/>
      <c r="G274" s="1641"/>
      <c r="M274" s="1642"/>
      <c r="N274" s="1643"/>
      <c r="R274" s="1644"/>
      <c r="S274" s="1644"/>
      <c r="T274" s="1644"/>
      <c r="U274" s="1644"/>
      <c r="AH274" s="1645"/>
      <c r="AI274" s="1646"/>
    </row>
    <row r="275" spans="5:35" s="1640" customFormat="1" x14ac:dyDescent="0.2">
      <c r="E275" s="1641"/>
      <c r="G275" s="1641"/>
      <c r="M275" s="1642"/>
      <c r="N275" s="1643"/>
      <c r="R275" s="1644"/>
      <c r="S275" s="1644"/>
      <c r="T275" s="1644"/>
      <c r="U275" s="1644"/>
      <c r="AH275" s="1645"/>
      <c r="AI275" s="1646"/>
    </row>
    <row r="276" spans="5:35" s="1640" customFormat="1" x14ac:dyDescent="0.2">
      <c r="E276" s="1641"/>
      <c r="G276" s="1641"/>
      <c r="M276" s="1642"/>
      <c r="N276" s="1643"/>
      <c r="R276" s="1644"/>
      <c r="S276" s="1644"/>
      <c r="T276" s="1644"/>
      <c r="U276" s="1644"/>
      <c r="AH276" s="1645"/>
      <c r="AI276" s="1646"/>
    </row>
    <row r="277" spans="5:35" s="1640" customFormat="1" x14ac:dyDescent="0.2">
      <c r="E277" s="1641"/>
      <c r="G277" s="1641"/>
      <c r="M277" s="1642"/>
      <c r="N277" s="1643"/>
      <c r="R277" s="1644"/>
      <c r="S277" s="1644"/>
      <c r="T277" s="1644"/>
      <c r="U277" s="1644"/>
      <c r="AH277" s="1645"/>
      <c r="AI277" s="1646"/>
    </row>
    <row r="278" spans="5:35" s="1640" customFormat="1" x14ac:dyDescent="0.2">
      <c r="E278" s="1641"/>
      <c r="G278" s="1641"/>
      <c r="M278" s="1642"/>
      <c r="N278" s="1643"/>
      <c r="R278" s="1644"/>
      <c r="S278" s="1644"/>
      <c r="T278" s="1644"/>
      <c r="U278" s="1644"/>
      <c r="AH278" s="1645"/>
      <c r="AI278" s="1646"/>
    </row>
    <row r="279" spans="5:35" s="1640" customFormat="1" x14ac:dyDescent="0.2">
      <c r="E279" s="1641"/>
      <c r="G279" s="1641"/>
      <c r="M279" s="1642"/>
      <c r="N279" s="1643"/>
      <c r="R279" s="1644"/>
      <c r="S279" s="1644"/>
      <c r="T279" s="1644"/>
      <c r="U279" s="1644"/>
      <c r="AH279" s="1645"/>
      <c r="AI279" s="1646"/>
    </row>
    <row r="280" spans="5:35" s="1640" customFormat="1" x14ac:dyDescent="0.2">
      <c r="E280" s="1641"/>
      <c r="G280" s="1641"/>
      <c r="M280" s="1642"/>
      <c r="N280" s="1643"/>
      <c r="R280" s="1644"/>
      <c r="S280" s="1644"/>
      <c r="T280" s="1644"/>
      <c r="U280" s="1644"/>
      <c r="AH280" s="1645"/>
      <c r="AI280" s="1646"/>
    </row>
    <row r="281" spans="5:35" s="1640" customFormat="1" x14ac:dyDescent="0.2">
      <c r="E281" s="1641"/>
      <c r="G281" s="1641"/>
      <c r="M281" s="1642"/>
      <c r="N281" s="1643"/>
      <c r="R281" s="1644"/>
      <c r="S281" s="1644"/>
      <c r="T281" s="1644"/>
      <c r="U281" s="1644"/>
      <c r="AH281" s="1645"/>
      <c r="AI281" s="1646"/>
    </row>
    <row r="282" spans="5:35" s="1640" customFormat="1" x14ac:dyDescent="0.2">
      <c r="E282" s="1641"/>
      <c r="G282" s="1641"/>
      <c r="M282" s="1642"/>
      <c r="N282" s="1643"/>
      <c r="R282" s="1644"/>
      <c r="S282" s="1644"/>
      <c r="T282" s="1644"/>
      <c r="U282" s="1644"/>
      <c r="AH282" s="1645"/>
      <c r="AI282" s="1646"/>
    </row>
    <row r="283" spans="5:35" s="1640" customFormat="1" x14ac:dyDescent="0.2">
      <c r="E283" s="1641"/>
      <c r="G283" s="1641"/>
      <c r="M283" s="1642"/>
      <c r="N283" s="1643"/>
      <c r="R283" s="1644"/>
      <c r="S283" s="1644"/>
      <c r="T283" s="1644"/>
      <c r="U283" s="1644"/>
      <c r="AH283" s="1645"/>
      <c r="AI283" s="1646"/>
    </row>
    <row r="284" spans="5:35" s="1640" customFormat="1" x14ac:dyDescent="0.2">
      <c r="E284" s="1641"/>
      <c r="G284" s="1641"/>
      <c r="M284" s="1642"/>
      <c r="N284" s="1643"/>
      <c r="R284" s="1644"/>
      <c r="S284" s="1644"/>
      <c r="T284" s="1644"/>
      <c r="U284" s="1644"/>
      <c r="AH284" s="1645"/>
      <c r="AI284" s="1646"/>
    </row>
    <row r="285" spans="5:35" s="1640" customFormat="1" x14ac:dyDescent="0.2">
      <c r="E285" s="1641"/>
      <c r="G285" s="1641"/>
      <c r="M285" s="1642"/>
      <c r="N285" s="1643"/>
      <c r="R285" s="1644"/>
      <c r="S285" s="1644"/>
      <c r="T285" s="1644"/>
      <c r="U285" s="1644"/>
      <c r="AH285" s="1645"/>
      <c r="AI285" s="1646"/>
    </row>
    <row r="286" spans="5:35" s="1640" customFormat="1" x14ac:dyDescent="0.2">
      <c r="E286" s="1641"/>
      <c r="G286" s="1641"/>
      <c r="M286" s="1642"/>
      <c r="N286" s="1643"/>
      <c r="R286" s="1644"/>
      <c r="S286" s="1644"/>
      <c r="T286" s="1644"/>
      <c r="U286" s="1644"/>
      <c r="AH286" s="1645"/>
      <c r="AI286" s="1646"/>
    </row>
    <row r="287" spans="5:35" s="1640" customFormat="1" x14ac:dyDescent="0.2">
      <c r="E287" s="1641"/>
      <c r="G287" s="1641"/>
      <c r="M287" s="1642"/>
      <c r="N287" s="1643"/>
      <c r="R287" s="1644"/>
      <c r="S287" s="1644"/>
      <c r="T287" s="1644"/>
      <c r="U287" s="1644"/>
      <c r="AH287" s="1645"/>
      <c r="AI287" s="1646"/>
    </row>
    <row r="288" spans="5:35" s="1640" customFormat="1" x14ac:dyDescent="0.2">
      <c r="E288" s="1641"/>
      <c r="G288" s="1641"/>
      <c r="M288" s="1642"/>
      <c r="N288" s="1643"/>
      <c r="R288" s="1644"/>
      <c r="S288" s="1644"/>
      <c r="T288" s="1644"/>
      <c r="U288" s="1644"/>
      <c r="AH288" s="1645"/>
      <c r="AI288" s="1646"/>
    </row>
    <row r="289" spans="5:35" s="1640" customFormat="1" x14ac:dyDescent="0.2">
      <c r="E289" s="1641"/>
      <c r="G289" s="1641"/>
      <c r="M289" s="1642"/>
      <c r="N289" s="1643"/>
      <c r="R289" s="1644"/>
      <c r="S289" s="1644"/>
      <c r="T289" s="1644"/>
      <c r="U289" s="1644"/>
      <c r="AH289" s="1645"/>
      <c r="AI289" s="1646"/>
    </row>
    <row r="290" spans="5:35" s="1640" customFormat="1" x14ac:dyDescent="0.2">
      <c r="E290" s="1641"/>
      <c r="G290" s="1641"/>
      <c r="M290" s="1642"/>
      <c r="N290" s="1643"/>
      <c r="R290" s="1644"/>
      <c r="S290" s="1644"/>
      <c r="T290" s="1644"/>
      <c r="U290" s="1644"/>
      <c r="AH290" s="1645"/>
      <c r="AI290" s="1646"/>
    </row>
    <row r="291" spans="5:35" s="1640" customFormat="1" x14ac:dyDescent="0.2">
      <c r="E291" s="1641"/>
      <c r="G291" s="1641"/>
      <c r="M291" s="1642"/>
      <c r="N291" s="1643"/>
      <c r="R291" s="1644"/>
      <c r="S291" s="1644"/>
      <c r="T291" s="1644"/>
      <c r="U291" s="1644"/>
      <c r="AH291" s="1645"/>
      <c r="AI291" s="1646"/>
    </row>
    <row r="292" spans="5:35" s="1640" customFormat="1" x14ac:dyDescent="0.2">
      <c r="E292" s="1641"/>
      <c r="G292" s="1641"/>
      <c r="M292" s="1642"/>
      <c r="N292" s="1643"/>
      <c r="R292" s="1644"/>
      <c r="S292" s="1644"/>
      <c r="T292" s="1644"/>
      <c r="U292" s="1644"/>
      <c r="AH292" s="1645"/>
      <c r="AI292" s="1646"/>
    </row>
    <row r="293" spans="5:35" s="1640" customFormat="1" x14ac:dyDescent="0.2">
      <c r="E293" s="1641"/>
      <c r="G293" s="1641"/>
      <c r="M293" s="1642"/>
      <c r="N293" s="1643"/>
      <c r="R293" s="1644"/>
      <c r="S293" s="1644"/>
      <c r="T293" s="1644"/>
      <c r="U293" s="1644"/>
      <c r="AH293" s="1645"/>
      <c r="AI293" s="1646"/>
    </row>
    <row r="294" spans="5:35" s="1640" customFormat="1" x14ac:dyDescent="0.2">
      <c r="E294" s="1641"/>
      <c r="G294" s="1641"/>
      <c r="M294" s="1642"/>
      <c r="N294" s="1643"/>
      <c r="R294" s="1644"/>
      <c r="S294" s="1644"/>
      <c r="T294" s="1644"/>
      <c r="U294" s="1644"/>
      <c r="AH294" s="1645"/>
      <c r="AI294" s="1646"/>
    </row>
    <row r="295" spans="5:35" s="1640" customFormat="1" x14ac:dyDescent="0.2">
      <c r="E295" s="1641"/>
      <c r="G295" s="1641"/>
      <c r="M295" s="1642"/>
      <c r="N295" s="1643"/>
      <c r="R295" s="1644"/>
      <c r="S295" s="1644"/>
      <c r="T295" s="1644"/>
      <c r="U295" s="1644"/>
      <c r="AH295" s="1645"/>
      <c r="AI295" s="1646"/>
    </row>
    <row r="296" spans="5:35" s="1640" customFormat="1" x14ac:dyDescent="0.2">
      <c r="E296" s="1641"/>
      <c r="G296" s="1641"/>
      <c r="M296" s="1642"/>
      <c r="N296" s="1643"/>
      <c r="R296" s="1644"/>
      <c r="S296" s="1644"/>
      <c r="T296" s="1644"/>
      <c r="U296" s="1644"/>
      <c r="AH296" s="1645"/>
      <c r="AI296" s="1646"/>
    </row>
    <row r="297" spans="5:35" s="1640" customFormat="1" x14ac:dyDescent="0.2">
      <c r="E297" s="1641"/>
      <c r="G297" s="1641"/>
      <c r="M297" s="1642"/>
      <c r="N297" s="1643"/>
      <c r="R297" s="1644"/>
      <c r="S297" s="1644"/>
      <c r="T297" s="1644"/>
      <c r="U297" s="1644"/>
      <c r="AH297" s="1645"/>
      <c r="AI297" s="1646"/>
    </row>
    <row r="298" spans="5:35" s="1640" customFormat="1" x14ac:dyDescent="0.2">
      <c r="E298" s="1641"/>
      <c r="G298" s="1641"/>
      <c r="M298" s="1642"/>
      <c r="N298" s="1643"/>
      <c r="R298" s="1644"/>
      <c r="S298" s="1644"/>
      <c r="T298" s="1644"/>
      <c r="U298" s="1644"/>
      <c r="AH298" s="1645"/>
      <c r="AI298" s="1646"/>
    </row>
    <row r="299" spans="5:35" s="1640" customFormat="1" x14ac:dyDescent="0.2">
      <c r="E299" s="1641"/>
      <c r="G299" s="1641"/>
      <c r="M299" s="1642"/>
      <c r="N299" s="1643"/>
      <c r="R299" s="1644"/>
      <c r="S299" s="1644"/>
      <c r="T299" s="1644"/>
      <c r="U299" s="1644"/>
      <c r="AH299" s="1645"/>
      <c r="AI299" s="1646"/>
    </row>
    <row r="300" spans="5:35" s="1640" customFormat="1" x14ac:dyDescent="0.2">
      <c r="E300" s="1641"/>
      <c r="G300" s="1641"/>
      <c r="M300" s="1642"/>
      <c r="N300" s="1643"/>
      <c r="R300" s="1644"/>
      <c r="S300" s="1644"/>
      <c r="T300" s="1644"/>
      <c r="U300" s="1644"/>
      <c r="AH300" s="1645"/>
      <c r="AI300" s="1646"/>
    </row>
    <row r="301" spans="5:35" s="1640" customFormat="1" x14ac:dyDescent="0.2">
      <c r="E301" s="1641"/>
      <c r="G301" s="1641"/>
      <c r="M301" s="1642"/>
      <c r="N301" s="1643"/>
      <c r="R301" s="1644"/>
      <c r="S301" s="1644"/>
      <c r="T301" s="1644"/>
      <c r="U301" s="1644"/>
      <c r="AH301" s="1645"/>
      <c r="AI301" s="1646"/>
    </row>
    <row r="302" spans="5:35" s="1640" customFormat="1" x14ac:dyDescent="0.2">
      <c r="E302" s="1641"/>
      <c r="G302" s="1641"/>
      <c r="M302" s="1642"/>
      <c r="N302" s="1643"/>
      <c r="R302" s="1644"/>
      <c r="S302" s="1644"/>
      <c r="T302" s="1644"/>
      <c r="U302" s="1644"/>
      <c r="AH302" s="1645"/>
      <c r="AI302" s="1646"/>
    </row>
    <row r="303" spans="5:35" s="1640" customFormat="1" x14ac:dyDescent="0.2">
      <c r="E303" s="1641"/>
      <c r="G303" s="1641"/>
      <c r="M303" s="1642"/>
      <c r="N303" s="1643"/>
      <c r="R303" s="1644"/>
      <c r="S303" s="1644"/>
      <c r="T303" s="1644"/>
      <c r="U303" s="1644"/>
      <c r="AH303" s="1645"/>
      <c r="AI303" s="1646"/>
    </row>
    <row r="304" spans="5:35" s="1640" customFormat="1" x14ac:dyDescent="0.2">
      <c r="E304" s="1641"/>
      <c r="G304" s="1641"/>
      <c r="M304" s="1642"/>
      <c r="N304" s="1643"/>
      <c r="R304" s="1644"/>
      <c r="S304" s="1644"/>
      <c r="T304" s="1644"/>
      <c r="U304" s="1644"/>
      <c r="AH304" s="1645"/>
      <c r="AI304" s="1646"/>
    </row>
    <row r="305" spans="5:35" s="1640" customFormat="1" x14ac:dyDescent="0.2">
      <c r="E305" s="1641"/>
      <c r="G305" s="1641"/>
      <c r="M305" s="1642"/>
      <c r="N305" s="1643"/>
      <c r="R305" s="1644"/>
      <c r="S305" s="1644"/>
      <c r="T305" s="1644"/>
      <c r="U305" s="1644"/>
      <c r="AH305" s="1645"/>
      <c r="AI305" s="1646"/>
    </row>
    <row r="306" spans="5:35" s="1640" customFormat="1" x14ac:dyDescent="0.2">
      <c r="E306" s="1641"/>
      <c r="G306" s="1641"/>
      <c r="M306" s="1642"/>
      <c r="N306" s="1643"/>
      <c r="R306" s="1644"/>
      <c r="S306" s="1644"/>
      <c r="T306" s="1644"/>
      <c r="U306" s="1644"/>
      <c r="AH306" s="1645"/>
      <c r="AI306" s="1646"/>
    </row>
    <row r="307" spans="5:35" s="1640" customFormat="1" x14ac:dyDescent="0.2">
      <c r="E307" s="1641"/>
      <c r="G307" s="1641"/>
      <c r="M307" s="1642"/>
      <c r="N307" s="1643"/>
      <c r="R307" s="1644"/>
      <c r="S307" s="1644"/>
      <c r="T307" s="1644"/>
      <c r="U307" s="1644"/>
      <c r="AH307" s="1645"/>
      <c r="AI307" s="1646"/>
    </row>
    <row r="308" spans="5:35" s="1640" customFormat="1" x14ac:dyDescent="0.2">
      <c r="E308" s="1641"/>
      <c r="G308" s="1641"/>
      <c r="M308" s="1642"/>
      <c r="N308" s="1643"/>
      <c r="R308" s="1644"/>
      <c r="S308" s="1644"/>
      <c r="T308" s="1644"/>
      <c r="U308" s="1644"/>
      <c r="AH308" s="1645"/>
      <c r="AI308" s="1646"/>
    </row>
    <row r="309" spans="5:35" s="1640" customFormat="1" x14ac:dyDescent="0.2">
      <c r="E309" s="1641"/>
      <c r="G309" s="1641"/>
      <c r="M309" s="1642"/>
      <c r="N309" s="1643"/>
      <c r="R309" s="1644"/>
      <c r="S309" s="1644"/>
      <c r="T309" s="1644"/>
      <c r="U309" s="1644"/>
      <c r="AH309" s="1645"/>
      <c r="AI309" s="1646"/>
    </row>
    <row r="310" spans="5:35" s="1640" customFormat="1" x14ac:dyDescent="0.2">
      <c r="E310" s="1641"/>
      <c r="G310" s="1641"/>
      <c r="M310" s="1642"/>
      <c r="N310" s="1643"/>
      <c r="R310" s="1644"/>
      <c r="S310" s="1644"/>
      <c r="T310" s="1644"/>
      <c r="U310" s="1644"/>
      <c r="AH310" s="1645"/>
      <c r="AI310" s="1646"/>
    </row>
    <row r="311" spans="5:35" s="1640" customFormat="1" x14ac:dyDescent="0.2">
      <c r="E311" s="1641"/>
      <c r="G311" s="1641"/>
      <c r="M311" s="1642"/>
      <c r="N311" s="1643"/>
      <c r="R311" s="1644"/>
      <c r="S311" s="1644"/>
      <c r="T311" s="1644"/>
      <c r="U311" s="1644"/>
      <c r="AH311" s="1645"/>
      <c r="AI311" s="1646"/>
    </row>
    <row r="312" spans="5:35" s="1640" customFormat="1" x14ac:dyDescent="0.2">
      <c r="E312" s="1641"/>
      <c r="G312" s="1641"/>
      <c r="M312" s="1642"/>
      <c r="N312" s="1643"/>
      <c r="R312" s="1644"/>
      <c r="S312" s="1644"/>
      <c r="T312" s="1644"/>
      <c r="U312" s="1644"/>
      <c r="AH312" s="1645"/>
      <c r="AI312" s="1646"/>
    </row>
    <row r="313" spans="5:35" s="1640" customFormat="1" x14ac:dyDescent="0.2">
      <c r="E313" s="1641"/>
      <c r="G313" s="1641"/>
      <c r="M313" s="1642"/>
      <c r="N313" s="1643"/>
      <c r="R313" s="1644"/>
      <c r="S313" s="1644"/>
      <c r="T313" s="1644"/>
      <c r="U313" s="1644"/>
      <c r="AH313" s="1645"/>
      <c r="AI313" s="1646"/>
    </row>
    <row r="314" spans="5:35" s="1640" customFormat="1" x14ac:dyDescent="0.2">
      <c r="E314" s="1641"/>
      <c r="G314" s="1641"/>
      <c r="M314" s="1642"/>
      <c r="N314" s="1643"/>
      <c r="R314" s="1644"/>
      <c r="S314" s="1644"/>
      <c r="T314" s="1644"/>
      <c r="U314" s="1644"/>
      <c r="AH314" s="1645"/>
      <c r="AI314" s="1646"/>
    </row>
    <row r="315" spans="5:35" s="1640" customFormat="1" x14ac:dyDescent="0.2">
      <c r="E315" s="1641"/>
      <c r="G315" s="1641"/>
      <c r="M315" s="1642"/>
      <c r="N315" s="1643"/>
      <c r="R315" s="1644"/>
      <c r="S315" s="1644"/>
      <c r="T315" s="1644"/>
      <c r="U315" s="1644"/>
      <c r="AH315" s="1645"/>
      <c r="AI315" s="1646"/>
    </row>
    <row r="316" spans="5:35" s="1640" customFormat="1" x14ac:dyDescent="0.2">
      <c r="E316" s="1641"/>
      <c r="G316" s="1641"/>
      <c r="M316" s="1642"/>
      <c r="N316" s="1643"/>
      <c r="R316" s="1644"/>
      <c r="S316" s="1644"/>
      <c r="T316" s="1644"/>
      <c r="U316" s="1644"/>
      <c r="AH316" s="1645"/>
      <c r="AI316" s="1646"/>
    </row>
    <row r="317" spans="5:35" s="1640" customFormat="1" x14ac:dyDescent="0.2">
      <c r="E317" s="1641"/>
      <c r="G317" s="1641"/>
      <c r="M317" s="1642"/>
      <c r="N317" s="1643"/>
      <c r="R317" s="1644"/>
      <c r="S317" s="1644"/>
      <c r="T317" s="1644"/>
      <c r="U317" s="1644"/>
      <c r="AH317" s="1645"/>
      <c r="AI317" s="1646"/>
    </row>
    <row r="318" spans="5:35" s="1640" customFormat="1" x14ac:dyDescent="0.2">
      <c r="E318" s="1641"/>
      <c r="G318" s="1641"/>
      <c r="M318" s="1642"/>
      <c r="N318" s="1643"/>
      <c r="R318" s="1644"/>
      <c r="S318" s="1644"/>
      <c r="T318" s="1644"/>
      <c r="U318" s="1644"/>
      <c r="AH318" s="1645"/>
      <c r="AI318" s="1646"/>
    </row>
    <row r="319" spans="5:35" s="1640" customFormat="1" x14ac:dyDescent="0.2">
      <c r="E319" s="1641"/>
      <c r="G319" s="1641"/>
      <c r="M319" s="1642"/>
      <c r="N319" s="1643"/>
      <c r="R319" s="1644"/>
      <c r="S319" s="1644"/>
      <c r="T319" s="1644"/>
      <c r="U319" s="1644"/>
      <c r="AH319" s="1645"/>
      <c r="AI319" s="1646"/>
    </row>
    <row r="320" spans="5:35" s="1640" customFormat="1" x14ac:dyDescent="0.2">
      <c r="E320" s="1641"/>
      <c r="G320" s="1641"/>
      <c r="M320" s="1642"/>
      <c r="N320" s="1643"/>
      <c r="R320" s="1644"/>
      <c r="S320" s="1644"/>
      <c r="T320" s="1644"/>
      <c r="U320" s="1644"/>
      <c r="AH320" s="1645"/>
      <c r="AI320" s="1646"/>
    </row>
    <row r="321" spans="5:35" s="1640" customFormat="1" x14ac:dyDescent="0.2">
      <c r="E321" s="1641"/>
      <c r="G321" s="1641"/>
      <c r="M321" s="1642"/>
      <c r="N321" s="1643"/>
      <c r="R321" s="1644"/>
      <c r="S321" s="1644"/>
      <c r="T321" s="1644"/>
      <c r="U321" s="1644"/>
      <c r="AH321" s="1645"/>
      <c r="AI321" s="1646"/>
    </row>
    <row r="322" spans="5:35" s="1640" customFormat="1" x14ac:dyDescent="0.2">
      <c r="E322" s="1641"/>
      <c r="G322" s="1641"/>
      <c r="M322" s="1642"/>
      <c r="N322" s="1643"/>
      <c r="R322" s="1644"/>
      <c r="S322" s="1644"/>
      <c r="T322" s="1644"/>
      <c r="U322" s="1644"/>
      <c r="AH322" s="1645"/>
      <c r="AI322" s="1646"/>
    </row>
    <row r="323" spans="5:35" s="1640" customFormat="1" x14ac:dyDescent="0.2">
      <c r="E323" s="1641"/>
      <c r="G323" s="1641"/>
      <c r="M323" s="1642"/>
      <c r="N323" s="1643"/>
      <c r="R323" s="1644"/>
      <c r="S323" s="1644"/>
      <c r="T323" s="1644"/>
      <c r="U323" s="1644"/>
      <c r="AH323" s="1645"/>
      <c r="AI323" s="1646"/>
    </row>
    <row r="324" spans="5:35" s="1640" customFormat="1" x14ac:dyDescent="0.2">
      <c r="E324" s="1641"/>
      <c r="G324" s="1641"/>
      <c r="M324" s="1642"/>
      <c r="N324" s="1643"/>
      <c r="R324" s="1644"/>
      <c r="S324" s="1644"/>
      <c r="T324" s="1644"/>
      <c r="U324" s="1644"/>
      <c r="AH324" s="1645"/>
      <c r="AI324" s="1646"/>
    </row>
    <row r="325" spans="5:35" s="1640" customFormat="1" x14ac:dyDescent="0.2">
      <c r="E325" s="1641"/>
      <c r="G325" s="1641"/>
      <c r="M325" s="1642"/>
      <c r="N325" s="1643"/>
      <c r="R325" s="1644"/>
      <c r="S325" s="1644"/>
      <c r="T325" s="1644"/>
      <c r="U325" s="1644"/>
      <c r="AH325" s="1645"/>
      <c r="AI325" s="1646"/>
    </row>
    <row r="326" spans="5:35" s="1640" customFormat="1" x14ac:dyDescent="0.2">
      <c r="E326" s="1641"/>
      <c r="G326" s="1641"/>
      <c r="M326" s="1642"/>
      <c r="N326" s="1643"/>
      <c r="R326" s="1644"/>
      <c r="S326" s="1644"/>
      <c r="T326" s="1644"/>
      <c r="U326" s="1644"/>
      <c r="AH326" s="1645"/>
      <c r="AI326" s="1646"/>
    </row>
    <row r="327" spans="5:35" s="1640" customFormat="1" x14ac:dyDescent="0.2">
      <c r="E327" s="1641"/>
      <c r="G327" s="1641"/>
      <c r="M327" s="1642"/>
      <c r="N327" s="1643"/>
      <c r="R327" s="1644"/>
      <c r="S327" s="1644"/>
      <c r="T327" s="1644"/>
      <c r="U327" s="1644"/>
      <c r="AH327" s="1645"/>
      <c r="AI327" s="1646"/>
    </row>
    <row r="328" spans="5:35" s="1640" customFormat="1" x14ac:dyDescent="0.2">
      <c r="E328" s="1641"/>
      <c r="G328" s="1641"/>
      <c r="M328" s="1642"/>
      <c r="N328" s="1643"/>
      <c r="R328" s="1644"/>
      <c r="S328" s="1644"/>
      <c r="T328" s="1644"/>
      <c r="U328" s="1644"/>
      <c r="AH328" s="1645"/>
      <c r="AI328" s="1646"/>
    </row>
    <row r="329" spans="5:35" s="1640" customFormat="1" x14ac:dyDescent="0.2">
      <c r="E329" s="1641"/>
      <c r="G329" s="1641"/>
      <c r="M329" s="1642"/>
      <c r="N329" s="1643"/>
      <c r="R329" s="1644"/>
      <c r="S329" s="1644"/>
      <c r="T329" s="1644"/>
      <c r="U329" s="1644"/>
      <c r="AH329" s="1645"/>
      <c r="AI329" s="1646"/>
    </row>
    <row r="330" spans="5:35" s="1640" customFormat="1" x14ac:dyDescent="0.2">
      <c r="E330" s="1641"/>
      <c r="G330" s="1641"/>
      <c r="M330" s="1642"/>
      <c r="N330" s="1643"/>
      <c r="R330" s="1644"/>
      <c r="S330" s="1644"/>
      <c r="T330" s="1644"/>
      <c r="U330" s="1644"/>
      <c r="AH330" s="1645"/>
      <c r="AI330" s="1646"/>
    </row>
    <row r="331" spans="5:35" s="1640" customFormat="1" x14ac:dyDescent="0.2">
      <c r="E331" s="1641"/>
      <c r="G331" s="1641"/>
      <c r="M331" s="1642"/>
      <c r="N331" s="1643"/>
      <c r="R331" s="1644"/>
      <c r="S331" s="1644"/>
      <c r="T331" s="1644"/>
      <c r="U331" s="1644"/>
      <c r="AH331" s="1645"/>
      <c r="AI331" s="1646"/>
    </row>
    <row r="332" spans="5:35" s="1640" customFormat="1" x14ac:dyDescent="0.2">
      <c r="E332" s="1641"/>
      <c r="G332" s="1641"/>
      <c r="M332" s="1642"/>
      <c r="N332" s="1643"/>
      <c r="R332" s="1644"/>
      <c r="S332" s="1644"/>
      <c r="T332" s="1644"/>
      <c r="U332" s="1644"/>
      <c r="AH332" s="1645"/>
      <c r="AI332" s="1646"/>
    </row>
    <row r="333" spans="5:35" s="1640" customFormat="1" x14ac:dyDescent="0.2">
      <c r="E333" s="1641"/>
      <c r="G333" s="1641"/>
      <c r="M333" s="1642"/>
      <c r="N333" s="1643"/>
      <c r="R333" s="1644"/>
      <c r="S333" s="1644"/>
      <c r="T333" s="1644"/>
      <c r="U333" s="1644"/>
      <c r="AH333" s="1645"/>
      <c r="AI333" s="1646"/>
    </row>
    <row r="334" spans="5:35" s="1640" customFormat="1" x14ac:dyDescent="0.2">
      <c r="E334" s="1641"/>
      <c r="G334" s="1641"/>
      <c r="M334" s="1642"/>
      <c r="N334" s="1643"/>
      <c r="R334" s="1644"/>
      <c r="S334" s="1644"/>
      <c r="T334" s="1644"/>
      <c r="U334" s="1644"/>
      <c r="AH334" s="1645"/>
      <c r="AI334" s="1646"/>
    </row>
    <row r="335" spans="5:35" s="1640" customFormat="1" x14ac:dyDescent="0.2">
      <c r="E335" s="1641"/>
      <c r="G335" s="1641"/>
      <c r="M335" s="1642"/>
      <c r="N335" s="1643"/>
      <c r="R335" s="1644"/>
      <c r="S335" s="1644"/>
      <c r="T335" s="1644"/>
      <c r="U335" s="1644"/>
      <c r="AH335" s="1645"/>
      <c r="AI335" s="1646"/>
    </row>
    <row r="336" spans="5:35" s="1640" customFormat="1" x14ac:dyDescent="0.2">
      <c r="E336" s="1641"/>
      <c r="G336" s="1641"/>
      <c r="M336" s="1642"/>
      <c r="N336" s="1643"/>
      <c r="R336" s="1644"/>
      <c r="S336" s="1644"/>
      <c r="T336" s="1644"/>
      <c r="U336" s="1644"/>
      <c r="AH336" s="1645"/>
      <c r="AI336" s="1646"/>
    </row>
    <row r="337" spans="5:35" s="1640" customFormat="1" x14ac:dyDescent="0.2">
      <c r="E337" s="1641"/>
      <c r="G337" s="1641"/>
      <c r="M337" s="1642"/>
      <c r="N337" s="1643"/>
      <c r="R337" s="1644"/>
      <c r="S337" s="1644"/>
      <c r="T337" s="1644"/>
      <c r="U337" s="1644"/>
      <c r="AH337" s="1645"/>
      <c r="AI337" s="1646"/>
    </row>
    <row r="338" spans="5:35" s="1640" customFormat="1" x14ac:dyDescent="0.2">
      <c r="E338" s="1641"/>
      <c r="G338" s="1641"/>
      <c r="M338" s="1642"/>
      <c r="N338" s="1643"/>
      <c r="R338" s="1644"/>
      <c r="S338" s="1644"/>
      <c r="T338" s="1644"/>
      <c r="U338" s="1644"/>
      <c r="AH338" s="1645"/>
      <c r="AI338" s="1646"/>
    </row>
    <row r="339" spans="5:35" s="1640" customFormat="1" x14ac:dyDescent="0.2">
      <c r="E339" s="1641"/>
      <c r="G339" s="1641"/>
      <c r="M339" s="1642"/>
      <c r="N339" s="1643"/>
      <c r="R339" s="1644"/>
      <c r="S339" s="1644"/>
      <c r="T339" s="1644"/>
      <c r="U339" s="1644"/>
      <c r="AH339" s="1645"/>
      <c r="AI339" s="1646"/>
    </row>
    <row r="340" spans="5:35" s="1640" customFormat="1" x14ac:dyDescent="0.2">
      <c r="E340" s="1641"/>
      <c r="G340" s="1641"/>
      <c r="M340" s="1642"/>
      <c r="N340" s="1643"/>
      <c r="R340" s="1644"/>
      <c r="S340" s="1644"/>
      <c r="T340" s="1644"/>
      <c r="U340" s="1644"/>
      <c r="AH340" s="1645"/>
      <c r="AI340" s="1646"/>
    </row>
    <row r="341" spans="5:35" s="1640" customFormat="1" x14ac:dyDescent="0.2">
      <c r="E341" s="1641"/>
      <c r="G341" s="1641"/>
      <c r="M341" s="1642"/>
      <c r="N341" s="1643"/>
      <c r="R341" s="1644"/>
      <c r="S341" s="1644"/>
      <c r="T341" s="1644"/>
      <c r="U341" s="1644"/>
      <c r="AH341" s="1645"/>
      <c r="AI341" s="1646"/>
    </row>
    <row r="342" spans="5:35" s="1640" customFormat="1" x14ac:dyDescent="0.2">
      <c r="E342" s="1641"/>
      <c r="G342" s="1641"/>
      <c r="M342" s="1642"/>
      <c r="N342" s="1643"/>
      <c r="R342" s="1644"/>
      <c r="S342" s="1644"/>
      <c r="T342" s="1644"/>
      <c r="U342" s="1644"/>
      <c r="AH342" s="1645"/>
      <c r="AI342" s="1646"/>
    </row>
    <row r="343" spans="5:35" s="1640" customFormat="1" x14ac:dyDescent="0.2">
      <c r="E343" s="1641"/>
      <c r="G343" s="1641"/>
      <c r="M343" s="1642"/>
      <c r="N343" s="1643"/>
      <c r="R343" s="1644"/>
      <c r="S343" s="1644"/>
      <c r="T343" s="1644"/>
      <c r="U343" s="1644"/>
      <c r="AH343" s="1645"/>
      <c r="AI343" s="1646"/>
    </row>
    <row r="344" spans="5:35" s="1640" customFormat="1" x14ac:dyDescent="0.2">
      <c r="E344" s="1641"/>
      <c r="G344" s="1641"/>
      <c r="M344" s="1642"/>
      <c r="N344" s="1643"/>
      <c r="R344" s="1644"/>
      <c r="S344" s="1644"/>
      <c r="T344" s="1644"/>
      <c r="U344" s="1644"/>
      <c r="AH344" s="1645"/>
      <c r="AI344" s="1646"/>
    </row>
    <row r="345" spans="5:35" s="1640" customFormat="1" x14ac:dyDescent="0.2">
      <c r="E345" s="1641"/>
      <c r="G345" s="1641"/>
      <c r="M345" s="1642"/>
      <c r="N345" s="1643"/>
      <c r="R345" s="1644"/>
      <c r="S345" s="1644"/>
      <c r="T345" s="1644"/>
      <c r="U345" s="1644"/>
      <c r="AH345" s="1645"/>
      <c r="AI345" s="1646"/>
    </row>
    <row r="346" spans="5:35" s="1640" customFormat="1" x14ac:dyDescent="0.2">
      <c r="E346" s="1641"/>
      <c r="G346" s="1641"/>
      <c r="M346" s="1642"/>
      <c r="N346" s="1643"/>
      <c r="R346" s="1644"/>
      <c r="S346" s="1644"/>
      <c r="T346" s="1644"/>
      <c r="U346" s="1644"/>
      <c r="AH346" s="1645"/>
      <c r="AI346" s="1646"/>
    </row>
    <row r="347" spans="5:35" s="1640" customFormat="1" x14ac:dyDescent="0.2">
      <c r="E347" s="1641"/>
      <c r="G347" s="1641"/>
      <c r="M347" s="1642"/>
      <c r="N347" s="1643"/>
      <c r="R347" s="1644"/>
      <c r="S347" s="1644"/>
      <c r="T347" s="1644"/>
      <c r="U347" s="1644"/>
      <c r="AH347" s="1645"/>
      <c r="AI347" s="1646"/>
    </row>
    <row r="348" spans="5:35" s="1640" customFormat="1" x14ac:dyDescent="0.2">
      <c r="E348" s="1641"/>
      <c r="G348" s="1641"/>
      <c r="M348" s="1642"/>
      <c r="N348" s="1643"/>
      <c r="R348" s="1644"/>
      <c r="S348" s="1644"/>
      <c r="T348" s="1644"/>
      <c r="U348" s="1644"/>
      <c r="AH348" s="1645"/>
      <c r="AI348" s="1646"/>
    </row>
    <row r="349" spans="5:35" s="1640" customFormat="1" x14ac:dyDescent="0.2">
      <c r="E349" s="1641"/>
      <c r="G349" s="1641"/>
      <c r="M349" s="1642"/>
      <c r="N349" s="1643"/>
      <c r="R349" s="1644"/>
      <c r="S349" s="1644"/>
      <c r="T349" s="1644"/>
      <c r="U349" s="1644"/>
      <c r="AH349" s="1645"/>
      <c r="AI349" s="1646"/>
    </row>
    <row r="350" spans="5:35" s="1640" customFormat="1" x14ac:dyDescent="0.2">
      <c r="E350" s="1641"/>
      <c r="G350" s="1641"/>
      <c r="M350" s="1642"/>
      <c r="N350" s="1643"/>
      <c r="R350" s="1644"/>
      <c r="S350" s="1644"/>
      <c r="T350" s="1644"/>
      <c r="U350" s="1644"/>
      <c r="AH350" s="1645"/>
      <c r="AI350" s="1646"/>
    </row>
    <row r="351" spans="5:35" s="1640" customFormat="1" x14ac:dyDescent="0.2">
      <c r="E351" s="1641"/>
      <c r="G351" s="1641"/>
      <c r="M351" s="1642"/>
      <c r="N351" s="1643"/>
      <c r="R351" s="1644"/>
      <c r="S351" s="1644"/>
      <c r="T351" s="1644"/>
      <c r="U351" s="1644"/>
      <c r="AH351" s="1645"/>
      <c r="AI351" s="1646"/>
    </row>
    <row r="352" spans="5:35" s="1640" customFormat="1" x14ac:dyDescent="0.2">
      <c r="E352" s="1641"/>
      <c r="G352" s="1641"/>
      <c r="M352" s="1642"/>
      <c r="N352" s="1643"/>
      <c r="R352" s="1644"/>
      <c r="S352" s="1644"/>
      <c r="T352" s="1644"/>
      <c r="U352" s="1644"/>
      <c r="AH352" s="1645"/>
      <c r="AI352" s="1646"/>
    </row>
    <row r="353" spans="5:35" s="1640" customFormat="1" x14ac:dyDescent="0.2">
      <c r="E353" s="1641"/>
      <c r="G353" s="1641"/>
      <c r="M353" s="1642"/>
      <c r="N353" s="1643"/>
      <c r="R353" s="1644"/>
      <c r="S353" s="1644"/>
      <c r="T353" s="1644"/>
      <c r="U353" s="1644"/>
      <c r="AH353" s="1645"/>
      <c r="AI353" s="1646"/>
    </row>
    <row r="354" spans="5:35" s="1640" customFormat="1" x14ac:dyDescent="0.2">
      <c r="E354" s="1641"/>
      <c r="G354" s="1641"/>
      <c r="M354" s="1642"/>
      <c r="N354" s="1643"/>
      <c r="R354" s="1644"/>
      <c r="S354" s="1644"/>
      <c r="T354" s="1644"/>
      <c r="U354" s="1644"/>
      <c r="AH354" s="1645"/>
      <c r="AI354" s="1646"/>
    </row>
    <row r="355" spans="5:35" s="1640" customFormat="1" x14ac:dyDescent="0.2">
      <c r="E355" s="1641"/>
      <c r="G355" s="1641"/>
      <c r="M355" s="1642"/>
      <c r="N355" s="1643"/>
      <c r="R355" s="1644"/>
      <c r="S355" s="1644"/>
      <c r="T355" s="1644"/>
      <c r="U355" s="1644"/>
      <c r="AH355" s="1645"/>
      <c r="AI355" s="1646"/>
    </row>
    <row r="356" spans="5:35" s="1640" customFormat="1" x14ac:dyDescent="0.2">
      <c r="E356" s="1641"/>
      <c r="G356" s="1641"/>
      <c r="M356" s="1642"/>
      <c r="N356" s="1643"/>
      <c r="R356" s="1644"/>
      <c r="S356" s="1644"/>
      <c r="T356" s="1644"/>
      <c r="U356" s="1644"/>
      <c r="AH356" s="1645"/>
      <c r="AI356" s="1646"/>
    </row>
    <row r="357" spans="5:35" s="1640" customFormat="1" x14ac:dyDescent="0.2">
      <c r="E357" s="1641"/>
      <c r="G357" s="1641"/>
      <c r="M357" s="1642"/>
      <c r="N357" s="1643"/>
      <c r="R357" s="1644"/>
      <c r="S357" s="1644"/>
      <c r="T357" s="1644"/>
      <c r="U357" s="1644"/>
      <c r="AH357" s="1645"/>
      <c r="AI357" s="1646"/>
    </row>
    <row r="358" spans="5:35" s="1640" customFormat="1" x14ac:dyDescent="0.2">
      <c r="E358" s="1641"/>
      <c r="G358" s="1641"/>
      <c r="M358" s="1642"/>
      <c r="N358" s="1643"/>
      <c r="R358" s="1644"/>
      <c r="S358" s="1644"/>
      <c r="T358" s="1644"/>
      <c r="U358" s="1644"/>
      <c r="AH358" s="1645"/>
      <c r="AI358" s="1646"/>
    </row>
    <row r="359" spans="5:35" s="1640" customFormat="1" x14ac:dyDescent="0.2">
      <c r="E359" s="1641"/>
      <c r="G359" s="1641"/>
      <c r="M359" s="1642"/>
      <c r="N359" s="1643"/>
      <c r="R359" s="1644"/>
      <c r="S359" s="1644"/>
      <c r="T359" s="1644"/>
      <c r="U359" s="1644"/>
      <c r="AH359" s="1645"/>
      <c r="AI359" s="1646"/>
    </row>
    <row r="360" spans="5:35" s="1640" customFormat="1" x14ac:dyDescent="0.2">
      <c r="E360" s="1641"/>
      <c r="G360" s="1641"/>
      <c r="M360" s="1642"/>
      <c r="N360" s="1643"/>
      <c r="R360" s="1644"/>
      <c r="S360" s="1644"/>
      <c r="T360" s="1644"/>
      <c r="U360" s="1644"/>
      <c r="AH360" s="1645"/>
      <c r="AI360" s="1646"/>
    </row>
    <row r="361" spans="5:35" s="1640" customFormat="1" x14ac:dyDescent="0.2">
      <c r="E361" s="1641"/>
      <c r="G361" s="1641"/>
      <c r="M361" s="1642"/>
      <c r="N361" s="1643"/>
      <c r="R361" s="1644"/>
      <c r="S361" s="1644"/>
      <c r="T361" s="1644"/>
      <c r="U361" s="1644"/>
      <c r="AH361" s="1645"/>
      <c r="AI361" s="1646"/>
    </row>
    <row r="362" spans="5:35" s="1640" customFormat="1" x14ac:dyDescent="0.2">
      <c r="E362" s="1641"/>
      <c r="G362" s="1641"/>
      <c r="M362" s="1642"/>
      <c r="N362" s="1643"/>
      <c r="R362" s="1644"/>
      <c r="S362" s="1644"/>
      <c r="T362" s="1644"/>
      <c r="U362" s="1644"/>
      <c r="AH362" s="1645"/>
      <c r="AI362" s="1646"/>
    </row>
    <row r="363" spans="5:35" s="1640" customFormat="1" x14ac:dyDescent="0.2">
      <c r="E363" s="1641"/>
      <c r="G363" s="1641"/>
      <c r="M363" s="1642"/>
      <c r="N363" s="1643"/>
      <c r="R363" s="1644"/>
      <c r="S363" s="1644"/>
      <c r="T363" s="1644"/>
      <c r="U363" s="1644"/>
      <c r="AH363" s="1645"/>
      <c r="AI363" s="1646"/>
    </row>
    <row r="364" spans="5:35" s="1640" customFormat="1" x14ac:dyDescent="0.2">
      <c r="E364" s="1641"/>
      <c r="G364" s="1641"/>
      <c r="M364" s="1642"/>
      <c r="N364" s="1643"/>
      <c r="R364" s="1644"/>
      <c r="S364" s="1644"/>
      <c r="T364" s="1644"/>
      <c r="U364" s="1644"/>
      <c r="AH364" s="1645"/>
      <c r="AI364" s="1646"/>
    </row>
    <row r="365" spans="5:35" s="1640" customFormat="1" x14ac:dyDescent="0.2">
      <c r="E365" s="1641"/>
      <c r="G365" s="1641"/>
      <c r="M365" s="1642"/>
      <c r="N365" s="1643"/>
      <c r="R365" s="1644"/>
      <c r="S365" s="1644"/>
      <c r="T365" s="1644"/>
      <c r="U365" s="1644"/>
      <c r="AH365" s="1645"/>
      <c r="AI365" s="1646"/>
    </row>
    <row r="366" spans="5:35" s="1640" customFormat="1" x14ac:dyDescent="0.2">
      <c r="E366" s="1641"/>
      <c r="G366" s="1641"/>
      <c r="M366" s="1642"/>
      <c r="N366" s="1643"/>
      <c r="R366" s="1644"/>
      <c r="S366" s="1644"/>
      <c r="T366" s="1644"/>
      <c r="U366" s="1644"/>
      <c r="AH366" s="1645"/>
      <c r="AI366" s="1646"/>
    </row>
    <row r="367" spans="5:35" s="1640" customFormat="1" x14ac:dyDescent="0.2">
      <c r="E367" s="1641"/>
      <c r="G367" s="1641"/>
      <c r="M367" s="1642"/>
      <c r="N367" s="1643"/>
      <c r="R367" s="1644"/>
      <c r="S367" s="1644"/>
      <c r="T367" s="1644"/>
      <c r="U367" s="1644"/>
      <c r="AH367" s="1645"/>
      <c r="AI367" s="1646"/>
    </row>
    <row r="368" spans="5:35" s="1640" customFormat="1" x14ac:dyDescent="0.2">
      <c r="E368" s="1641"/>
      <c r="G368" s="1641"/>
      <c r="M368" s="1642"/>
      <c r="N368" s="1643"/>
      <c r="R368" s="1644"/>
      <c r="S368" s="1644"/>
      <c r="T368" s="1644"/>
      <c r="U368" s="1644"/>
      <c r="AH368" s="1645"/>
      <c r="AI368" s="1646"/>
    </row>
    <row r="369" spans="5:35" s="1640" customFormat="1" x14ac:dyDescent="0.2">
      <c r="E369" s="1641"/>
      <c r="G369" s="1641"/>
      <c r="M369" s="1642"/>
      <c r="N369" s="1643"/>
      <c r="R369" s="1644"/>
      <c r="S369" s="1644"/>
      <c r="T369" s="1644"/>
      <c r="U369" s="1644"/>
      <c r="AH369" s="1645"/>
      <c r="AI369" s="1646"/>
    </row>
    <row r="370" spans="5:35" s="1640" customFormat="1" x14ac:dyDescent="0.2">
      <c r="E370" s="1641"/>
      <c r="G370" s="1641"/>
      <c r="M370" s="1642"/>
      <c r="N370" s="1643"/>
      <c r="R370" s="1644"/>
      <c r="S370" s="1644"/>
      <c r="T370" s="1644"/>
      <c r="U370" s="1644"/>
      <c r="AH370" s="1645"/>
      <c r="AI370" s="1646"/>
    </row>
    <row r="371" spans="5:35" s="1640" customFormat="1" x14ac:dyDescent="0.2">
      <c r="E371" s="1641"/>
      <c r="G371" s="1641"/>
      <c r="M371" s="1642"/>
      <c r="N371" s="1643"/>
      <c r="R371" s="1644"/>
      <c r="S371" s="1644"/>
      <c r="T371" s="1644"/>
      <c r="U371" s="1644"/>
      <c r="AH371" s="1645"/>
      <c r="AI371" s="1646"/>
    </row>
    <row r="372" spans="5:35" s="1640" customFormat="1" x14ac:dyDescent="0.2">
      <c r="E372" s="1641"/>
      <c r="G372" s="1641"/>
      <c r="M372" s="1642"/>
      <c r="N372" s="1643"/>
      <c r="R372" s="1644"/>
      <c r="S372" s="1644"/>
      <c r="T372" s="1644"/>
      <c r="U372" s="1644"/>
      <c r="AH372" s="1645"/>
      <c r="AI372" s="1646"/>
    </row>
    <row r="373" spans="5:35" s="1640" customFormat="1" x14ac:dyDescent="0.2">
      <c r="E373" s="1641"/>
      <c r="G373" s="1641"/>
      <c r="M373" s="1642"/>
      <c r="N373" s="1643"/>
      <c r="R373" s="1644"/>
      <c r="S373" s="1644"/>
      <c r="T373" s="1644"/>
      <c r="U373" s="1644"/>
      <c r="AH373" s="1645"/>
      <c r="AI373" s="1646"/>
    </row>
    <row r="374" spans="5:35" s="1640" customFormat="1" x14ac:dyDescent="0.2">
      <c r="E374" s="1641"/>
      <c r="G374" s="1641"/>
      <c r="M374" s="1642"/>
      <c r="N374" s="1643"/>
      <c r="R374" s="1644"/>
      <c r="S374" s="1644"/>
      <c r="T374" s="1644"/>
      <c r="U374" s="1644"/>
      <c r="AH374" s="1645"/>
      <c r="AI374" s="1646"/>
    </row>
    <row r="375" spans="5:35" s="1640" customFormat="1" x14ac:dyDescent="0.2">
      <c r="E375" s="1641"/>
      <c r="G375" s="1641"/>
      <c r="M375" s="1642"/>
      <c r="N375" s="1643"/>
      <c r="R375" s="1644"/>
      <c r="S375" s="1644"/>
      <c r="T375" s="1644"/>
      <c r="U375" s="1644"/>
      <c r="AH375" s="1645"/>
      <c r="AI375" s="1646"/>
    </row>
    <row r="376" spans="5:35" s="1640" customFormat="1" x14ac:dyDescent="0.2">
      <c r="E376" s="1641"/>
      <c r="G376" s="1641"/>
      <c r="M376" s="1642"/>
      <c r="N376" s="1643"/>
      <c r="R376" s="1644"/>
      <c r="S376" s="1644"/>
      <c r="T376" s="1644"/>
      <c r="U376" s="1644"/>
      <c r="AH376" s="1645"/>
      <c r="AI376" s="1646"/>
    </row>
    <row r="377" spans="5:35" s="1640" customFormat="1" x14ac:dyDescent="0.2">
      <c r="E377" s="1641"/>
      <c r="G377" s="1641"/>
      <c r="M377" s="1642"/>
      <c r="N377" s="1643"/>
      <c r="R377" s="1644"/>
      <c r="S377" s="1644"/>
      <c r="T377" s="1644"/>
      <c r="U377" s="1644"/>
      <c r="AH377" s="1645"/>
      <c r="AI377" s="1646"/>
    </row>
    <row r="378" spans="5:35" s="1640" customFormat="1" x14ac:dyDescent="0.2">
      <c r="E378" s="1641"/>
      <c r="G378" s="1641"/>
      <c r="M378" s="1642"/>
      <c r="N378" s="1643"/>
      <c r="R378" s="1644"/>
      <c r="S378" s="1644"/>
      <c r="T378" s="1644"/>
      <c r="U378" s="1644"/>
      <c r="AH378" s="1645"/>
      <c r="AI378" s="1646"/>
    </row>
    <row r="379" spans="5:35" s="1640" customFormat="1" x14ac:dyDescent="0.2">
      <c r="E379" s="1641"/>
      <c r="G379" s="1641"/>
      <c r="M379" s="1642"/>
      <c r="N379" s="1643"/>
      <c r="R379" s="1644"/>
      <c r="S379" s="1644"/>
      <c r="T379" s="1644"/>
      <c r="U379" s="1644"/>
      <c r="AH379" s="1645"/>
      <c r="AI379" s="1646"/>
    </row>
    <row r="380" spans="5:35" s="1640" customFormat="1" x14ac:dyDescent="0.2">
      <c r="E380" s="1641"/>
      <c r="G380" s="1641"/>
      <c r="M380" s="1642"/>
      <c r="N380" s="1643"/>
      <c r="R380" s="1644"/>
      <c r="S380" s="1644"/>
      <c r="T380" s="1644"/>
      <c r="U380" s="1644"/>
      <c r="AH380" s="1645"/>
      <c r="AI380" s="1646"/>
    </row>
    <row r="381" spans="5:35" s="1640" customFormat="1" x14ac:dyDescent="0.2">
      <c r="E381" s="1641"/>
      <c r="G381" s="1641"/>
      <c r="M381" s="1642"/>
      <c r="N381" s="1643"/>
      <c r="R381" s="1644"/>
      <c r="S381" s="1644"/>
      <c r="T381" s="1644"/>
      <c r="U381" s="1644"/>
      <c r="AH381" s="1645"/>
      <c r="AI381" s="1646"/>
    </row>
    <row r="382" spans="5:35" s="1640" customFormat="1" x14ac:dyDescent="0.2">
      <c r="E382" s="1641"/>
      <c r="G382" s="1641"/>
      <c r="M382" s="1642"/>
      <c r="N382" s="1643"/>
      <c r="R382" s="1644"/>
      <c r="S382" s="1644"/>
      <c r="T382" s="1644"/>
      <c r="U382" s="1644"/>
      <c r="AH382" s="1645"/>
      <c r="AI382" s="1646"/>
    </row>
    <row r="383" spans="5:35" s="1640" customFormat="1" x14ac:dyDescent="0.2">
      <c r="E383" s="1641"/>
      <c r="G383" s="1641"/>
      <c r="M383" s="1642"/>
      <c r="N383" s="1643"/>
      <c r="R383" s="1644"/>
      <c r="S383" s="1644"/>
      <c r="T383" s="1644"/>
      <c r="U383" s="1644"/>
      <c r="AH383" s="1645"/>
      <c r="AI383" s="1646"/>
    </row>
    <row r="384" spans="5:35" s="1640" customFormat="1" x14ac:dyDescent="0.2">
      <c r="E384" s="1641"/>
      <c r="G384" s="1641"/>
      <c r="M384" s="1642"/>
      <c r="N384" s="1643"/>
      <c r="R384" s="1644"/>
      <c r="S384" s="1644"/>
      <c r="T384" s="1644"/>
      <c r="U384" s="1644"/>
      <c r="AH384" s="1645"/>
      <c r="AI384" s="1646"/>
    </row>
    <row r="385" spans="5:35" s="1640" customFormat="1" x14ac:dyDescent="0.2">
      <c r="E385" s="1641"/>
      <c r="G385" s="1641"/>
      <c r="M385" s="1642"/>
      <c r="N385" s="1643"/>
      <c r="R385" s="1644"/>
      <c r="S385" s="1644"/>
      <c r="T385" s="1644"/>
      <c r="U385" s="1644"/>
      <c r="AH385" s="1645"/>
      <c r="AI385" s="1646"/>
    </row>
    <row r="386" spans="5:35" s="1640" customFormat="1" x14ac:dyDescent="0.2">
      <c r="E386" s="1641"/>
      <c r="G386" s="1641"/>
      <c r="M386" s="1642"/>
      <c r="N386" s="1643"/>
      <c r="R386" s="1644"/>
      <c r="S386" s="1644"/>
      <c r="T386" s="1644"/>
      <c r="U386" s="1644"/>
      <c r="AH386" s="1645"/>
      <c r="AI386" s="1646"/>
    </row>
    <row r="387" spans="5:35" s="1640" customFormat="1" x14ac:dyDescent="0.2">
      <c r="E387" s="1641"/>
      <c r="G387" s="1641"/>
      <c r="M387" s="1642"/>
      <c r="N387" s="1643"/>
      <c r="R387" s="1644"/>
      <c r="S387" s="1644"/>
      <c r="T387" s="1644"/>
      <c r="U387" s="1644"/>
      <c r="AH387" s="1645"/>
      <c r="AI387" s="1646"/>
    </row>
    <row r="388" spans="5:35" s="1640" customFormat="1" x14ac:dyDescent="0.2">
      <c r="E388" s="1641"/>
      <c r="G388" s="1641"/>
      <c r="M388" s="1642"/>
      <c r="N388" s="1643"/>
      <c r="R388" s="1644"/>
      <c r="S388" s="1644"/>
      <c r="T388" s="1644"/>
      <c r="U388" s="1644"/>
      <c r="AH388" s="1645"/>
      <c r="AI388" s="1646"/>
    </row>
    <row r="389" spans="5:35" s="1640" customFormat="1" x14ac:dyDescent="0.2">
      <c r="E389" s="1641"/>
      <c r="G389" s="1641"/>
      <c r="M389" s="1642"/>
      <c r="N389" s="1643"/>
      <c r="R389" s="1644"/>
      <c r="S389" s="1644"/>
      <c r="T389" s="1644"/>
      <c r="U389" s="1644"/>
      <c r="AH389" s="1645"/>
      <c r="AI389" s="1646"/>
    </row>
    <row r="390" spans="5:35" s="1640" customFormat="1" x14ac:dyDescent="0.2">
      <c r="E390" s="1641"/>
      <c r="G390" s="1641"/>
      <c r="M390" s="1642"/>
      <c r="N390" s="1643"/>
      <c r="R390" s="1644"/>
      <c r="S390" s="1644"/>
      <c r="T390" s="1644"/>
      <c r="U390" s="1644"/>
      <c r="AH390" s="1645"/>
      <c r="AI390" s="1646"/>
    </row>
    <row r="391" spans="5:35" s="1640" customFormat="1" x14ac:dyDescent="0.2">
      <c r="E391" s="1641"/>
      <c r="G391" s="1641"/>
      <c r="M391" s="1642"/>
      <c r="N391" s="1643"/>
      <c r="R391" s="1644"/>
      <c r="S391" s="1644"/>
      <c r="T391" s="1644"/>
      <c r="U391" s="1644"/>
      <c r="AH391" s="1645"/>
      <c r="AI391" s="1646"/>
    </row>
    <row r="392" spans="5:35" s="1640" customFormat="1" x14ac:dyDescent="0.2">
      <c r="E392" s="1641"/>
      <c r="G392" s="1641"/>
      <c r="M392" s="1642"/>
      <c r="N392" s="1643"/>
      <c r="R392" s="1644"/>
      <c r="S392" s="1644"/>
      <c r="T392" s="1644"/>
      <c r="U392" s="1644"/>
      <c r="AH392" s="1645"/>
      <c r="AI392" s="1646"/>
    </row>
    <row r="393" spans="5:35" s="1640" customFormat="1" x14ac:dyDescent="0.2">
      <c r="E393" s="1641"/>
      <c r="G393" s="1641"/>
      <c r="M393" s="1642"/>
      <c r="N393" s="1643"/>
      <c r="R393" s="1644"/>
      <c r="S393" s="1644"/>
      <c r="T393" s="1644"/>
      <c r="U393" s="1644"/>
      <c r="AH393" s="1645"/>
      <c r="AI393" s="1646"/>
    </row>
    <row r="394" spans="5:35" s="1640" customFormat="1" x14ac:dyDescent="0.2">
      <c r="E394" s="1641"/>
      <c r="G394" s="1641"/>
      <c r="M394" s="1642"/>
      <c r="N394" s="1643"/>
      <c r="R394" s="1644"/>
      <c r="S394" s="1644"/>
      <c r="T394" s="1644"/>
      <c r="U394" s="1644"/>
      <c r="AH394" s="1645"/>
      <c r="AI394" s="1646"/>
    </row>
    <row r="395" spans="5:35" s="1640" customFormat="1" x14ac:dyDescent="0.2">
      <c r="E395" s="1641"/>
      <c r="G395" s="1641"/>
      <c r="M395" s="1642"/>
      <c r="N395" s="1643"/>
      <c r="R395" s="1644"/>
      <c r="S395" s="1644"/>
      <c r="T395" s="1644"/>
      <c r="U395" s="1644"/>
      <c r="AH395" s="1645"/>
      <c r="AI395" s="1646"/>
    </row>
    <row r="396" spans="5:35" s="1640" customFormat="1" x14ac:dyDescent="0.2">
      <c r="E396" s="1641"/>
      <c r="G396" s="1641"/>
      <c r="M396" s="1642"/>
      <c r="N396" s="1643"/>
      <c r="R396" s="1644"/>
      <c r="S396" s="1644"/>
      <c r="T396" s="1644"/>
      <c r="U396" s="1644"/>
      <c r="AH396" s="1645"/>
      <c r="AI396" s="1646"/>
    </row>
    <row r="397" spans="5:35" s="1640" customFormat="1" x14ac:dyDescent="0.2">
      <c r="E397" s="1641"/>
      <c r="G397" s="1641"/>
      <c r="M397" s="1642"/>
      <c r="N397" s="1643"/>
      <c r="R397" s="1644"/>
      <c r="S397" s="1644"/>
      <c r="T397" s="1644"/>
      <c r="U397" s="1644"/>
      <c r="AH397" s="1645"/>
      <c r="AI397" s="1646"/>
    </row>
    <row r="398" spans="5:35" s="1640" customFormat="1" x14ac:dyDescent="0.2">
      <c r="E398" s="1641"/>
      <c r="G398" s="1641"/>
      <c r="M398" s="1642"/>
      <c r="N398" s="1643"/>
      <c r="R398" s="1644"/>
      <c r="S398" s="1644"/>
      <c r="T398" s="1644"/>
      <c r="U398" s="1644"/>
      <c r="AH398" s="1645"/>
      <c r="AI398" s="1646"/>
    </row>
    <row r="399" spans="5:35" s="1640" customFormat="1" x14ac:dyDescent="0.2">
      <c r="E399" s="1641"/>
      <c r="G399" s="1641"/>
      <c r="M399" s="1642"/>
      <c r="N399" s="1643"/>
      <c r="R399" s="1644"/>
      <c r="S399" s="1644"/>
      <c r="T399" s="1644"/>
      <c r="U399" s="1644"/>
      <c r="AH399" s="1645"/>
      <c r="AI399" s="1646"/>
    </row>
    <row r="400" spans="5:35" s="1640" customFormat="1" x14ac:dyDescent="0.2">
      <c r="E400" s="1641"/>
      <c r="G400" s="1641"/>
      <c r="M400" s="1642"/>
      <c r="N400" s="1643"/>
      <c r="R400" s="1644"/>
      <c r="S400" s="1644"/>
      <c r="T400" s="1644"/>
      <c r="U400" s="1644"/>
      <c r="AH400" s="1645"/>
      <c r="AI400" s="1646"/>
    </row>
    <row r="401" spans="5:35" s="1640" customFormat="1" x14ac:dyDescent="0.2">
      <c r="E401" s="1641"/>
      <c r="G401" s="1641"/>
      <c r="M401" s="1642"/>
      <c r="N401" s="1643"/>
      <c r="R401" s="1644"/>
      <c r="S401" s="1644"/>
      <c r="T401" s="1644"/>
      <c r="U401" s="1644"/>
      <c r="AH401" s="1645"/>
      <c r="AI401" s="1646"/>
    </row>
    <row r="402" spans="5:35" s="1640" customFormat="1" x14ac:dyDescent="0.2">
      <c r="E402" s="1641"/>
      <c r="G402" s="1641"/>
      <c r="M402" s="1642"/>
      <c r="N402" s="1643"/>
      <c r="R402" s="1644"/>
      <c r="S402" s="1644"/>
      <c r="T402" s="1644"/>
      <c r="U402" s="1644"/>
      <c r="AH402" s="1645"/>
      <c r="AI402" s="1646"/>
    </row>
    <row r="403" spans="5:35" s="1640" customFormat="1" x14ac:dyDescent="0.2">
      <c r="E403" s="1641"/>
      <c r="G403" s="1641"/>
      <c r="M403" s="1642"/>
      <c r="N403" s="1643"/>
      <c r="R403" s="1644"/>
      <c r="S403" s="1644"/>
      <c r="T403" s="1644"/>
      <c r="U403" s="1644"/>
      <c r="AH403" s="1645"/>
      <c r="AI403" s="1646"/>
    </row>
    <row r="404" spans="5:35" s="1640" customFormat="1" x14ac:dyDescent="0.2">
      <c r="E404" s="1641"/>
      <c r="G404" s="1641"/>
      <c r="M404" s="1642"/>
      <c r="N404" s="1643"/>
      <c r="R404" s="1644"/>
      <c r="S404" s="1644"/>
      <c r="T404" s="1644"/>
      <c r="U404" s="1644"/>
      <c r="AH404" s="1645"/>
      <c r="AI404" s="1646"/>
    </row>
    <row r="405" spans="5:35" s="1640" customFormat="1" x14ac:dyDescent="0.2">
      <c r="E405" s="1641"/>
      <c r="G405" s="1641"/>
      <c r="M405" s="1642"/>
      <c r="N405" s="1643"/>
      <c r="R405" s="1644"/>
      <c r="S405" s="1644"/>
      <c r="T405" s="1644"/>
      <c r="U405" s="1644"/>
      <c r="AH405" s="1645"/>
      <c r="AI405" s="1646"/>
    </row>
    <row r="406" spans="5:35" s="1640" customFormat="1" x14ac:dyDescent="0.2">
      <c r="E406" s="1641"/>
      <c r="G406" s="1641"/>
      <c r="M406" s="1642"/>
      <c r="N406" s="1643"/>
      <c r="R406" s="1644"/>
      <c r="S406" s="1644"/>
      <c r="T406" s="1644"/>
      <c r="U406" s="1644"/>
      <c r="AH406" s="1645"/>
      <c r="AI406" s="1646"/>
    </row>
    <row r="407" spans="5:35" s="1640" customFormat="1" x14ac:dyDescent="0.2">
      <c r="E407" s="1641"/>
      <c r="G407" s="1641"/>
      <c r="M407" s="1642"/>
      <c r="N407" s="1643"/>
      <c r="R407" s="1644"/>
      <c r="S407" s="1644"/>
      <c r="T407" s="1644"/>
      <c r="U407" s="1644"/>
      <c r="AH407" s="1645"/>
      <c r="AI407" s="1646"/>
    </row>
    <row r="408" spans="5:35" s="1640" customFormat="1" x14ac:dyDescent="0.2">
      <c r="E408" s="1641"/>
      <c r="G408" s="1641"/>
      <c r="M408" s="1642"/>
      <c r="N408" s="1643"/>
      <c r="R408" s="1644"/>
      <c r="S408" s="1644"/>
      <c r="T408" s="1644"/>
      <c r="U408" s="1644"/>
      <c r="AH408" s="1645"/>
      <c r="AI408" s="1646"/>
    </row>
    <row r="409" spans="5:35" s="1640" customFormat="1" x14ac:dyDescent="0.2">
      <c r="E409" s="1641"/>
      <c r="G409" s="1641"/>
      <c r="M409" s="1642"/>
      <c r="N409" s="1643"/>
      <c r="R409" s="1644"/>
      <c r="S409" s="1644"/>
      <c r="T409" s="1644"/>
      <c r="U409" s="1644"/>
      <c r="AH409" s="1645"/>
      <c r="AI409" s="1646"/>
    </row>
    <row r="410" spans="5:35" s="1640" customFormat="1" x14ac:dyDescent="0.2">
      <c r="E410" s="1641"/>
      <c r="G410" s="1641"/>
      <c r="M410" s="1642"/>
      <c r="N410" s="1643"/>
      <c r="R410" s="1644"/>
      <c r="S410" s="1644"/>
      <c r="T410" s="1644"/>
      <c r="U410" s="1644"/>
      <c r="AH410" s="1645"/>
      <c r="AI410" s="1646"/>
    </row>
    <row r="411" spans="5:35" s="1640" customFormat="1" x14ac:dyDescent="0.2">
      <c r="E411" s="1641"/>
      <c r="G411" s="1641"/>
      <c r="M411" s="1642"/>
      <c r="N411" s="1643"/>
      <c r="R411" s="1644"/>
      <c r="S411" s="1644"/>
      <c r="T411" s="1644"/>
      <c r="U411" s="1644"/>
      <c r="AH411" s="1645"/>
      <c r="AI411" s="1646"/>
    </row>
    <row r="412" spans="5:35" s="1640" customFormat="1" x14ac:dyDescent="0.2">
      <c r="E412" s="1641"/>
      <c r="G412" s="1641"/>
      <c r="M412" s="1642"/>
      <c r="N412" s="1643"/>
      <c r="R412" s="1644"/>
      <c r="S412" s="1644"/>
      <c r="T412" s="1644"/>
      <c r="U412" s="1644"/>
      <c r="AH412" s="1645"/>
      <c r="AI412" s="1646"/>
    </row>
    <row r="413" spans="5:35" s="1640" customFormat="1" x14ac:dyDescent="0.2">
      <c r="E413" s="1641"/>
      <c r="G413" s="1641"/>
      <c r="M413" s="1642"/>
      <c r="N413" s="1643"/>
      <c r="R413" s="1644"/>
      <c r="S413" s="1644"/>
      <c r="T413" s="1644"/>
      <c r="U413" s="1644"/>
      <c r="AH413" s="1645"/>
      <c r="AI413" s="1646"/>
    </row>
    <row r="414" spans="5:35" s="1640" customFormat="1" x14ac:dyDescent="0.2">
      <c r="E414" s="1641"/>
      <c r="G414" s="1641"/>
      <c r="M414" s="1642"/>
      <c r="N414" s="1643"/>
      <c r="R414" s="1644"/>
      <c r="S414" s="1644"/>
      <c r="T414" s="1644"/>
      <c r="U414" s="1644"/>
      <c r="AH414" s="1645"/>
      <c r="AI414" s="1646"/>
    </row>
    <row r="415" spans="5:35" s="1640" customFormat="1" x14ac:dyDescent="0.2">
      <c r="E415" s="1641"/>
      <c r="G415" s="1641"/>
      <c r="M415" s="1642"/>
      <c r="N415" s="1643"/>
      <c r="R415" s="1644"/>
      <c r="S415" s="1644"/>
      <c r="T415" s="1644"/>
      <c r="U415" s="1644"/>
      <c r="AH415" s="1645"/>
      <c r="AI415" s="1646"/>
    </row>
    <row r="416" spans="5:35" s="1640" customFormat="1" x14ac:dyDescent="0.2">
      <c r="E416" s="1641"/>
      <c r="G416" s="1641"/>
      <c r="M416" s="1642"/>
      <c r="N416" s="1643"/>
      <c r="R416" s="1644"/>
      <c r="S416" s="1644"/>
      <c r="T416" s="1644"/>
      <c r="U416" s="1644"/>
      <c r="AH416" s="1645"/>
      <c r="AI416" s="1646"/>
    </row>
    <row r="417" spans="5:35" s="1640" customFormat="1" x14ac:dyDescent="0.2">
      <c r="E417" s="1641"/>
      <c r="G417" s="1641"/>
      <c r="M417" s="1642"/>
      <c r="N417" s="1643"/>
      <c r="R417" s="1644"/>
      <c r="S417" s="1644"/>
      <c r="T417" s="1644"/>
      <c r="U417" s="1644"/>
      <c r="AH417" s="1645"/>
      <c r="AI417" s="1646"/>
    </row>
    <row r="418" spans="5:35" s="1640" customFormat="1" x14ac:dyDescent="0.2">
      <c r="E418" s="1641"/>
      <c r="G418" s="1641"/>
      <c r="M418" s="1642"/>
      <c r="N418" s="1643"/>
      <c r="R418" s="1644"/>
      <c r="S418" s="1644"/>
      <c r="T418" s="1644"/>
      <c r="U418" s="1644"/>
      <c r="AH418" s="1645"/>
      <c r="AI418" s="1646"/>
    </row>
    <row r="419" spans="5:35" s="1640" customFormat="1" x14ac:dyDescent="0.2">
      <c r="E419" s="1641"/>
      <c r="G419" s="1641"/>
      <c r="M419" s="1642"/>
      <c r="N419" s="1643"/>
      <c r="R419" s="1644"/>
      <c r="S419" s="1644"/>
      <c r="T419" s="1644"/>
      <c r="U419" s="1644"/>
      <c r="AH419" s="1645"/>
      <c r="AI419" s="1646"/>
    </row>
    <row r="420" spans="5:35" s="1640" customFormat="1" x14ac:dyDescent="0.2">
      <c r="E420" s="1641"/>
      <c r="G420" s="1641"/>
      <c r="M420" s="1642"/>
      <c r="N420" s="1643"/>
      <c r="R420" s="1644"/>
      <c r="S420" s="1644"/>
      <c r="T420" s="1644"/>
      <c r="U420" s="1644"/>
      <c r="AH420" s="1645"/>
      <c r="AI420" s="1646"/>
    </row>
    <row r="421" spans="5:35" s="1640" customFormat="1" x14ac:dyDescent="0.2">
      <c r="E421" s="1641"/>
      <c r="G421" s="1641"/>
      <c r="M421" s="1642"/>
      <c r="N421" s="1643"/>
      <c r="R421" s="1644"/>
      <c r="S421" s="1644"/>
      <c r="T421" s="1644"/>
      <c r="U421" s="1644"/>
      <c r="AH421" s="1645"/>
      <c r="AI421" s="1646"/>
    </row>
    <row r="422" spans="5:35" s="1640" customFormat="1" x14ac:dyDescent="0.2">
      <c r="E422" s="1641"/>
      <c r="G422" s="1641"/>
      <c r="M422" s="1642"/>
      <c r="N422" s="1643"/>
      <c r="R422" s="1644"/>
      <c r="S422" s="1644"/>
      <c r="T422" s="1644"/>
      <c r="U422" s="1644"/>
      <c r="AH422" s="1645"/>
      <c r="AI422" s="1646"/>
    </row>
    <row r="423" spans="5:35" s="1640" customFormat="1" x14ac:dyDescent="0.2">
      <c r="E423" s="1641"/>
      <c r="G423" s="1641"/>
      <c r="M423" s="1642"/>
      <c r="N423" s="1643"/>
      <c r="R423" s="1644"/>
      <c r="S423" s="1644"/>
      <c r="T423" s="1644"/>
      <c r="U423" s="1644"/>
      <c r="AH423" s="1645"/>
      <c r="AI423" s="1646"/>
    </row>
    <row r="424" spans="5:35" s="1640" customFormat="1" x14ac:dyDescent="0.2">
      <c r="E424" s="1641"/>
      <c r="G424" s="1641"/>
      <c r="M424" s="1642"/>
      <c r="N424" s="1643"/>
      <c r="R424" s="1644"/>
      <c r="S424" s="1644"/>
      <c r="T424" s="1644"/>
      <c r="U424" s="1644"/>
      <c r="AH424" s="1645"/>
      <c r="AI424" s="1646"/>
    </row>
    <row r="425" spans="5:35" s="1640" customFormat="1" x14ac:dyDescent="0.2">
      <c r="E425" s="1641"/>
      <c r="G425" s="1641"/>
      <c r="M425" s="1642"/>
      <c r="N425" s="1643"/>
      <c r="R425" s="1644"/>
      <c r="S425" s="1644"/>
      <c r="T425" s="1644"/>
      <c r="U425" s="1644"/>
      <c r="AH425" s="1645"/>
      <c r="AI425" s="1646"/>
    </row>
    <row r="426" spans="5:35" s="1640" customFormat="1" x14ac:dyDescent="0.2">
      <c r="E426" s="1641"/>
      <c r="G426" s="1641"/>
      <c r="M426" s="1642"/>
      <c r="N426" s="1643"/>
      <c r="R426" s="1644"/>
      <c r="S426" s="1644"/>
      <c r="T426" s="1644"/>
      <c r="U426" s="1644"/>
      <c r="AH426" s="1645"/>
      <c r="AI426" s="1646"/>
    </row>
    <row r="427" spans="5:35" s="1640" customFormat="1" x14ac:dyDescent="0.2">
      <c r="E427" s="1641"/>
      <c r="G427" s="1641"/>
      <c r="M427" s="1642"/>
      <c r="N427" s="1643"/>
      <c r="R427" s="1644"/>
      <c r="S427" s="1644"/>
      <c r="T427" s="1644"/>
      <c r="U427" s="1644"/>
      <c r="AH427" s="1645"/>
      <c r="AI427" s="1646"/>
    </row>
    <row r="428" spans="5:35" s="1640" customFormat="1" x14ac:dyDescent="0.2">
      <c r="E428" s="1641"/>
      <c r="G428" s="1641"/>
      <c r="M428" s="1642"/>
      <c r="N428" s="1643"/>
      <c r="R428" s="1644"/>
      <c r="S428" s="1644"/>
      <c r="T428" s="1644"/>
      <c r="U428" s="1644"/>
      <c r="AH428" s="1645"/>
      <c r="AI428" s="1646"/>
    </row>
    <row r="429" spans="5:35" s="1640" customFormat="1" x14ac:dyDescent="0.2">
      <c r="E429" s="1641"/>
      <c r="G429" s="1641"/>
      <c r="M429" s="1642"/>
      <c r="N429" s="1643"/>
      <c r="R429" s="1644"/>
      <c r="S429" s="1644"/>
      <c r="T429" s="1644"/>
      <c r="U429" s="1644"/>
      <c r="AH429" s="1645"/>
      <c r="AI429" s="1646"/>
    </row>
    <row r="430" spans="5:35" s="1640" customFormat="1" x14ac:dyDescent="0.2">
      <c r="E430" s="1641"/>
      <c r="G430" s="1641"/>
      <c r="M430" s="1642"/>
      <c r="N430" s="1643"/>
      <c r="R430" s="1644"/>
      <c r="S430" s="1644"/>
      <c r="T430" s="1644"/>
      <c r="U430" s="1644"/>
      <c r="AH430" s="1645"/>
      <c r="AI430" s="1646"/>
    </row>
    <row r="431" spans="5:35" s="1640" customFormat="1" x14ac:dyDescent="0.2">
      <c r="E431" s="1641"/>
      <c r="G431" s="1641"/>
      <c r="M431" s="1642"/>
      <c r="N431" s="1643"/>
      <c r="R431" s="1644"/>
      <c r="S431" s="1644"/>
      <c r="T431" s="1644"/>
      <c r="U431" s="1644"/>
      <c r="AH431" s="1645"/>
      <c r="AI431" s="1646"/>
    </row>
    <row r="432" spans="5:35" s="1640" customFormat="1" x14ac:dyDescent="0.2">
      <c r="E432" s="1641"/>
      <c r="G432" s="1641"/>
      <c r="M432" s="1642"/>
      <c r="N432" s="1643"/>
      <c r="R432" s="1644"/>
      <c r="S432" s="1644"/>
      <c r="T432" s="1644"/>
      <c r="U432" s="1644"/>
      <c r="AH432" s="1645"/>
      <c r="AI432" s="1646"/>
    </row>
    <row r="433" spans="5:35" s="1640" customFormat="1" x14ac:dyDescent="0.2">
      <c r="E433" s="1641"/>
      <c r="G433" s="1641"/>
      <c r="M433" s="1642"/>
      <c r="N433" s="1643"/>
      <c r="R433" s="1644"/>
      <c r="S433" s="1644"/>
      <c r="T433" s="1644"/>
      <c r="U433" s="1644"/>
      <c r="AH433" s="1645"/>
      <c r="AI433" s="1646"/>
    </row>
    <row r="434" spans="5:35" s="1640" customFormat="1" x14ac:dyDescent="0.2">
      <c r="E434" s="1641"/>
      <c r="G434" s="1641"/>
      <c r="M434" s="1642"/>
      <c r="N434" s="1643"/>
      <c r="R434" s="1644"/>
      <c r="S434" s="1644"/>
      <c r="T434" s="1644"/>
      <c r="U434" s="1644"/>
      <c r="AH434" s="1645"/>
      <c r="AI434" s="1646"/>
    </row>
    <row r="435" spans="5:35" s="1640" customFormat="1" x14ac:dyDescent="0.2">
      <c r="E435" s="1641"/>
      <c r="G435" s="1641"/>
      <c r="M435" s="1642"/>
      <c r="N435" s="1643"/>
      <c r="R435" s="1644"/>
      <c r="S435" s="1644"/>
      <c r="T435" s="1644"/>
      <c r="U435" s="1644"/>
      <c r="AH435" s="1645"/>
      <c r="AI435" s="1646"/>
    </row>
    <row r="436" spans="5:35" s="1640" customFormat="1" x14ac:dyDescent="0.2">
      <c r="E436" s="1641"/>
      <c r="G436" s="1641"/>
      <c r="M436" s="1642"/>
      <c r="N436" s="1643"/>
      <c r="R436" s="1644"/>
      <c r="S436" s="1644"/>
      <c r="T436" s="1644"/>
      <c r="U436" s="1644"/>
      <c r="AH436" s="1645"/>
      <c r="AI436" s="1646"/>
    </row>
    <row r="437" spans="5:35" s="1640" customFormat="1" x14ac:dyDescent="0.2">
      <c r="E437" s="1641"/>
      <c r="G437" s="1641"/>
      <c r="M437" s="1642"/>
      <c r="N437" s="1643"/>
      <c r="R437" s="1644"/>
      <c r="S437" s="1644"/>
      <c r="T437" s="1644"/>
      <c r="U437" s="1644"/>
      <c r="AH437" s="1645"/>
      <c r="AI437" s="1646"/>
    </row>
    <row r="438" spans="5:35" s="1640" customFormat="1" x14ac:dyDescent="0.2">
      <c r="E438" s="1641"/>
      <c r="G438" s="1641"/>
      <c r="M438" s="1642"/>
      <c r="N438" s="1643"/>
      <c r="R438" s="1644"/>
      <c r="S438" s="1644"/>
      <c r="T438" s="1644"/>
      <c r="U438" s="1644"/>
      <c r="AH438" s="1645"/>
      <c r="AI438" s="1646"/>
    </row>
    <row r="439" spans="5:35" s="1640" customFormat="1" x14ac:dyDescent="0.2">
      <c r="E439" s="1641"/>
      <c r="G439" s="1641"/>
      <c r="M439" s="1642"/>
      <c r="N439" s="1643"/>
      <c r="R439" s="1644"/>
      <c r="S439" s="1644"/>
      <c r="T439" s="1644"/>
      <c r="U439" s="1644"/>
      <c r="AH439" s="1645"/>
      <c r="AI439" s="1646"/>
    </row>
    <row r="440" spans="5:35" s="1640" customFormat="1" x14ac:dyDescent="0.2">
      <c r="E440" s="1641"/>
      <c r="G440" s="1641"/>
      <c r="M440" s="1642"/>
      <c r="N440" s="1643"/>
      <c r="R440" s="1644"/>
      <c r="S440" s="1644"/>
      <c r="T440" s="1644"/>
      <c r="U440" s="1644"/>
      <c r="AH440" s="1645"/>
      <c r="AI440" s="1646"/>
    </row>
    <row r="441" spans="5:35" s="1640" customFormat="1" x14ac:dyDescent="0.2">
      <c r="E441" s="1641"/>
      <c r="G441" s="1641"/>
      <c r="M441" s="1642"/>
      <c r="N441" s="1643"/>
      <c r="R441" s="1644"/>
      <c r="S441" s="1644"/>
      <c r="T441" s="1644"/>
      <c r="U441" s="1644"/>
      <c r="AH441" s="1645"/>
      <c r="AI441" s="1646"/>
    </row>
    <row r="442" spans="5:35" s="1640" customFormat="1" x14ac:dyDescent="0.2">
      <c r="E442" s="1641"/>
      <c r="G442" s="1641"/>
      <c r="M442" s="1642"/>
      <c r="N442" s="1643"/>
      <c r="R442" s="1644"/>
      <c r="S442" s="1644"/>
      <c r="T442" s="1644"/>
      <c r="U442" s="1644"/>
      <c r="AH442" s="1645"/>
      <c r="AI442" s="1646"/>
    </row>
    <row r="443" spans="5:35" s="1640" customFormat="1" x14ac:dyDescent="0.2">
      <c r="E443" s="1641"/>
      <c r="G443" s="1641"/>
      <c r="M443" s="1642"/>
      <c r="N443" s="1643"/>
      <c r="R443" s="1644"/>
      <c r="S443" s="1644"/>
      <c r="T443" s="1644"/>
      <c r="U443" s="1644"/>
      <c r="AH443" s="1645"/>
      <c r="AI443" s="1646"/>
    </row>
    <row r="444" spans="5:35" s="1640" customFormat="1" x14ac:dyDescent="0.2">
      <c r="E444" s="1641"/>
      <c r="G444" s="1641"/>
      <c r="M444" s="1642"/>
      <c r="N444" s="1643"/>
      <c r="R444" s="1644"/>
      <c r="S444" s="1644"/>
      <c r="T444" s="1644"/>
      <c r="U444" s="1644"/>
      <c r="AH444" s="1645"/>
      <c r="AI444" s="1646"/>
    </row>
    <row r="445" spans="5:35" s="1640" customFormat="1" x14ac:dyDescent="0.2">
      <c r="E445" s="1641"/>
      <c r="G445" s="1641"/>
      <c r="M445" s="1642"/>
      <c r="N445" s="1643"/>
      <c r="R445" s="1644"/>
      <c r="S445" s="1644"/>
      <c r="T445" s="1644"/>
      <c r="U445" s="1644"/>
      <c r="AH445" s="1645"/>
      <c r="AI445" s="1646"/>
    </row>
    <row r="446" spans="5:35" s="1640" customFormat="1" x14ac:dyDescent="0.2">
      <c r="E446" s="1641"/>
      <c r="G446" s="1641"/>
      <c r="M446" s="1642"/>
      <c r="N446" s="1643"/>
      <c r="R446" s="1644"/>
      <c r="S446" s="1644"/>
      <c r="T446" s="1644"/>
      <c r="U446" s="1644"/>
      <c r="AH446" s="1645"/>
      <c r="AI446" s="1646"/>
    </row>
    <row r="447" spans="5:35" s="1640" customFormat="1" x14ac:dyDescent="0.2">
      <c r="E447" s="1641"/>
      <c r="G447" s="1641"/>
      <c r="M447" s="1642"/>
      <c r="N447" s="1643"/>
      <c r="R447" s="1644"/>
      <c r="S447" s="1644"/>
      <c r="T447" s="1644"/>
      <c r="U447" s="1644"/>
      <c r="AH447" s="1645"/>
      <c r="AI447" s="1646"/>
    </row>
    <row r="448" spans="5:35" s="1640" customFormat="1" x14ac:dyDescent="0.2">
      <c r="E448" s="1641"/>
      <c r="G448" s="1641"/>
      <c r="M448" s="1642"/>
      <c r="N448" s="1643"/>
      <c r="R448" s="1644"/>
      <c r="S448" s="1644"/>
      <c r="T448" s="1644"/>
      <c r="U448" s="1644"/>
      <c r="AH448" s="1645"/>
      <c r="AI448" s="1646"/>
    </row>
    <row r="449" spans="5:35" s="1640" customFormat="1" x14ac:dyDescent="0.2">
      <c r="E449" s="1641"/>
      <c r="G449" s="1641"/>
      <c r="M449" s="1642"/>
      <c r="N449" s="1643"/>
      <c r="R449" s="1644"/>
      <c r="S449" s="1644"/>
      <c r="T449" s="1644"/>
      <c r="U449" s="1644"/>
      <c r="AH449" s="1645"/>
      <c r="AI449" s="1646"/>
    </row>
    <row r="450" spans="5:35" s="1640" customFormat="1" x14ac:dyDescent="0.2">
      <c r="E450" s="1641"/>
      <c r="G450" s="1641"/>
      <c r="M450" s="1642"/>
      <c r="N450" s="1643"/>
      <c r="R450" s="1644"/>
      <c r="S450" s="1644"/>
      <c r="T450" s="1644"/>
      <c r="U450" s="1644"/>
      <c r="AH450" s="1645"/>
      <c r="AI450" s="1646"/>
    </row>
    <row r="451" spans="5:35" s="1640" customFormat="1" x14ac:dyDescent="0.2">
      <c r="E451" s="1641"/>
      <c r="G451" s="1641"/>
      <c r="M451" s="1642"/>
      <c r="N451" s="1643"/>
      <c r="R451" s="1644"/>
      <c r="S451" s="1644"/>
      <c r="T451" s="1644"/>
      <c r="U451" s="1644"/>
      <c r="AH451" s="1645"/>
      <c r="AI451" s="1646"/>
    </row>
    <row r="452" spans="5:35" s="1640" customFormat="1" x14ac:dyDescent="0.2">
      <c r="E452" s="1641"/>
      <c r="G452" s="1641"/>
      <c r="M452" s="1642"/>
      <c r="N452" s="1643"/>
      <c r="R452" s="1644"/>
      <c r="S452" s="1644"/>
      <c r="T452" s="1644"/>
      <c r="U452" s="1644"/>
      <c r="AH452" s="1645"/>
      <c r="AI452" s="1646"/>
    </row>
    <row r="453" spans="5:35" s="1640" customFormat="1" x14ac:dyDescent="0.2">
      <c r="E453" s="1641"/>
      <c r="G453" s="1641"/>
      <c r="M453" s="1642"/>
      <c r="N453" s="1643"/>
      <c r="R453" s="1644"/>
      <c r="S453" s="1644"/>
      <c r="T453" s="1644"/>
      <c r="U453" s="1644"/>
      <c r="AH453" s="1645"/>
      <c r="AI453" s="1646"/>
    </row>
    <row r="454" spans="5:35" s="1640" customFormat="1" x14ac:dyDescent="0.2">
      <c r="E454" s="1641"/>
      <c r="G454" s="1641"/>
      <c r="M454" s="1642"/>
      <c r="N454" s="1643"/>
      <c r="R454" s="1644"/>
      <c r="S454" s="1644"/>
      <c r="T454" s="1644"/>
      <c r="U454" s="1644"/>
      <c r="AH454" s="1645"/>
      <c r="AI454" s="1646"/>
    </row>
    <row r="455" spans="5:35" s="1640" customFormat="1" x14ac:dyDescent="0.2">
      <c r="E455" s="1641"/>
      <c r="G455" s="1641"/>
      <c r="M455" s="1642"/>
      <c r="N455" s="1643"/>
      <c r="R455" s="1644"/>
      <c r="S455" s="1644"/>
      <c r="T455" s="1644"/>
      <c r="U455" s="1644"/>
      <c r="AH455" s="1645"/>
      <c r="AI455" s="1646"/>
    </row>
    <row r="456" spans="5:35" s="1640" customFormat="1" x14ac:dyDescent="0.2">
      <c r="E456" s="1641"/>
      <c r="G456" s="1641"/>
      <c r="M456" s="1642"/>
      <c r="N456" s="1643"/>
      <c r="R456" s="1644"/>
      <c r="S456" s="1644"/>
      <c r="T456" s="1644"/>
      <c r="U456" s="1644"/>
      <c r="AH456" s="1645"/>
      <c r="AI456" s="1646"/>
    </row>
    <row r="457" spans="5:35" s="1640" customFormat="1" x14ac:dyDescent="0.2">
      <c r="E457" s="1641"/>
      <c r="G457" s="1641"/>
      <c r="M457" s="1642"/>
      <c r="N457" s="1643"/>
      <c r="R457" s="1644"/>
      <c r="S457" s="1644"/>
      <c r="T457" s="1644"/>
      <c r="U457" s="1644"/>
      <c r="AH457" s="1645"/>
      <c r="AI457" s="1646"/>
    </row>
    <row r="458" spans="5:35" s="1640" customFormat="1" x14ac:dyDescent="0.2">
      <c r="E458" s="1641"/>
      <c r="G458" s="1641"/>
      <c r="M458" s="1642"/>
      <c r="N458" s="1643"/>
      <c r="R458" s="1644"/>
      <c r="S458" s="1644"/>
      <c r="T458" s="1644"/>
      <c r="U458" s="1644"/>
      <c r="AH458" s="1645"/>
      <c r="AI458" s="1646"/>
    </row>
    <row r="459" spans="5:35" s="1640" customFormat="1" x14ac:dyDescent="0.2">
      <c r="E459" s="1641"/>
      <c r="G459" s="1641"/>
      <c r="M459" s="1642"/>
      <c r="N459" s="1643"/>
      <c r="R459" s="1644"/>
      <c r="S459" s="1644"/>
      <c r="T459" s="1644"/>
      <c r="U459" s="1644"/>
      <c r="AH459" s="1645"/>
      <c r="AI459" s="1646"/>
    </row>
    <row r="460" spans="5:35" s="1640" customFormat="1" x14ac:dyDescent="0.2">
      <c r="E460" s="1641"/>
      <c r="G460" s="1641"/>
      <c r="M460" s="1642"/>
      <c r="N460" s="1643"/>
      <c r="R460" s="1644"/>
      <c r="S460" s="1644"/>
      <c r="T460" s="1644"/>
      <c r="U460" s="1644"/>
      <c r="AH460" s="1645"/>
      <c r="AI460" s="1646"/>
    </row>
    <row r="461" spans="5:35" s="1640" customFormat="1" x14ac:dyDescent="0.2">
      <c r="E461" s="1641"/>
      <c r="G461" s="1641"/>
      <c r="M461" s="1642"/>
      <c r="N461" s="1643"/>
      <c r="R461" s="1644"/>
      <c r="S461" s="1644"/>
      <c r="T461" s="1644"/>
      <c r="U461" s="1644"/>
      <c r="AH461" s="1645"/>
      <c r="AI461" s="1646"/>
    </row>
    <row r="462" spans="5:35" s="1640" customFormat="1" x14ac:dyDescent="0.2">
      <c r="E462" s="1641"/>
      <c r="G462" s="1641"/>
      <c r="M462" s="1642"/>
      <c r="N462" s="1643"/>
      <c r="R462" s="1644"/>
      <c r="S462" s="1644"/>
      <c r="T462" s="1644"/>
      <c r="U462" s="1644"/>
      <c r="AH462" s="1645"/>
      <c r="AI462" s="1646"/>
    </row>
    <row r="463" spans="5:35" s="1640" customFormat="1" x14ac:dyDescent="0.2">
      <c r="E463" s="1641"/>
      <c r="G463" s="1641"/>
      <c r="M463" s="1642"/>
      <c r="N463" s="1643"/>
      <c r="R463" s="1644"/>
      <c r="S463" s="1644"/>
      <c r="T463" s="1644"/>
      <c r="U463" s="1644"/>
      <c r="AH463" s="1645"/>
      <c r="AI463" s="1646"/>
    </row>
    <row r="464" spans="5:35" s="1640" customFormat="1" x14ac:dyDescent="0.2">
      <c r="E464" s="1641"/>
      <c r="G464" s="1641"/>
      <c r="M464" s="1642"/>
      <c r="N464" s="1643"/>
      <c r="R464" s="1644"/>
      <c r="S464" s="1644"/>
      <c r="T464" s="1644"/>
      <c r="U464" s="1644"/>
      <c r="AH464" s="1645"/>
      <c r="AI464" s="1646"/>
    </row>
    <row r="465" spans="5:35" s="1640" customFormat="1" x14ac:dyDescent="0.2">
      <c r="E465" s="1641"/>
      <c r="G465" s="1641"/>
      <c r="M465" s="1642"/>
      <c r="N465" s="1643"/>
      <c r="R465" s="1644"/>
      <c r="S465" s="1644"/>
      <c r="T465" s="1644"/>
      <c r="U465" s="1644"/>
      <c r="AH465" s="1645"/>
      <c r="AI465" s="1646"/>
    </row>
    <row r="466" spans="5:35" s="1640" customFormat="1" x14ac:dyDescent="0.2">
      <c r="E466" s="1641"/>
      <c r="G466" s="1641"/>
      <c r="M466" s="1642"/>
      <c r="N466" s="1643"/>
      <c r="R466" s="1644"/>
      <c r="S466" s="1644"/>
      <c r="T466" s="1644"/>
      <c r="U466" s="1644"/>
      <c r="AH466" s="1645"/>
      <c r="AI466" s="1646"/>
    </row>
    <row r="467" spans="5:35" s="1640" customFormat="1" x14ac:dyDescent="0.2">
      <c r="E467" s="1641"/>
      <c r="G467" s="1641"/>
      <c r="M467" s="1642"/>
      <c r="N467" s="1643"/>
      <c r="R467" s="1644"/>
      <c r="S467" s="1644"/>
      <c r="T467" s="1644"/>
      <c r="U467" s="1644"/>
      <c r="AH467" s="1645"/>
      <c r="AI467" s="1646"/>
    </row>
    <row r="468" spans="5:35" s="1640" customFormat="1" x14ac:dyDescent="0.2">
      <c r="E468" s="1641"/>
      <c r="G468" s="1641"/>
      <c r="M468" s="1642"/>
      <c r="N468" s="1643"/>
      <c r="R468" s="1644"/>
      <c r="S468" s="1644"/>
      <c r="T468" s="1644"/>
      <c r="U468" s="1644"/>
      <c r="AH468" s="1645"/>
      <c r="AI468" s="1646"/>
    </row>
    <row r="469" spans="5:35" s="1640" customFormat="1" x14ac:dyDescent="0.2">
      <c r="E469" s="1641"/>
      <c r="G469" s="1641"/>
      <c r="M469" s="1642"/>
      <c r="N469" s="1643"/>
      <c r="R469" s="1644"/>
      <c r="S469" s="1644"/>
      <c r="T469" s="1644"/>
      <c r="U469" s="1644"/>
      <c r="AH469" s="1645"/>
      <c r="AI469" s="1646"/>
    </row>
    <row r="470" spans="5:35" s="1640" customFormat="1" x14ac:dyDescent="0.2">
      <c r="E470" s="1641"/>
      <c r="G470" s="1641"/>
      <c r="M470" s="1642"/>
      <c r="N470" s="1643"/>
      <c r="R470" s="1644"/>
      <c r="S470" s="1644"/>
      <c r="T470" s="1644"/>
      <c r="U470" s="1644"/>
      <c r="AH470" s="1645"/>
      <c r="AI470" s="1646"/>
    </row>
    <row r="471" spans="5:35" s="1640" customFormat="1" x14ac:dyDescent="0.2">
      <c r="E471" s="1641"/>
      <c r="G471" s="1641"/>
      <c r="M471" s="1642"/>
      <c r="N471" s="1643"/>
      <c r="R471" s="1644"/>
      <c r="S471" s="1644"/>
      <c r="T471" s="1644"/>
      <c r="U471" s="1644"/>
      <c r="AH471" s="1645"/>
      <c r="AI471" s="1646"/>
    </row>
    <row r="472" spans="5:35" s="1640" customFormat="1" x14ac:dyDescent="0.2">
      <c r="E472" s="1641"/>
      <c r="G472" s="1641"/>
      <c r="M472" s="1642"/>
      <c r="N472" s="1643"/>
      <c r="R472" s="1644"/>
      <c r="S472" s="1644"/>
      <c r="T472" s="1644"/>
      <c r="U472" s="1644"/>
      <c r="AH472" s="1645"/>
      <c r="AI472" s="1646"/>
    </row>
    <row r="473" spans="5:35" s="1640" customFormat="1" x14ac:dyDescent="0.2">
      <c r="E473" s="1641"/>
      <c r="G473" s="1641"/>
      <c r="M473" s="1642"/>
      <c r="N473" s="1643"/>
      <c r="R473" s="1644"/>
      <c r="S473" s="1644"/>
      <c r="T473" s="1644"/>
      <c r="U473" s="1644"/>
      <c r="AH473" s="1645"/>
      <c r="AI473" s="1646"/>
    </row>
    <row r="474" spans="5:35" s="1640" customFormat="1" x14ac:dyDescent="0.2">
      <c r="E474" s="1641"/>
      <c r="G474" s="1641"/>
      <c r="M474" s="1642"/>
      <c r="N474" s="1643"/>
      <c r="R474" s="1644"/>
      <c r="S474" s="1644"/>
      <c r="T474" s="1644"/>
      <c r="U474" s="1644"/>
      <c r="AH474" s="1645"/>
      <c r="AI474" s="1646"/>
    </row>
    <row r="475" spans="5:35" s="1640" customFormat="1" x14ac:dyDescent="0.2">
      <c r="E475" s="1641"/>
      <c r="G475" s="1641"/>
      <c r="M475" s="1642"/>
      <c r="N475" s="1643"/>
      <c r="R475" s="1644"/>
      <c r="S475" s="1644"/>
      <c r="T475" s="1644"/>
      <c r="U475" s="1644"/>
      <c r="AH475" s="1645"/>
      <c r="AI475" s="1646"/>
    </row>
    <row r="476" spans="5:35" s="1640" customFormat="1" x14ac:dyDescent="0.2">
      <c r="E476" s="1641"/>
      <c r="G476" s="1641"/>
      <c r="M476" s="1642"/>
      <c r="N476" s="1643"/>
      <c r="R476" s="1644"/>
      <c r="S476" s="1644"/>
      <c r="T476" s="1644"/>
      <c r="U476" s="1644"/>
      <c r="AH476" s="1645"/>
      <c r="AI476" s="1646"/>
    </row>
    <row r="477" spans="5:35" s="1640" customFormat="1" x14ac:dyDescent="0.2">
      <c r="E477" s="1641"/>
      <c r="G477" s="1641"/>
      <c r="M477" s="1642"/>
      <c r="N477" s="1643"/>
      <c r="R477" s="1644"/>
      <c r="S477" s="1644"/>
      <c r="T477" s="1644"/>
      <c r="U477" s="1644"/>
      <c r="AH477" s="1645"/>
      <c r="AI477" s="1646"/>
    </row>
    <row r="478" spans="5:35" s="1640" customFormat="1" x14ac:dyDescent="0.2">
      <c r="E478" s="1641"/>
      <c r="G478" s="1641"/>
      <c r="M478" s="1642"/>
      <c r="N478" s="1643"/>
      <c r="R478" s="1644"/>
      <c r="S478" s="1644"/>
      <c r="T478" s="1644"/>
      <c r="U478" s="1644"/>
      <c r="AH478" s="1645"/>
      <c r="AI478" s="1646"/>
    </row>
    <row r="479" spans="5:35" s="1640" customFormat="1" x14ac:dyDescent="0.2">
      <c r="E479" s="1641"/>
      <c r="G479" s="1641"/>
      <c r="M479" s="1642"/>
      <c r="N479" s="1643"/>
      <c r="R479" s="1644"/>
      <c r="S479" s="1644"/>
      <c r="T479" s="1644"/>
      <c r="U479" s="1644"/>
      <c r="AH479" s="1645"/>
      <c r="AI479" s="1646"/>
    </row>
    <row r="480" spans="5:35" s="1640" customFormat="1" x14ac:dyDescent="0.2">
      <c r="E480" s="1641"/>
      <c r="G480" s="1641"/>
      <c r="M480" s="1642"/>
      <c r="N480" s="1643"/>
      <c r="R480" s="1644"/>
      <c r="S480" s="1644"/>
      <c r="T480" s="1644"/>
      <c r="U480" s="1644"/>
      <c r="AH480" s="1645"/>
      <c r="AI480" s="1646"/>
    </row>
    <row r="481" spans="5:35" s="1640" customFormat="1" x14ac:dyDescent="0.2">
      <c r="E481" s="1641"/>
      <c r="G481" s="1641"/>
      <c r="M481" s="1642"/>
      <c r="N481" s="1643"/>
      <c r="R481" s="1644"/>
      <c r="S481" s="1644"/>
      <c r="T481" s="1644"/>
      <c r="U481" s="1644"/>
      <c r="AH481" s="1645"/>
      <c r="AI481" s="1646"/>
    </row>
    <row r="482" spans="5:35" s="1640" customFormat="1" x14ac:dyDescent="0.2">
      <c r="E482" s="1641"/>
      <c r="G482" s="1641"/>
      <c r="M482" s="1642"/>
      <c r="N482" s="1643"/>
      <c r="R482" s="1644"/>
      <c r="S482" s="1644"/>
      <c r="T482" s="1644"/>
      <c r="U482" s="1644"/>
      <c r="AH482" s="1645"/>
      <c r="AI482" s="1646"/>
    </row>
    <row r="483" spans="5:35" s="1640" customFormat="1" x14ac:dyDescent="0.2">
      <c r="E483" s="1641"/>
      <c r="G483" s="1641"/>
      <c r="M483" s="1642"/>
      <c r="N483" s="1643"/>
      <c r="R483" s="1644"/>
      <c r="S483" s="1644"/>
      <c r="T483" s="1644"/>
      <c r="U483" s="1644"/>
      <c r="AH483" s="1645"/>
      <c r="AI483" s="1646"/>
    </row>
    <row r="484" spans="5:35" s="1640" customFormat="1" x14ac:dyDescent="0.2">
      <c r="E484" s="1641"/>
      <c r="G484" s="1641"/>
      <c r="M484" s="1642"/>
      <c r="N484" s="1643"/>
      <c r="R484" s="1644"/>
      <c r="S484" s="1644"/>
      <c r="T484" s="1644"/>
      <c r="U484" s="1644"/>
      <c r="AH484" s="1645"/>
      <c r="AI484" s="1646"/>
    </row>
    <row r="485" spans="5:35" s="1640" customFormat="1" x14ac:dyDescent="0.2">
      <c r="E485" s="1641"/>
      <c r="G485" s="1641"/>
      <c r="M485" s="1642"/>
      <c r="N485" s="1643"/>
      <c r="R485" s="1644"/>
      <c r="S485" s="1644"/>
      <c r="T485" s="1644"/>
      <c r="U485" s="1644"/>
      <c r="AH485" s="1645"/>
      <c r="AI485" s="1646"/>
    </row>
    <row r="486" spans="5:35" s="1640" customFormat="1" x14ac:dyDescent="0.2">
      <c r="E486" s="1641"/>
      <c r="G486" s="1641"/>
      <c r="M486" s="1642"/>
      <c r="N486" s="1643"/>
      <c r="R486" s="1644"/>
      <c r="S486" s="1644"/>
      <c r="T486" s="1644"/>
      <c r="U486" s="1644"/>
      <c r="AH486" s="1645"/>
      <c r="AI486" s="1646"/>
    </row>
    <row r="487" spans="5:35" s="1640" customFormat="1" x14ac:dyDescent="0.2">
      <c r="E487" s="1641"/>
      <c r="G487" s="1641"/>
      <c r="M487" s="1642"/>
      <c r="N487" s="1643"/>
      <c r="R487" s="1644"/>
      <c r="S487" s="1644"/>
      <c r="T487" s="1644"/>
      <c r="U487" s="1644"/>
      <c r="AH487" s="1645"/>
      <c r="AI487" s="1646"/>
    </row>
    <row r="488" spans="5:35" s="1640" customFormat="1" x14ac:dyDescent="0.2">
      <c r="E488" s="1641"/>
      <c r="G488" s="1641"/>
      <c r="M488" s="1642"/>
      <c r="N488" s="1643"/>
      <c r="R488" s="1644"/>
      <c r="S488" s="1644"/>
      <c r="T488" s="1644"/>
      <c r="U488" s="1644"/>
      <c r="AH488" s="1645"/>
      <c r="AI488" s="1646"/>
    </row>
    <row r="489" spans="5:35" s="1640" customFormat="1" x14ac:dyDescent="0.2">
      <c r="E489" s="1641"/>
      <c r="G489" s="1641"/>
      <c r="M489" s="1642"/>
      <c r="N489" s="1643"/>
      <c r="R489" s="1644"/>
      <c r="S489" s="1644"/>
      <c r="T489" s="1644"/>
      <c r="U489" s="1644"/>
      <c r="AH489" s="1645"/>
      <c r="AI489" s="1646"/>
    </row>
    <row r="490" spans="5:35" s="1640" customFormat="1" x14ac:dyDescent="0.2">
      <c r="E490" s="1641"/>
      <c r="G490" s="1641"/>
      <c r="M490" s="1642"/>
      <c r="N490" s="1643"/>
      <c r="R490" s="1644"/>
      <c r="S490" s="1644"/>
      <c r="T490" s="1644"/>
      <c r="U490" s="1644"/>
      <c r="AH490" s="1645"/>
      <c r="AI490" s="1646"/>
    </row>
    <row r="491" spans="5:35" s="1640" customFormat="1" x14ac:dyDescent="0.2">
      <c r="E491" s="1641"/>
      <c r="G491" s="1641"/>
      <c r="M491" s="1642"/>
      <c r="N491" s="1643"/>
      <c r="R491" s="1644"/>
      <c r="S491" s="1644"/>
      <c r="T491" s="1644"/>
      <c r="U491" s="1644"/>
      <c r="AH491" s="1645"/>
      <c r="AI491" s="1646"/>
    </row>
    <row r="492" spans="5:35" s="1640" customFormat="1" x14ac:dyDescent="0.2">
      <c r="E492" s="1641"/>
      <c r="G492" s="1641"/>
      <c r="M492" s="1642"/>
      <c r="N492" s="1643"/>
      <c r="R492" s="1644"/>
      <c r="S492" s="1644"/>
      <c r="T492" s="1644"/>
      <c r="U492" s="1644"/>
      <c r="AH492" s="1645"/>
      <c r="AI492" s="1646"/>
    </row>
    <row r="493" spans="5:35" s="1640" customFormat="1" x14ac:dyDescent="0.2">
      <c r="E493" s="1641"/>
      <c r="G493" s="1641"/>
      <c r="M493" s="1642"/>
      <c r="N493" s="1643"/>
      <c r="R493" s="1644"/>
      <c r="S493" s="1644"/>
      <c r="T493" s="1644"/>
      <c r="U493" s="1644"/>
      <c r="AH493" s="1645"/>
      <c r="AI493" s="1646"/>
    </row>
    <row r="494" spans="5:35" s="1640" customFormat="1" x14ac:dyDescent="0.2">
      <c r="E494" s="1641"/>
      <c r="G494" s="1641"/>
      <c r="M494" s="1642"/>
      <c r="N494" s="1643"/>
      <c r="R494" s="1644"/>
      <c r="S494" s="1644"/>
      <c r="T494" s="1644"/>
      <c r="U494" s="1644"/>
      <c r="AH494" s="1645"/>
      <c r="AI494" s="1646"/>
    </row>
    <row r="495" spans="5:35" s="1640" customFormat="1" x14ac:dyDescent="0.2">
      <c r="E495" s="1641"/>
      <c r="G495" s="1641"/>
      <c r="M495" s="1642"/>
      <c r="N495" s="1643"/>
      <c r="R495" s="1644"/>
      <c r="S495" s="1644"/>
      <c r="T495" s="1644"/>
      <c r="U495" s="1644"/>
      <c r="AH495" s="1645"/>
      <c r="AI495" s="1646"/>
    </row>
    <row r="496" spans="5:35" s="1640" customFormat="1" x14ac:dyDescent="0.2">
      <c r="E496" s="1641"/>
      <c r="G496" s="1641"/>
      <c r="M496" s="1642"/>
      <c r="N496" s="1643"/>
      <c r="R496" s="1644"/>
      <c r="S496" s="1644"/>
      <c r="T496" s="1644"/>
      <c r="U496" s="1644"/>
      <c r="AH496" s="1645"/>
      <c r="AI496" s="1646"/>
    </row>
    <row r="497" spans="5:35" s="1640" customFormat="1" x14ac:dyDescent="0.2">
      <c r="E497" s="1641"/>
      <c r="G497" s="1641"/>
      <c r="M497" s="1642"/>
      <c r="N497" s="1643"/>
      <c r="R497" s="1644"/>
      <c r="S497" s="1644"/>
      <c r="T497" s="1644"/>
      <c r="U497" s="1644"/>
      <c r="AH497" s="1645"/>
      <c r="AI497" s="1646"/>
    </row>
    <row r="498" spans="5:35" s="1640" customFormat="1" x14ac:dyDescent="0.2">
      <c r="E498" s="1641"/>
      <c r="G498" s="1641"/>
      <c r="M498" s="1642"/>
      <c r="N498" s="1643"/>
      <c r="R498" s="1644"/>
      <c r="S498" s="1644"/>
      <c r="T498" s="1644"/>
      <c r="U498" s="1644"/>
      <c r="AH498" s="1645"/>
      <c r="AI498" s="1646"/>
    </row>
    <row r="499" spans="5:35" s="1640" customFormat="1" x14ac:dyDescent="0.2">
      <c r="E499" s="1641"/>
      <c r="G499" s="1641"/>
      <c r="M499" s="1642"/>
      <c r="N499" s="1643"/>
      <c r="R499" s="1644"/>
      <c r="S499" s="1644"/>
      <c r="T499" s="1644"/>
      <c r="U499" s="1644"/>
      <c r="AH499" s="1645"/>
      <c r="AI499" s="1646"/>
    </row>
    <row r="500" spans="5:35" s="1640" customFormat="1" x14ac:dyDescent="0.2">
      <c r="E500" s="1641"/>
      <c r="G500" s="1641"/>
      <c r="M500" s="1642"/>
      <c r="N500" s="1643"/>
      <c r="R500" s="1644"/>
      <c r="S500" s="1644"/>
      <c r="T500" s="1644"/>
      <c r="U500" s="1644"/>
      <c r="AH500" s="1645"/>
      <c r="AI500" s="1646"/>
    </row>
    <row r="501" spans="5:35" s="1640" customFormat="1" x14ac:dyDescent="0.2">
      <c r="E501" s="1641"/>
      <c r="G501" s="1641"/>
      <c r="M501" s="1642"/>
      <c r="N501" s="1643"/>
      <c r="R501" s="1644"/>
      <c r="S501" s="1644"/>
      <c r="T501" s="1644"/>
      <c r="U501" s="1644"/>
      <c r="AH501" s="1645"/>
      <c r="AI501" s="1646"/>
    </row>
    <row r="502" spans="5:35" s="1640" customFormat="1" x14ac:dyDescent="0.2">
      <c r="E502" s="1641"/>
      <c r="G502" s="1641"/>
      <c r="M502" s="1642"/>
      <c r="N502" s="1643"/>
      <c r="R502" s="1644"/>
      <c r="S502" s="1644"/>
      <c r="T502" s="1644"/>
      <c r="U502" s="1644"/>
      <c r="AH502" s="1645"/>
      <c r="AI502" s="1646"/>
    </row>
    <row r="503" spans="5:35" s="1640" customFormat="1" x14ac:dyDescent="0.2">
      <c r="E503" s="1641"/>
      <c r="G503" s="1641"/>
      <c r="M503" s="1642"/>
      <c r="N503" s="1643"/>
      <c r="R503" s="1644"/>
      <c r="S503" s="1644"/>
      <c r="T503" s="1644"/>
      <c r="U503" s="1644"/>
      <c r="AH503" s="1645"/>
      <c r="AI503" s="1646"/>
    </row>
    <row r="504" spans="5:35" s="1640" customFormat="1" x14ac:dyDescent="0.2">
      <c r="E504" s="1641"/>
      <c r="G504" s="1641"/>
      <c r="M504" s="1642"/>
      <c r="N504" s="1643"/>
      <c r="R504" s="1644"/>
      <c r="S504" s="1644"/>
      <c r="T504" s="1644"/>
      <c r="U504" s="1644"/>
      <c r="AH504" s="1645"/>
      <c r="AI504" s="1646"/>
    </row>
    <row r="505" spans="5:35" s="1640" customFormat="1" x14ac:dyDescent="0.2">
      <c r="E505" s="1641"/>
      <c r="G505" s="1641"/>
      <c r="M505" s="1642"/>
      <c r="N505" s="1643"/>
      <c r="R505" s="1644"/>
      <c r="S505" s="1644"/>
      <c r="T505" s="1644"/>
      <c r="U505" s="1644"/>
      <c r="AH505" s="1645"/>
      <c r="AI505" s="1646"/>
    </row>
    <row r="506" spans="5:35" s="1640" customFormat="1" x14ac:dyDescent="0.2">
      <c r="E506" s="1641"/>
      <c r="G506" s="1641"/>
      <c r="M506" s="1642"/>
      <c r="N506" s="1643"/>
      <c r="R506" s="1644"/>
      <c r="S506" s="1644"/>
      <c r="T506" s="1644"/>
      <c r="U506" s="1644"/>
      <c r="AH506" s="1645"/>
      <c r="AI506" s="1646"/>
    </row>
    <row r="507" spans="5:35" s="1640" customFormat="1" x14ac:dyDescent="0.2">
      <c r="E507" s="1641"/>
      <c r="G507" s="1641"/>
      <c r="M507" s="1642"/>
      <c r="N507" s="1643"/>
      <c r="R507" s="1644"/>
      <c r="S507" s="1644"/>
      <c r="T507" s="1644"/>
      <c r="U507" s="1644"/>
      <c r="AH507" s="1645"/>
      <c r="AI507" s="1646"/>
    </row>
    <row r="508" spans="5:35" s="1640" customFormat="1" x14ac:dyDescent="0.2">
      <c r="E508" s="1641"/>
      <c r="G508" s="1641"/>
      <c r="M508" s="1642"/>
      <c r="N508" s="1643"/>
      <c r="R508" s="1644"/>
      <c r="S508" s="1644"/>
      <c r="T508" s="1644"/>
      <c r="U508" s="1644"/>
      <c r="AH508" s="1645"/>
      <c r="AI508" s="1646"/>
    </row>
    <row r="509" spans="5:35" s="1640" customFormat="1" x14ac:dyDescent="0.2">
      <c r="E509" s="1641"/>
      <c r="G509" s="1641"/>
      <c r="M509" s="1642"/>
      <c r="N509" s="1643"/>
      <c r="R509" s="1644"/>
      <c r="S509" s="1644"/>
      <c r="T509" s="1644"/>
      <c r="U509" s="1644"/>
      <c r="AH509" s="1645"/>
      <c r="AI509" s="1646"/>
    </row>
    <row r="510" spans="5:35" s="1640" customFormat="1" x14ac:dyDescent="0.2">
      <c r="E510" s="1641"/>
      <c r="G510" s="1641"/>
      <c r="M510" s="1642"/>
      <c r="N510" s="1643"/>
      <c r="R510" s="1644"/>
      <c r="S510" s="1644"/>
      <c r="T510" s="1644"/>
      <c r="U510" s="1644"/>
      <c r="AH510" s="1645"/>
      <c r="AI510" s="1646"/>
    </row>
    <row r="511" spans="5:35" s="1640" customFormat="1" x14ac:dyDescent="0.2">
      <c r="E511" s="1641"/>
      <c r="G511" s="1641"/>
      <c r="M511" s="1642"/>
      <c r="N511" s="1643"/>
      <c r="R511" s="1644"/>
      <c r="S511" s="1644"/>
      <c r="T511" s="1644"/>
      <c r="U511" s="1644"/>
      <c r="AH511" s="1645"/>
      <c r="AI511" s="1646"/>
    </row>
    <row r="512" spans="5:35" s="1640" customFormat="1" x14ac:dyDescent="0.2">
      <c r="E512" s="1641"/>
      <c r="G512" s="1641"/>
      <c r="M512" s="1642"/>
      <c r="N512" s="1643"/>
      <c r="R512" s="1644"/>
      <c r="S512" s="1644"/>
      <c r="T512" s="1644"/>
      <c r="U512" s="1644"/>
      <c r="AH512" s="1645"/>
      <c r="AI512" s="1646"/>
    </row>
    <row r="513" spans="5:35" s="1640" customFormat="1" x14ac:dyDescent="0.2">
      <c r="E513" s="1641"/>
      <c r="G513" s="1641"/>
      <c r="M513" s="1642"/>
      <c r="N513" s="1643"/>
      <c r="R513" s="1644"/>
      <c r="S513" s="1644"/>
      <c r="T513" s="1644"/>
      <c r="U513" s="1644"/>
      <c r="AH513" s="1645"/>
      <c r="AI513" s="1646"/>
    </row>
    <row r="514" spans="5:35" s="1640" customFormat="1" x14ac:dyDescent="0.2">
      <c r="E514" s="1641"/>
      <c r="G514" s="1641"/>
      <c r="M514" s="1642"/>
      <c r="N514" s="1643"/>
      <c r="R514" s="1644"/>
      <c r="S514" s="1644"/>
      <c r="T514" s="1644"/>
      <c r="U514" s="1644"/>
      <c r="AH514" s="1645"/>
      <c r="AI514" s="1646"/>
    </row>
    <row r="515" spans="5:35" s="1640" customFormat="1" x14ac:dyDescent="0.2">
      <c r="E515" s="1641"/>
      <c r="G515" s="1641"/>
      <c r="M515" s="1642"/>
      <c r="N515" s="1643"/>
      <c r="R515" s="1644"/>
      <c r="S515" s="1644"/>
      <c r="T515" s="1644"/>
      <c r="U515" s="1644"/>
      <c r="AH515" s="1645"/>
      <c r="AI515" s="1646"/>
    </row>
    <row r="516" spans="5:35" s="1640" customFormat="1" x14ac:dyDescent="0.2">
      <c r="E516" s="1641"/>
      <c r="G516" s="1641"/>
      <c r="M516" s="1642"/>
      <c r="N516" s="1643"/>
      <c r="R516" s="1644"/>
      <c r="S516" s="1644"/>
      <c r="T516" s="1644"/>
      <c r="U516" s="1644"/>
      <c r="AH516" s="1645"/>
      <c r="AI516" s="1646"/>
    </row>
    <row r="517" spans="5:35" s="1640" customFormat="1" x14ac:dyDescent="0.2">
      <c r="E517" s="1641"/>
      <c r="G517" s="1641"/>
      <c r="M517" s="1642"/>
      <c r="N517" s="1643"/>
      <c r="R517" s="1644"/>
      <c r="S517" s="1644"/>
      <c r="T517" s="1644"/>
      <c r="U517" s="1644"/>
      <c r="AH517" s="1645"/>
      <c r="AI517" s="1646"/>
    </row>
    <row r="518" spans="5:35" s="1640" customFormat="1" x14ac:dyDescent="0.2">
      <c r="E518" s="1641"/>
      <c r="G518" s="1641"/>
      <c r="M518" s="1642"/>
      <c r="N518" s="1643"/>
      <c r="R518" s="1644"/>
      <c r="S518" s="1644"/>
      <c r="T518" s="1644"/>
      <c r="U518" s="1644"/>
      <c r="AH518" s="1645"/>
      <c r="AI518" s="1646"/>
    </row>
    <row r="519" spans="5:35" s="1640" customFormat="1" x14ac:dyDescent="0.2">
      <c r="E519" s="1641"/>
      <c r="G519" s="1641"/>
      <c r="M519" s="1642"/>
      <c r="N519" s="1643"/>
      <c r="R519" s="1644"/>
      <c r="S519" s="1644"/>
      <c r="T519" s="1644"/>
      <c r="U519" s="1644"/>
      <c r="AH519" s="1645"/>
      <c r="AI519" s="1646"/>
    </row>
    <row r="520" spans="5:35" s="1640" customFormat="1" x14ac:dyDescent="0.2">
      <c r="E520" s="1641"/>
      <c r="G520" s="1641"/>
      <c r="M520" s="1642"/>
      <c r="N520" s="1643"/>
      <c r="R520" s="1644"/>
      <c r="S520" s="1644"/>
      <c r="T520" s="1644"/>
      <c r="U520" s="1644"/>
      <c r="AH520" s="1645"/>
      <c r="AI520" s="1646"/>
    </row>
    <row r="521" spans="5:35" s="1640" customFormat="1" x14ac:dyDescent="0.2">
      <c r="E521" s="1641"/>
      <c r="G521" s="1641"/>
      <c r="M521" s="1642"/>
      <c r="N521" s="1643"/>
      <c r="R521" s="1644"/>
      <c r="S521" s="1644"/>
      <c r="T521" s="1644"/>
      <c r="U521" s="1644"/>
      <c r="AH521" s="1645"/>
      <c r="AI521" s="1646"/>
    </row>
    <row r="522" spans="5:35" s="1640" customFormat="1" x14ac:dyDescent="0.2">
      <c r="E522" s="1641"/>
      <c r="G522" s="1641"/>
      <c r="M522" s="1642"/>
      <c r="N522" s="1643"/>
      <c r="R522" s="1644"/>
      <c r="S522" s="1644"/>
      <c r="T522" s="1644"/>
      <c r="U522" s="1644"/>
      <c r="AH522" s="1645"/>
      <c r="AI522" s="1646"/>
    </row>
    <row r="523" spans="5:35" s="1640" customFormat="1" x14ac:dyDescent="0.2">
      <c r="E523" s="1641"/>
      <c r="G523" s="1641"/>
      <c r="M523" s="1642"/>
      <c r="N523" s="1643"/>
      <c r="R523" s="1644"/>
      <c r="S523" s="1644"/>
      <c r="T523" s="1644"/>
      <c r="U523" s="1644"/>
      <c r="AH523" s="1645"/>
      <c r="AI523" s="1646"/>
    </row>
    <row r="524" spans="5:35" s="1640" customFormat="1" x14ac:dyDescent="0.2">
      <c r="E524" s="1641"/>
      <c r="G524" s="1641"/>
      <c r="M524" s="1642"/>
      <c r="N524" s="1643"/>
      <c r="R524" s="1644"/>
      <c r="S524" s="1644"/>
      <c r="T524" s="1644"/>
      <c r="U524" s="1644"/>
      <c r="AH524" s="1645"/>
      <c r="AI524" s="1646"/>
    </row>
    <row r="525" spans="5:35" s="1640" customFormat="1" x14ac:dyDescent="0.2">
      <c r="E525" s="1641"/>
      <c r="G525" s="1641"/>
      <c r="M525" s="1642"/>
      <c r="N525" s="1643"/>
      <c r="R525" s="1644"/>
      <c r="S525" s="1644"/>
      <c r="T525" s="1644"/>
      <c r="U525" s="1644"/>
      <c r="AH525" s="1645"/>
      <c r="AI525" s="1646"/>
    </row>
    <row r="526" spans="5:35" s="1640" customFormat="1" x14ac:dyDescent="0.2">
      <c r="E526" s="1641"/>
      <c r="G526" s="1641"/>
      <c r="M526" s="1642"/>
      <c r="N526" s="1643"/>
      <c r="R526" s="1644"/>
      <c r="S526" s="1644"/>
      <c r="T526" s="1644"/>
      <c r="U526" s="1644"/>
      <c r="AH526" s="1645"/>
      <c r="AI526" s="1646"/>
    </row>
    <row r="527" spans="5:35" s="1640" customFormat="1" x14ac:dyDescent="0.2">
      <c r="E527" s="1641"/>
      <c r="G527" s="1641"/>
      <c r="M527" s="1642"/>
      <c r="N527" s="1643"/>
      <c r="R527" s="1644"/>
      <c r="S527" s="1644"/>
      <c r="T527" s="1644"/>
      <c r="U527" s="1644"/>
      <c r="AH527" s="1645"/>
      <c r="AI527" s="1646"/>
    </row>
    <row r="528" spans="5:35" s="1640" customFormat="1" x14ac:dyDescent="0.2">
      <c r="E528" s="1641"/>
      <c r="G528" s="1641"/>
      <c r="M528" s="1642"/>
      <c r="N528" s="1643"/>
      <c r="R528" s="1644"/>
      <c r="S528" s="1644"/>
      <c r="T528" s="1644"/>
      <c r="U528" s="1644"/>
      <c r="AH528" s="1645"/>
      <c r="AI528" s="1646"/>
    </row>
    <row r="529" spans="5:35" s="1640" customFormat="1" x14ac:dyDescent="0.2">
      <c r="E529" s="1641"/>
      <c r="G529" s="1641"/>
      <c r="M529" s="1642"/>
      <c r="N529" s="1643"/>
      <c r="R529" s="1644"/>
      <c r="S529" s="1644"/>
      <c r="T529" s="1644"/>
      <c r="U529" s="1644"/>
      <c r="AH529" s="1645"/>
      <c r="AI529" s="1646"/>
    </row>
    <row r="530" spans="5:35" s="1640" customFormat="1" x14ac:dyDescent="0.2">
      <c r="E530" s="1641"/>
      <c r="G530" s="1641"/>
      <c r="M530" s="1642"/>
      <c r="N530" s="1643"/>
      <c r="R530" s="1644"/>
      <c r="S530" s="1644"/>
      <c r="T530" s="1644"/>
      <c r="U530" s="1644"/>
      <c r="AH530" s="1645"/>
      <c r="AI530" s="1646"/>
    </row>
    <row r="531" spans="5:35" s="1640" customFormat="1" x14ac:dyDescent="0.2">
      <c r="E531" s="1641"/>
      <c r="G531" s="1641"/>
      <c r="M531" s="1642"/>
      <c r="N531" s="1643"/>
      <c r="R531" s="1644"/>
      <c r="S531" s="1644"/>
      <c r="T531" s="1644"/>
      <c r="U531" s="1644"/>
      <c r="AH531" s="1645"/>
      <c r="AI531" s="1646"/>
    </row>
    <row r="532" spans="5:35" s="1640" customFormat="1" x14ac:dyDescent="0.2">
      <c r="E532" s="1641"/>
      <c r="G532" s="1641"/>
      <c r="M532" s="1642"/>
      <c r="N532" s="1643"/>
      <c r="R532" s="1644"/>
      <c r="S532" s="1644"/>
      <c r="T532" s="1644"/>
      <c r="U532" s="1644"/>
      <c r="AH532" s="1645"/>
      <c r="AI532" s="1646"/>
    </row>
    <row r="533" spans="5:35" s="1640" customFormat="1" x14ac:dyDescent="0.2">
      <c r="E533" s="1641"/>
      <c r="G533" s="1641"/>
      <c r="M533" s="1642"/>
      <c r="N533" s="1643"/>
      <c r="R533" s="1644"/>
      <c r="S533" s="1644"/>
      <c r="T533" s="1644"/>
      <c r="U533" s="1644"/>
      <c r="AH533" s="1645"/>
      <c r="AI533" s="1646"/>
    </row>
    <row r="534" spans="5:35" s="1640" customFormat="1" x14ac:dyDescent="0.2">
      <c r="E534" s="1641"/>
      <c r="G534" s="1641"/>
      <c r="M534" s="1642"/>
      <c r="N534" s="1643"/>
      <c r="R534" s="1644"/>
      <c r="S534" s="1644"/>
      <c r="T534" s="1644"/>
      <c r="U534" s="1644"/>
      <c r="AH534" s="1645"/>
      <c r="AI534" s="1646"/>
    </row>
    <row r="535" spans="5:35" s="1640" customFormat="1" x14ac:dyDescent="0.2">
      <c r="E535" s="1641"/>
      <c r="G535" s="1641"/>
      <c r="M535" s="1642"/>
      <c r="N535" s="1643"/>
      <c r="R535" s="1644"/>
      <c r="S535" s="1644"/>
      <c r="T535" s="1644"/>
      <c r="U535" s="1644"/>
      <c r="AH535" s="1645"/>
      <c r="AI535" s="1646"/>
    </row>
    <row r="536" spans="5:35" s="1640" customFormat="1" x14ac:dyDescent="0.2">
      <c r="E536" s="1641"/>
      <c r="G536" s="1641"/>
      <c r="M536" s="1642"/>
      <c r="N536" s="1643"/>
      <c r="R536" s="1644"/>
      <c r="S536" s="1644"/>
      <c r="T536" s="1644"/>
      <c r="U536" s="1644"/>
      <c r="AH536" s="1645"/>
      <c r="AI536" s="1646"/>
    </row>
    <row r="537" spans="5:35" s="1640" customFormat="1" x14ac:dyDescent="0.2">
      <c r="E537" s="1641"/>
      <c r="G537" s="1641"/>
      <c r="M537" s="1642"/>
      <c r="N537" s="1643"/>
      <c r="R537" s="1644"/>
      <c r="S537" s="1644"/>
      <c r="T537" s="1644"/>
      <c r="U537" s="1644"/>
      <c r="AH537" s="1645"/>
      <c r="AI537" s="1646"/>
    </row>
    <row r="538" spans="5:35" s="1640" customFormat="1" x14ac:dyDescent="0.2">
      <c r="E538" s="1641"/>
      <c r="G538" s="1641"/>
      <c r="M538" s="1642"/>
      <c r="N538" s="1643"/>
      <c r="R538" s="1644"/>
      <c r="S538" s="1644"/>
      <c r="T538" s="1644"/>
      <c r="U538" s="1644"/>
      <c r="AH538" s="1645"/>
      <c r="AI538" s="1646"/>
    </row>
    <row r="539" spans="5:35" s="1640" customFormat="1" x14ac:dyDescent="0.2">
      <c r="E539" s="1641"/>
      <c r="G539" s="1641"/>
      <c r="M539" s="1642"/>
      <c r="N539" s="1643"/>
      <c r="R539" s="1644"/>
      <c r="S539" s="1644"/>
      <c r="T539" s="1644"/>
      <c r="U539" s="1644"/>
      <c r="AH539" s="1645"/>
      <c r="AI539" s="1646"/>
    </row>
    <row r="540" spans="5:35" s="1640" customFormat="1" x14ac:dyDescent="0.2">
      <c r="E540" s="1641"/>
      <c r="G540" s="1641"/>
      <c r="M540" s="1642"/>
      <c r="N540" s="1643"/>
      <c r="R540" s="1644"/>
      <c r="S540" s="1644"/>
      <c r="T540" s="1644"/>
      <c r="U540" s="1644"/>
      <c r="AH540" s="1645"/>
      <c r="AI540" s="1646"/>
    </row>
    <row r="541" spans="5:35" s="1640" customFormat="1" x14ac:dyDescent="0.2">
      <c r="E541" s="1641"/>
      <c r="G541" s="1641"/>
      <c r="M541" s="1642"/>
      <c r="N541" s="1643"/>
      <c r="R541" s="1644"/>
      <c r="S541" s="1644"/>
      <c r="T541" s="1644"/>
      <c r="U541" s="1644"/>
      <c r="AH541" s="1645"/>
      <c r="AI541" s="1646"/>
    </row>
    <row r="542" spans="5:35" s="1640" customFormat="1" x14ac:dyDescent="0.2">
      <c r="E542" s="1641"/>
      <c r="G542" s="1641"/>
      <c r="M542" s="1642"/>
      <c r="N542" s="1643"/>
      <c r="R542" s="1644"/>
      <c r="S542" s="1644"/>
      <c r="T542" s="1644"/>
      <c r="U542" s="1644"/>
      <c r="AH542" s="1645"/>
      <c r="AI542" s="1646"/>
    </row>
    <row r="543" spans="5:35" s="1640" customFormat="1" x14ac:dyDescent="0.2">
      <c r="E543" s="1641"/>
      <c r="G543" s="1641"/>
      <c r="M543" s="1642"/>
      <c r="N543" s="1643"/>
      <c r="R543" s="1644"/>
      <c r="S543" s="1644"/>
      <c r="T543" s="1644"/>
      <c r="U543" s="1644"/>
      <c r="AH543" s="1645"/>
      <c r="AI543" s="1646"/>
    </row>
    <row r="544" spans="5:35" s="1640" customFormat="1" x14ac:dyDescent="0.2">
      <c r="E544" s="1641"/>
      <c r="G544" s="1641"/>
      <c r="M544" s="1642"/>
      <c r="N544" s="1643"/>
      <c r="R544" s="1644"/>
      <c r="S544" s="1644"/>
      <c r="T544" s="1644"/>
      <c r="U544" s="1644"/>
      <c r="AH544" s="1645"/>
      <c r="AI544" s="1646"/>
    </row>
    <row r="545" spans="5:35" s="1640" customFormat="1" x14ac:dyDescent="0.2">
      <c r="E545" s="1641"/>
      <c r="G545" s="1641"/>
      <c r="M545" s="1642"/>
      <c r="N545" s="1643"/>
      <c r="R545" s="1644"/>
      <c r="S545" s="1644"/>
      <c r="T545" s="1644"/>
      <c r="U545" s="1644"/>
      <c r="AH545" s="1645"/>
      <c r="AI545" s="1646"/>
    </row>
    <row r="546" spans="5:35" s="1640" customFormat="1" x14ac:dyDescent="0.2">
      <c r="E546" s="1641"/>
      <c r="G546" s="1641"/>
      <c r="M546" s="1642"/>
      <c r="N546" s="1643"/>
      <c r="R546" s="1644"/>
      <c r="S546" s="1644"/>
      <c r="T546" s="1644"/>
      <c r="U546" s="1644"/>
      <c r="AH546" s="1645"/>
      <c r="AI546" s="1646"/>
    </row>
    <row r="547" spans="5:35" s="1640" customFormat="1" x14ac:dyDescent="0.2">
      <c r="E547" s="1641"/>
      <c r="G547" s="1641"/>
      <c r="M547" s="1642"/>
      <c r="N547" s="1643"/>
      <c r="R547" s="1644"/>
      <c r="S547" s="1644"/>
      <c r="T547" s="1644"/>
      <c r="U547" s="1644"/>
      <c r="AH547" s="1645"/>
      <c r="AI547" s="1646"/>
    </row>
    <row r="548" spans="5:35" s="1640" customFormat="1" x14ac:dyDescent="0.2">
      <c r="E548" s="1641"/>
      <c r="G548" s="1641"/>
      <c r="M548" s="1642"/>
      <c r="N548" s="1643"/>
      <c r="R548" s="1644"/>
      <c r="S548" s="1644"/>
      <c r="T548" s="1644"/>
      <c r="U548" s="1644"/>
      <c r="AH548" s="1645"/>
      <c r="AI548" s="1646"/>
    </row>
    <row r="549" spans="5:35" s="1640" customFormat="1" x14ac:dyDescent="0.2">
      <c r="E549" s="1641"/>
      <c r="G549" s="1641"/>
      <c r="M549" s="1642"/>
      <c r="N549" s="1643"/>
      <c r="R549" s="1644"/>
      <c r="S549" s="1644"/>
      <c r="T549" s="1644"/>
      <c r="U549" s="1644"/>
      <c r="AH549" s="1645"/>
      <c r="AI549" s="1646"/>
    </row>
    <row r="550" spans="5:35" s="1640" customFormat="1" x14ac:dyDescent="0.2">
      <c r="E550" s="1641"/>
      <c r="G550" s="1641"/>
      <c r="M550" s="1642"/>
      <c r="N550" s="1643"/>
      <c r="R550" s="1644"/>
      <c r="S550" s="1644"/>
      <c r="T550" s="1644"/>
      <c r="U550" s="1644"/>
      <c r="AH550" s="1645"/>
      <c r="AI550" s="1646"/>
    </row>
    <row r="551" spans="5:35" s="1640" customFormat="1" x14ac:dyDescent="0.2">
      <c r="E551" s="1641"/>
      <c r="G551" s="1641"/>
      <c r="M551" s="1642"/>
      <c r="N551" s="1643"/>
      <c r="R551" s="1644"/>
      <c r="S551" s="1644"/>
      <c r="T551" s="1644"/>
      <c r="U551" s="1644"/>
      <c r="AH551" s="1645"/>
      <c r="AI551" s="1646"/>
    </row>
    <row r="552" spans="5:35" s="1640" customFormat="1" x14ac:dyDescent="0.2">
      <c r="E552" s="1641"/>
      <c r="G552" s="1641"/>
      <c r="M552" s="1642"/>
      <c r="N552" s="1643"/>
      <c r="R552" s="1644"/>
      <c r="S552" s="1644"/>
      <c r="T552" s="1644"/>
      <c r="U552" s="1644"/>
      <c r="AH552" s="1645"/>
      <c r="AI552" s="1646"/>
    </row>
    <row r="553" spans="5:35" s="1640" customFormat="1" x14ac:dyDescent="0.2">
      <c r="E553" s="1641"/>
      <c r="G553" s="1641"/>
      <c r="M553" s="1642"/>
      <c r="N553" s="1643"/>
      <c r="R553" s="1644"/>
      <c r="S553" s="1644"/>
      <c r="T553" s="1644"/>
      <c r="U553" s="1644"/>
      <c r="AH553" s="1645"/>
      <c r="AI553" s="1646"/>
    </row>
    <row r="554" spans="5:35" s="1640" customFormat="1" x14ac:dyDescent="0.2">
      <c r="E554" s="1641"/>
      <c r="G554" s="1641"/>
      <c r="M554" s="1642"/>
      <c r="N554" s="1643"/>
      <c r="R554" s="1644"/>
      <c r="S554" s="1644"/>
      <c r="T554" s="1644"/>
      <c r="U554" s="1644"/>
      <c r="AH554" s="1645"/>
      <c r="AI554" s="1646"/>
    </row>
    <row r="555" spans="5:35" s="1640" customFormat="1" x14ac:dyDescent="0.2">
      <c r="E555" s="1641"/>
      <c r="G555" s="1641"/>
      <c r="M555" s="1642"/>
      <c r="N555" s="1643"/>
      <c r="R555" s="1644"/>
      <c r="S555" s="1644"/>
      <c r="T555" s="1644"/>
      <c r="U555" s="1644"/>
      <c r="AH555" s="1645"/>
      <c r="AI555" s="1646"/>
    </row>
    <row r="556" spans="5:35" s="1640" customFormat="1" x14ac:dyDescent="0.2">
      <c r="E556" s="1641"/>
      <c r="G556" s="1641"/>
      <c r="M556" s="1642"/>
      <c r="N556" s="1643"/>
      <c r="R556" s="1644"/>
      <c r="S556" s="1644"/>
      <c r="T556" s="1644"/>
      <c r="U556" s="1644"/>
      <c r="AH556" s="1645"/>
      <c r="AI556" s="1646"/>
    </row>
    <row r="557" spans="5:35" s="1640" customFormat="1" x14ac:dyDescent="0.2">
      <c r="E557" s="1641"/>
      <c r="G557" s="1641"/>
      <c r="M557" s="1642"/>
      <c r="N557" s="1643"/>
      <c r="R557" s="1644"/>
      <c r="S557" s="1644"/>
      <c r="T557" s="1644"/>
      <c r="U557" s="1644"/>
      <c r="AH557" s="1645"/>
      <c r="AI557" s="1646"/>
    </row>
    <row r="558" spans="5:35" s="1640" customFormat="1" x14ac:dyDescent="0.2">
      <c r="E558" s="1641"/>
      <c r="G558" s="1641"/>
      <c r="M558" s="1642"/>
      <c r="N558" s="1643"/>
      <c r="R558" s="1644"/>
      <c r="S558" s="1644"/>
      <c r="T558" s="1644"/>
      <c r="U558" s="1644"/>
      <c r="AH558" s="1645"/>
      <c r="AI558" s="1646"/>
    </row>
    <row r="559" spans="5:35" s="1640" customFormat="1" x14ac:dyDescent="0.2">
      <c r="E559" s="1641"/>
      <c r="G559" s="1641"/>
      <c r="M559" s="1642"/>
      <c r="N559" s="1643"/>
      <c r="R559" s="1644"/>
      <c r="S559" s="1644"/>
      <c r="T559" s="1644"/>
      <c r="U559" s="1644"/>
      <c r="AH559" s="1645"/>
      <c r="AI559" s="1646"/>
    </row>
    <row r="560" spans="5:35" s="1640" customFormat="1" x14ac:dyDescent="0.2">
      <c r="E560" s="1641"/>
      <c r="G560" s="1641"/>
      <c r="M560" s="1642"/>
      <c r="N560" s="1643"/>
      <c r="R560" s="1644"/>
      <c r="S560" s="1644"/>
      <c r="T560" s="1644"/>
      <c r="U560" s="1644"/>
      <c r="AH560" s="1645"/>
      <c r="AI560" s="1646"/>
    </row>
    <row r="561" spans="5:35" s="1640" customFormat="1" x14ac:dyDescent="0.2">
      <c r="E561" s="1641"/>
      <c r="G561" s="1641"/>
      <c r="M561" s="1642"/>
      <c r="N561" s="1643"/>
      <c r="R561" s="1644"/>
      <c r="S561" s="1644"/>
      <c r="T561" s="1644"/>
      <c r="U561" s="1644"/>
      <c r="AH561" s="1645"/>
      <c r="AI561" s="1646"/>
    </row>
    <row r="562" spans="5:35" s="1640" customFormat="1" x14ac:dyDescent="0.2">
      <c r="E562" s="1641"/>
      <c r="G562" s="1641"/>
      <c r="M562" s="1642"/>
      <c r="N562" s="1643"/>
      <c r="R562" s="1644"/>
      <c r="S562" s="1644"/>
      <c r="T562" s="1644"/>
      <c r="U562" s="1644"/>
      <c r="AH562" s="1645"/>
      <c r="AI562" s="1646"/>
    </row>
    <row r="563" spans="5:35" s="1640" customFormat="1" x14ac:dyDescent="0.2">
      <c r="E563" s="1641"/>
      <c r="G563" s="1641"/>
      <c r="M563" s="1642"/>
      <c r="N563" s="1643"/>
      <c r="R563" s="1644"/>
      <c r="S563" s="1644"/>
      <c r="T563" s="1644"/>
      <c r="U563" s="1644"/>
      <c r="AH563" s="1645"/>
      <c r="AI563" s="1646"/>
    </row>
    <row r="564" spans="5:35" s="1640" customFormat="1" x14ac:dyDescent="0.2">
      <c r="E564" s="1641"/>
      <c r="G564" s="1641"/>
      <c r="M564" s="1642"/>
      <c r="N564" s="1643"/>
      <c r="R564" s="1644"/>
      <c r="S564" s="1644"/>
      <c r="T564" s="1644"/>
      <c r="U564" s="1644"/>
      <c r="AH564" s="1645"/>
      <c r="AI564" s="1646"/>
    </row>
    <row r="565" spans="5:35" s="1640" customFormat="1" x14ac:dyDescent="0.2">
      <c r="E565" s="1641"/>
      <c r="G565" s="1641"/>
      <c r="M565" s="1642"/>
      <c r="N565" s="1643"/>
      <c r="R565" s="1644"/>
      <c r="S565" s="1644"/>
      <c r="T565" s="1644"/>
      <c r="U565" s="1644"/>
      <c r="AH565" s="1645"/>
      <c r="AI565" s="1646"/>
    </row>
    <row r="566" spans="5:35" s="1640" customFormat="1" x14ac:dyDescent="0.2">
      <c r="E566" s="1641"/>
      <c r="G566" s="1641"/>
      <c r="M566" s="1642"/>
      <c r="N566" s="1643"/>
      <c r="R566" s="1644"/>
      <c r="S566" s="1644"/>
      <c r="T566" s="1644"/>
      <c r="U566" s="1644"/>
      <c r="AH566" s="1645"/>
      <c r="AI566" s="1646"/>
    </row>
    <row r="567" spans="5:35" s="1640" customFormat="1" x14ac:dyDescent="0.2">
      <c r="E567" s="1641"/>
      <c r="G567" s="1641"/>
      <c r="M567" s="1642"/>
      <c r="N567" s="1643"/>
      <c r="R567" s="1644"/>
      <c r="S567" s="1644"/>
      <c r="T567" s="1644"/>
      <c r="U567" s="1644"/>
      <c r="AH567" s="1645"/>
      <c r="AI567" s="1646"/>
    </row>
    <row r="568" spans="5:35" s="1640" customFormat="1" x14ac:dyDescent="0.2">
      <c r="E568" s="1641"/>
      <c r="G568" s="1641"/>
      <c r="M568" s="1642"/>
      <c r="N568" s="1643"/>
      <c r="R568" s="1644"/>
      <c r="S568" s="1644"/>
      <c r="T568" s="1644"/>
      <c r="U568" s="1644"/>
      <c r="AH568" s="1645"/>
      <c r="AI568" s="1646"/>
    </row>
    <row r="569" spans="5:35" s="1640" customFormat="1" x14ac:dyDescent="0.2">
      <c r="E569" s="1641"/>
      <c r="G569" s="1641"/>
      <c r="M569" s="1642"/>
      <c r="N569" s="1643"/>
      <c r="R569" s="1644"/>
      <c r="S569" s="1644"/>
      <c r="T569" s="1644"/>
      <c r="U569" s="1644"/>
      <c r="AH569" s="1645"/>
      <c r="AI569" s="1646"/>
    </row>
    <row r="570" spans="5:35" s="1640" customFormat="1" x14ac:dyDescent="0.2">
      <c r="E570" s="1641"/>
      <c r="G570" s="1641"/>
      <c r="M570" s="1642"/>
      <c r="N570" s="1643"/>
      <c r="R570" s="1644"/>
      <c r="S570" s="1644"/>
      <c r="T570" s="1644"/>
      <c r="U570" s="1644"/>
      <c r="AH570" s="1645"/>
      <c r="AI570" s="1646"/>
    </row>
    <row r="571" spans="5:35" s="1640" customFormat="1" x14ac:dyDescent="0.2">
      <c r="E571" s="1641"/>
      <c r="G571" s="1641"/>
      <c r="M571" s="1642"/>
      <c r="N571" s="1643"/>
      <c r="R571" s="1644"/>
      <c r="S571" s="1644"/>
      <c r="T571" s="1644"/>
      <c r="U571" s="1644"/>
      <c r="AH571" s="1645"/>
      <c r="AI571" s="1646"/>
    </row>
    <row r="572" spans="5:35" s="1640" customFormat="1" x14ac:dyDescent="0.2">
      <c r="E572" s="1641"/>
      <c r="G572" s="1641"/>
      <c r="M572" s="1642"/>
      <c r="N572" s="1643"/>
      <c r="R572" s="1644"/>
      <c r="S572" s="1644"/>
      <c r="T572" s="1644"/>
      <c r="U572" s="1644"/>
      <c r="AH572" s="1645"/>
      <c r="AI572" s="1646"/>
    </row>
    <row r="573" spans="5:35" s="1640" customFormat="1" x14ac:dyDescent="0.2">
      <c r="E573" s="1641"/>
      <c r="G573" s="1641"/>
      <c r="M573" s="1642"/>
      <c r="N573" s="1643"/>
      <c r="R573" s="1644"/>
      <c r="S573" s="1644"/>
      <c r="T573" s="1644"/>
      <c r="U573" s="1644"/>
      <c r="AH573" s="1645"/>
      <c r="AI573" s="1646"/>
    </row>
    <row r="574" spans="5:35" s="1640" customFormat="1" x14ac:dyDescent="0.2">
      <c r="E574" s="1641"/>
      <c r="G574" s="1641"/>
      <c r="M574" s="1642"/>
      <c r="N574" s="1643"/>
      <c r="R574" s="1644"/>
      <c r="S574" s="1644"/>
      <c r="T574" s="1644"/>
      <c r="U574" s="1644"/>
      <c r="AH574" s="1645"/>
      <c r="AI574" s="1646"/>
    </row>
    <row r="575" spans="5:35" s="1640" customFormat="1" x14ac:dyDescent="0.2">
      <c r="E575" s="1641"/>
      <c r="G575" s="1641"/>
      <c r="M575" s="1642"/>
      <c r="N575" s="1643"/>
      <c r="R575" s="1644"/>
      <c r="S575" s="1644"/>
      <c r="T575" s="1644"/>
      <c r="U575" s="1644"/>
      <c r="AH575" s="1645"/>
      <c r="AI575" s="1646"/>
    </row>
    <row r="576" spans="5:35" s="1640" customFormat="1" x14ac:dyDescent="0.2">
      <c r="E576" s="1641"/>
      <c r="G576" s="1641"/>
      <c r="M576" s="1642"/>
      <c r="N576" s="1643"/>
      <c r="R576" s="1644"/>
      <c r="S576" s="1644"/>
      <c r="T576" s="1644"/>
      <c r="U576" s="1644"/>
      <c r="AH576" s="1645"/>
      <c r="AI576" s="1646"/>
    </row>
    <row r="577" spans="5:35" s="1640" customFormat="1" x14ac:dyDescent="0.2">
      <c r="E577" s="1641"/>
      <c r="G577" s="1641"/>
      <c r="M577" s="1642"/>
      <c r="N577" s="1643"/>
      <c r="R577" s="1644"/>
      <c r="S577" s="1644"/>
      <c r="T577" s="1644"/>
      <c r="U577" s="1644"/>
      <c r="AH577" s="1645"/>
      <c r="AI577" s="1646"/>
    </row>
    <row r="578" spans="5:35" s="1640" customFormat="1" x14ac:dyDescent="0.2">
      <c r="E578" s="1641"/>
      <c r="G578" s="1641"/>
      <c r="M578" s="1642"/>
      <c r="N578" s="1643"/>
      <c r="R578" s="1644"/>
      <c r="S578" s="1644"/>
      <c r="T578" s="1644"/>
      <c r="U578" s="1644"/>
      <c r="AH578" s="1645"/>
      <c r="AI578" s="1646"/>
    </row>
    <row r="579" spans="5:35" s="1640" customFormat="1" x14ac:dyDescent="0.2">
      <c r="E579" s="1641"/>
      <c r="G579" s="1641"/>
      <c r="M579" s="1642"/>
      <c r="N579" s="1643"/>
      <c r="R579" s="1644"/>
      <c r="S579" s="1644"/>
      <c r="T579" s="1644"/>
      <c r="U579" s="1644"/>
      <c r="AH579" s="1645"/>
      <c r="AI579" s="1646"/>
    </row>
    <row r="580" spans="5:35" s="1640" customFormat="1" x14ac:dyDescent="0.2">
      <c r="E580" s="1641"/>
      <c r="G580" s="1641"/>
      <c r="M580" s="1642"/>
      <c r="N580" s="1643"/>
      <c r="R580" s="1644"/>
      <c r="S580" s="1644"/>
      <c r="T580" s="1644"/>
      <c r="U580" s="1644"/>
      <c r="AH580" s="1645"/>
      <c r="AI580" s="1646"/>
    </row>
    <row r="581" spans="5:35" s="1640" customFormat="1" x14ac:dyDescent="0.2">
      <c r="E581" s="1641"/>
      <c r="G581" s="1641"/>
      <c r="M581" s="1642"/>
      <c r="N581" s="1643"/>
      <c r="R581" s="1644"/>
      <c r="S581" s="1644"/>
      <c r="T581" s="1644"/>
      <c r="U581" s="1644"/>
      <c r="AH581" s="1645"/>
      <c r="AI581" s="1646"/>
    </row>
    <row r="582" spans="5:35" s="1640" customFormat="1" x14ac:dyDescent="0.2">
      <c r="E582" s="1641"/>
      <c r="G582" s="1641"/>
      <c r="M582" s="1642"/>
      <c r="N582" s="1643"/>
      <c r="R582" s="1644"/>
      <c r="S582" s="1644"/>
      <c r="T582" s="1644"/>
      <c r="U582" s="1644"/>
      <c r="AH582" s="1645"/>
      <c r="AI582" s="1646"/>
    </row>
    <row r="583" spans="5:35" s="1640" customFormat="1" x14ac:dyDescent="0.2">
      <c r="E583" s="1641"/>
      <c r="G583" s="1641"/>
      <c r="M583" s="1642"/>
      <c r="N583" s="1643"/>
      <c r="R583" s="1644"/>
      <c r="S583" s="1644"/>
      <c r="T583" s="1644"/>
      <c r="U583" s="1644"/>
      <c r="AH583" s="1645"/>
      <c r="AI583" s="1646"/>
    </row>
    <row r="584" spans="5:35" s="1640" customFormat="1" x14ac:dyDescent="0.2">
      <c r="E584" s="1641"/>
      <c r="G584" s="1641"/>
      <c r="M584" s="1642"/>
      <c r="N584" s="1643"/>
      <c r="R584" s="1644"/>
      <c r="S584" s="1644"/>
      <c r="T584" s="1644"/>
      <c r="U584" s="1644"/>
      <c r="AH584" s="1645"/>
      <c r="AI584" s="1646"/>
    </row>
    <row r="585" spans="5:35" s="1640" customFormat="1" x14ac:dyDescent="0.2">
      <c r="E585" s="1641"/>
      <c r="G585" s="1641"/>
      <c r="M585" s="1642"/>
      <c r="N585" s="1643"/>
      <c r="R585" s="1644"/>
      <c r="S585" s="1644"/>
      <c r="T585" s="1644"/>
      <c r="U585" s="1644"/>
      <c r="AH585" s="1645"/>
      <c r="AI585" s="1646"/>
    </row>
    <row r="586" spans="5:35" s="1640" customFormat="1" x14ac:dyDescent="0.2">
      <c r="E586" s="1641"/>
      <c r="G586" s="1641"/>
      <c r="M586" s="1642"/>
      <c r="N586" s="1643"/>
      <c r="R586" s="1644"/>
      <c r="S586" s="1644"/>
      <c r="T586" s="1644"/>
      <c r="U586" s="1644"/>
      <c r="AH586" s="1645"/>
      <c r="AI586" s="1646"/>
    </row>
    <row r="587" spans="5:35" s="1640" customFormat="1" x14ac:dyDescent="0.2">
      <c r="E587" s="1641"/>
      <c r="G587" s="1641"/>
      <c r="M587" s="1642"/>
      <c r="N587" s="1643"/>
      <c r="R587" s="1644"/>
      <c r="S587" s="1644"/>
      <c r="T587" s="1644"/>
      <c r="U587" s="1644"/>
      <c r="AH587" s="1645"/>
      <c r="AI587" s="1646"/>
    </row>
    <row r="588" spans="5:35" s="1640" customFormat="1" x14ac:dyDescent="0.2">
      <c r="E588" s="1641"/>
      <c r="G588" s="1641"/>
      <c r="M588" s="1642"/>
      <c r="N588" s="1643"/>
      <c r="R588" s="1644"/>
      <c r="S588" s="1644"/>
      <c r="T588" s="1644"/>
      <c r="U588" s="1644"/>
      <c r="AH588" s="1645"/>
      <c r="AI588" s="1646"/>
    </row>
    <row r="589" spans="5:35" s="1640" customFormat="1" x14ac:dyDescent="0.2">
      <c r="E589" s="1641"/>
      <c r="G589" s="1641"/>
      <c r="M589" s="1642"/>
      <c r="N589" s="1643"/>
      <c r="R589" s="1644"/>
      <c r="S589" s="1644"/>
      <c r="T589" s="1644"/>
      <c r="U589" s="1644"/>
      <c r="AH589" s="1645"/>
      <c r="AI589" s="1646"/>
    </row>
    <row r="590" spans="5:35" s="1640" customFormat="1" x14ac:dyDescent="0.2">
      <c r="E590" s="1641"/>
      <c r="G590" s="1641"/>
      <c r="M590" s="1642"/>
      <c r="N590" s="1643"/>
      <c r="R590" s="1644"/>
      <c r="S590" s="1644"/>
      <c r="T590" s="1644"/>
      <c r="U590" s="1644"/>
      <c r="AH590" s="1645"/>
      <c r="AI590" s="1646"/>
    </row>
    <row r="591" spans="5:35" s="1640" customFormat="1" x14ac:dyDescent="0.2">
      <c r="E591" s="1641"/>
      <c r="G591" s="1641"/>
      <c r="M591" s="1642"/>
      <c r="N591" s="1643"/>
      <c r="R591" s="1644"/>
      <c r="S591" s="1644"/>
      <c r="T591" s="1644"/>
      <c r="U591" s="1644"/>
      <c r="AH591" s="1645"/>
      <c r="AI591" s="1646"/>
    </row>
    <row r="592" spans="5:35" s="1640" customFormat="1" x14ac:dyDescent="0.2">
      <c r="E592" s="1641"/>
      <c r="G592" s="1641"/>
      <c r="M592" s="1642"/>
      <c r="N592" s="1643"/>
      <c r="R592" s="1644"/>
      <c r="S592" s="1644"/>
      <c r="T592" s="1644"/>
      <c r="U592" s="1644"/>
      <c r="AH592" s="1645"/>
      <c r="AI592" s="1646"/>
    </row>
    <row r="593" spans="5:35" s="1640" customFormat="1" x14ac:dyDescent="0.2">
      <c r="E593" s="1641"/>
      <c r="G593" s="1641"/>
      <c r="M593" s="1642"/>
      <c r="N593" s="1643"/>
      <c r="R593" s="1644"/>
      <c r="S593" s="1644"/>
      <c r="T593" s="1644"/>
      <c r="U593" s="1644"/>
      <c r="AH593" s="1645"/>
      <c r="AI593" s="1646"/>
    </row>
    <row r="594" spans="5:35" s="1640" customFormat="1" x14ac:dyDescent="0.2">
      <c r="E594" s="1641"/>
      <c r="G594" s="1641"/>
      <c r="M594" s="1642"/>
      <c r="N594" s="1643"/>
      <c r="R594" s="1644"/>
      <c r="S594" s="1644"/>
      <c r="T594" s="1644"/>
      <c r="U594" s="1644"/>
      <c r="AH594" s="1645"/>
      <c r="AI594" s="1646"/>
    </row>
    <row r="595" spans="5:35" s="1640" customFormat="1" x14ac:dyDescent="0.2">
      <c r="E595" s="1641"/>
      <c r="G595" s="1641"/>
      <c r="M595" s="1642"/>
      <c r="N595" s="1643"/>
      <c r="R595" s="1644"/>
      <c r="S595" s="1644"/>
      <c r="T595" s="1644"/>
      <c r="U595" s="1644"/>
      <c r="AH595" s="1645"/>
      <c r="AI595" s="1646"/>
    </row>
    <row r="596" spans="5:35" s="1640" customFormat="1" x14ac:dyDescent="0.2">
      <c r="E596" s="1641"/>
      <c r="G596" s="1641"/>
      <c r="M596" s="1642"/>
      <c r="N596" s="1643"/>
      <c r="R596" s="1644"/>
      <c r="S596" s="1644"/>
      <c r="T596" s="1644"/>
      <c r="U596" s="1644"/>
      <c r="AH596" s="1645"/>
      <c r="AI596" s="1646"/>
    </row>
    <row r="597" spans="5:35" s="1640" customFormat="1" x14ac:dyDescent="0.2">
      <c r="E597" s="1641"/>
      <c r="G597" s="1641"/>
      <c r="M597" s="1642"/>
      <c r="N597" s="1643"/>
      <c r="R597" s="1644"/>
      <c r="S597" s="1644"/>
      <c r="T597" s="1644"/>
      <c r="U597" s="1644"/>
      <c r="AH597" s="1645"/>
      <c r="AI597" s="1646"/>
    </row>
    <row r="598" spans="5:35" s="1640" customFormat="1" x14ac:dyDescent="0.2">
      <c r="E598" s="1641"/>
      <c r="G598" s="1641"/>
      <c r="M598" s="1642"/>
      <c r="N598" s="1643"/>
      <c r="R598" s="1644"/>
      <c r="S598" s="1644"/>
      <c r="T598" s="1644"/>
      <c r="U598" s="1644"/>
      <c r="AH598" s="1645"/>
      <c r="AI598" s="1646"/>
    </row>
    <row r="599" spans="5:35" s="1640" customFormat="1" x14ac:dyDescent="0.2">
      <c r="E599" s="1641"/>
      <c r="G599" s="1641"/>
      <c r="M599" s="1642"/>
      <c r="N599" s="1643"/>
      <c r="R599" s="1644"/>
      <c r="S599" s="1644"/>
      <c r="T599" s="1644"/>
      <c r="U599" s="1644"/>
      <c r="AH599" s="1645"/>
      <c r="AI599" s="1646"/>
    </row>
    <row r="600" spans="5:35" s="1640" customFormat="1" x14ac:dyDescent="0.2">
      <c r="E600" s="1641"/>
      <c r="G600" s="1641"/>
      <c r="M600" s="1642"/>
      <c r="N600" s="1643"/>
      <c r="R600" s="1644"/>
      <c r="S600" s="1644"/>
      <c r="T600" s="1644"/>
      <c r="U600" s="1644"/>
      <c r="AH600" s="1645"/>
      <c r="AI600" s="1646"/>
    </row>
    <row r="601" spans="5:35" s="1640" customFormat="1" x14ac:dyDescent="0.2">
      <c r="E601" s="1641"/>
      <c r="G601" s="1641"/>
      <c r="M601" s="1642"/>
      <c r="N601" s="1643"/>
      <c r="R601" s="1644"/>
      <c r="S601" s="1644"/>
      <c r="T601" s="1644"/>
      <c r="U601" s="1644"/>
      <c r="AH601" s="1645"/>
      <c r="AI601" s="1646"/>
    </row>
    <row r="602" spans="5:35" s="1640" customFormat="1" x14ac:dyDescent="0.2">
      <c r="E602" s="1641"/>
      <c r="G602" s="1641"/>
      <c r="M602" s="1642"/>
      <c r="N602" s="1643"/>
      <c r="R602" s="1644"/>
      <c r="S602" s="1644"/>
      <c r="T602" s="1644"/>
      <c r="U602" s="1644"/>
      <c r="AH602" s="1645"/>
      <c r="AI602" s="1646"/>
    </row>
    <row r="603" spans="5:35" s="1640" customFormat="1" x14ac:dyDescent="0.2">
      <c r="E603" s="1641"/>
      <c r="G603" s="1641"/>
      <c r="M603" s="1642"/>
      <c r="N603" s="1643"/>
      <c r="R603" s="1644"/>
      <c r="S603" s="1644"/>
      <c r="T603" s="1644"/>
      <c r="U603" s="1644"/>
      <c r="AH603" s="1645"/>
      <c r="AI603" s="1646"/>
    </row>
    <row r="604" spans="5:35" s="1640" customFormat="1" x14ac:dyDescent="0.2">
      <c r="E604" s="1641"/>
      <c r="G604" s="1641"/>
      <c r="M604" s="1642"/>
      <c r="N604" s="1643"/>
      <c r="R604" s="1644"/>
      <c r="S604" s="1644"/>
      <c r="T604" s="1644"/>
      <c r="U604" s="1644"/>
      <c r="AH604" s="1645"/>
      <c r="AI604" s="1646"/>
    </row>
    <row r="605" spans="5:35" s="1640" customFormat="1" x14ac:dyDescent="0.2">
      <c r="E605" s="1641"/>
      <c r="G605" s="1641"/>
      <c r="M605" s="1642"/>
      <c r="N605" s="1643"/>
      <c r="R605" s="1644"/>
      <c r="S605" s="1644"/>
      <c r="T605" s="1644"/>
      <c r="U605" s="1644"/>
      <c r="AH605" s="1645"/>
      <c r="AI605" s="1646"/>
    </row>
    <row r="606" spans="5:35" s="1640" customFormat="1" x14ac:dyDescent="0.2">
      <c r="E606" s="1641"/>
      <c r="G606" s="1641"/>
      <c r="M606" s="1642"/>
      <c r="N606" s="1643"/>
      <c r="R606" s="1644"/>
      <c r="S606" s="1644"/>
      <c r="T606" s="1644"/>
      <c r="U606" s="1644"/>
      <c r="AH606" s="1645"/>
      <c r="AI606" s="1646"/>
    </row>
    <row r="607" spans="5:35" s="1640" customFormat="1" x14ac:dyDescent="0.2">
      <c r="E607" s="1641"/>
      <c r="G607" s="1641"/>
      <c r="M607" s="1642"/>
      <c r="N607" s="1643"/>
      <c r="R607" s="1644"/>
      <c r="S607" s="1644"/>
      <c r="T607" s="1644"/>
      <c r="U607" s="1644"/>
      <c r="AH607" s="1645"/>
      <c r="AI607" s="1646"/>
    </row>
    <row r="608" spans="5:35" s="1640" customFormat="1" x14ac:dyDescent="0.2">
      <c r="E608" s="1641"/>
      <c r="G608" s="1641"/>
      <c r="M608" s="1642"/>
      <c r="N608" s="1643"/>
      <c r="R608" s="1644"/>
      <c r="S608" s="1644"/>
      <c r="T608" s="1644"/>
      <c r="U608" s="1644"/>
      <c r="AH608" s="1645"/>
      <c r="AI608" s="1646"/>
    </row>
    <row r="609" spans="5:35" s="1640" customFormat="1" x14ac:dyDescent="0.2">
      <c r="E609" s="1641"/>
      <c r="G609" s="1641"/>
      <c r="M609" s="1642"/>
      <c r="N609" s="1643"/>
      <c r="R609" s="1644"/>
      <c r="S609" s="1644"/>
      <c r="T609" s="1644"/>
      <c r="U609" s="1644"/>
      <c r="AH609" s="1645"/>
      <c r="AI609" s="1646"/>
    </row>
    <row r="610" spans="5:35" s="1640" customFormat="1" x14ac:dyDescent="0.2">
      <c r="E610" s="1641"/>
      <c r="G610" s="1641"/>
      <c r="M610" s="1642"/>
      <c r="N610" s="1643"/>
      <c r="R610" s="1644"/>
      <c r="S610" s="1644"/>
      <c r="T610" s="1644"/>
      <c r="U610" s="1644"/>
      <c r="AH610" s="1645"/>
      <c r="AI610" s="1646"/>
    </row>
    <row r="611" spans="5:35" s="1640" customFormat="1" x14ac:dyDescent="0.2">
      <c r="E611" s="1641"/>
      <c r="G611" s="1641"/>
      <c r="M611" s="1642"/>
      <c r="N611" s="1643"/>
      <c r="R611" s="1644"/>
      <c r="S611" s="1644"/>
      <c r="T611" s="1644"/>
      <c r="U611" s="1644"/>
      <c r="AH611" s="1645"/>
      <c r="AI611" s="1646"/>
    </row>
    <row r="612" spans="5:35" s="1640" customFormat="1" x14ac:dyDescent="0.2">
      <c r="E612" s="1641"/>
      <c r="G612" s="1641"/>
      <c r="M612" s="1642"/>
      <c r="N612" s="1643"/>
      <c r="R612" s="1644"/>
      <c r="S612" s="1644"/>
      <c r="T612" s="1644"/>
      <c r="U612" s="1644"/>
      <c r="AH612" s="1645"/>
      <c r="AI612" s="1646"/>
    </row>
    <row r="613" spans="5:35" s="1640" customFormat="1" x14ac:dyDescent="0.2">
      <c r="E613" s="1641"/>
      <c r="G613" s="1641"/>
      <c r="M613" s="1642"/>
      <c r="N613" s="1643"/>
      <c r="R613" s="1644"/>
      <c r="S613" s="1644"/>
      <c r="T613" s="1644"/>
      <c r="U613" s="1644"/>
      <c r="AH613" s="1645"/>
      <c r="AI613" s="1646"/>
    </row>
    <row r="614" spans="5:35" s="1640" customFormat="1" x14ac:dyDescent="0.2">
      <c r="E614" s="1641"/>
      <c r="G614" s="1641"/>
      <c r="M614" s="1642"/>
      <c r="N614" s="1643"/>
      <c r="R614" s="1644"/>
      <c r="S614" s="1644"/>
      <c r="T614" s="1644"/>
      <c r="U614" s="1644"/>
      <c r="AH614" s="1645"/>
      <c r="AI614" s="1646"/>
    </row>
    <row r="615" spans="5:35" s="1640" customFormat="1" x14ac:dyDescent="0.2">
      <c r="E615" s="1641"/>
      <c r="G615" s="1641"/>
      <c r="M615" s="1642"/>
      <c r="N615" s="1643"/>
      <c r="R615" s="1644"/>
      <c r="S615" s="1644"/>
      <c r="T615" s="1644"/>
      <c r="U615" s="1644"/>
      <c r="AH615" s="1645"/>
      <c r="AI615" s="1646"/>
    </row>
    <row r="616" spans="5:35" s="1640" customFormat="1" x14ac:dyDescent="0.2">
      <c r="E616" s="1641"/>
      <c r="G616" s="1641"/>
      <c r="M616" s="1642"/>
      <c r="N616" s="1643"/>
      <c r="R616" s="1644"/>
      <c r="S616" s="1644"/>
      <c r="T616" s="1644"/>
      <c r="U616" s="1644"/>
      <c r="AH616" s="1645"/>
      <c r="AI616" s="1646"/>
    </row>
    <row r="617" spans="5:35" s="1640" customFormat="1" x14ac:dyDescent="0.2">
      <c r="E617" s="1641"/>
      <c r="G617" s="1641"/>
      <c r="M617" s="1642"/>
      <c r="N617" s="1643"/>
      <c r="R617" s="1644"/>
      <c r="S617" s="1644"/>
      <c r="T617" s="1644"/>
      <c r="U617" s="1644"/>
      <c r="AH617" s="1645"/>
      <c r="AI617" s="1646"/>
    </row>
    <row r="618" spans="5:35" s="1640" customFormat="1" x14ac:dyDescent="0.2">
      <c r="E618" s="1641"/>
      <c r="G618" s="1641"/>
      <c r="M618" s="1642"/>
      <c r="N618" s="1643"/>
      <c r="R618" s="1644"/>
      <c r="S618" s="1644"/>
      <c r="T618" s="1644"/>
      <c r="U618" s="1644"/>
      <c r="AH618" s="1645"/>
      <c r="AI618" s="1646"/>
    </row>
    <row r="619" spans="5:35" s="1640" customFormat="1" x14ac:dyDescent="0.2">
      <c r="E619" s="1641"/>
      <c r="G619" s="1641"/>
      <c r="M619" s="1642"/>
      <c r="N619" s="1643"/>
      <c r="R619" s="1644"/>
      <c r="S619" s="1644"/>
      <c r="T619" s="1644"/>
      <c r="U619" s="1644"/>
      <c r="AH619" s="1645"/>
      <c r="AI619" s="1646"/>
    </row>
    <row r="620" spans="5:35" s="1640" customFormat="1" x14ac:dyDescent="0.2">
      <c r="E620" s="1641"/>
      <c r="G620" s="1641"/>
      <c r="M620" s="1642"/>
      <c r="N620" s="1643"/>
      <c r="R620" s="1644"/>
      <c r="S620" s="1644"/>
      <c r="T620" s="1644"/>
      <c r="U620" s="1644"/>
      <c r="AH620" s="1645"/>
      <c r="AI620" s="1646"/>
    </row>
    <row r="621" spans="5:35" s="1640" customFormat="1" x14ac:dyDescent="0.2">
      <c r="E621" s="1641"/>
      <c r="G621" s="1641"/>
      <c r="M621" s="1642"/>
      <c r="N621" s="1643"/>
      <c r="R621" s="1644"/>
      <c r="S621" s="1644"/>
      <c r="T621" s="1644"/>
      <c r="U621" s="1644"/>
      <c r="AH621" s="1645"/>
      <c r="AI621" s="1646"/>
    </row>
    <row r="622" spans="5:35" s="1640" customFormat="1" x14ac:dyDescent="0.2">
      <c r="E622" s="1641"/>
      <c r="G622" s="1641"/>
      <c r="M622" s="1642"/>
      <c r="N622" s="1643"/>
      <c r="R622" s="1644"/>
      <c r="S622" s="1644"/>
      <c r="T622" s="1644"/>
      <c r="U622" s="1644"/>
      <c r="AH622" s="1645"/>
      <c r="AI622" s="1646"/>
    </row>
    <row r="623" spans="5:35" s="1640" customFormat="1" x14ac:dyDescent="0.2">
      <c r="E623" s="1641"/>
      <c r="G623" s="1641"/>
      <c r="M623" s="1642"/>
      <c r="N623" s="1643"/>
      <c r="R623" s="1644"/>
      <c r="S623" s="1644"/>
      <c r="T623" s="1644"/>
      <c r="U623" s="1644"/>
      <c r="AH623" s="1645"/>
      <c r="AI623" s="1646"/>
    </row>
    <row r="624" spans="5:35" s="1640" customFormat="1" x14ac:dyDescent="0.2">
      <c r="E624" s="1641"/>
      <c r="G624" s="1641"/>
      <c r="M624" s="1642"/>
      <c r="N624" s="1643"/>
      <c r="R624" s="1644"/>
      <c r="S624" s="1644"/>
      <c r="T624" s="1644"/>
      <c r="U624" s="1644"/>
      <c r="AH624" s="1645"/>
      <c r="AI624" s="1646"/>
    </row>
    <row r="625" spans="5:35" s="1640" customFormat="1" x14ac:dyDescent="0.2">
      <c r="E625" s="1641"/>
      <c r="G625" s="1641"/>
      <c r="M625" s="1642"/>
      <c r="N625" s="1643"/>
      <c r="R625" s="1644"/>
      <c r="S625" s="1644"/>
      <c r="T625" s="1644"/>
      <c r="U625" s="1644"/>
      <c r="AH625" s="1645"/>
      <c r="AI625" s="1646"/>
    </row>
    <row r="626" spans="5:35" s="1640" customFormat="1" x14ac:dyDescent="0.2">
      <c r="E626" s="1641"/>
      <c r="G626" s="1641"/>
      <c r="M626" s="1642"/>
      <c r="N626" s="1643"/>
      <c r="R626" s="1644"/>
      <c r="S626" s="1644"/>
      <c r="T626" s="1644"/>
      <c r="U626" s="1644"/>
      <c r="AH626" s="1645"/>
      <c r="AI626" s="1646"/>
    </row>
    <row r="627" spans="5:35" s="1640" customFormat="1" x14ac:dyDescent="0.2">
      <c r="E627" s="1641"/>
      <c r="G627" s="1641"/>
      <c r="M627" s="1642"/>
      <c r="N627" s="1643"/>
      <c r="R627" s="1644"/>
      <c r="S627" s="1644"/>
      <c r="T627" s="1644"/>
      <c r="U627" s="1644"/>
      <c r="AH627" s="1645"/>
      <c r="AI627" s="1646"/>
    </row>
    <row r="628" spans="5:35" s="1640" customFormat="1" x14ac:dyDescent="0.2">
      <c r="E628" s="1641"/>
      <c r="G628" s="1641"/>
      <c r="M628" s="1642"/>
      <c r="N628" s="1643"/>
      <c r="R628" s="1644"/>
      <c r="S628" s="1644"/>
      <c r="T628" s="1644"/>
      <c r="U628" s="1644"/>
      <c r="AH628" s="1645"/>
      <c r="AI628" s="1646"/>
    </row>
    <row r="629" spans="5:35" s="1640" customFormat="1" x14ac:dyDescent="0.2">
      <c r="E629" s="1641"/>
      <c r="G629" s="1641"/>
      <c r="M629" s="1642"/>
      <c r="N629" s="1643"/>
      <c r="R629" s="1644"/>
      <c r="S629" s="1644"/>
      <c r="T629" s="1644"/>
      <c r="U629" s="1644"/>
      <c r="AH629" s="1645"/>
      <c r="AI629" s="1646"/>
    </row>
    <row r="630" spans="5:35" s="1640" customFormat="1" x14ac:dyDescent="0.2">
      <c r="E630" s="1641"/>
      <c r="G630" s="1641"/>
      <c r="M630" s="1642"/>
      <c r="N630" s="1643"/>
      <c r="R630" s="1644"/>
      <c r="S630" s="1644"/>
      <c r="T630" s="1644"/>
      <c r="U630" s="1644"/>
      <c r="AH630" s="1645"/>
      <c r="AI630" s="1646"/>
    </row>
    <row r="631" spans="5:35" s="1640" customFormat="1" x14ac:dyDescent="0.2">
      <c r="E631" s="1641"/>
      <c r="G631" s="1641"/>
      <c r="M631" s="1642"/>
      <c r="N631" s="1643"/>
      <c r="R631" s="1644"/>
      <c r="S631" s="1644"/>
      <c r="T631" s="1644"/>
      <c r="U631" s="1644"/>
      <c r="AH631" s="1645"/>
      <c r="AI631" s="1646"/>
    </row>
    <row r="632" spans="5:35" s="1640" customFormat="1" x14ac:dyDescent="0.2">
      <c r="E632" s="1641"/>
      <c r="G632" s="1641"/>
      <c r="M632" s="1642"/>
      <c r="N632" s="1643"/>
      <c r="R632" s="1644"/>
      <c r="S632" s="1644"/>
      <c r="T632" s="1644"/>
      <c r="U632" s="1644"/>
      <c r="AH632" s="1645"/>
      <c r="AI632" s="1646"/>
    </row>
    <row r="633" spans="5:35" s="1640" customFormat="1" x14ac:dyDescent="0.2">
      <c r="E633" s="1641"/>
      <c r="G633" s="1641"/>
      <c r="M633" s="1642"/>
      <c r="N633" s="1643"/>
      <c r="R633" s="1644"/>
      <c r="S633" s="1644"/>
      <c r="T633" s="1644"/>
      <c r="U633" s="1644"/>
      <c r="AH633" s="1645"/>
      <c r="AI633" s="1646"/>
    </row>
    <row r="634" spans="5:35" s="1640" customFormat="1" x14ac:dyDescent="0.2">
      <c r="E634" s="1641"/>
      <c r="G634" s="1641"/>
      <c r="M634" s="1642"/>
      <c r="N634" s="1643"/>
      <c r="R634" s="1644"/>
      <c r="S634" s="1644"/>
      <c r="T634" s="1644"/>
      <c r="U634" s="1644"/>
      <c r="AH634" s="1645"/>
      <c r="AI634" s="1646"/>
    </row>
    <row r="635" spans="5:35" s="1640" customFormat="1" x14ac:dyDescent="0.2">
      <c r="E635" s="1641"/>
      <c r="G635" s="1641"/>
      <c r="M635" s="1642"/>
      <c r="N635" s="1643"/>
      <c r="R635" s="1644"/>
      <c r="S635" s="1644"/>
      <c r="T635" s="1644"/>
      <c r="U635" s="1644"/>
      <c r="AH635" s="1645"/>
      <c r="AI635" s="1646"/>
    </row>
    <row r="636" spans="5:35" s="1640" customFormat="1" x14ac:dyDescent="0.2">
      <c r="E636" s="1641"/>
      <c r="G636" s="1641"/>
      <c r="M636" s="1642"/>
      <c r="N636" s="1643"/>
      <c r="R636" s="1644"/>
      <c r="S636" s="1644"/>
      <c r="T636" s="1644"/>
      <c r="U636" s="1644"/>
      <c r="AH636" s="1645"/>
      <c r="AI636" s="1646"/>
    </row>
    <row r="637" spans="5:35" s="1640" customFormat="1" x14ac:dyDescent="0.2">
      <c r="E637" s="1641"/>
      <c r="G637" s="1641"/>
      <c r="M637" s="1642"/>
      <c r="N637" s="1643"/>
      <c r="R637" s="1644"/>
      <c r="S637" s="1644"/>
      <c r="T637" s="1644"/>
      <c r="U637" s="1644"/>
      <c r="AH637" s="1645"/>
      <c r="AI637" s="1646"/>
    </row>
    <row r="638" spans="5:35" s="1640" customFormat="1" x14ac:dyDescent="0.2">
      <c r="E638" s="1641"/>
      <c r="G638" s="1641"/>
      <c r="M638" s="1642"/>
      <c r="N638" s="1643"/>
      <c r="R638" s="1644"/>
      <c r="S638" s="1644"/>
      <c r="T638" s="1644"/>
      <c r="U638" s="1644"/>
      <c r="AH638" s="1645"/>
      <c r="AI638" s="1646"/>
    </row>
    <row r="639" spans="5:35" s="1640" customFormat="1" x14ac:dyDescent="0.2">
      <c r="E639" s="1641"/>
      <c r="G639" s="1641"/>
      <c r="M639" s="1642"/>
      <c r="N639" s="1643"/>
      <c r="R639" s="1644"/>
      <c r="S639" s="1644"/>
      <c r="T639" s="1644"/>
      <c r="U639" s="1644"/>
      <c r="AH639" s="1645"/>
      <c r="AI639" s="1646"/>
    </row>
    <row r="640" spans="5:35" s="1640" customFormat="1" x14ac:dyDescent="0.2">
      <c r="E640" s="1641"/>
      <c r="G640" s="1641"/>
      <c r="M640" s="1642"/>
      <c r="N640" s="1643"/>
      <c r="R640" s="1644"/>
      <c r="S640" s="1644"/>
      <c r="T640" s="1644"/>
      <c r="U640" s="1644"/>
      <c r="AH640" s="1645"/>
      <c r="AI640" s="1646"/>
    </row>
    <row r="641" spans="5:35" s="1640" customFormat="1" x14ac:dyDescent="0.2">
      <c r="E641" s="1641"/>
      <c r="G641" s="1641"/>
      <c r="M641" s="1642"/>
      <c r="N641" s="1643"/>
      <c r="R641" s="1644"/>
      <c r="S641" s="1644"/>
      <c r="T641" s="1644"/>
      <c r="U641" s="1644"/>
      <c r="AH641" s="1645"/>
      <c r="AI641" s="1646"/>
    </row>
    <row r="642" spans="5:35" s="1640" customFormat="1" x14ac:dyDescent="0.2">
      <c r="E642" s="1641"/>
      <c r="G642" s="1641"/>
      <c r="M642" s="1642"/>
      <c r="N642" s="1643"/>
      <c r="R642" s="1644"/>
      <c r="S642" s="1644"/>
      <c r="T642" s="1644"/>
      <c r="U642" s="1644"/>
      <c r="AH642" s="1645"/>
      <c r="AI642" s="1646"/>
    </row>
    <row r="643" spans="5:35" s="1640" customFormat="1" x14ac:dyDescent="0.2">
      <c r="E643" s="1641"/>
      <c r="G643" s="1641"/>
      <c r="M643" s="1642"/>
      <c r="N643" s="1643"/>
      <c r="R643" s="1644"/>
      <c r="S643" s="1644"/>
      <c r="T643" s="1644"/>
      <c r="U643" s="1644"/>
      <c r="AH643" s="1645"/>
      <c r="AI643" s="1646"/>
    </row>
    <row r="644" spans="5:35" s="1640" customFormat="1" x14ac:dyDescent="0.2">
      <c r="E644" s="1641"/>
      <c r="G644" s="1641"/>
      <c r="M644" s="1642"/>
      <c r="N644" s="1643"/>
      <c r="R644" s="1644"/>
      <c r="S644" s="1644"/>
      <c r="T644" s="1644"/>
      <c r="U644" s="1644"/>
      <c r="AH644" s="1645"/>
      <c r="AI644" s="1646"/>
    </row>
    <row r="645" spans="5:35" s="1640" customFormat="1" x14ac:dyDescent="0.2">
      <c r="E645" s="1641"/>
      <c r="G645" s="1641"/>
      <c r="M645" s="1642"/>
      <c r="N645" s="1643"/>
      <c r="R645" s="1644"/>
      <c r="S645" s="1644"/>
      <c r="T645" s="1644"/>
      <c r="U645" s="1644"/>
      <c r="AH645" s="1645"/>
      <c r="AI645" s="1646"/>
    </row>
    <row r="646" spans="5:35" s="1640" customFormat="1" x14ac:dyDescent="0.2">
      <c r="E646" s="1641"/>
      <c r="G646" s="1641"/>
      <c r="M646" s="1642"/>
      <c r="N646" s="1643"/>
      <c r="R646" s="1644"/>
      <c r="S646" s="1644"/>
      <c r="T646" s="1644"/>
      <c r="U646" s="1644"/>
      <c r="AH646" s="1645"/>
      <c r="AI646" s="1646"/>
    </row>
    <row r="647" spans="5:35" s="1640" customFormat="1" x14ac:dyDescent="0.2">
      <c r="E647" s="1641"/>
      <c r="G647" s="1641"/>
      <c r="M647" s="1642"/>
      <c r="N647" s="1643"/>
      <c r="R647" s="1644"/>
      <c r="S647" s="1644"/>
      <c r="T647" s="1644"/>
      <c r="U647" s="1644"/>
      <c r="AH647" s="1645"/>
      <c r="AI647" s="1646"/>
    </row>
    <row r="648" spans="5:35" s="1640" customFormat="1" x14ac:dyDescent="0.2">
      <c r="E648" s="1641"/>
      <c r="G648" s="1641"/>
      <c r="M648" s="1642"/>
      <c r="N648" s="1643"/>
      <c r="R648" s="1644"/>
      <c r="S648" s="1644"/>
      <c r="T648" s="1644"/>
      <c r="U648" s="1644"/>
      <c r="AH648" s="1645"/>
      <c r="AI648" s="1646"/>
    </row>
    <row r="649" spans="5:35" s="1640" customFormat="1" x14ac:dyDescent="0.2">
      <c r="E649" s="1641"/>
      <c r="G649" s="1641"/>
      <c r="M649" s="1642"/>
      <c r="N649" s="1643"/>
      <c r="R649" s="1644"/>
      <c r="S649" s="1644"/>
      <c r="T649" s="1644"/>
      <c r="U649" s="1644"/>
      <c r="AH649" s="1645"/>
      <c r="AI649" s="1646"/>
    </row>
    <row r="650" spans="5:35" s="1640" customFormat="1" x14ac:dyDescent="0.2">
      <c r="E650" s="1641"/>
      <c r="G650" s="1641"/>
      <c r="M650" s="1642"/>
      <c r="N650" s="1643"/>
      <c r="R650" s="1644"/>
      <c r="S650" s="1644"/>
      <c r="T650" s="1644"/>
      <c r="U650" s="1644"/>
      <c r="AH650" s="1645"/>
      <c r="AI650" s="1646"/>
    </row>
    <row r="651" spans="5:35" s="1640" customFormat="1" x14ac:dyDescent="0.2">
      <c r="E651" s="1641"/>
      <c r="G651" s="1641"/>
      <c r="M651" s="1642"/>
      <c r="N651" s="1643"/>
      <c r="R651" s="1644"/>
      <c r="S651" s="1644"/>
      <c r="T651" s="1644"/>
      <c r="U651" s="1644"/>
      <c r="AH651" s="1645"/>
      <c r="AI651" s="1646"/>
    </row>
    <row r="652" spans="5:35" s="1640" customFormat="1" x14ac:dyDescent="0.2">
      <c r="E652" s="1641"/>
      <c r="G652" s="1641"/>
      <c r="M652" s="1642"/>
      <c r="N652" s="1643"/>
      <c r="R652" s="1644"/>
      <c r="S652" s="1644"/>
      <c r="T652" s="1644"/>
      <c r="U652" s="1644"/>
      <c r="AH652" s="1645"/>
      <c r="AI652" s="1646"/>
    </row>
    <row r="653" spans="5:35" s="1640" customFormat="1" x14ac:dyDescent="0.2">
      <c r="E653" s="1641"/>
      <c r="G653" s="1641"/>
      <c r="M653" s="1642"/>
      <c r="N653" s="1643"/>
      <c r="R653" s="1644"/>
      <c r="S653" s="1644"/>
      <c r="T653" s="1644"/>
      <c r="U653" s="1644"/>
      <c r="AH653" s="1645"/>
      <c r="AI653" s="1646"/>
    </row>
    <row r="654" spans="5:35" s="1640" customFormat="1" x14ac:dyDescent="0.2">
      <c r="E654" s="1641"/>
      <c r="G654" s="1641"/>
      <c r="M654" s="1642"/>
      <c r="N654" s="1643"/>
      <c r="R654" s="1644"/>
      <c r="S654" s="1644"/>
      <c r="T654" s="1644"/>
      <c r="U654" s="1644"/>
      <c r="AH654" s="1645"/>
      <c r="AI654" s="1646"/>
    </row>
    <row r="655" spans="5:35" s="1640" customFormat="1" x14ac:dyDescent="0.2">
      <c r="E655" s="1641"/>
      <c r="G655" s="1641"/>
      <c r="M655" s="1642"/>
      <c r="N655" s="1643"/>
      <c r="R655" s="1644"/>
      <c r="S655" s="1644"/>
      <c r="T655" s="1644"/>
      <c r="U655" s="1644"/>
      <c r="AH655" s="1645"/>
      <c r="AI655" s="1646"/>
    </row>
    <row r="656" spans="5:35" s="1640" customFormat="1" x14ac:dyDescent="0.2">
      <c r="E656" s="1641"/>
      <c r="G656" s="1641"/>
      <c r="M656" s="1642"/>
      <c r="N656" s="1643"/>
      <c r="R656" s="1644"/>
      <c r="S656" s="1644"/>
      <c r="T656" s="1644"/>
      <c r="U656" s="1644"/>
      <c r="AH656" s="1645"/>
      <c r="AI656" s="1646"/>
    </row>
    <row r="657" spans="5:35" s="1640" customFormat="1" x14ac:dyDescent="0.2">
      <c r="E657" s="1641"/>
      <c r="G657" s="1641"/>
      <c r="M657" s="1642"/>
      <c r="N657" s="1643"/>
      <c r="R657" s="1644"/>
      <c r="S657" s="1644"/>
      <c r="T657" s="1644"/>
      <c r="U657" s="1644"/>
      <c r="AH657" s="1645"/>
      <c r="AI657" s="1646"/>
    </row>
    <row r="658" spans="5:35" s="1640" customFormat="1" x14ac:dyDescent="0.2">
      <c r="E658" s="1641"/>
      <c r="G658" s="1641"/>
      <c r="M658" s="1642"/>
      <c r="N658" s="1643"/>
      <c r="R658" s="1644"/>
      <c r="S658" s="1644"/>
      <c r="T658" s="1644"/>
      <c r="U658" s="1644"/>
      <c r="AH658" s="1645"/>
      <c r="AI658" s="1646"/>
    </row>
    <row r="659" spans="5:35" s="1640" customFormat="1" x14ac:dyDescent="0.2">
      <c r="E659" s="1641"/>
      <c r="G659" s="1641"/>
      <c r="M659" s="1642"/>
      <c r="N659" s="1643"/>
      <c r="R659" s="1644"/>
      <c r="S659" s="1644"/>
      <c r="T659" s="1644"/>
      <c r="U659" s="1644"/>
      <c r="AH659" s="1645"/>
      <c r="AI659" s="1646"/>
    </row>
    <row r="660" spans="5:35" s="1640" customFormat="1" x14ac:dyDescent="0.2">
      <c r="E660" s="1641"/>
      <c r="G660" s="1641"/>
      <c r="M660" s="1642"/>
      <c r="N660" s="1643"/>
      <c r="R660" s="1644"/>
      <c r="S660" s="1644"/>
      <c r="T660" s="1644"/>
      <c r="U660" s="1644"/>
      <c r="AH660" s="1645"/>
      <c r="AI660" s="1646"/>
    </row>
    <row r="661" spans="5:35" s="1640" customFormat="1" x14ac:dyDescent="0.2">
      <c r="E661" s="1641"/>
      <c r="G661" s="1641"/>
      <c r="M661" s="1642"/>
      <c r="N661" s="1643"/>
      <c r="R661" s="1644"/>
      <c r="S661" s="1644"/>
      <c r="T661" s="1644"/>
      <c r="U661" s="1644"/>
      <c r="AH661" s="1645"/>
      <c r="AI661" s="1646"/>
    </row>
    <row r="662" spans="5:35" s="1640" customFormat="1" x14ac:dyDescent="0.2">
      <c r="E662" s="1641"/>
      <c r="G662" s="1641"/>
      <c r="M662" s="1642"/>
      <c r="N662" s="1643"/>
      <c r="R662" s="1644"/>
      <c r="S662" s="1644"/>
      <c r="T662" s="1644"/>
      <c r="U662" s="1644"/>
      <c r="AH662" s="1645"/>
      <c r="AI662" s="1646"/>
    </row>
    <row r="663" spans="5:35" s="1640" customFormat="1" x14ac:dyDescent="0.2">
      <c r="E663" s="1641"/>
      <c r="G663" s="1641"/>
      <c r="M663" s="1642"/>
      <c r="N663" s="1643"/>
      <c r="R663" s="1644"/>
      <c r="S663" s="1644"/>
      <c r="T663" s="1644"/>
      <c r="U663" s="1644"/>
      <c r="AH663" s="1645"/>
      <c r="AI663" s="1646"/>
    </row>
  </sheetData>
  <mergeCells count="69">
    <mergeCell ref="A22:N22"/>
    <mergeCell ref="T18:T19"/>
    <mergeCell ref="U18:U19"/>
    <mergeCell ref="G20:G21"/>
    <mergeCell ref="H20:H21"/>
    <mergeCell ref="I20:I21"/>
    <mergeCell ref="J20:J21"/>
    <mergeCell ref="K20:K21"/>
    <mergeCell ref="N20:N21"/>
    <mergeCell ref="O20:O21"/>
    <mergeCell ref="G18:G19"/>
    <mergeCell ref="H18:H19"/>
    <mergeCell ref="I18:I19"/>
    <mergeCell ref="J18:J19"/>
    <mergeCell ref="K18:K19"/>
    <mergeCell ref="AJ14:AJ21"/>
    <mergeCell ref="G16:G17"/>
    <mergeCell ref="H16:H17"/>
    <mergeCell ref="I16:I17"/>
    <mergeCell ref="J16:J17"/>
    <mergeCell ref="K16:K17"/>
    <mergeCell ref="N16:N17"/>
    <mergeCell ref="O16:O17"/>
    <mergeCell ref="R16:R17"/>
    <mergeCell ref="AH14:AH21"/>
    <mergeCell ref="AI14:AI21"/>
    <mergeCell ref="AG14:AG21"/>
    <mergeCell ref="AD14:AD21"/>
    <mergeCell ref="AE14:AE21"/>
    <mergeCell ref="AF14:AF21"/>
    <mergeCell ref="AA14:AA21"/>
    <mergeCell ref="AB14:AB21"/>
    <mergeCell ref="AC14:AC21"/>
    <mergeCell ref="Q14:Q21"/>
    <mergeCell ref="R14:R15"/>
    <mergeCell ref="V14:V21"/>
    <mergeCell ref="W14:W21"/>
    <mergeCell ref="R18:R19"/>
    <mergeCell ref="S18:S19"/>
    <mergeCell ref="R20:R21"/>
    <mergeCell ref="O14:O15"/>
    <mergeCell ref="P14:P21"/>
    <mergeCell ref="N18:N19"/>
    <mergeCell ref="O18:O19"/>
    <mergeCell ref="D10:AJ10"/>
    <mergeCell ref="F11:AJ11"/>
    <mergeCell ref="F13:J13"/>
    <mergeCell ref="E14:E21"/>
    <mergeCell ref="F14:F21"/>
    <mergeCell ref="G14:G15"/>
    <mergeCell ref="H14:H15"/>
    <mergeCell ref="I14:I15"/>
    <mergeCell ref="J14:J15"/>
    <mergeCell ref="X14:X21"/>
    <mergeCell ref="Y14:Y21"/>
    <mergeCell ref="Z14:Z21"/>
    <mergeCell ref="B9:D9"/>
    <mergeCell ref="K14:K15"/>
    <mergeCell ref="L14:L21"/>
    <mergeCell ref="M14:M21"/>
    <mergeCell ref="N14:N15"/>
    <mergeCell ref="A1:AH4"/>
    <mergeCell ref="A5:J7"/>
    <mergeCell ref="K5:U7"/>
    <mergeCell ref="V5:AG6"/>
    <mergeCell ref="AH5:AJ6"/>
    <mergeCell ref="V7:AA7"/>
    <mergeCell ref="AB7:AG7"/>
    <mergeCell ref="AH7:AJ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
  <sheetViews>
    <sheetView showGridLines="0" topLeftCell="X1" zoomScale="70" zoomScaleNormal="70" workbookViewId="0">
      <selection activeCell="AM10" sqref="AM10"/>
    </sheetView>
  </sheetViews>
  <sheetFormatPr baseColWidth="10" defaultColWidth="11.42578125" defaultRowHeight="12.75" x14ac:dyDescent="0.2"/>
  <cols>
    <col min="1" max="1" width="12.5703125" style="148" customWidth="1"/>
    <col min="2" max="2" width="4" style="148" customWidth="1"/>
    <col min="3" max="3" width="14.7109375" style="148" customWidth="1"/>
    <col min="4" max="4" width="12" style="148" customWidth="1"/>
    <col min="5" max="5" width="7.42578125" style="148" customWidth="1"/>
    <col min="6" max="6" width="10.140625" style="148" customWidth="1"/>
    <col min="7" max="7" width="12.140625" style="148" customWidth="1"/>
    <col min="8" max="8" width="8.5703125" style="148" customWidth="1"/>
    <col min="9" max="9" width="14.7109375" style="148" customWidth="1"/>
    <col min="10" max="10" width="13.140625" style="1582" customWidth="1"/>
    <col min="11" max="11" width="22.7109375" style="1583" customWidth="1"/>
    <col min="12" max="13" width="18.140625" style="118" customWidth="1"/>
    <col min="14" max="14" width="24.28515625" style="118" customWidth="1"/>
    <col min="15" max="15" width="11.7109375" style="118" customWidth="1"/>
    <col min="16" max="16" width="23.7109375" style="1584" customWidth="1"/>
    <col min="17" max="17" width="9.7109375" style="272" customWidth="1"/>
    <col min="18" max="18" width="20.5703125" style="312" bestFit="1" customWidth="1"/>
    <col min="19" max="19" width="27.28515625" style="1584" customWidth="1"/>
    <col min="20" max="20" width="29.140625" style="1584" customWidth="1"/>
    <col min="21" max="21" width="24.5703125" style="1584" customWidth="1"/>
    <col min="22" max="23" width="21.85546875" style="1585" customWidth="1"/>
    <col min="24" max="24" width="17.85546875" style="266" customWidth="1"/>
    <col min="25" max="25" width="7.28515625" style="148" customWidth="1"/>
    <col min="26" max="26" width="9" style="148" customWidth="1"/>
    <col min="27" max="36" width="7.28515625" style="148" customWidth="1"/>
    <col min="37" max="38" width="11.42578125" style="13"/>
    <col min="39" max="39" width="22.5703125" style="13" bestFit="1" customWidth="1"/>
    <col min="40" max="16384" width="11.42578125" style="13"/>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 customFormat="1" ht="48" customHeight="1" x14ac:dyDescent="0.2">
      <c r="A7" s="1856" t="s">
        <v>8</v>
      </c>
      <c r="B7" s="1858" t="s">
        <v>9</v>
      </c>
      <c r="C7" s="1859"/>
      <c r="D7" s="1856" t="s">
        <v>8</v>
      </c>
      <c r="E7" s="1858" t="s">
        <v>10</v>
      </c>
      <c r="F7" s="1859"/>
      <c r="G7" s="1856" t="s">
        <v>8</v>
      </c>
      <c r="H7" s="1858" t="s">
        <v>11</v>
      </c>
      <c r="I7" s="1859"/>
      <c r="J7" s="1856" t="s">
        <v>8</v>
      </c>
      <c r="K7" s="1856" t="s">
        <v>12</v>
      </c>
      <c r="L7" s="1856" t="s">
        <v>13</v>
      </c>
      <c r="M7" s="1858" t="s">
        <v>14</v>
      </c>
      <c r="N7" s="1856" t="s">
        <v>15</v>
      </c>
      <c r="O7" s="1867" t="s">
        <v>16</v>
      </c>
      <c r="P7" s="1856" t="s">
        <v>6</v>
      </c>
      <c r="Q7" s="1856" t="s">
        <v>17</v>
      </c>
      <c r="R7" s="1856" t="s">
        <v>18</v>
      </c>
      <c r="S7" s="1856" t="s">
        <v>19</v>
      </c>
      <c r="T7" s="1856" t="s">
        <v>20</v>
      </c>
      <c r="U7" s="1856" t="s">
        <v>21</v>
      </c>
      <c r="V7" s="1858" t="s">
        <v>18</v>
      </c>
      <c r="W7" s="1856" t="s">
        <v>8</v>
      </c>
      <c r="X7" s="1856" t="s">
        <v>22</v>
      </c>
      <c r="Y7" s="1891" t="s">
        <v>23</v>
      </c>
      <c r="Z7" s="1892"/>
      <c r="AA7" s="1892"/>
      <c r="AB7" s="1892"/>
      <c r="AC7" s="1892"/>
      <c r="AD7" s="1892"/>
      <c r="AE7" s="1891" t="s">
        <v>24</v>
      </c>
      <c r="AF7" s="1892"/>
      <c r="AG7" s="1892"/>
      <c r="AH7" s="1892"/>
      <c r="AI7" s="1892"/>
      <c r="AJ7" s="1892"/>
      <c r="AK7" s="1871" t="s">
        <v>25</v>
      </c>
      <c r="AL7" s="1871" t="s">
        <v>26</v>
      </c>
      <c r="AM7" s="1869" t="s">
        <v>27</v>
      </c>
    </row>
    <row r="8" spans="1:72" s="1" customFormat="1" ht="45.75" customHeight="1" x14ac:dyDescent="0.2">
      <c r="A8" s="3472"/>
      <c r="B8" s="1866"/>
      <c r="C8" s="3474"/>
      <c r="D8" s="3472"/>
      <c r="E8" s="1866"/>
      <c r="F8" s="3474"/>
      <c r="G8" s="3472"/>
      <c r="H8" s="1866"/>
      <c r="I8" s="3474"/>
      <c r="J8" s="3472"/>
      <c r="K8" s="3472"/>
      <c r="L8" s="3472"/>
      <c r="M8" s="1866"/>
      <c r="N8" s="3472"/>
      <c r="O8" s="3473"/>
      <c r="P8" s="3472"/>
      <c r="Q8" s="3472"/>
      <c r="R8" s="3472"/>
      <c r="S8" s="3472"/>
      <c r="T8" s="3472"/>
      <c r="U8" s="3472"/>
      <c r="V8" s="1866"/>
      <c r="W8" s="3472"/>
      <c r="X8" s="3472"/>
      <c r="Y8" s="1828" t="s">
        <v>28</v>
      </c>
      <c r="Z8" s="1828" t="s">
        <v>29</v>
      </c>
      <c r="AA8" s="1828" t="s">
        <v>30</v>
      </c>
      <c r="AB8" s="1828" t="s">
        <v>31</v>
      </c>
      <c r="AC8" s="1828" t="s">
        <v>32</v>
      </c>
      <c r="AD8" s="1828" t="s">
        <v>33</v>
      </c>
      <c r="AE8" s="1828" t="s">
        <v>34</v>
      </c>
      <c r="AF8" s="1828" t="s">
        <v>35</v>
      </c>
      <c r="AG8" s="1828" t="s">
        <v>36</v>
      </c>
      <c r="AH8" s="1828" t="s">
        <v>37</v>
      </c>
      <c r="AI8" s="1828" t="s">
        <v>38</v>
      </c>
      <c r="AJ8" s="1828" t="s">
        <v>39</v>
      </c>
      <c r="AK8" s="1872"/>
      <c r="AL8" s="1872"/>
      <c r="AM8" s="3475"/>
    </row>
    <row r="9" spans="1:72" ht="27" customHeight="1" x14ac:dyDescent="0.2">
      <c r="A9" s="1844">
        <v>4</v>
      </c>
      <c r="B9" s="1845" t="s">
        <v>433</v>
      </c>
      <c r="C9" s="1845"/>
      <c r="D9" s="1551"/>
      <c r="E9" s="1552"/>
      <c r="F9" s="1552"/>
      <c r="G9" s="1552"/>
      <c r="H9" s="1552"/>
      <c r="I9" s="1552"/>
      <c r="J9" s="1552"/>
      <c r="K9" s="1552"/>
      <c r="L9" s="1552"/>
      <c r="M9" s="1552"/>
      <c r="N9" s="1552"/>
      <c r="O9" s="1552"/>
      <c r="P9" s="1552"/>
      <c r="Q9" s="1552"/>
      <c r="R9" s="1552"/>
      <c r="S9" s="1552"/>
      <c r="T9" s="1552"/>
      <c r="U9" s="1552"/>
      <c r="V9" s="1552"/>
      <c r="W9" s="1552"/>
      <c r="X9" s="1552"/>
      <c r="Y9" s="1552"/>
      <c r="Z9" s="1552"/>
      <c r="AA9" s="1552"/>
      <c r="AB9" s="1552"/>
      <c r="AC9" s="1552"/>
      <c r="AD9" s="1552"/>
      <c r="AE9" s="1552"/>
      <c r="AF9" s="1552"/>
      <c r="AG9" s="1552"/>
      <c r="AH9" s="1552"/>
      <c r="AI9" s="1552"/>
      <c r="AJ9" s="1552"/>
      <c r="AK9" s="1552"/>
      <c r="AL9" s="1552"/>
      <c r="AM9" s="1846"/>
    </row>
    <row r="10" spans="1:72" ht="27" customHeight="1" x14ac:dyDescent="0.2">
      <c r="A10" s="3476"/>
      <c r="B10" s="3478"/>
      <c r="C10" s="3478"/>
      <c r="D10" s="1553">
        <v>23</v>
      </c>
      <c r="E10" s="1554" t="s">
        <v>1695</v>
      </c>
      <c r="F10" s="1555"/>
      <c r="G10" s="1555"/>
      <c r="H10" s="1555"/>
      <c r="I10" s="1555"/>
      <c r="J10" s="1555"/>
      <c r="K10" s="1555"/>
      <c r="L10" s="1555"/>
      <c r="M10" s="1555"/>
      <c r="N10" s="1555"/>
      <c r="O10" s="1555"/>
      <c r="P10" s="1555"/>
      <c r="Q10" s="1555"/>
      <c r="R10" s="1555"/>
      <c r="S10" s="1555"/>
      <c r="T10" s="1555"/>
      <c r="U10" s="1555"/>
      <c r="V10" s="1555"/>
      <c r="W10" s="1555"/>
      <c r="X10" s="1555"/>
      <c r="Y10" s="1555"/>
      <c r="Z10" s="1555"/>
      <c r="AA10" s="1555"/>
      <c r="AB10" s="1555"/>
      <c r="AC10" s="1555"/>
      <c r="AD10" s="1555"/>
      <c r="AE10" s="1555"/>
      <c r="AF10" s="1555"/>
      <c r="AG10" s="1555"/>
      <c r="AH10" s="1555"/>
      <c r="AI10" s="1555"/>
      <c r="AJ10" s="1555"/>
      <c r="AK10" s="1555"/>
      <c r="AL10" s="1555"/>
      <c r="AM10" s="1586"/>
    </row>
    <row r="11" spans="1:72" ht="27" customHeight="1" x14ac:dyDescent="0.2">
      <c r="A11" s="3477"/>
      <c r="B11" s="3478"/>
      <c r="C11" s="3478"/>
      <c r="D11" s="3397"/>
      <c r="E11" s="3397"/>
      <c r="F11" s="3397"/>
      <c r="G11" s="1556">
        <v>77</v>
      </c>
      <c r="H11" s="1557" t="s">
        <v>1696</v>
      </c>
      <c r="I11" s="1558"/>
      <c r="J11" s="1558"/>
      <c r="K11" s="1558"/>
      <c r="L11" s="1558"/>
      <c r="M11" s="1558"/>
      <c r="N11" s="1558"/>
      <c r="O11" s="1558"/>
      <c r="P11" s="1558"/>
      <c r="Q11" s="1558"/>
      <c r="R11" s="1558"/>
      <c r="S11" s="1558"/>
      <c r="T11" s="1558"/>
      <c r="U11" s="1558"/>
      <c r="V11" s="1558"/>
      <c r="W11" s="1558"/>
      <c r="X11" s="1558"/>
      <c r="Y11" s="1558"/>
      <c r="Z11" s="1558"/>
      <c r="AA11" s="1558"/>
      <c r="AB11" s="1558"/>
      <c r="AC11" s="1558"/>
      <c r="AD11" s="1558"/>
      <c r="AE11" s="1558"/>
      <c r="AF11" s="1558"/>
      <c r="AG11" s="1558"/>
      <c r="AH11" s="1558"/>
      <c r="AI11" s="1558"/>
      <c r="AJ11" s="1558"/>
      <c r="AK11" s="1558"/>
      <c r="AL11" s="1558"/>
      <c r="AM11" s="1587"/>
    </row>
    <row r="12" spans="1:72" s="142" customFormat="1" ht="51" customHeight="1" x14ac:dyDescent="0.2">
      <c r="A12" s="3477"/>
      <c r="B12" s="3478"/>
      <c r="C12" s="3478"/>
      <c r="D12" s="3397"/>
      <c r="E12" s="3397"/>
      <c r="F12" s="3397"/>
      <c r="G12" s="1940"/>
      <c r="H12" s="1940"/>
      <c r="I12" s="1940"/>
      <c r="J12" s="3479">
        <v>223</v>
      </c>
      <c r="K12" s="1956" t="s">
        <v>1697</v>
      </c>
      <c r="L12" s="1940" t="s">
        <v>16</v>
      </c>
      <c r="M12" s="1943">
        <v>1</v>
      </c>
      <c r="N12" s="3397"/>
      <c r="O12" s="1940">
        <v>172</v>
      </c>
      <c r="P12" s="1956" t="s">
        <v>1698</v>
      </c>
      <c r="Q12" s="2008">
        <f>+R12/(V12+V13+V14+V15)</f>
        <v>0.78246151109376549</v>
      </c>
      <c r="R12" s="3483">
        <f>30167954+57117000</f>
        <v>87284954</v>
      </c>
      <c r="S12" s="1941" t="s">
        <v>1699</v>
      </c>
      <c r="T12" s="1941" t="s">
        <v>1700</v>
      </c>
      <c r="U12" s="1559" t="s">
        <v>1701</v>
      </c>
      <c r="V12" s="1560">
        <f>10167954+57117000</f>
        <v>67284954</v>
      </c>
      <c r="W12" s="3480"/>
      <c r="X12" s="1940" t="s">
        <v>1702</v>
      </c>
      <c r="Y12" s="3481">
        <v>13437</v>
      </c>
      <c r="Z12" s="3481">
        <v>19816</v>
      </c>
      <c r="AA12" s="3481">
        <v>5665</v>
      </c>
      <c r="AB12" s="3481">
        <v>17786</v>
      </c>
      <c r="AC12" s="3481">
        <v>46467</v>
      </c>
      <c r="AD12" s="3481">
        <v>15954</v>
      </c>
      <c r="AE12" s="3481"/>
      <c r="AF12" s="3481"/>
      <c r="AG12" s="3481"/>
      <c r="AH12" s="3481"/>
      <c r="AI12" s="3481"/>
      <c r="AJ12" s="3481"/>
      <c r="AK12" s="3487">
        <v>42751</v>
      </c>
      <c r="AL12" s="3487">
        <v>43089</v>
      </c>
      <c r="AM12" s="1948" t="s">
        <v>1703</v>
      </c>
    </row>
    <row r="13" spans="1:72" s="142" customFormat="1" ht="57.75" customHeight="1" x14ac:dyDescent="0.2">
      <c r="A13" s="3477"/>
      <c r="B13" s="3478"/>
      <c r="C13" s="3478"/>
      <c r="D13" s="3397"/>
      <c r="E13" s="3397"/>
      <c r="F13" s="3397"/>
      <c r="G13" s="1940"/>
      <c r="H13" s="1940"/>
      <c r="I13" s="1940"/>
      <c r="J13" s="3479"/>
      <c r="K13" s="1956"/>
      <c r="L13" s="1940"/>
      <c r="M13" s="1943"/>
      <c r="N13" s="3397"/>
      <c r="O13" s="1940"/>
      <c r="P13" s="1956"/>
      <c r="Q13" s="2008"/>
      <c r="R13" s="3483"/>
      <c r="S13" s="1941"/>
      <c r="T13" s="1941"/>
      <c r="U13" s="1559" t="s">
        <v>1704</v>
      </c>
      <c r="V13" s="296">
        <f>20000000</f>
        <v>20000000</v>
      </c>
      <c r="W13" s="3480"/>
      <c r="X13" s="1940"/>
      <c r="Y13" s="3482"/>
      <c r="Z13" s="3482"/>
      <c r="AA13" s="3482"/>
      <c r="AB13" s="3482"/>
      <c r="AC13" s="3482"/>
      <c r="AD13" s="3482"/>
      <c r="AE13" s="3482"/>
      <c r="AF13" s="3482"/>
      <c r="AG13" s="3482"/>
      <c r="AH13" s="3482"/>
      <c r="AI13" s="3482"/>
      <c r="AJ13" s="3482"/>
      <c r="AK13" s="3488"/>
      <c r="AL13" s="3488"/>
      <c r="AM13" s="1948"/>
    </row>
    <row r="14" spans="1:72" s="142" customFormat="1" ht="42.75" customHeight="1" x14ac:dyDescent="0.2">
      <c r="A14" s="3477"/>
      <c r="B14" s="3478"/>
      <c r="C14" s="3478"/>
      <c r="D14" s="3397"/>
      <c r="E14" s="3397"/>
      <c r="F14" s="3397"/>
      <c r="G14" s="1940"/>
      <c r="H14" s="1940"/>
      <c r="I14" s="1940"/>
      <c r="J14" s="1561">
        <v>224</v>
      </c>
      <c r="K14" s="153" t="s">
        <v>1705</v>
      </c>
      <c r="L14" s="1526" t="s">
        <v>16</v>
      </c>
      <c r="M14" s="304">
        <v>1</v>
      </c>
      <c r="N14" s="3397"/>
      <c r="O14" s="1940"/>
      <c r="P14" s="1956"/>
      <c r="Q14" s="305">
        <f>+R14/(V12+V13+V14+V15)</f>
        <v>0.18466764762838242</v>
      </c>
      <c r="R14" s="1560">
        <v>20600000</v>
      </c>
      <c r="S14" s="1941"/>
      <c r="T14" s="1941"/>
      <c r="U14" s="1559" t="s">
        <v>1706</v>
      </c>
      <c r="V14" s="1560">
        <v>20600000</v>
      </c>
      <c r="W14" s="3480"/>
      <c r="X14" s="1940"/>
      <c r="Y14" s="3482"/>
      <c r="Z14" s="3482"/>
      <c r="AA14" s="3482"/>
      <c r="AB14" s="3482"/>
      <c r="AC14" s="3482"/>
      <c r="AD14" s="3482"/>
      <c r="AE14" s="3482"/>
      <c r="AF14" s="3482"/>
      <c r="AG14" s="3482"/>
      <c r="AH14" s="3482"/>
      <c r="AI14" s="3482"/>
      <c r="AJ14" s="3482"/>
      <c r="AK14" s="3488"/>
      <c r="AL14" s="3488"/>
      <c r="AM14" s="1948"/>
    </row>
    <row r="15" spans="1:72" s="142" customFormat="1" ht="99" customHeight="1" thickBot="1" x14ac:dyDescent="0.25">
      <c r="A15" s="3477"/>
      <c r="B15" s="3476"/>
      <c r="C15" s="3476"/>
      <c r="D15" s="3367"/>
      <c r="E15" s="3367"/>
      <c r="F15" s="3367"/>
      <c r="G15" s="1937"/>
      <c r="H15" s="1937"/>
      <c r="I15" s="1937"/>
      <c r="J15" s="1562">
        <v>225</v>
      </c>
      <c r="K15" s="185" t="s">
        <v>1707</v>
      </c>
      <c r="L15" s="1517" t="s">
        <v>16</v>
      </c>
      <c r="M15" s="1563">
        <v>1</v>
      </c>
      <c r="N15" s="3367"/>
      <c r="O15" s="1937"/>
      <c r="P15" s="1957"/>
      <c r="Q15" s="1322">
        <f>+R15/(V12+V13+V14+V15)</f>
        <v>3.2870841277852073E-2</v>
      </c>
      <c r="R15" s="1564">
        <v>3666800</v>
      </c>
      <c r="S15" s="1942"/>
      <c r="T15" s="139" t="s">
        <v>1708</v>
      </c>
      <c r="U15" s="1565" t="s">
        <v>1709</v>
      </c>
      <c r="V15" s="1564">
        <v>3666800</v>
      </c>
      <c r="W15" s="3481"/>
      <c r="X15" s="1937"/>
      <c r="Y15" s="3482"/>
      <c r="Z15" s="3482"/>
      <c r="AA15" s="3482"/>
      <c r="AB15" s="3482"/>
      <c r="AC15" s="3482"/>
      <c r="AD15" s="3482"/>
      <c r="AE15" s="3482"/>
      <c r="AF15" s="3482"/>
      <c r="AG15" s="3482"/>
      <c r="AH15" s="3482"/>
      <c r="AI15" s="3482"/>
      <c r="AJ15" s="3482"/>
      <c r="AK15" s="3488"/>
      <c r="AL15" s="3488"/>
      <c r="AM15" s="1949"/>
    </row>
    <row r="16" spans="1:72" s="1576" customFormat="1" ht="13.5" thickBot="1" x14ac:dyDescent="0.25">
      <c r="A16" s="3484" t="s">
        <v>98</v>
      </c>
      <c r="B16" s="3485"/>
      <c r="C16" s="3485"/>
      <c r="D16" s="3485"/>
      <c r="E16" s="3485"/>
      <c r="F16" s="3485"/>
      <c r="G16" s="3485"/>
      <c r="H16" s="3485"/>
      <c r="I16" s="3485"/>
      <c r="J16" s="3485"/>
      <c r="K16" s="3485"/>
      <c r="L16" s="3485"/>
      <c r="M16" s="3485"/>
      <c r="N16" s="3485"/>
      <c r="O16" s="3485"/>
      <c r="P16" s="3485"/>
      <c r="Q16" s="3486"/>
      <c r="R16" s="1566">
        <f>SUM(R12:R15)</f>
        <v>111551754</v>
      </c>
      <c r="S16" s="1567"/>
      <c r="T16" s="1568"/>
      <c r="U16" s="1569"/>
      <c r="V16" s="1570">
        <f>SUM(V12:V15)</f>
        <v>111551754</v>
      </c>
      <c r="W16" s="1571"/>
      <c r="X16" s="969"/>
      <c r="Y16" s="1572"/>
      <c r="Z16" s="1572"/>
      <c r="AA16" s="1572"/>
      <c r="AB16" s="1572"/>
      <c r="AC16" s="1572"/>
      <c r="AD16" s="1572"/>
      <c r="AE16" s="1572"/>
      <c r="AF16" s="1572"/>
      <c r="AG16" s="1572"/>
      <c r="AH16" s="1572"/>
      <c r="AI16" s="1572"/>
      <c r="AJ16" s="1572"/>
      <c r="AK16" s="1573"/>
      <c r="AL16" s="1574"/>
      <c r="AM16" s="1575"/>
    </row>
    <row r="20" spans="1:54" s="662" customFormat="1" ht="15" x14ac:dyDescent="0.25">
      <c r="A20" s="279"/>
      <c r="B20" s="279"/>
      <c r="C20" s="2501" t="s">
        <v>1710</v>
      </c>
      <c r="D20" s="2501"/>
      <c r="E20" s="2501"/>
      <c r="F20" s="2501"/>
      <c r="G20" s="2501"/>
      <c r="H20" s="2501"/>
      <c r="I20" s="2501"/>
      <c r="J20" s="2501"/>
      <c r="K20" s="279"/>
      <c r="L20" s="279"/>
      <c r="M20" s="279"/>
      <c r="N20" s="279"/>
      <c r="O20" s="279"/>
      <c r="P20" s="279"/>
      <c r="Q20" s="717"/>
      <c r="R20" s="285"/>
      <c r="S20" s="720"/>
      <c r="T20" s="709"/>
      <c r="U20" s="709"/>
      <c r="V20" s="278"/>
      <c r="W20" s="1577"/>
      <c r="X20" s="1578"/>
      <c r="Y20" s="1578"/>
      <c r="Z20" s="1577"/>
      <c r="AA20" s="278"/>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1579"/>
      <c r="AY20" s="1580"/>
      <c r="AZ20" s="932"/>
      <c r="BA20" s="933"/>
      <c r="BB20" s="934"/>
    </row>
    <row r="21" spans="1:54" s="662" customFormat="1" ht="15" x14ac:dyDescent="0.25">
      <c r="A21" s="279"/>
      <c r="B21" s="279"/>
      <c r="C21" s="2501" t="s">
        <v>1711</v>
      </c>
      <c r="D21" s="2501"/>
      <c r="E21" s="2501"/>
      <c r="F21" s="2501"/>
      <c r="G21" s="2501"/>
      <c r="H21" s="2501"/>
      <c r="I21" s="2501"/>
      <c r="J21" s="2501"/>
      <c r="K21" s="279"/>
      <c r="L21" s="279"/>
      <c r="M21" s="279"/>
      <c r="N21" s="279"/>
      <c r="O21" s="279"/>
      <c r="P21" s="279"/>
      <c r="Q21" s="717"/>
      <c r="R21" s="285"/>
      <c r="S21" s="720"/>
      <c r="T21" s="709"/>
      <c r="U21" s="709"/>
      <c r="V21" s="278"/>
      <c r="W21" s="1577"/>
      <c r="X21" s="1578"/>
      <c r="Y21" s="1578"/>
      <c r="Z21" s="1577"/>
      <c r="AA21" s="278"/>
      <c r="AB21" s="1581"/>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1579"/>
      <c r="AY21" s="1580"/>
      <c r="AZ21" s="932"/>
      <c r="BA21" s="933"/>
      <c r="BB21" s="934"/>
    </row>
  </sheetData>
  <mergeCells count="65">
    <mergeCell ref="AM12:AM15"/>
    <mergeCell ref="A16:Q16"/>
    <mergeCell ref="C20:J20"/>
    <mergeCell ref="C21:J21"/>
    <mergeCell ref="AK12:AK15"/>
    <mergeCell ref="AL12:AL15"/>
    <mergeCell ref="AJ12:AJ15"/>
    <mergeCell ref="AG12:AG15"/>
    <mergeCell ref="AH12:AH15"/>
    <mergeCell ref="AI12:AI15"/>
    <mergeCell ref="AF12:AF15"/>
    <mergeCell ref="AA12:AA15"/>
    <mergeCell ref="AB12:AB15"/>
    <mergeCell ref="AC12:AC15"/>
    <mergeCell ref="N12:N15"/>
    <mergeCell ref="O12:O15"/>
    <mergeCell ref="P12:P15"/>
    <mergeCell ref="Q12:Q13"/>
    <mergeCell ref="R12:R13"/>
    <mergeCell ref="S12:S15"/>
    <mergeCell ref="AD12:AD15"/>
    <mergeCell ref="AE12:AE15"/>
    <mergeCell ref="W12:W15"/>
    <mergeCell ref="X12:X15"/>
    <mergeCell ref="Y12:Y15"/>
    <mergeCell ref="Z12:Z15"/>
    <mergeCell ref="U7:U8"/>
    <mergeCell ref="K12:K13"/>
    <mergeCell ref="L12:L13"/>
    <mergeCell ref="M12:M13"/>
    <mergeCell ref="S7:S8"/>
    <mergeCell ref="T7:T8"/>
    <mergeCell ref="T12:T14"/>
    <mergeCell ref="A10:A15"/>
    <mergeCell ref="B10:C15"/>
    <mergeCell ref="D11:F15"/>
    <mergeCell ref="G12:I15"/>
    <mergeCell ref="J12:J13"/>
    <mergeCell ref="P7:P8"/>
    <mergeCell ref="Q7:Q8"/>
    <mergeCell ref="R7:R8"/>
    <mergeCell ref="AM7:AM8"/>
    <mergeCell ref="Y7:AD7"/>
    <mergeCell ref="AE7:AJ7"/>
    <mergeCell ref="AK7:AK8"/>
    <mergeCell ref="AL7:AL8"/>
    <mergeCell ref="V7:V8"/>
    <mergeCell ref="W7:W8"/>
    <mergeCell ref="X7:X8"/>
    <mergeCell ref="A1:AK4"/>
    <mergeCell ref="A5:M6"/>
    <mergeCell ref="N5:AM5"/>
    <mergeCell ref="Y6:AJ6"/>
    <mergeCell ref="J7:J8"/>
    <mergeCell ref="K7:K8"/>
    <mergeCell ref="L7:L8"/>
    <mergeCell ref="M7:M8"/>
    <mergeCell ref="N7:N8"/>
    <mergeCell ref="O7:O8"/>
    <mergeCell ref="A7:A8"/>
    <mergeCell ref="B7:C8"/>
    <mergeCell ref="D7:D8"/>
    <mergeCell ref="E7:F8"/>
    <mergeCell ref="G7:G8"/>
    <mergeCell ref="H7:I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9"/>
  <sheetViews>
    <sheetView showGridLines="0" zoomScale="55" zoomScaleNormal="55" workbookViewId="0">
      <selection sqref="A1:AK4"/>
    </sheetView>
  </sheetViews>
  <sheetFormatPr baseColWidth="10" defaultColWidth="11.42578125" defaultRowHeight="12.75" x14ac:dyDescent="0.2"/>
  <cols>
    <col min="1" max="1" width="16.85546875" style="265" customWidth="1"/>
    <col min="2" max="2" width="4" style="148" customWidth="1"/>
    <col min="3" max="3" width="15.42578125" style="148" customWidth="1"/>
    <col min="4" max="4" width="14.7109375" style="148" customWidth="1"/>
    <col min="5" max="5" width="10" style="148" customWidth="1"/>
    <col min="6" max="6" width="6.28515625" style="148" customWidth="1"/>
    <col min="7" max="7" width="14.42578125" style="148" customWidth="1"/>
    <col min="8" max="8" width="8.5703125" style="148" customWidth="1"/>
    <col min="9" max="9" width="13.7109375" style="148" customWidth="1"/>
    <col min="10" max="10" width="11.5703125" style="148" customWidth="1"/>
    <col min="11" max="11" width="25.140625" style="266" customWidth="1"/>
    <col min="12" max="12" width="22.7109375" style="118" customWidth="1"/>
    <col min="13" max="13" width="22.85546875" style="118" customWidth="1"/>
    <col min="14" max="14" width="30.28515625" style="118" customWidth="1"/>
    <col min="15" max="15" width="10.42578125" style="267" customWidth="1"/>
    <col min="16" max="16" width="23.85546875" style="266" customWidth="1"/>
    <col min="17" max="17" width="12.7109375" style="268" customWidth="1"/>
    <col min="18" max="18" width="20" style="269" customWidth="1"/>
    <col min="19" max="19" width="27" style="266" customWidth="1"/>
    <col min="20" max="20" width="44.140625" style="266" customWidth="1"/>
    <col min="21" max="21" width="43.85546875" style="266" customWidth="1"/>
    <col min="22" max="22" width="21.85546875" style="276" customWidth="1"/>
    <col min="23" max="23" width="11.7109375" style="271" customWidth="1"/>
    <col min="24" max="24" width="14.5703125" style="272" customWidth="1"/>
    <col min="25" max="36" width="13.7109375" style="148" customWidth="1"/>
    <col min="37" max="37" width="15.5703125" style="273" customWidth="1"/>
    <col min="38" max="38" width="15.140625" style="274" customWidth="1"/>
    <col min="39" max="39" width="34.42578125" style="275" bestFit="1" customWidth="1"/>
    <col min="40" max="16384" width="11.42578125" style="148"/>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 customFormat="1" ht="47.25" customHeight="1" x14ac:dyDescent="0.2">
      <c r="A7" s="1856" t="s">
        <v>8</v>
      </c>
      <c r="B7" s="1858" t="s">
        <v>9</v>
      </c>
      <c r="C7" s="1859"/>
      <c r="D7" s="1856" t="s">
        <v>8</v>
      </c>
      <c r="E7" s="1858" t="s">
        <v>10</v>
      </c>
      <c r="F7" s="1859"/>
      <c r="G7" s="1856" t="s">
        <v>8</v>
      </c>
      <c r="H7" s="1858" t="s">
        <v>11</v>
      </c>
      <c r="I7" s="1859"/>
      <c r="J7" s="1856" t="s">
        <v>8</v>
      </c>
      <c r="K7" s="1856" t="s">
        <v>12</v>
      </c>
      <c r="L7" s="1856" t="s">
        <v>13</v>
      </c>
      <c r="M7" s="1858" t="s">
        <v>14</v>
      </c>
      <c r="N7" s="1856" t="s">
        <v>15</v>
      </c>
      <c r="O7" s="1867" t="s">
        <v>16</v>
      </c>
      <c r="P7" s="1856" t="s">
        <v>6</v>
      </c>
      <c r="Q7" s="1856" t="s">
        <v>17</v>
      </c>
      <c r="R7" s="1856" t="s">
        <v>18</v>
      </c>
      <c r="S7" s="1856" t="s">
        <v>19</v>
      </c>
      <c r="T7" s="1856" t="s">
        <v>20</v>
      </c>
      <c r="U7" s="1856" t="s">
        <v>21</v>
      </c>
      <c r="V7" s="1858" t="s">
        <v>18</v>
      </c>
      <c r="W7" s="1856" t="s">
        <v>8</v>
      </c>
      <c r="X7" s="1856" t="s">
        <v>22</v>
      </c>
      <c r="Y7" s="1891" t="s">
        <v>23</v>
      </c>
      <c r="Z7" s="1892"/>
      <c r="AA7" s="1892"/>
      <c r="AB7" s="1892"/>
      <c r="AC7" s="1892"/>
      <c r="AD7" s="1892"/>
      <c r="AE7" s="1891" t="s">
        <v>24</v>
      </c>
      <c r="AF7" s="1892"/>
      <c r="AG7" s="1892"/>
      <c r="AH7" s="1892"/>
      <c r="AI7" s="1892"/>
      <c r="AJ7" s="1892"/>
      <c r="AK7" s="1871" t="s">
        <v>25</v>
      </c>
      <c r="AL7" s="1871" t="s">
        <v>26</v>
      </c>
      <c r="AM7" s="1935" t="s">
        <v>27</v>
      </c>
    </row>
    <row r="8" spans="1:72" s="1" customFormat="1" ht="54" customHeight="1" x14ac:dyDescent="0.2">
      <c r="A8" s="1857"/>
      <c r="B8" s="1860"/>
      <c r="C8" s="1861"/>
      <c r="D8" s="1857"/>
      <c r="E8" s="1860"/>
      <c r="F8" s="1861"/>
      <c r="G8" s="1857"/>
      <c r="H8" s="1860"/>
      <c r="I8" s="1861"/>
      <c r="J8" s="1857"/>
      <c r="K8" s="1857"/>
      <c r="L8" s="1857"/>
      <c r="M8" s="1866"/>
      <c r="N8" s="1857"/>
      <c r="O8" s="1868"/>
      <c r="P8" s="1857"/>
      <c r="Q8" s="1857"/>
      <c r="R8" s="1857"/>
      <c r="S8" s="1857"/>
      <c r="T8" s="1857"/>
      <c r="U8" s="1857"/>
      <c r="V8" s="1866"/>
      <c r="W8" s="1857"/>
      <c r="X8" s="1857"/>
      <c r="Y8" s="1786" t="s">
        <v>28</v>
      </c>
      <c r="Z8" s="1786" t="s">
        <v>29</v>
      </c>
      <c r="AA8" s="1786" t="s">
        <v>30</v>
      </c>
      <c r="AB8" s="1786" t="s">
        <v>31</v>
      </c>
      <c r="AC8" s="1786" t="s">
        <v>32</v>
      </c>
      <c r="AD8" s="1786" t="s">
        <v>33</v>
      </c>
      <c r="AE8" s="1786" t="s">
        <v>34</v>
      </c>
      <c r="AF8" s="1786" t="s">
        <v>35</v>
      </c>
      <c r="AG8" s="1786" t="s">
        <v>36</v>
      </c>
      <c r="AH8" s="1786" t="s">
        <v>37</v>
      </c>
      <c r="AI8" s="1786" t="s">
        <v>38</v>
      </c>
      <c r="AJ8" s="1786" t="s">
        <v>39</v>
      </c>
      <c r="AK8" s="1872"/>
      <c r="AL8" s="1872"/>
      <c r="AM8" s="1936"/>
    </row>
    <row r="9" spans="1:72" s="13" customFormat="1" ht="29.25" customHeight="1" x14ac:dyDescent="0.2">
      <c r="A9" s="97">
        <v>5</v>
      </c>
      <c r="B9" s="98" t="s">
        <v>42</v>
      </c>
      <c r="C9" s="98"/>
      <c r="D9" s="3"/>
      <c r="E9" s="3"/>
      <c r="F9" s="3"/>
      <c r="G9" s="3"/>
      <c r="H9" s="3"/>
      <c r="I9" s="3"/>
      <c r="J9" s="3"/>
      <c r="K9" s="5"/>
      <c r="L9" s="3"/>
      <c r="M9" s="3"/>
      <c r="N9" s="3"/>
      <c r="O9" s="10"/>
      <c r="P9" s="5"/>
      <c r="Q9" s="99"/>
      <c r="R9" s="100"/>
      <c r="S9" s="5"/>
      <c r="T9" s="5"/>
      <c r="U9" s="5"/>
      <c r="V9" s="101"/>
      <c r="W9" s="11"/>
      <c r="X9" s="10"/>
      <c r="Y9" s="3"/>
      <c r="Z9" s="3"/>
      <c r="AA9" s="3"/>
      <c r="AB9" s="3"/>
      <c r="AC9" s="3"/>
      <c r="AD9" s="3"/>
      <c r="AE9" s="3"/>
      <c r="AF9" s="3"/>
      <c r="AG9" s="3"/>
      <c r="AH9" s="3"/>
      <c r="AI9" s="3"/>
      <c r="AJ9" s="3"/>
      <c r="AK9" s="102"/>
      <c r="AL9" s="102"/>
      <c r="AM9" s="103"/>
    </row>
    <row r="10" spans="1:72" s="118" customFormat="1" ht="26.25" customHeight="1" x14ac:dyDescent="0.2">
      <c r="A10" s="104"/>
      <c r="B10" s="105"/>
      <c r="C10" s="106"/>
      <c r="D10" s="107">
        <v>26</v>
      </c>
      <c r="E10" s="108" t="s">
        <v>100</v>
      </c>
      <c r="F10" s="108"/>
      <c r="G10" s="109"/>
      <c r="H10" s="109"/>
      <c r="I10" s="109"/>
      <c r="J10" s="109"/>
      <c r="K10" s="110"/>
      <c r="L10" s="109"/>
      <c r="M10" s="109"/>
      <c r="N10" s="109"/>
      <c r="O10" s="111"/>
      <c r="P10" s="110"/>
      <c r="Q10" s="112"/>
      <c r="R10" s="113"/>
      <c r="S10" s="110"/>
      <c r="T10" s="110"/>
      <c r="U10" s="110"/>
      <c r="V10" s="114"/>
      <c r="W10" s="115"/>
      <c r="X10" s="111"/>
      <c r="Y10" s="109"/>
      <c r="Z10" s="109"/>
      <c r="AA10" s="109"/>
      <c r="AB10" s="109"/>
      <c r="AC10" s="109"/>
      <c r="AD10" s="109"/>
      <c r="AE10" s="109"/>
      <c r="AF10" s="109"/>
      <c r="AG10" s="109"/>
      <c r="AH10" s="109"/>
      <c r="AI10" s="109"/>
      <c r="AJ10" s="109"/>
      <c r="AK10" s="116"/>
      <c r="AL10" s="116"/>
      <c r="AM10" s="117"/>
    </row>
    <row r="11" spans="1:72" s="118" customFormat="1" ht="28.5" customHeight="1" x14ac:dyDescent="0.2">
      <c r="A11" s="119"/>
      <c r="B11" s="120"/>
      <c r="C11" s="120"/>
      <c r="D11" s="121"/>
      <c r="E11" s="105"/>
      <c r="F11" s="106"/>
      <c r="G11" s="122">
        <v>83</v>
      </c>
      <c r="H11" s="123" t="s">
        <v>101</v>
      </c>
      <c r="I11" s="123"/>
      <c r="J11" s="123"/>
      <c r="K11" s="124"/>
      <c r="L11" s="123"/>
      <c r="M11" s="123"/>
      <c r="N11" s="123"/>
      <c r="O11" s="125"/>
      <c r="P11" s="124"/>
      <c r="Q11" s="126"/>
      <c r="R11" s="127"/>
      <c r="S11" s="124"/>
      <c r="T11" s="124"/>
      <c r="U11" s="124"/>
      <c r="V11" s="128"/>
      <c r="W11" s="129"/>
      <c r="X11" s="125"/>
      <c r="Y11" s="123"/>
      <c r="Z11" s="123"/>
      <c r="AA11" s="123"/>
      <c r="AB11" s="123"/>
      <c r="AC11" s="123"/>
      <c r="AD11" s="123"/>
      <c r="AE11" s="123"/>
      <c r="AF11" s="123"/>
      <c r="AG11" s="123"/>
      <c r="AH11" s="123"/>
      <c r="AI11" s="123"/>
      <c r="AJ11" s="123"/>
      <c r="AK11" s="130"/>
      <c r="AL11" s="130"/>
      <c r="AM11" s="131"/>
    </row>
    <row r="12" spans="1:72" s="118" customFormat="1" ht="51" customHeight="1" x14ac:dyDescent="0.2">
      <c r="A12" s="132"/>
      <c r="B12" s="133"/>
      <c r="C12" s="133"/>
      <c r="D12" s="134"/>
      <c r="E12" s="133"/>
      <c r="F12" s="135"/>
      <c r="G12" s="136"/>
      <c r="H12" s="133"/>
      <c r="I12" s="133"/>
      <c r="J12" s="1940">
        <v>246</v>
      </c>
      <c r="K12" s="1941" t="s">
        <v>102</v>
      </c>
      <c r="L12" s="1940" t="s">
        <v>16</v>
      </c>
      <c r="M12" s="1940">
        <v>13</v>
      </c>
      <c r="N12" s="1943" t="s">
        <v>103</v>
      </c>
      <c r="O12" s="1940">
        <v>6</v>
      </c>
      <c r="P12" s="1941" t="s">
        <v>104</v>
      </c>
      <c r="Q12" s="1952">
        <v>1</v>
      </c>
      <c r="R12" s="1954">
        <v>30000000</v>
      </c>
      <c r="S12" s="1956" t="s">
        <v>105</v>
      </c>
      <c r="T12" s="1948" t="s">
        <v>106</v>
      </c>
      <c r="U12" s="137" t="s">
        <v>107</v>
      </c>
      <c r="V12" s="138">
        <v>3080000</v>
      </c>
      <c r="W12" s="1958">
        <v>20</v>
      </c>
      <c r="X12" s="1937" t="s">
        <v>51</v>
      </c>
      <c r="Y12" s="1945">
        <v>64149</v>
      </c>
      <c r="Z12" s="1945">
        <v>72224</v>
      </c>
      <c r="AA12" s="1945">
        <v>27477</v>
      </c>
      <c r="AB12" s="1945">
        <v>86843</v>
      </c>
      <c r="AC12" s="1945">
        <v>236429</v>
      </c>
      <c r="AD12" s="1945">
        <v>81384</v>
      </c>
      <c r="AE12" s="1945">
        <v>12718</v>
      </c>
      <c r="AF12" s="1945">
        <v>2145</v>
      </c>
      <c r="AG12" s="1945"/>
      <c r="AH12" s="1945">
        <v>491</v>
      </c>
      <c r="AI12" s="1945">
        <v>16892</v>
      </c>
      <c r="AJ12" s="1945">
        <v>81384</v>
      </c>
      <c r="AK12" s="1946" t="s">
        <v>108</v>
      </c>
      <c r="AL12" s="1946">
        <v>42901</v>
      </c>
      <c r="AM12" s="1948" t="s">
        <v>109</v>
      </c>
    </row>
    <row r="13" spans="1:72" s="118" customFormat="1" ht="38.25" x14ac:dyDescent="0.2">
      <c r="A13" s="132"/>
      <c r="B13" s="133"/>
      <c r="C13" s="133"/>
      <c r="D13" s="134"/>
      <c r="E13" s="133"/>
      <c r="F13" s="135"/>
      <c r="G13" s="133"/>
      <c r="H13" s="133"/>
      <c r="I13" s="133"/>
      <c r="J13" s="1940"/>
      <c r="K13" s="1941"/>
      <c r="L13" s="1940"/>
      <c r="M13" s="1940"/>
      <c r="N13" s="1943"/>
      <c r="O13" s="1940"/>
      <c r="P13" s="1941"/>
      <c r="Q13" s="1952"/>
      <c r="R13" s="1954"/>
      <c r="S13" s="1956"/>
      <c r="T13" s="1948"/>
      <c r="U13" s="137" t="s">
        <v>110</v>
      </c>
      <c r="V13" s="138">
        <v>1860000</v>
      </c>
      <c r="W13" s="1959"/>
      <c r="X13" s="1938"/>
      <c r="Y13" s="1945"/>
      <c r="Z13" s="1945"/>
      <c r="AA13" s="1945"/>
      <c r="AB13" s="1945"/>
      <c r="AC13" s="1945"/>
      <c r="AD13" s="1945"/>
      <c r="AE13" s="1945"/>
      <c r="AF13" s="1945"/>
      <c r="AG13" s="1945"/>
      <c r="AH13" s="1945"/>
      <c r="AI13" s="1945"/>
      <c r="AJ13" s="1945"/>
      <c r="AK13" s="1946"/>
      <c r="AL13" s="1946"/>
      <c r="AM13" s="1948"/>
    </row>
    <row r="14" spans="1:72" s="118" customFormat="1" ht="51" x14ac:dyDescent="0.2">
      <c r="A14" s="132"/>
      <c r="B14" s="133"/>
      <c r="C14" s="133"/>
      <c r="D14" s="134"/>
      <c r="E14" s="133"/>
      <c r="F14" s="135"/>
      <c r="G14" s="133"/>
      <c r="H14" s="133"/>
      <c r="I14" s="133"/>
      <c r="J14" s="1940"/>
      <c r="K14" s="1941"/>
      <c r="L14" s="1940"/>
      <c r="M14" s="1940"/>
      <c r="N14" s="1943"/>
      <c r="O14" s="1940"/>
      <c r="P14" s="1941"/>
      <c r="Q14" s="1952"/>
      <c r="R14" s="1954"/>
      <c r="S14" s="1956"/>
      <c r="T14" s="1948"/>
      <c r="U14" s="137" t="s">
        <v>111</v>
      </c>
      <c r="V14" s="138">
        <v>2700000</v>
      </c>
      <c r="W14" s="1959"/>
      <c r="X14" s="1938"/>
      <c r="Y14" s="1945"/>
      <c r="Z14" s="1945"/>
      <c r="AA14" s="1945"/>
      <c r="AB14" s="1945"/>
      <c r="AC14" s="1945"/>
      <c r="AD14" s="1945"/>
      <c r="AE14" s="1945"/>
      <c r="AF14" s="1945"/>
      <c r="AG14" s="1945"/>
      <c r="AH14" s="1945"/>
      <c r="AI14" s="1945"/>
      <c r="AJ14" s="1945"/>
      <c r="AK14" s="1946"/>
      <c r="AL14" s="1946"/>
      <c r="AM14" s="1948"/>
    </row>
    <row r="15" spans="1:72" s="118" customFormat="1" ht="25.5" x14ac:dyDescent="0.2">
      <c r="A15" s="132"/>
      <c r="B15" s="133"/>
      <c r="C15" s="133"/>
      <c r="D15" s="134"/>
      <c r="E15" s="133"/>
      <c r="F15" s="135"/>
      <c r="G15" s="133"/>
      <c r="H15" s="133"/>
      <c r="I15" s="133"/>
      <c r="J15" s="1940"/>
      <c r="K15" s="1941"/>
      <c r="L15" s="1940"/>
      <c r="M15" s="1940"/>
      <c r="N15" s="1943"/>
      <c r="O15" s="1940"/>
      <c r="P15" s="1941"/>
      <c r="Q15" s="1952"/>
      <c r="R15" s="1954"/>
      <c r="S15" s="1956"/>
      <c r="T15" s="1948"/>
      <c r="U15" s="137" t="s">
        <v>112</v>
      </c>
      <c r="V15" s="138">
        <v>4800000</v>
      </c>
      <c r="W15" s="1959"/>
      <c r="X15" s="1938"/>
      <c r="Y15" s="1945"/>
      <c r="Z15" s="1945"/>
      <c r="AA15" s="1945"/>
      <c r="AB15" s="1945"/>
      <c r="AC15" s="1945"/>
      <c r="AD15" s="1945"/>
      <c r="AE15" s="1945"/>
      <c r="AF15" s="1945"/>
      <c r="AG15" s="1945"/>
      <c r="AH15" s="1945"/>
      <c r="AI15" s="1945"/>
      <c r="AJ15" s="1945"/>
      <c r="AK15" s="1946"/>
      <c r="AL15" s="1946"/>
      <c r="AM15" s="1948"/>
    </row>
    <row r="16" spans="1:72" s="118" customFormat="1" ht="38.25" x14ac:dyDescent="0.2">
      <c r="A16" s="132"/>
      <c r="B16" s="1950"/>
      <c r="C16" s="1950"/>
      <c r="D16" s="134"/>
      <c r="E16" s="1950"/>
      <c r="F16" s="1951"/>
      <c r="G16" s="133"/>
      <c r="H16" s="1950"/>
      <c r="I16" s="1950"/>
      <c r="J16" s="1940"/>
      <c r="K16" s="1941"/>
      <c r="L16" s="1940"/>
      <c r="M16" s="1940"/>
      <c r="N16" s="1943"/>
      <c r="O16" s="1940"/>
      <c r="P16" s="1941"/>
      <c r="Q16" s="1952"/>
      <c r="R16" s="1954"/>
      <c r="S16" s="1956"/>
      <c r="T16" s="1948"/>
      <c r="U16" s="137" t="s">
        <v>113</v>
      </c>
      <c r="V16" s="138">
        <v>1000000</v>
      </c>
      <c r="W16" s="1959"/>
      <c r="X16" s="1938"/>
      <c r="Y16" s="1945"/>
      <c r="Z16" s="1945"/>
      <c r="AA16" s="1945"/>
      <c r="AB16" s="1945"/>
      <c r="AC16" s="1945"/>
      <c r="AD16" s="1945"/>
      <c r="AE16" s="1945"/>
      <c r="AF16" s="1945"/>
      <c r="AG16" s="1945"/>
      <c r="AH16" s="1945"/>
      <c r="AI16" s="1945"/>
      <c r="AJ16" s="1945"/>
      <c r="AK16" s="1946"/>
      <c r="AL16" s="1946"/>
      <c r="AM16" s="1948"/>
    </row>
    <row r="17" spans="1:39" s="118" customFormat="1" ht="47.25" customHeight="1" x14ac:dyDescent="0.2">
      <c r="A17" s="132"/>
      <c r="B17" s="133"/>
      <c r="C17" s="133"/>
      <c r="D17" s="134"/>
      <c r="E17" s="133"/>
      <c r="F17" s="135"/>
      <c r="G17" s="133"/>
      <c r="H17" s="133"/>
      <c r="I17" s="133"/>
      <c r="J17" s="1940"/>
      <c r="K17" s="1941"/>
      <c r="L17" s="1940"/>
      <c r="M17" s="1940"/>
      <c r="N17" s="1943"/>
      <c r="O17" s="1940"/>
      <c r="P17" s="1941"/>
      <c r="Q17" s="1952"/>
      <c r="R17" s="1954"/>
      <c r="S17" s="1956"/>
      <c r="T17" s="1941" t="s">
        <v>114</v>
      </c>
      <c r="U17" s="137" t="s">
        <v>115</v>
      </c>
      <c r="V17" s="138">
        <v>2880000</v>
      </c>
      <c r="W17" s="1959"/>
      <c r="X17" s="1938"/>
      <c r="Y17" s="1945"/>
      <c r="Z17" s="1945"/>
      <c r="AA17" s="1945"/>
      <c r="AB17" s="1945"/>
      <c r="AC17" s="1945"/>
      <c r="AD17" s="1945"/>
      <c r="AE17" s="1945"/>
      <c r="AF17" s="1945"/>
      <c r="AG17" s="1945"/>
      <c r="AH17" s="1945"/>
      <c r="AI17" s="1945"/>
      <c r="AJ17" s="1945"/>
      <c r="AK17" s="1946"/>
      <c r="AL17" s="1946"/>
      <c r="AM17" s="1948"/>
    </row>
    <row r="18" spans="1:39" s="118" customFormat="1" ht="25.5" x14ac:dyDescent="0.2">
      <c r="A18" s="132"/>
      <c r="B18" s="133"/>
      <c r="C18" s="133"/>
      <c r="D18" s="134"/>
      <c r="E18" s="133"/>
      <c r="F18" s="135"/>
      <c r="G18" s="133"/>
      <c r="H18" s="133"/>
      <c r="I18" s="133"/>
      <c r="J18" s="1940"/>
      <c r="K18" s="1941"/>
      <c r="L18" s="1940"/>
      <c r="M18" s="1940"/>
      <c r="N18" s="1943"/>
      <c r="O18" s="1940"/>
      <c r="P18" s="1941"/>
      <c r="Q18" s="1952"/>
      <c r="R18" s="1954"/>
      <c r="S18" s="1956"/>
      <c r="T18" s="1941"/>
      <c r="U18" s="137" t="s">
        <v>116</v>
      </c>
      <c r="V18" s="138">
        <v>2740000</v>
      </c>
      <c r="W18" s="1959"/>
      <c r="X18" s="1938"/>
      <c r="Y18" s="1945"/>
      <c r="Z18" s="1945"/>
      <c r="AA18" s="1945"/>
      <c r="AB18" s="1945"/>
      <c r="AC18" s="1945"/>
      <c r="AD18" s="1945"/>
      <c r="AE18" s="1945"/>
      <c r="AF18" s="1945"/>
      <c r="AG18" s="1945"/>
      <c r="AH18" s="1945"/>
      <c r="AI18" s="1945"/>
      <c r="AJ18" s="1945"/>
      <c r="AK18" s="1946"/>
      <c r="AL18" s="1946"/>
      <c r="AM18" s="1948"/>
    </row>
    <row r="19" spans="1:39" s="118" customFormat="1" ht="38.25" x14ac:dyDescent="0.2">
      <c r="A19" s="132"/>
      <c r="B19" s="133"/>
      <c r="C19" s="133"/>
      <c r="D19" s="134"/>
      <c r="E19" s="133"/>
      <c r="F19" s="135"/>
      <c r="G19" s="133"/>
      <c r="H19" s="133"/>
      <c r="I19" s="133"/>
      <c r="J19" s="1940"/>
      <c r="K19" s="1941"/>
      <c r="L19" s="1940"/>
      <c r="M19" s="1940"/>
      <c r="N19" s="1943"/>
      <c r="O19" s="1940"/>
      <c r="P19" s="1941"/>
      <c r="Q19" s="1952"/>
      <c r="R19" s="1954"/>
      <c r="S19" s="1956"/>
      <c r="T19" s="1941"/>
      <c r="U19" s="137" t="s">
        <v>117</v>
      </c>
      <c r="V19" s="138">
        <v>1080000</v>
      </c>
      <c r="W19" s="1959"/>
      <c r="X19" s="1938"/>
      <c r="Y19" s="1945"/>
      <c r="Z19" s="1945"/>
      <c r="AA19" s="1945"/>
      <c r="AB19" s="1945"/>
      <c r="AC19" s="1945"/>
      <c r="AD19" s="1945"/>
      <c r="AE19" s="1945"/>
      <c r="AF19" s="1945"/>
      <c r="AG19" s="1945"/>
      <c r="AH19" s="1945"/>
      <c r="AI19" s="1945"/>
      <c r="AJ19" s="1945"/>
      <c r="AK19" s="1946"/>
      <c r="AL19" s="1946"/>
      <c r="AM19" s="1948"/>
    </row>
    <row r="20" spans="1:39" s="118" customFormat="1" ht="25.5" x14ac:dyDescent="0.2">
      <c r="A20" s="132"/>
      <c r="B20" s="133"/>
      <c r="C20" s="133"/>
      <c r="D20" s="134"/>
      <c r="E20" s="133"/>
      <c r="F20" s="135"/>
      <c r="G20" s="133"/>
      <c r="H20" s="133"/>
      <c r="I20" s="133"/>
      <c r="J20" s="1940"/>
      <c r="K20" s="1941"/>
      <c r="L20" s="1940"/>
      <c r="M20" s="1940"/>
      <c r="N20" s="1943"/>
      <c r="O20" s="1940"/>
      <c r="P20" s="1941"/>
      <c r="Q20" s="1952"/>
      <c r="R20" s="1954"/>
      <c r="S20" s="1956"/>
      <c r="T20" s="1941"/>
      <c r="U20" s="137" t="s">
        <v>118</v>
      </c>
      <c r="V20" s="138">
        <v>3840000</v>
      </c>
      <c r="W20" s="1959"/>
      <c r="X20" s="1938"/>
      <c r="Y20" s="1945"/>
      <c r="Z20" s="1945"/>
      <c r="AA20" s="1945"/>
      <c r="AB20" s="1945"/>
      <c r="AC20" s="1945"/>
      <c r="AD20" s="1945"/>
      <c r="AE20" s="1945"/>
      <c r="AF20" s="1945"/>
      <c r="AG20" s="1945"/>
      <c r="AH20" s="1945"/>
      <c r="AI20" s="1945"/>
      <c r="AJ20" s="1945"/>
      <c r="AK20" s="1946"/>
      <c r="AL20" s="1946"/>
      <c r="AM20" s="1948"/>
    </row>
    <row r="21" spans="1:39" s="118" customFormat="1" ht="38.25" x14ac:dyDescent="0.2">
      <c r="A21" s="132"/>
      <c r="B21" s="133"/>
      <c r="C21" s="133"/>
      <c r="D21" s="134"/>
      <c r="E21" s="133"/>
      <c r="F21" s="135"/>
      <c r="G21" s="133"/>
      <c r="H21" s="133"/>
      <c r="I21" s="133"/>
      <c r="J21" s="1940"/>
      <c r="K21" s="1941"/>
      <c r="L21" s="1940"/>
      <c r="M21" s="1940"/>
      <c r="N21" s="1943"/>
      <c r="O21" s="1940"/>
      <c r="P21" s="1941"/>
      <c r="Q21" s="1952"/>
      <c r="R21" s="1954"/>
      <c r="S21" s="1956"/>
      <c r="T21" s="1941"/>
      <c r="U21" s="137" t="s">
        <v>119</v>
      </c>
      <c r="V21" s="138">
        <v>3000000</v>
      </c>
      <c r="W21" s="1959"/>
      <c r="X21" s="1938"/>
      <c r="Y21" s="1945"/>
      <c r="Z21" s="1945"/>
      <c r="AA21" s="1945"/>
      <c r="AB21" s="1945"/>
      <c r="AC21" s="1945"/>
      <c r="AD21" s="1945"/>
      <c r="AE21" s="1945"/>
      <c r="AF21" s="1945"/>
      <c r="AG21" s="1945"/>
      <c r="AH21" s="1945"/>
      <c r="AI21" s="1945"/>
      <c r="AJ21" s="1945"/>
      <c r="AK21" s="1946"/>
      <c r="AL21" s="1946"/>
      <c r="AM21" s="1948"/>
    </row>
    <row r="22" spans="1:39" s="118" customFormat="1" ht="63.75" x14ac:dyDescent="0.2">
      <c r="A22" s="132"/>
      <c r="B22" s="133"/>
      <c r="C22" s="133"/>
      <c r="D22" s="134"/>
      <c r="E22" s="133"/>
      <c r="F22" s="135"/>
      <c r="G22" s="133"/>
      <c r="H22" s="133"/>
      <c r="I22" s="133"/>
      <c r="J22" s="1940"/>
      <c r="K22" s="1941"/>
      <c r="L22" s="1940"/>
      <c r="M22" s="1940"/>
      <c r="N22" s="1943"/>
      <c r="O22" s="1940"/>
      <c r="P22" s="1941"/>
      <c r="Q22" s="1952"/>
      <c r="R22" s="1954"/>
      <c r="S22" s="1956"/>
      <c r="T22" s="137" t="s">
        <v>120</v>
      </c>
      <c r="U22" s="137" t="s">
        <v>121</v>
      </c>
      <c r="V22" s="138">
        <v>2000000</v>
      </c>
      <c r="W22" s="1959"/>
      <c r="X22" s="1938"/>
      <c r="Y22" s="1945"/>
      <c r="Z22" s="1945"/>
      <c r="AA22" s="1945"/>
      <c r="AB22" s="1945"/>
      <c r="AC22" s="1945"/>
      <c r="AD22" s="1945"/>
      <c r="AE22" s="1945"/>
      <c r="AF22" s="1945"/>
      <c r="AG22" s="1945"/>
      <c r="AH22" s="1945"/>
      <c r="AI22" s="1945"/>
      <c r="AJ22" s="1945"/>
      <c r="AK22" s="1946"/>
      <c r="AL22" s="1946"/>
      <c r="AM22" s="1948"/>
    </row>
    <row r="23" spans="1:39" s="118" customFormat="1" ht="51" x14ac:dyDescent="0.2">
      <c r="A23" s="132"/>
      <c r="B23" s="133"/>
      <c r="C23" s="133"/>
      <c r="D23" s="134"/>
      <c r="E23" s="133"/>
      <c r="F23" s="135"/>
      <c r="G23" s="133"/>
      <c r="H23" s="133"/>
      <c r="I23" s="133"/>
      <c r="J23" s="1937"/>
      <c r="K23" s="1942"/>
      <c r="L23" s="1937"/>
      <c r="M23" s="1937"/>
      <c r="N23" s="1944"/>
      <c r="O23" s="1937"/>
      <c r="P23" s="1942"/>
      <c r="Q23" s="1953"/>
      <c r="R23" s="1955"/>
      <c r="S23" s="1957"/>
      <c r="T23" s="139" t="s">
        <v>122</v>
      </c>
      <c r="U23" s="139" t="s">
        <v>123</v>
      </c>
      <c r="V23" s="140">
        <v>1020000</v>
      </c>
      <c r="W23" s="1960"/>
      <c r="X23" s="1939"/>
      <c r="Y23" s="1945"/>
      <c r="Z23" s="1945"/>
      <c r="AA23" s="1945"/>
      <c r="AB23" s="1945"/>
      <c r="AC23" s="1945"/>
      <c r="AD23" s="1945"/>
      <c r="AE23" s="1945"/>
      <c r="AF23" s="1945"/>
      <c r="AG23" s="1945"/>
      <c r="AH23" s="1945"/>
      <c r="AI23" s="1945"/>
      <c r="AJ23" s="1945"/>
      <c r="AK23" s="1947"/>
      <c r="AL23" s="1947"/>
      <c r="AM23" s="1949"/>
    </row>
    <row r="24" spans="1:39" ht="39.75" customHeight="1" x14ac:dyDescent="0.2">
      <c r="A24" s="141"/>
      <c r="B24" s="142"/>
      <c r="C24" s="142"/>
      <c r="D24" s="143"/>
      <c r="E24" s="142"/>
      <c r="F24" s="142"/>
      <c r="G24" s="144">
        <v>84</v>
      </c>
      <c r="H24" s="123" t="s">
        <v>124</v>
      </c>
      <c r="I24" s="123"/>
      <c r="J24" s="123"/>
      <c r="K24" s="124"/>
      <c r="L24" s="123"/>
      <c r="M24" s="123"/>
      <c r="N24" s="123"/>
      <c r="O24" s="125"/>
      <c r="P24" s="124"/>
      <c r="Q24" s="126"/>
      <c r="R24" s="127"/>
      <c r="S24" s="124"/>
      <c r="T24" s="146"/>
      <c r="U24" s="146"/>
      <c r="V24" s="128"/>
      <c r="W24" s="129"/>
      <c r="X24" s="125"/>
      <c r="Y24" s="123"/>
      <c r="Z24" s="123"/>
      <c r="AA24" s="123"/>
      <c r="AB24" s="123"/>
      <c r="AC24" s="123"/>
      <c r="AD24" s="123"/>
      <c r="AE24" s="123"/>
      <c r="AF24" s="123"/>
      <c r="AG24" s="123"/>
      <c r="AH24" s="123"/>
      <c r="AI24" s="123"/>
      <c r="AJ24" s="123"/>
      <c r="AK24" s="130"/>
      <c r="AL24" s="130"/>
      <c r="AM24" s="131"/>
    </row>
    <row r="25" spans="1:39" s="118" customFormat="1" ht="84" customHeight="1" x14ac:dyDescent="0.2">
      <c r="A25" s="141"/>
      <c r="B25" s="142"/>
      <c r="C25" s="142"/>
      <c r="D25" s="143"/>
      <c r="E25" s="142"/>
      <c r="F25" s="149"/>
      <c r="G25" s="142"/>
      <c r="H25" s="142"/>
      <c r="I25" s="142"/>
      <c r="J25" s="1939">
        <v>248</v>
      </c>
      <c r="K25" s="1961" t="s">
        <v>125</v>
      </c>
      <c r="L25" s="1971" t="s">
        <v>126</v>
      </c>
      <c r="M25" s="1971">
        <v>12</v>
      </c>
      <c r="N25" s="1974" t="s">
        <v>127</v>
      </c>
      <c r="O25" s="1939">
        <v>15</v>
      </c>
      <c r="P25" s="1961" t="s">
        <v>128</v>
      </c>
      <c r="Q25" s="1962">
        <v>1</v>
      </c>
      <c r="R25" s="1965">
        <v>40000000</v>
      </c>
      <c r="S25" s="1968" t="s">
        <v>129</v>
      </c>
      <c r="T25" s="1961" t="s">
        <v>130</v>
      </c>
      <c r="U25" s="150" t="s">
        <v>131</v>
      </c>
      <c r="V25" s="151">
        <v>20000000</v>
      </c>
      <c r="W25" s="1975">
        <v>20</v>
      </c>
      <c r="X25" s="1937" t="s">
        <v>51</v>
      </c>
      <c r="Y25" s="1945">
        <v>64149</v>
      </c>
      <c r="Z25" s="1945">
        <v>72224</v>
      </c>
      <c r="AA25" s="1945">
        <v>27477</v>
      </c>
      <c r="AB25" s="1945">
        <v>86843</v>
      </c>
      <c r="AC25" s="1945">
        <v>236429</v>
      </c>
      <c r="AD25" s="1945">
        <v>81384</v>
      </c>
      <c r="AE25" s="1945">
        <v>12718</v>
      </c>
      <c r="AF25" s="1945">
        <v>2145</v>
      </c>
      <c r="AG25" s="1945"/>
      <c r="AH25" s="1945">
        <v>491</v>
      </c>
      <c r="AI25" s="1945">
        <v>16892</v>
      </c>
      <c r="AJ25" s="1945">
        <v>81384</v>
      </c>
      <c r="AK25" s="1985">
        <v>42745</v>
      </c>
      <c r="AL25" s="1985">
        <v>43100</v>
      </c>
      <c r="AM25" s="1961" t="s">
        <v>109</v>
      </c>
    </row>
    <row r="26" spans="1:39" s="118" customFormat="1" ht="84" customHeight="1" x14ac:dyDescent="0.2">
      <c r="A26" s="141"/>
      <c r="B26" s="142"/>
      <c r="C26" s="142"/>
      <c r="D26" s="143"/>
      <c r="E26" s="142"/>
      <c r="F26" s="149"/>
      <c r="G26" s="142"/>
      <c r="H26" s="142"/>
      <c r="I26" s="142"/>
      <c r="J26" s="1940"/>
      <c r="K26" s="1941"/>
      <c r="L26" s="1972"/>
      <c r="M26" s="1972"/>
      <c r="N26" s="1943"/>
      <c r="O26" s="1940"/>
      <c r="P26" s="1941"/>
      <c r="Q26" s="1963"/>
      <c r="R26" s="1966"/>
      <c r="S26" s="1969"/>
      <c r="T26" s="1941"/>
      <c r="U26" s="137" t="s">
        <v>132</v>
      </c>
      <c r="V26" s="152">
        <v>1500000</v>
      </c>
      <c r="W26" s="1976"/>
      <c r="X26" s="1938"/>
      <c r="Y26" s="1945"/>
      <c r="Z26" s="1945"/>
      <c r="AA26" s="1945"/>
      <c r="AB26" s="1945"/>
      <c r="AC26" s="1945"/>
      <c r="AD26" s="1945"/>
      <c r="AE26" s="1945"/>
      <c r="AF26" s="1945"/>
      <c r="AG26" s="1945"/>
      <c r="AH26" s="1945"/>
      <c r="AI26" s="1945"/>
      <c r="AJ26" s="1945"/>
      <c r="AK26" s="1986"/>
      <c r="AL26" s="1986"/>
      <c r="AM26" s="1941"/>
    </row>
    <row r="27" spans="1:39" s="118" customFormat="1" ht="63.75" x14ac:dyDescent="0.2">
      <c r="A27" s="141"/>
      <c r="B27" s="142"/>
      <c r="C27" s="142"/>
      <c r="D27" s="143"/>
      <c r="E27" s="142"/>
      <c r="F27" s="149"/>
      <c r="G27" s="142"/>
      <c r="H27" s="142"/>
      <c r="I27" s="142"/>
      <c r="J27" s="1940"/>
      <c r="K27" s="1941"/>
      <c r="L27" s="1972"/>
      <c r="M27" s="1972"/>
      <c r="N27" s="1943"/>
      <c r="O27" s="1940"/>
      <c r="P27" s="1941"/>
      <c r="Q27" s="1963"/>
      <c r="R27" s="1966"/>
      <c r="S27" s="1969"/>
      <c r="T27" s="1941" t="s">
        <v>133</v>
      </c>
      <c r="U27" s="137" t="s">
        <v>134</v>
      </c>
      <c r="V27" s="152">
        <v>3300000</v>
      </c>
      <c r="W27" s="1976"/>
      <c r="X27" s="1938"/>
      <c r="Y27" s="1945"/>
      <c r="Z27" s="1945"/>
      <c r="AA27" s="1945"/>
      <c r="AB27" s="1945"/>
      <c r="AC27" s="1945"/>
      <c r="AD27" s="1945"/>
      <c r="AE27" s="1945"/>
      <c r="AF27" s="1945"/>
      <c r="AG27" s="1945"/>
      <c r="AH27" s="1945"/>
      <c r="AI27" s="1945"/>
      <c r="AJ27" s="1945"/>
      <c r="AK27" s="1986"/>
      <c r="AL27" s="1986"/>
      <c r="AM27" s="1941"/>
    </row>
    <row r="28" spans="1:39" s="118" customFormat="1" ht="29.25" customHeight="1" x14ac:dyDescent="0.2">
      <c r="A28" s="141"/>
      <c r="B28" s="142"/>
      <c r="C28" s="142"/>
      <c r="D28" s="143"/>
      <c r="E28" s="142"/>
      <c r="F28" s="149"/>
      <c r="G28" s="142"/>
      <c r="H28" s="142"/>
      <c r="I28" s="142"/>
      <c r="J28" s="1940"/>
      <c r="K28" s="1941"/>
      <c r="L28" s="1972"/>
      <c r="M28" s="1972"/>
      <c r="N28" s="1943"/>
      <c r="O28" s="1940"/>
      <c r="P28" s="1941"/>
      <c r="Q28" s="1963"/>
      <c r="R28" s="1966"/>
      <c r="S28" s="1969"/>
      <c r="T28" s="1941"/>
      <c r="U28" s="137" t="s">
        <v>135</v>
      </c>
      <c r="V28" s="152">
        <v>3200000</v>
      </c>
      <c r="W28" s="1976"/>
      <c r="X28" s="1938"/>
      <c r="Y28" s="1945"/>
      <c r="Z28" s="1945"/>
      <c r="AA28" s="1945"/>
      <c r="AB28" s="1945"/>
      <c r="AC28" s="1945"/>
      <c r="AD28" s="1945"/>
      <c r="AE28" s="1945"/>
      <c r="AF28" s="1945"/>
      <c r="AG28" s="1945"/>
      <c r="AH28" s="1945"/>
      <c r="AI28" s="1945"/>
      <c r="AJ28" s="1945"/>
      <c r="AK28" s="1986"/>
      <c r="AL28" s="1986"/>
      <c r="AM28" s="1941"/>
    </row>
    <row r="29" spans="1:39" s="118" customFormat="1" ht="29.25" customHeight="1" x14ac:dyDescent="0.2">
      <c r="A29" s="141"/>
      <c r="B29" s="142"/>
      <c r="C29" s="142"/>
      <c r="D29" s="143"/>
      <c r="E29" s="142"/>
      <c r="F29" s="149"/>
      <c r="G29" s="142"/>
      <c r="H29" s="142"/>
      <c r="I29" s="142"/>
      <c r="J29" s="1940"/>
      <c r="K29" s="1941"/>
      <c r="L29" s="1972"/>
      <c r="M29" s="1972"/>
      <c r="N29" s="1943"/>
      <c r="O29" s="1940"/>
      <c r="P29" s="1941"/>
      <c r="Q29" s="1963"/>
      <c r="R29" s="1966"/>
      <c r="S29" s="1969"/>
      <c r="T29" s="1941"/>
      <c r="U29" s="153" t="s">
        <v>136</v>
      </c>
      <c r="V29" s="152">
        <v>4800000</v>
      </c>
      <c r="W29" s="1976"/>
      <c r="X29" s="1938"/>
      <c r="Y29" s="1945"/>
      <c r="Z29" s="1945"/>
      <c r="AA29" s="1945"/>
      <c r="AB29" s="1945"/>
      <c r="AC29" s="1945"/>
      <c r="AD29" s="1945"/>
      <c r="AE29" s="1945"/>
      <c r="AF29" s="1945"/>
      <c r="AG29" s="1945"/>
      <c r="AH29" s="1945"/>
      <c r="AI29" s="1945"/>
      <c r="AJ29" s="1945"/>
      <c r="AK29" s="1986"/>
      <c r="AL29" s="1986"/>
      <c r="AM29" s="1941"/>
    </row>
    <row r="30" spans="1:39" s="118" customFormat="1" ht="29.25" customHeight="1" x14ac:dyDescent="0.2">
      <c r="A30" s="141"/>
      <c r="B30" s="142"/>
      <c r="C30" s="142"/>
      <c r="D30" s="143"/>
      <c r="E30" s="142"/>
      <c r="F30" s="149"/>
      <c r="G30" s="143"/>
      <c r="H30" s="142"/>
      <c r="I30" s="149"/>
      <c r="J30" s="1937"/>
      <c r="K30" s="1942"/>
      <c r="L30" s="1973"/>
      <c r="M30" s="1973"/>
      <c r="N30" s="1944"/>
      <c r="O30" s="1937"/>
      <c r="P30" s="1942"/>
      <c r="Q30" s="1964"/>
      <c r="R30" s="1967"/>
      <c r="S30" s="1970"/>
      <c r="T30" s="1942"/>
      <c r="U30" s="139" t="s">
        <v>137</v>
      </c>
      <c r="V30" s="154">
        <v>7200000</v>
      </c>
      <c r="W30" s="1977"/>
      <c r="X30" s="1939"/>
      <c r="Y30" s="1945"/>
      <c r="Z30" s="1945"/>
      <c r="AA30" s="1945"/>
      <c r="AB30" s="1945"/>
      <c r="AC30" s="1945"/>
      <c r="AD30" s="1945"/>
      <c r="AE30" s="1945"/>
      <c r="AF30" s="1945"/>
      <c r="AG30" s="1945"/>
      <c r="AH30" s="1945"/>
      <c r="AI30" s="1945"/>
      <c r="AJ30" s="1945"/>
      <c r="AK30" s="1987"/>
      <c r="AL30" s="1987"/>
      <c r="AM30" s="1942"/>
    </row>
    <row r="31" spans="1:39" ht="38.25" customHeight="1" x14ac:dyDescent="0.2">
      <c r="A31" s="141"/>
      <c r="B31" s="142"/>
      <c r="C31" s="142"/>
      <c r="D31" s="155">
        <v>27</v>
      </c>
      <c r="E31" s="156" t="s">
        <v>138</v>
      </c>
      <c r="F31" s="156"/>
      <c r="G31" s="156"/>
      <c r="H31" s="156"/>
      <c r="I31" s="156"/>
      <c r="J31" s="156"/>
      <c r="K31" s="157"/>
      <c r="L31" s="156"/>
      <c r="M31" s="156"/>
      <c r="N31" s="156"/>
      <c r="O31" s="158"/>
      <c r="P31" s="157"/>
      <c r="Q31" s="159"/>
      <c r="R31" s="160"/>
      <c r="S31" s="157"/>
      <c r="T31" s="161"/>
      <c r="U31" s="161"/>
      <c r="V31" s="160"/>
      <c r="W31" s="162"/>
      <c r="X31" s="156"/>
      <c r="Y31" s="156"/>
      <c r="Z31" s="156"/>
      <c r="AA31" s="156"/>
      <c r="AB31" s="156"/>
      <c r="AC31" s="156"/>
      <c r="AD31" s="156"/>
      <c r="AE31" s="156"/>
      <c r="AF31" s="156"/>
      <c r="AG31" s="156"/>
      <c r="AH31" s="156"/>
      <c r="AI31" s="156"/>
      <c r="AJ31" s="156"/>
      <c r="AK31" s="163"/>
      <c r="AL31" s="163"/>
      <c r="AM31" s="164"/>
    </row>
    <row r="32" spans="1:39" ht="32.25" customHeight="1" x14ac:dyDescent="0.2">
      <c r="A32" s="141"/>
      <c r="B32" s="142"/>
      <c r="C32" s="149"/>
      <c r="D32" s="143"/>
      <c r="E32" s="142"/>
      <c r="F32" s="142"/>
      <c r="G32" s="165">
        <v>85</v>
      </c>
      <c r="H32" s="166" t="s">
        <v>139</v>
      </c>
      <c r="I32" s="166"/>
      <c r="J32" s="166"/>
      <c r="K32" s="167"/>
      <c r="L32" s="166"/>
      <c r="M32" s="166"/>
      <c r="N32" s="166"/>
      <c r="O32" s="168"/>
      <c r="P32" s="167"/>
      <c r="Q32" s="169"/>
      <c r="R32" s="170"/>
      <c r="S32" s="167"/>
      <c r="T32" s="171"/>
      <c r="U32" s="171"/>
      <c r="V32" s="172"/>
      <c r="W32" s="173"/>
      <c r="X32" s="168"/>
      <c r="Y32" s="166"/>
      <c r="Z32" s="166"/>
      <c r="AA32" s="166"/>
      <c r="AB32" s="166"/>
      <c r="AC32" s="166"/>
      <c r="AD32" s="166"/>
      <c r="AE32" s="166"/>
      <c r="AF32" s="166"/>
      <c r="AG32" s="166"/>
      <c r="AH32" s="166"/>
      <c r="AI32" s="166"/>
      <c r="AJ32" s="166"/>
      <c r="AK32" s="174"/>
      <c r="AL32" s="174"/>
      <c r="AM32" s="175"/>
    </row>
    <row r="33" spans="1:39" s="182" customFormat="1" ht="88.5" customHeight="1" x14ac:dyDescent="0.25">
      <c r="A33" s="176"/>
      <c r="B33" s="177"/>
      <c r="C33" s="178"/>
      <c r="D33" s="179"/>
      <c r="E33" s="177"/>
      <c r="F33" s="177"/>
      <c r="G33" s="179"/>
      <c r="H33" s="177"/>
      <c r="I33" s="177"/>
      <c r="J33" s="1974">
        <v>249</v>
      </c>
      <c r="K33" s="1978" t="s">
        <v>140</v>
      </c>
      <c r="L33" s="1979" t="s">
        <v>126</v>
      </c>
      <c r="M33" s="1982">
        <v>1</v>
      </c>
      <c r="N33" s="1974" t="s">
        <v>141</v>
      </c>
      <c r="O33" s="1974">
        <v>7</v>
      </c>
      <c r="P33" s="1978" t="s">
        <v>142</v>
      </c>
      <c r="Q33" s="1995">
        <v>1</v>
      </c>
      <c r="R33" s="1998">
        <f>SUM(V33:V43)</f>
        <v>140000000</v>
      </c>
      <c r="S33" s="1978" t="s">
        <v>143</v>
      </c>
      <c r="T33" s="1978" t="s">
        <v>144</v>
      </c>
      <c r="U33" s="180" t="s">
        <v>145</v>
      </c>
      <c r="V33" s="181">
        <f>7000000+2000000</f>
        <v>9000000</v>
      </c>
      <c r="W33" s="1981" t="s">
        <v>146</v>
      </c>
      <c r="X33" s="1957" t="s">
        <v>147</v>
      </c>
      <c r="Y33" s="1982"/>
      <c r="Z33" s="1982"/>
      <c r="AA33" s="1982"/>
      <c r="AB33" s="1982">
        <v>20</v>
      </c>
      <c r="AC33" s="1982">
        <v>150</v>
      </c>
      <c r="AD33" s="1982">
        <v>10</v>
      </c>
      <c r="AE33" s="1982"/>
      <c r="AF33" s="1982"/>
      <c r="AG33" s="1982"/>
      <c r="AH33" s="1982"/>
      <c r="AI33" s="1982"/>
      <c r="AJ33" s="1982">
        <v>10</v>
      </c>
      <c r="AK33" s="1992">
        <v>42767</v>
      </c>
      <c r="AL33" s="1992">
        <v>43100</v>
      </c>
      <c r="AM33" s="1988" t="s">
        <v>109</v>
      </c>
    </row>
    <row r="34" spans="1:39" s="182" customFormat="1" ht="66" customHeight="1" x14ac:dyDescent="0.25">
      <c r="A34" s="176"/>
      <c r="B34" s="177"/>
      <c r="C34" s="178"/>
      <c r="D34" s="179"/>
      <c r="E34" s="177"/>
      <c r="F34" s="177"/>
      <c r="G34" s="179"/>
      <c r="H34" s="177"/>
      <c r="I34" s="177"/>
      <c r="J34" s="1943"/>
      <c r="K34" s="1956"/>
      <c r="L34" s="1980"/>
      <c r="M34" s="1983"/>
      <c r="N34" s="1943"/>
      <c r="O34" s="1943"/>
      <c r="P34" s="1956"/>
      <c r="Q34" s="1996"/>
      <c r="R34" s="1999"/>
      <c r="S34" s="1956"/>
      <c r="T34" s="1956"/>
      <c r="U34" s="183" t="s">
        <v>148</v>
      </c>
      <c r="V34" s="184">
        <v>8000000</v>
      </c>
      <c r="W34" s="2001"/>
      <c r="X34" s="2003"/>
      <c r="Y34" s="1983"/>
      <c r="Z34" s="1983"/>
      <c r="AA34" s="1983"/>
      <c r="AB34" s="1983"/>
      <c r="AC34" s="1983"/>
      <c r="AD34" s="1983"/>
      <c r="AE34" s="1983"/>
      <c r="AF34" s="1983"/>
      <c r="AG34" s="1983"/>
      <c r="AH34" s="1983"/>
      <c r="AI34" s="1983"/>
      <c r="AJ34" s="1983"/>
      <c r="AK34" s="1993"/>
      <c r="AL34" s="1993"/>
      <c r="AM34" s="1989"/>
    </row>
    <row r="35" spans="1:39" s="182" customFormat="1" ht="92.25" customHeight="1" x14ac:dyDescent="0.25">
      <c r="A35" s="176"/>
      <c r="B35" s="177"/>
      <c r="C35" s="178"/>
      <c r="D35" s="179"/>
      <c r="E35" s="177"/>
      <c r="F35" s="177"/>
      <c r="G35" s="179"/>
      <c r="H35" s="177"/>
      <c r="I35" s="177"/>
      <c r="J35" s="1943"/>
      <c r="K35" s="1956"/>
      <c r="L35" s="1980"/>
      <c r="M35" s="1983"/>
      <c r="N35" s="1943"/>
      <c r="O35" s="1943"/>
      <c r="P35" s="1956"/>
      <c r="Q35" s="1996"/>
      <c r="R35" s="1999"/>
      <c r="S35" s="1956"/>
      <c r="T35" s="1956"/>
      <c r="U35" s="183" t="s">
        <v>149</v>
      </c>
      <c r="V35" s="184">
        <f>29000000+3000000</f>
        <v>32000000</v>
      </c>
      <c r="W35" s="2001"/>
      <c r="X35" s="2003"/>
      <c r="Y35" s="1983"/>
      <c r="Z35" s="1983"/>
      <c r="AA35" s="1983"/>
      <c r="AB35" s="1983"/>
      <c r="AC35" s="1983"/>
      <c r="AD35" s="1983"/>
      <c r="AE35" s="1983"/>
      <c r="AF35" s="1983"/>
      <c r="AG35" s="1983"/>
      <c r="AH35" s="1983"/>
      <c r="AI35" s="1983"/>
      <c r="AJ35" s="1983"/>
      <c r="AK35" s="1993"/>
      <c r="AL35" s="1993"/>
      <c r="AM35" s="1989"/>
    </row>
    <row r="36" spans="1:39" s="182" customFormat="1" ht="49.5" customHeight="1" x14ac:dyDescent="0.25">
      <c r="A36" s="176"/>
      <c r="B36" s="177"/>
      <c r="C36" s="178"/>
      <c r="D36" s="179"/>
      <c r="E36" s="177"/>
      <c r="F36" s="177"/>
      <c r="G36" s="179"/>
      <c r="H36" s="177"/>
      <c r="I36" s="177"/>
      <c r="J36" s="1943"/>
      <c r="K36" s="1956"/>
      <c r="L36" s="1980"/>
      <c r="M36" s="1983"/>
      <c r="N36" s="1943"/>
      <c r="O36" s="1943"/>
      <c r="P36" s="1956"/>
      <c r="Q36" s="1996"/>
      <c r="R36" s="1999"/>
      <c r="S36" s="1956"/>
      <c r="T36" s="1956"/>
      <c r="U36" s="183" t="s">
        <v>150</v>
      </c>
      <c r="V36" s="184">
        <v>5000000</v>
      </c>
      <c r="W36" s="2001"/>
      <c r="X36" s="2003"/>
      <c r="Y36" s="1983"/>
      <c r="Z36" s="1983"/>
      <c r="AA36" s="1983"/>
      <c r="AB36" s="1983"/>
      <c r="AC36" s="1983"/>
      <c r="AD36" s="1983"/>
      <c r="AE36" s="1983"/>
      <c r="AF36" s="1983"/>
      <c r="AG36" s="1983"/>
      <c r="AH36" s="1983"/>
      <c r="AI36" s="1983"/>
      <c r="AJ36" s="1983"/>
      <c r="AK36" s="1993"/>
      <c r="AL36" s="1993"/>
      <c r="AM36" s="1989"/>
    </row>
    <row r="37" spans="1:39" s="182" customFormat="1" ht="51" customHeight="1" x14ac:dyDescent="0.25">
      <c r="A37" s="176"/>
      <c r="B37" s="177"/>
      <c r="C37" s="178"/>
      <c r="D37" s="179"/>
      <c r="E37" s="177"/>
      <c r="F37" s="177"/>
      <c r="G37" s="179"/>
      <c r="H37" s="177"/>
      <c r="I37" s="177"/>
      <c r="J37" s="1943"/>
      <c r="K37" s="1956"/>
      <c r="L37" s="1980"/>
      <c r="M37" s="1983"/>
      <c r="N37" s="1943"/>
      <c r="O37" s="1943"/>
      <c r="P37" s="1956"/>
      <c r="Q37" s="1996"/>
      <c r="R37" s="1999"/>
      <c r="S37" s="1956"/>
      <c r="T37" s="1956"/>
      <c r="U37" s="183" t="s">
        <v>151</v>
      </c>
      <c r="V37" s="184">
        <f>2000000-2000000</f>
        <v>0</v>
      </c>
      <c r="W37" s="2001"/>
      <c r="X37" s="2003"/>
      <c r="Y37" s="1983"/>
      <c r="Z37" s="1983"/>
      <c r="AA37" s="1983"/>
      <c r="AB37" s="1983"/>
      <c r="AC37" s="1983"/>
      <c r="AD37" s="1983"/>
      <c r="AE37" s="1983"/>
      <c r="AF37" s="1983"/>
      <c r="AG37" s="1983"/>
      <c r="AH37" s="1983"/>
      <c r="AI37" s="1983"/>
      <c r="AJ37" s="1983"/>
      <c r="AK37" s="1993"/>
      <c r="AL37" s="1993"/>
      <c r="AM37" s="1989"/>
    </row>
    <row r="38" spans="1:39" s="182" customFormat="1" ht="36" customHeight="1" x14ac:dyDescent="0.25">
      <c r="A38" s="176"/>
      <c r="B38" s="177"/>
      <c r="C38" s="178"/>
      <c r="D38" s="179"/>
      <c r="E38" s="177"/>
      <c r="F38" s="177"/>
      <c r="G38" s="179"/>
      <c r="H38" s="177"/>
      <c r="I38" s="177"/>
      <c r="J38" s="1943"/>
      <c r="K38" s="1956"/>
      <c r="L38" s="1980"/>
      <c r="M38" s="1983"/>
      <c r="N38" s="1943"/>
      <c r="O38" s="1943"/>
      <c r="P38" s="1956"/>
      <c r="Q38" s="1996"/>
      <c r="R38" s="1999"/>
      <c r="S38" s="1956"/>
      <c r="T38" s="1944" t="s">
        <v>152</v>
      </c>
      <c r="U38" s="183" t="s">
        <v>153</v>
      </c>
      <c r="V38" s="184">
        <f>6000000-6000000</f>
        <v>0</v>
      </c>
      <c r="W38" s="2001"/>
      <c r="X38" s="2003"/>
      <c r="Y38" s="1983"/>
      <c r="Z38" s="1983"/>
      <c r="AA38" s="1983"/>
      <c r="AB38" s="1983"/>
      <c r="AC38" s="1983"/>
      <c r="AD38" s="1983"/>
      <c r="AE38" s="1983"/>
      <c r="AF38" s="1983"/>
      <c r="AG38" s="1983"/>
      <c r="AH38" s="1983"/>
      <c r="AI38" s="1983"/>
      <c r="AJ38" s="1983"/>
      <c r="AK38" s="1993"/>
      <c r="AL38" s="1993"/>
      <c r="AM38" s="1989"/>
    </row>
    <row r="39" spans="1:39" s="182" customFormat="1" ht="18.75" customHeight="1" x14ac:dyDescent="0.25">
      <c r="A39" s="176"/>
      <c r="B39" s="177"/>
      <c r="C39" s="178"/>
      <c r="D39" s="179"/>
      <c r="E39" s="177"/>
      <c r="F39" s="177"/>
      <c r="G39" s="179"/>
      <c r="H39" s="177"/>
      <c r="I39" s="177"/>
      <c r="J39" s="1943"/>
      <c r="K39" s="1956"/>
      <c r="L39" s="1980"/>
      <c r="M39" s="1983"/>
      <c r="N39" s="1943"/>
      <c r="O39" s="1943"/>
      <c r="P39" s="1956"/>
      <c r="Q39" s="1996"/>
      <c r="R39" s="1999"/>
      <c r="S39" s="1956"/>
      <c r="T39" s="1991"/>
      <c r="U39" s="183" t="s">
        <v>154</v>
      </c>
      <c r="V39" s="184">
        <f>5000000-5000000</f>
        <v>0</v>
      </c>
      <c r="W39" s="2001"/>
      <c r="X39" s="2003"/>
      <c r="Y39" s="1983"/>
      <c r="Z39" s="1983"/>
      <c r="AA39" s="1983"/>
      <c r="AB39" s="1983"/>
      <c r="AC39" s="1983"/>
      <c r="AD39" s="1983"/>
      <c r="AE39" s="1983"/>
      <c r="AF39" s="1983"/>
      <c r="AG39" s="1983"/>
      <c r="AH39" s="1983"/>
      <c r="AI39" s="1983"/>
      <c r="AJ39" s="1983"/>
      <c r="AK39" s="1993"/>
      <c r="AL39" s="1993"/>
      <c r="AM39" s="1989"/>
    </row>
    <row r="40" spans="1:39" s="182" customFormat="1" ht="26.25" customHeight="1" x14ac:dyDescent="0.25">
      <c r="A40" s="176"/>
      <c r="B40" s="177"/>
      <c r="C40" s="178"/>
      <c r="D40" s="179"/>
      <c r="E40" s="177"/>
      <c r="F40" s="177"/>
      <c r="G40" s="179"/>
      <c r="H40" s="177"/>
      <c r="I40" s="177"/>
      <c r="J40" s="1943"/>
      <c r="K40" s="1956"/>
      <c r="L40" s="1980"/>
      <c r="M40" s="1983"/>
      <c r="N40" s="1943"/>
      <c r="O40" s="1943"/>
      <c r="P40" s="1956"/>
      <c r="Q40" s="1996"/>
      <c r="R40" s="1999"/>
      <c r="S40" s="1956"/>
      <c r="T40" s="1991"/>
      <c r="U40" s="183" t="s">
        <v>155</v>
      </c>
      <c r="V40" s="184">
        <f>8000000-8000000</f>
        <v>0</v>
      </c>
      <c r="W40" s="2001"/>
      <c r="X40" s="2003"/>
      <c r="Y40" s="1983"/>
      <c r="Z40" s="1983"/>
      <c r="AA40" s="1983"/>
      <c r="AB40" s="1983"/>
      <c r="AC40" s="1983"/>
      <c r="AD40" s="1983"/>
      <c r="AE40" s="1983"/>
      <c r="AF40" s="1983"/>
      <c r="AG40" s="1983"/>
      <c r="AH40" s="1983"/>
      <c r="AI40" s="1983"/>
      <c r="AJ40" s="1983"/>
      <c r="AK40" s="1993"/>
      <c r="AL40" s="1993"/>
      <c r="AM40" s="1989"/>
    </row>
    <row r="41" spans="1:39" s="182" customFormat="1" ht="41.25" customHeight="1" x14ac:dyDescent="0.25">
      <c r="A41" s="176"/>
      <c r="B41" s="177"/>
      <c r="C41" s="178"/>
      <c r="D41" s="179"/>
      <c r="E41" s="177"/>
      <c r="F41" s="177"/>
      <c r="G41" s="179"/>
      <c r="H41" s="177"/>
      <c r="I41" s="177"/>
      <c r="J41" s="1943"/>
      <c r="K41" s="1956"/>
      <c r="L41" s="1980"/>
      <c r="M41" s="1983"/>
      <c r="N41" s="1943"/>
      <c r="O41" s="1943"/>
      <c r="P41" s="1956"/>
      <c r="Q41" s="1996"/>
      <c r="R41" s="1999"/>
      <c r="S41" s="1956"/>
      <c r="T41" s="1974"/>
      <c r="U41" s="183" t="s">
        <v>156</v>
      </c>
      <c r="V41" s="184">
        <f>21000000-14000000</f>
        <v>7000000</v>
      </c>
      <c r="W41" s="2001"/>
      <c r="X41" s="2003"/>
      <c r="Y41" s="1983"/>
      <c r="Z41" s="1983"/>
      <c r="AA41" s="1983"/>
      <c r="AB41" s="1983"/>
      <c r="AC41" s="1983"/>
      <c r="AD41" s="1983"/>
      <c r="AE41" s="1983"/>
      <c r="AF41" s="1983"/>
      <c r="AG41" s="1983"/>
      <c r="AH41" s="1983"/>
      <c r="AI41" s="1983"/>
      <c r="AJ41" s="1983"/>
      <c r="AK41" s="1993"/>
      <c r="AL41" s="1993"/>
      <c r="AM41" s="1989"/>
    </row>
    <row r="42" spans="1:39" s="182" customFormat="1" ht="58.5" customHeight="1" x14ac:dyDescent="0.25">
      <c r="A42" s="176"/>
      <c r="B42" s="177"/>
      <c r="C42" s="178"/>
      <c r="D42" s="179"/>
      <c r="E42" s="177"/>
      <c r="F42" s="177"/>
      <c r="G42" s="179"/>
      <c r="H42" s="177"/>
      <c r="I42" s="177"/>
      <c r="J42" s="1943"/>
      <c r="K42" s="1956"/>
      <c r="L42" s="1980"/>
      <c r="M42" s="1983"/>
      <c r="N42" s="1943"/>
      <c r="O42" s="1943"/>
      <c r="P42" s="1956"/>
      <c r="Q42" s="1996"/>
      <c r="R42" s="1999"/>
      <c r="S42" s="1956"/>
      <c r="T42" s="153" t="s">
        <v>157</v>
      </c>
      <c r="U42" s="153" t="s">
        <v>158</v>
      </c>
      <c r="V42" s="184">
        <f>40000000+7000000</f>
        <v>47000000</v>
      </c>
      <c r="W42" s="2001"/>
      <c r="X42" s="2003"/>
      <c r="Y42" s="1983"/>
      <c r="Z42" s="1983"/>
      <c r="AA42" s="1983"/>
      <c r="AB42" s="1983"/>
      <c r="AC42" s="1983"/>
      <c r="AD42" s="1983"/>
      <c r="AE42" s="1983"/>
      <c r="AF42" s="1983"/>
      <c r="AG42" s="1983"/>
      <c r="AH42" s="1983"/>
      <c r="AI42" s="1983"/>
      <c r="AJ42" s="1983"/>
      <c r="AK42" s="1993"/>
      <c r="AL42" s="1993"/>
      <c r="AM42" s="1989"/>
    </row>
    <row r="43" spans="1:39" s="182" customFormat="1" ht="33.75" customHeight="1" x14ac:dyDescent="0.25">
      <c r="A43" s="176"/>
      <c r="B43" s="177"/>
      <c r="C43" s="178"/>
      <c r="D43" s="179"/>
      <c r="E43" s="177"/>
      <c r="F43" s="177"/>
      <c r="G43" s="179"/>
      <c r="H43" s="177"/>
      <c r="I43" s="177"/>
      <c r="J43" s="1944"/>
      <c r="K43" s="1957"/>
      <c r="L43" s="1981"/>
      <c r="M43" s="1984"/>
      <c r="N43" s="1944"/>
      <c r="O43" s="1944"/>
      <c r="P43" s="1957"/>
      <c r="Q43" s="1997"/>
      <c r="R43" s="2000"/>
      <c r="S43" s="1957"/>
      <c r="T43" s="185" t="s">
        <v>159</v>
      </c>
      <c r="U43" s="185" t="s">
        <v>160</v>
      </c>
      <c r="V43" s="186">
        <f>10000000+2000000+20000000</f>
        <v>32000000</v>
      </c>
      <c r="W43" s="2002"/>
      <c r="X43" s="1978"/>
      <c r="Y43" s="1984"/>
      <c r="Z43" s="1984"/>
      <c r="AA43" s="1984"/>
      <c r="AB43" s="1984"/>
      <c r="AC43" s="1984"/>
      <c r="AD43" s="1984"/>
      <c r="AE43" s="1984"/>
      <c r="AF43" s="1984"/>
      <c r="AG43" s="1984"/>
      <c r="AH43" s="1984"/>
      <c r="AI43" s="1984"/>
      <c r="AJ43" s="1984"/>
      <c r="AK43" s="1994"/>
      <c r="AL43" s="1994"/>
      <c r="AM43" s="1990"/>
    </row>
    <row r="44" spans="1:39" ht="36.75" customHeight="1" x14ac:dyDescent="0.2">
      <c r="A44" s="141"/>
      <c r="B44" s="142"/>
      <c r="C44" s="142"/>
      <c r="D44" s="155">
        <v>28</v>
      </c>
      <c r="E44" s="187"/>
      <c r="F44" s="156" t="s">
        <v>161</v>
      </c>
      <c r="G44" s="188"/>
      <c r="H44" s="188"/>
      <c r="I44" s="188"/>
      <c r="J44" s="188"/>
      <c r="K44" s="189"/>
      <c r="L44" s="188"/>
      <c r="M44" s="188"/>
      <c r="N44" s="188"/>
      <c r="O44" s="190"/>
      <c r="P44" s="189"/>
      <c r="Q44" s="191"/>
      <c r="R44" s="192"/>
      <c r="S44" s="189"/>
      <c r="T44" s="193"/>
      <c r="U44" s="193"/>
      <c r="V44" s="192"/>
      <c r="W44" s="194"/>
      <c r="X44" s="188"/>
      <c r="Y44" s="188"/>
      <c r="Z44" s="188"/>
      <c r="AA44" s="188"/>
      <c r="AB44" s="188"/>
      <c r="AC44" s="188"/>
      <c r="AD44" s="188"/>
      <c r="AE44" s="188"/>
      <c r="AF44" s="188"/>
      <c r="AG44" s="188"/>
      <c r="AH44" s="188"/>
      <c r="AI44" s="188"/>
      <c r="AJ44" s="188"/>
      <c r="AK44" s="195"/>
      <c r="AL44" s="195"/>
      <c r="AM44" s="196"/>
    </row>
    <row r="45" spans="1:39" ht="39" customHeight="1" x14ac:dyDescent="0.2">
      <c r="A45" s="141"/>
      <c r="B45" s="142"/>
      <c r="C45" s="142"/>
      <c r="D45" s="143"/>
      <c r="E45" s="142"/>
      <c r="F45" s="142"/>
      <c r="G45" s="197">
        <v>87</v>
      </c>
      <c r="H45" s="123" t="s">
        <v>162</v>
      </c>
      <c r="I45" s="123"/>
      <c r="J45" s="123"/>
      <c r="K45" s="124"/>
      <c r="L45" s="123"/>
      <c r="M45" s="123"/>
      <c r="N45" s="123"/>
      <c r="O45" s="125"/>
      <c r="P45" s="124"/>
      <c r="Q45" s="126"/>
      <c r="R45" s="127"/>
      <c r="S45" s="124"/>
      <c r="T45" s="146"/>
      <c r="U45" s="146"/>
      <c r="V45" s="127"/>
      <c r="W45" s="198"/>
      <c r="X45" s="123"/>
      <c r="Y45" s="123"/>
      <c r="Z45" s="123"/>
      <c r="AA45" s="123"/>
      <c r="AB45" s="123"/>
      <c r="AC45" s="123"/>
      <c r="AD45" s="123"/>
      <c r="AE45" s="123"/>
      <c r="AF45" s="123"/>
      <c r="AG45" s="123"/>
      <c r="AH45" s="123"/>
      <c r="AI45" s="123"/>
      <c r="AJ45" s="123"/>
      <c r="AK45" s="130"/>
      <c r="AL45" s="130"/>
      <c r="AM45" s="131"/>
    </row>
    <row r="46" spans="1:39" s="96" customFormat="1" ht="33.75" customHeight="1" x14ac:dyDescent="0.2">
      <c r="A46" s="199"/>
      <c r="B46" s="200"/>
      <c r="C46" s="200"/>
      <c r="D46" s="201"/>
      <c r="E46" s="200"/>
      <c r="F46" s="200"/>
      <c r="G46" s="201"/>
      <c r="H46" s="200"/>
      <c r="I46" s="200"/>
      <c r="J46" s="1979">
        <v>257</v>
      </c>
      <c r="K46" s="1978" t="s">
        <v>163</v>
      </c>
      <c r="L46" s="1982" t="s">
        <v>126</v>
      </c>
      <c r="M46" s="1979">
        <v>1</v>
      </c>
      <c r="N46" s="1974" t="s">
        <v>164</v>
      </c>
      <c r="O46" s="1982">
        <v>9</v>
      </c>
      <c r="P46" s="2005" t="s">
        <v>165</v>
      </c>
      <c r="Q46" s="1995">
        <f>(V46+V47+V48)/234700000</f>
        <v>0.4929697486152535</v>
      </c>
      <c r="R46" s="1998">
        <f>+V46+V47+V48</f>
        <v>115700000</v>
      </c>
      <c r="S46" s="1978" t="s">
        <v>166</v>
      </c>
      <c r="T46" s="1978" t="s">
        <v>167</v>
      </c>
      <c r="U46" s="202" t="s">
        <v>168</v>
      </c>
      <c r="V46" s="203">
        <v>7700000</v>
      </c>
      <c r="W46" s="1981" t="s">
        <v>146</v>
      </c>
      <c r="X46" s="1981" t="s">
        <v>147</v>
      </c>
      <c r="Y46" s="1945">
        <v>64149</v>
      </c>
      <c r="Z46" s="1945">
        <v>72224</v>
      </c>
      <c r="AA46" s="1945">
        <v>27477</v>
      </c>
      <c r="AB46" s="1945">
        <v>86843</v>
      </c>
      <c r="AC46" s="1945">
        <v>236429</v>
      </c>
      <c r="AD46" s="1945">
        <v>81384</v>
      </c>
      <c r="AE46" s="1945">
        <v>12718</v>
      </c>
      <c r="AF46" s="1945">
        <v>2145</v>
      </c>
      <c r="AG46" s="1945"/>
      <c r="AH46" s="1945">
        <v>491</v>
      </c>
      <c r="AI46" s="1945">
        <v>16892</v>
      </c>
      <c r="AJ46" s="1945">
        <v>81384</v>
      </c>
      <c r="AK46" s="1992">
        <v>42737</v>
      </c>
      <c r="AL46" s="1992" t="s">
        <v>169</v>
      </c>
      <c r="AM46" s="1978" t="s">
        <v>109</v>
      </c>
    </row>
    <row r="47" spans="1:39" s="96" customFormat="1" ht="40.5" customHeight="1" x14ac:dyDescent="0.2">
      <c r="A47" s="199"/>
      <c r="B47" s="200"/>
      <c r="C47" s="200"/>
      <c r="D47" s="201"/>
      <c r="E47" s="200"/>
      <c r="F47" s="200"/>
      <c r="G47" s="201"/>
      <c r="H47" s="200"/>
      <c r="I47" s="200"/>
      <c r="J47" s="1980"/>
      <c r="K47" s="1956"/>
      <c r="L47" s="1983"/>
      <c r="M47" s="1980"/>
      <c r="N47" s="1943"/>
      <c r="O47" s="1983"/>
      <c r="P47" s="2006"/>
      <c r="Q47" s="1996"/>
      <c r="R47" s="1999"/>
      <c r="S47" s="2006"/>
      <c r="T47" s="1956"/>
      <c r="U47" s="204" t="s">
        <v>170</v>
      </c>
      <c r="V47" s="205">
        <v>54000000</v>
      </c>
      <c r="W47" s="2001"/>
      <c r="X47" s="2004"/>
      <c r="Y47" s="1945"/>
      <c r="Z47" s="1945"/>
      <c r="AA47" s="1945"/>
      <c r="AB47" s="1945"/>
      <c r="AC47" s="1945"/>
      <c r="AD47" s="1945"/>
      <c r="AE47" s="1945"/>
      <c r="AF47" s="1945"/>
      <c r="AG47" s="1945"/>
      <c r="AH47" s="1945"/>
      <c r="AI47" s="1945"/>
      <c r="AJ47" s="1945"/>
      <c r="AK47" s="1993"/>
      <c r="AL47" s="1993"/>
      <c r="AM47" s="2006"/>
    </row>
    <row r="48" spans="1:39" s="96" customFormat="1" ht="39.75" customHeight="1" x14ac:dyDescent="0.2">
      <c r="A48" s="199"/>
      <c r="B48" s="200"/>
      <c r="C48" s="200"/>
      <c r="D48" s="201"/>
      <c r="E48" s="200"/>
      <c r="F48" s="200"/>
      <c r="G48" s="201"/>
      <c r="H48" s="200"/>
      <c r="I48" s="206"/>
      <c r="J48" s="1980"/>
      <c r="K48" s="1956"/>
      <c r="L48" s="1983"/>
      <c r="M48" s="1980"/>
      <c r="N48" s="1943"/>
      <c r="O48" s="1983"/>
      <c r="P48" s="2006"/>
      <c r="Q48" s="1996"/>
      <c r="R48" s="1999"/>
      <c r="S48" s="2006"/>
      <c r="T48" s="1956"/>
      <c r="U48" s="204" t="s">
        <v>171</v>
      </c>
      <c r="V48" s="205">
        <v>54000000</v>
      </c>
      <c r="W48" s="2001"/>
      <c r="X48" s="2004"/>
      <c r="Y48" s="1945"/>
      <c r="Z48" s="1945"/>
      <c r="AA48" s="1945"/>
      <c r="AB48" s="1945"/>
      <c r="AC48" s="1945"/>
      <c r="AD48" s="1945"/>
      <c r="AE48" s="1945"/>
      <c r="AF48" s="1945"/>
      <c r="AG48" s="1945"/>
      <c r="AH48" s="1945"/>
      <c r="AI48" s="1945"/>
      <c r="AJ48" s="1945"/>
      <c r="AK48" s="1993"/>
      <c r="AL48" s="1993"/>
      <c r="AM48" s="2006"/>
    </row>
    <row r="49" spans="1:40" s="96" customFormat="1" ht="57" customHeight="1" x14ac:dyDescent="0.2">
      <c r="A49" s="199"/>
      <c r="B49" s="200"/>
      <c r="C49" s="200"/>
      <c r="D49" s="201"/>
      <c r="E49" s="200"/>
      <c r="F49" s="200"/>
      <c r="G49" s="201"/>
      <c r="H49" s="200"/>
      <c r="I49" s="200"/>
      <c r="J49" s="207">
        <v>259</v>
      </c>
      <c r="K49" s="153" t="s">
        <v>172</v>
      </c>
      <c r="L49" s="208" t="s">
        <v>126</v>
      </c>
      <c r="M49" s="209">
        <v>1</v>
      </c>
      <c r="N49" s="1943"/>
      <c r="O49" s="1983"/>
      <c r="P49" s="2006"/>
      <c r="Q49" s="210">
        <f>V49/234700000</f>
        <v>3.8346825734980827E-2</v>
      </c>
      <c r="R49" s="211">
        <f>+V49</f>
        <v>9000000</v>
      </c>
      <c r="S49" s="2006"/>
      <c r="T49" s="153" t="s">
        <v>173</v>
      </c>
      <c r="U49" s="153" t="s">
        <v>174</v>
      </c>
      <c r="V49" s="205">
        <v>9000000</v>
      </c>
      <c r="W49" s="2001"/>
      <c r="X49" s="2004"/>
      <c r="Y49" s="1945"/>
      <c r="Z49" s="1945"/>
      <c r="AA49" s="1945"/>
      <c r="AB49" s="1945"/>
      <c r="AC49" s="1945"/>
      <c r="AD49" s="1945"/>
      <c r="AE49" s="1945"/>
      <c r="AF49" s="1945"/>
      <c r="AG49" s="1945"/>
      <c r="AH49" s="1945"/>
      <c r="AI49" s="1945"/>
      <c r="AJ49" s="1945"/>
      <c r="AK49" s="1993"/>
      <c r="AL49" s="1993"/>
      <c r="AM49" s="2006"/>
    </row>
    <row r="50" spans="1:40" s="96" customFormat="1" ht="77.25" customHeight="1" x14ac:dyDescent="0.2">
      <c r="A50" s="199"/>
      <c r="B50" s="200"/>
      <c r="C50" s="200"/>
      <c r="D50" s="201"/>
      <c r="E50" s="200"/>
      <c r="F50" s="200"/>
      <c r="G50" s="201"/>
      <c r="H50" s="200"/>
      <c r="I50" s="200"/>
      <c r="J50" s="207">
        <v>258</v>
      </c>
      <c r="K50" s="153" t="s">
        <v>175</v>
      </c>
      <c r="L50" s="208" t="s">
        <v>16</v>
      </c>
      <c r="M50" s="209">
        <v>1</v>
      </c>
      <c r="N50" s="1943"/>
      <c r="O50" s="1983"/>
      <c r="P50" s="2006"/>
      <c r="Q50" s="210">
        <f>V50/234700000</f>
        <v>8.5215168299957386E-2</v>
      </c>
      <c r="R50" s="211">
        <f>+V50</f>
        <v>20000000</v>
      </c>
      <c r="S50" s="2006"/>
      <c r="T50" s="153" t="s">
        <v>176</v>
      </c>
      <c r="U50" s="153" t="s">
        <v>177</v>
      </c>
      <c r="V50" s="205">
        <v>20000000</v>
      </c>
      <c r="W50" s="2001"/>
      <c r="X50" s="2004"/>
      <c r="Y50" s="1945"/>
      <c r="Z50" s="1945"/>
      <c r="AA50" s="1945"/>
      <c r="AB50" s="1945"/>
      <c r="AC50" s="1945"/>
      <c r="AD50" s="1945"/>
      <c r="AE50" s="1945"/>
      <c r="AF50" s="1945"/>
      <c r="AG50" s="1945"/>
      <c r="AH50" s="1945"/>
      <c r="AI50" s="1945"/>
      <c r="AJ50" s="1945"/>
      <c r="AK50" s="1993"/>
      <c r="AL50" s="1993"/>
      <c r="AM50" s="2006"/>
    </row>
    <row r="51" spans="1:40" s="96" customFormat="1" ht="52.5" customHeight="1" x14ac:dyDescent="0.2">
      <c r="A51" s="199"/>
      <c r="B51" s="200"/>
      <c r="C51" s="200"/>
      <c r="D51" s="201"/>
      <c r="E51" s="200"/>
      <c r="F51" s="200"/>
      <c r="G51" s="201"/>
      <c r="H51" s="200"/>
      <c r="I51" s="200"/>
      <c r="J51" s="207">
        <v>263</v>
      </c>
      <c r="K51" s="153" t="s">
        <v>178</v>
      </c>
      <c r="L51" s="208" t="s">
        <v>126</v>
      </c>
      <c r="M51" s="209">
        <v>1</v>
      </c>
      <c r="N51" s="1943"/>
      <c r="O51" s="1983"/>
      <c r="P51" s="2006"/>
      <c r="Q51" s="210">
        <f>V51/234700000</f>
        <v>0.27694929697486154</v>
      </c>
      <c r="R51" s="211">
        <f>+V51</f>
        <v>65000000</v>
      </c>
      <c r="S51" s="2006"/>
      <c r="T51" s="153" t="s">
        <v>179</v>
      </c>
      <c r="U51" s="153" t="s">
        <v>180</v>
      </c>
      <c r="V51" s="212">
        <f>35000000+30000000</f>
        <v>65000000</v>
      </c>
      <c r="W51" s="2001"/>
      <c r="X51" s="2004"/>
      <c r="Y51" s="1945"/>
      <c r="Z51" s="1945"/>
      <c r="AA51" s="1945"/>
      <c r="AB51" s="1945"/>
      <c r="AC51" s="1945"/>
      <c r="AD51" s="1945"/>
      <c r="AE51" s="1945"/>
      <c r="AF51" s="1945"/>
      <c r="AG51" s="1945"/>
      <c r="AH51" s="1945"/>
      <c r="AI51" s="1945"/>
      <c r="AJ51" s="1945"/>
      <c r="AK51" s="1993"/>
      <c r="AL51" s="1993"/>
      <c r="AM51" s="2006"/>
    </row>
    <row r="52" spans="1:40" s="96" customFormat="1" ht="44.25" customHeight="1" x14ac:dyDescent="0.2">
      <c r="A52" s="199"/>
      <c r="B52" s="200"/>
      <c r="C52" s="200"/>
      <c r="D52" s="201"/>
      <c r="E52" s="200"/>
      <c r="F52" s="200"/>
      <c r="G52" s="201"/>
      <c r="H52" s="200"/>
      <c r="I52" s="200"/>
      <c r="J52" s="1980">
        <v>261</v>
      </c>
      <c r="K52" s="1956" t="s">
        <v>1997</v>
      </c>
      <c r="L52" s="1983" t="s">
        <v>126</v>
      </c>
      <c r="M52" s="2013">
        <v>2</v>
      </c>
      <c r="N52" s="1943"/>
      <c r="O52" s="1983"/>
      <c r="P52" s="2006"/>
      <c r="Q52" s="1996">
        <f>(V52+V53)/234700000</f>
        <v>0.10651896037494674</v>
      </c>
      <c r="R52" s="1999">
        <f>+V52+V53</f>
        <v>25000000</v>
      </c>
      <c r="S52" s="2006"/>
      <c r="T52" s="1956" t="s">
        <v>181</v>
      </c>
      <c r="U52" s="204" t="s">
        <v>182</v>
      </c>
      <c r="V52" s="212">
        <v>17600000</v>
      </c>
      <c r="W52" s="2001"/>
      <c r="X52" s="2004"/>
      <c r="Y52" s="1945"/>
      <c r="Z52" s="1945"/>
      <c r="AA52" s="1945"/>
      <c r="AB52" s="1945"/>
      <c r="AC52" s="1945"/>
      <c r="AD52" s="1945"/>
      <c r="AE52" s="1945"/>
      <c r="AF52" s="1945"/>
      <c r="AG52" s="1945"/>
      <c r="AH52" s="1945"/>
      <c r="AI52" s="1945"/>
      <c r="AJ52" s="1945"/>
      <c r="AK52" s="1993"/>
      <c r="AL52" s="1993"/>
      <c r="AM52" s="2006"/>
    </row>
    <row r="53" spans="1:40" s="96" customFormat="1" ht="32.25" customHeight="1" x14ac:dyDescent="0.2">
      <c r="A53" s="199"/>
      <c r="B53" s="200"/>
      <c r="C53" s="200"/>
      <c r="D53" s="201"/>
      <c r="E53" s="200"/>
      <c r="F53" s="200"/>
      <c r="G53" s="201"/>
      <c r="H53" s="200"/>
      <c r="I53" s="200"/>
      <c r="J53" s="1980"/>
      <c r="K53" s="1956"/>
      <c r="L53" s="1983"/>
      <c r="M53" s="2013"/>
      <c r="N53" s="1943"/>
      <c r="O53" s="1983"/>
      <c r="P53" s="2006"/>
      <c r="Q53" s="1996"/>
      <c r="R53" s="1999"/>
      <c r="S53" s="2006"/>
      <c r="T53" s="1956"/>
      <c r="U53" s="204" t="s">
        <v>183</v>
      </c>
      <c r="V53" s="212">
        <v>7400000</v>
      </c>
      <c r="W53" s="2002"/>
      <c r="X53" s="1979"/>
      <c r="Y53" s="1945"/>
      <c r="Z53" s="1945"/>
      <c r="AA53" s="1945"/>
      <c r="AB53" s="1945"/>
      <c r="AC53" s="1945"/>
      <c r="AD53" s="1945"/>
      <c r="AE53" s="1945"/>
      <c r="AF53" s="1945"/>
      <c r="AG53" s="1945"/>
      <c r="AH53" s="1945"/>
      <c r="AI53" s="1945"/>
      <c r="AJ53" s="1945"/>
      <c r="AK53" s="1993"/>
      <c r="AL53" s="1993"/>
      <c r="AM53" s="2006"/>
    </row>
    <row r="54" spans="1:40" s="96" customFormat="1" ht="93" customHeight="1" x14ac:dyDescent="0.2">
      <c r="A54" s="213"/>
      <c r="B54" s="200"/>
      <c r="C54" s="200"/>
      <c r="D54" s="214"/>
      <c r="E54" s="2010"/>
      <c r="F54" s="2010"/>
      <c r="G54" s="2011"/>
      <c r="H54" s="2010"/>
      <c r="I54" s="2010"/>
      <c r="J54" s="1943">
        <v>262</v>
      </c>
      <c r="K54" s="1956" t="s">
        <v>184</v>
      </c>
      <c r="L54" s="1943" t="s">
        <v>16</v>
      </c>
      <c r="M54" s="1943">
        <v>1</v>
      </c>
      <c r="N54" s="1943" t="s">
        <v>185</v>
      </c>
      <c r="O54" s="1943">
        <v>10</v>
      </c>
      <c r="P54" s="1956" t="s">
        <v>186</v>
      </c>
      <c r="Q54" s="2008">
        <v>1</v>
      </c>
      <c r="R54" s="2009">
        <v>25000000</v>
      </c>
      <c r="S54" s="1956" t="s">
        <v>187</v>
      </c>
      <c r="T54" s="2012" t="s">
        <v>188</v>
      </c>
      <c r="U54" s="153" t="s">
        <v>189</v>
      </c>
      <c r="V54" s="215">
        <v>2000000</v>
      </c>
      <c r="W54" s="1981">
        <v>20</v>
      </c>
      <c r="X54" s="1944" t="s">
        <v>51</v>
      </c>
      <c r="Y54" s="2007">
        <v>64149</v>
      </c>
      <c r="Z54" s="2007">
        <v>72224</v>
      </c>
      <c r="AA54" s="2007">
        <v>27477</v>
      </c>
      <c r="AB54" s="2007">
        <v>86843</v>
      </c>
      <c r="AC54" s="2007">
        <v>236429</v>
      </c>
      <c r="AD54" s="2007">
        <v>81384</v>
      </c>
      <c r="AE54" s="2007"/>
      <c r="AF54" s="2007"/>
      <c r="AG54" s="2007"/>
      <c r="AH54" s="2007"/>
      <c r="AI54" s="2007"/>
      <c r="AJ54" s="2007"/>
      <c r="AK54" s="2017">
        <v>42736</v>
      </c>
      <c r="AL54" s="2017">
        <v>43100</v>
      </c>
      <c r="AM54" s="2012" t="s">
        <v>109</v>
      </c>
    </row>
    <row r="55" spans="1:40" s="96" customFormat="1" ht="91.5" customHeight="1" x14ac:dyDescent="0.2">
      <c r="A55" s="213"/>
      <c r="B55" s="200"/>
      <c r="C55" s="200"/>
      <c r="D55" s="214"/>
      <c r="E55" s="2010"/>
      <c r="F55" s="2010"/>
      <c r="G55" s="2011"/>
      <c r="H55" s="2010"/>
      <c r="I55" s="2010"/>
      <c r="J55" s="1943"/>
      <c r="K55" s="1956"/>
      <c r="L55" s="1943"/>
      <c r="M55" s="1943"/>
      <c r="N55" s="1943"/>
      <c r="O55" s="1943"/>
      <c r="P55" s="1956"/>
      <c r="Q55" s="2008"/>
      <c r="R55" s="2009"/>
      <c r="S55" s="1956"/>
      <c r="T55" s="2012"/>
      <c r="U55" s="153" t="s">
        <v>190</v>
      </c>
      <c r="V55" s="215">
        <v>2000000</v>
      </c>
      <c r="W55" s="2004"/>
      <c r="X55" s="1991"/>
      <c r="Y55" s="2007"/>
      <c r="Z55" s="2007"/>
      <c r="AA55" s="2007"/>
      <c r="AB55" s="2007"/>
      <c r="AC55" s="2007"/>
      <c r="AD55" s="2007"/>
      <c r="AE55" s="2007"/>
      <c r="AF55" s="2007"/>
      <c r="AG55" s="2007"/>
      <c r="AH55" s="2007"/>
      <c r="AI55" s="2007"/>
      <c r="AJ55" s="2007"/>
      <c r="AK55" s="2017"/>
      <c r="AL55" s="2017"/>
      <c r="AM55" s="2012"/>
    </row>
    <row r="56" spans="1:40" s="96" customFormat="1" ht="105" customHeight="1" x14ac:dyDescent="0.2">
      <c r="A56" s="213"/>
      <c r="B56" s="200"/>
      <c r="C56" s="200"/>
      <c r="D56" s="214"/>
      <c r="E56" s="2010"/>
      <c r="F56" s="2010"/>
      <c r="G56" s="2011"/>
      <c r="H56" s="2010"/>
      <c r="I56" s="2010"/>
      <c r="J56" s="1943"/>
      <c r="K56" s="1956"/>
      <c r="L56" s="1943"/>
      <c r="M56" s="1943"/>
      <c r="N56" s="1943"/>
      <c r="O56" s="1943"/>
      <c r="P56" s="1956"/>
      <c r="Q56" s="2008"/>
      <c r="R56" s="2009"/>
      <c r="S56" s="1956"/>
      <c r="T56" s="2012"/>
      <c r="U56" s="153" t="s">
        <v>191</v>
      </c>
      <c r="V56" s="215">
        <v>3100000</v>
      </c>
      <c r="W56" s="2004"/>
      <c r="X56" s="1991"/>
      <c r="Y56" s="2007"/>
      <c r="Z56" s="2007"/>
      <c r="AA56" s="2007"/>
      <c r="AB56" s="2007"/>
      <c r="AC56" s="2007"/>
      <c r="AD56" s="2007"/>
      <c r="AE56" s="2007"/>
      <c r="AF56" s="2007"/>
      <c r="AG56" s="2007"/>
      <c r="AH56" s="2007"/>
      <c r="AI56" s="2007"/>
      <c r="AJ56" s="2007"/>
      <c r="AK56" s="2017"/>
      <c r="AL56" s="2017"/>
      <c r="AM56" s="2012"/>
    </row>
    <row r="57" spans="1:40" s="96" customFormat="1" ht="98.25" customHeight="1" x14ac:dyDescent="0.2">
      <c r="A57" s="213"/>
      <c r="B57" s="200"/>
      <c r="C57" s="200"/>
      <c r="D57" s="214"/>
      <c r="E57" s="2010"/>
      <c r="F57" s="2010"/>
      <c r="G57" s="2011"/>
      <c r="H57" s="2010"/>
      <c r="I57" s="2010"/>
      <c r="J57" s="1943"/>
      <c r="K57" s="1956"/>
      <c r="L57" s="1943"/>
      <c r="M57" s="1943"/>
      <c r="N57" s="1943"/>
      <c r="O57" s="1943"/>
      <c r="P57" s="1956"/>
      <c r="Q57" s="2008"/>
      <c r="R57" s="2009"/>
      <c r="S57" s="1956"/>
      <c r="T57" s="1956" t="s">
        <v>192</v>
      </c>
      <c r="U57" s="153" t="s">
        <v>193</v>
      </c>
      <c r="V57" s="215">
        <v>1200000</v>
      </c>
      <c r="W57" s="2004"/>
      <c r="X57" s="1991"/>
      <c r="Y57" s="2007"/>
      <c r="Z57" s="2007"/>
      <c r="AA57" s="2007"/>
      <c r="AB57" s="2007"/>
      <c r="AC57" s="2007"/>
      <c r="AD57" s="2007"/>
      <c r="AE57" s="2007"/>
      <c r="AF57" s="2007"/>
      <c r="AG57" s="2007"/>
      <c r="AH57" s="2007"/>
      <c r="AI57" s="2007"/>
      <c r="AJ57" s="2007"/>
      <c r="AK57" s="2017"/>
      <c r="AL57" s="2017"/>
      <c r="AM57" s="2012"/>
    </row>
    <row r="58" spans="1:40" s="96" customFormat="1" ht="45" customHeight="1" x14ac:dyDescent="0.2">
      <c r="A58" s="213"/>
      <c r="B58" s="200"/>
      <c r="C58" s="200"/>
      <c r="D58" s="214"/>
      <c r="E58" s="2010"/>
      <c r="F58" s="2010"/>
      <c r="G58" s="2011"/>
      <c r="H58" s="2010"/>
      <c r="I58" s="2010"/>
      <c r="J58" s="1943"/>
      <c r="K58" s="1956"/>
      <c r="L58" s="1943"/>
      <c r="M58" s="1943"/>
      <c r="N58" s="1943"/>
      <c r="O58" s="1943"/>
      <c r="P58" s="1956"/>
      <c r="Q58" s="2008"/>
      <c r="R58" s="2009"/>
      <c r="S58" s="1956"/>
      <c r="T58" s="1956"/>
      <c r="U58" s="153" t="s">
        <v>194</v>
      </c>
      <c r="V58" s="215">
        <v>500000</v>
      </c>
      <c r="W58" s="2004"/>
      <c r="X58" s="1991"/>
      <c r="Y58" s="2007"/>
      <c r="Z58" s="2007"/>
      <c r="AA58" s="2007"/>
      <c r="AB58" s="2007"/>
      <c r="AC58" s="2007"/>
      <c r="AD58" s="2007"/>
      <c r="AE58" s="2007"/>
      <c r="AF58" s="2007"/>
      <c r="AG58" s="2007"/>
      <c r="AH58" s="2007"/>
      <c r="AI58" s="2007"/>
      <c r="AJ58" s="2007"/>
      <c r="AK58" s="2017"/>
      <c r="AL58" s="2017"/>
      <c r="AM58" s="2012"/>
    </row>
    <row r="59" spans="1:40" s="96" customFormat="1" ht="54" customHeight="1" x14ac:dyDescent="0.2">
      <c r="A59" s="213"/>
      <c r="B59" s="200"/>
      <c r="C59" s="200"/>
      <c r="D59" s="214"/>
      <c r="E59" s="2010"/>
      <c r="F59" s="2010"/>
      <c r="G59" s="2011"/>
      <c r="H59" s="2010"/>
      <c r="I59" s="2010"/>
      <c r="J59" s="1943"/>
      <c r="K59" s="1956"/>
      <c r="L59" s="1943"/>
      <c r="M59" s="1943"/>
      <c r="N59" s="1943"/>
      <c r="O59" s="1943"/>
      <c r="P59" s="1956"/>
      <c r="Q59" s="2008"/>
      <c r="R59" s="2009"/>
      <c r="S59" s="1956"/>
      <c r="T59" s="1956"/>
      <c r="U59" s="153" t="s">
        <v>195</v>
      </c>
      <c r="V59" s="215">
        <v>6600000</v>
      </c>
      <c r="W59" s="2004"/>
      <c r="X59" s="1991"/>
      <c r="Y59" s="2007"/>
      <c r="Z59" s="2007"/>
      <c r="AA59" s="2007"/>
      <c r="AB59" s="2007"/>
      <c r="AC59" s="2007"/>
      <c r="AD59" s="2007"/>
      <c r="AE59" s="2007"/>
      <c r="AF59" s="2007"/>
      <c r="AG59" s="2007"/>
      <c r="AH59" s="2007"/>
      <c r="AI59" s="2007"/>
      <c r="AJ59" s="2007"/>
      <c r="AK59" s="2017"/>
      <c r="AL59" s="2017"/>
      <c r="AM59" s="2012"/>
      <c r="AN59" s="216"/>
    </row>
    <row r="60" spans="1:40" s="96" customFormat="1" ht="62.25" customHeight="1" x14ac:dyDescent="0.2">
      <c r="A60" s="213"/>
      <c r="B60" s="200"/>
      <c r="C60" s="200"/>
      <c r="D60" s="214"/>
      <c r="E60" s="2010"/>
      <c r="F60" s="2010"/>
      <c r="G60" s="2011"/>
      <c r="H60" s="2010"/>
      <c r="I60" s="2010"/>
      <c r="J60" s="1943"/>
      <c r="K60" s="1956"/>
      <c r="L60" s="1943"/>
      <c r="M60" s="1943"/>
      <c r="N60" s="1943"/>
      <c r="O60" s="1943"/>
      <c r="P60" s="1956"/>
      <c r="Q60" s="2008"/>
      <c r="R60" s="2009"/>
      <c r="S60" s="1956"/>
      <c r="T60" s="1956"/>
      <c r="U60" s="153" t="s">
        <v>196</v>
      </c>
      <c r="V60" s="215">
        <v>9600000</v>
      </c>
      <c r="W60" s="1979"/>
      <c r="X60" s="1974"/>
      <c r="Y60" s="2007"/>
      <c r="Z60" s="2007"/>
      <c r="AA60" s="2007"/>
      <c r="AB60" s="2007"/>
      <c r="AC60" s="2007"/>
      <c r="AD60" s="2007"/>
      <c r="AE60" s="2007"/>
      <c r="AF60" s="2007"/>
      <c r="AG60" s="2007"/>
      <c r="AH60" s="2007"/>
      <c r="AI60" s="2007"/>
      <c r="AJ60" s="2007"/>
      <c r="AK60" s="2017"/>
      <c r="AL60" s="2017"/>
      <c r="AM60" s="2012"/>
      <c r="AN60" s="216"/>
    </row>
    <row r="61" spans="1:40" s="96" customFormat="1" ht="63" customHeight="1" x14ac:dyDescent="0.2">
      <c r="A61" s="213"/>
      <c r="B61" s="200"/>
      <c r="C61" s="200"/>
      <c r="D61" s="214"/>
      <c r="E61" s="217"/>
      <c r="F61" s="217"/>
      <c r="G61" s="214"/>
      <c r="H61" s="217"/>
      <c r="I61" s="217"/>
      <c r="J61" s="1873">
        <v>264</v>
      </c>
      <c r="K61" s="2014" t="s">
        <v>197</v>
      </c>
      <c r="L61" s="1944" t="s">
        <v>16</v>
      </c>
      <c r="M61" s="1944">
        <v>1</v>
      </c>
      <c r="N61" s="2018" t="s">
        <v>198</v>
      </c>
      <c r="O61" s="1944">
        <v>11</v>
      </c>
      <c r="P61" s="1957" t="s">
        <v>199</v>
      </c>
      <c r="Q61" s="2021">
        <v>1</v>
      </c>
      <c r="R61" s="2024">
        <f>SUM(V61:V63)</f>
        <v>215000000</v>
      </c>
      <c r="S61" s="1957" t="s">
        <v>200</v>
      </c>
      <c r="T61" s="1873" t="s">
        <v>201</v>
      </c>
      <c r="U61" s="153" t="s">
        <v>202</v>
      </c>
      <c r="V61" s="215">
        <v>15000000</v>
      </c>
      <c r="W61" s="1981" t="s">
        <v>146</v>
      </c>
      <c r="X61" s="1944" t="s">
        <v>203</v>
      </c>
      <c r="Y61" s="2027">
        <v>64149</v>
      </c>
      <c r="Z61" s="2027">
        <v>72224</v>
      </c>
      <c r="AA61" s="2027">
        <v>27477</v>
      </c>
      <c r="AB61" s="2027">
        <v>86843</v>
      </c>
      <c r="AC61" s="2027">
        <v>236429</v>
      </c>
      <c r="AD61" s="2027">
        <v>81384</v>
      </c>
      <c r="AE61" s="1981">
        <v>12718</v>
      </c>
      <c r="AF61" s="1981">
        <v>2145</v>
      </c>
      <c r="AG61" s="1981">
        <v>413</v>
      </c>
      <c r="AH61" s="1981">
        <v>78</v>
      </c>
      <c r="AI61" s="1981">
        <v>16879</v>
      </c>
      <c r="AJ61" s="1981"/>
      <c r="AK61" s="2037">
        <v>42736</v>
      </c>
      <c r="AL61" s="2037">
        <v>43100</v>
      </c>
      <c r="AM61" s="2030" t="s">
        <v>109</v>
      </c>
      <c r="AN61" s="216"/>
    </row>
    <row r="62" spans="1:40" s="96" customFormat="1" ht="74.25" customHeight="1" x14ac:dyDescent="0.2">
      <c r="A62" s="213"/>
      <c r="B62" s="200"/>
      <c r="C62" s="200"/>
      <c r="D62" s="214"/>
      <c r="E62" s="217"/>
      <c r="F62" s="217"/>
      <c r="G62" s="214"/>
      <c r="H62" s="217"/>
      <c r="I62" s="217"/>
      <c r="J62" s="1874"/>
      <c r="K62" s="2015"/>
      <c r="L62" s="1991"/>
      <c r="M62" s="1991"/>
      <c r="N62" s="2019"/>
      <c r="O62" s="1991"/>
      <c r="P62" s="2003"/>
      <c r="Q62" s="2022"/>
      <c r="R62" s="2025"/>
      <c r="S62" s="2003"/>
      <c r="T62" s="1875"/>
      <c r="U62" s="153" t="s">
        <v>204</v>
      </c>
      <c r="V62" s="215">
        <f>138000000+40000000+6160000</f>
        <v>184160000</v>
      </c>
      <c r="W62" s="2004"/>
      <c r="X62" s="1991"/>
      <c r="Y62" s="2028"/>
      <c r="Z62" s="2028"/>
      <c r="AA62" s="2028"/>
      <c r="AB62" s="2028"/>
      <c r="AC62" s="2028"/>
      <c r="AD62" s="2028"/>
      <c r="AE62" s="2004"/>
      <c r="AF62" s="2004"/>
      <c r="AG62" s="2004"/>
      <c r="AH62" s="2004"/>
      <c r="AI62" s="2004"/>
      <c r="AJ62" s="2004"/>
      <c r="AK62" s="2038"/>
      <c r="AL62" s="2038"/>
      <c r="AM62" s="2031"/>
      <c r="AN62" s="216"/>
    </row>
    <row r="63" spans="1:40" s="96" customFormat="1" ht="141" customHeight="1" x14ac:dyDescent="0.2">
      <c r="A63" s="213"/>
      <c r="B63" s="200"/>
      <c r="C63" s="200"/>
      <c r="D63" s="214"/>
      <c r="E63" s="217"/>
      <c r="F63" s="217"/>
      <c r="G63" s="214"/>
      <c r="H63" s="217"/>
      <c r="I63" s="217"/>
      <c r="J63" s="1875"/>
      <c r="K63" s="2016"/>
      <c r="L63" s="1974"/>
      <c r="M63" s="1974"/>
      <c r="N63" s="2020"/>
      <c r="O63" s="1974"/>
      <c r="P63" s="1978"/>
      <c r="Q63" s="2023"/>
      <c r="R63" s="2026"/>
      <c r="S63" s="1978"/>
      <c r="T63" s="21" t="s">
        <v>205</v>
      </c>
      <c r="U63" s="153" t="s">
        <v>206</v>
      </c>
      <c r="V63" s="215">
        <f>22000000-6160000</f>
        <v>15840000</v>
      </c>
      <c r="W63" s="1979"/>
      <c r="X63" s="1974"/>
      <c r="Y63" s="2029"/>
      <c r="Z63" s="2029"/>
      <c r="AA63" s="2029"/>
      <c r="AB63" s="2029"/>
      <c r="AC63" s="2029"/>
      <c r="AD63" s="2029"/>
      <c r="AE63" s="1979"/>
      <c r="AF63" s="1979"/>
      <c r="AG63" s="1979"/>
      <c r="AH63" s="1979"/>
      <c r="AI63" s="1979"/>
      <c r="AJ63" s="1979"/>
      <c r="AK63" s="2039"/>
      <c r="AL63" s="2039"/>
      <c r="AM63" s="2032"/>
      <c r="AN63" s="216"/>
    </row>
    <row r="64" spans="1:40" s="96" customFormat="1" ht="68.25" customHeight="1" x14ac:dyDescent="0.2">
      <c r="A64" s="2033"/>
      <c r="B64" s="2034"/>
      <c r="C64" s="2034"/>
      <c r="D64" s="2035"/>
      <c r="E64" s="2034"/>
      <c r="F64" s="2034"/>
      <c r="G64" s="2035"/>
      <c r="H64" s="2036"/>
      <c r="I64" s="2036"/>
      <c r="J64" s="1980">
        <v>265</v>
      </c>
      <c r="K64" s="1956" t="s">
        <v>207</v>
      </c>
      <c r="L64" s="1983" t="s">
        <v>126</v>
      </c>
      <c r="M64" s="2013">
        <v>1</v>
      </c>
      <c r="N64" s="1943" t="s">
        <v>208</v>
      </c>
      <c r="O64" s="1983">
        <v>12</v>
      </c>
      <c r="P64" s="2006" t="s">
        <v>209</v>
      </c>
      <c r="Q64" s="1996">
        <v>1</v>
      </c>
      <c r="R64" s="1999">
        <f>SUM(V64:V77)</f>
        <v>645000000</v>
      </c>
      <c r="S64" s="2006" t="s">
        <v>210</v>
      </c>
      <c r="T64" s="1956" t="s">
        <v>211</v>
      </c>
      <c r="U64" s="204" t="s">
        <v>212</v>
      </c>
      <c r="V64" s="211">
        <v>18000000</v>
      </c>
      <c r="W64" s="1980" t="s">
        <v>146</v>
      </c>
      <c r="X64" s="1943" t="s">
        <v>147</v>
      </c>
      <c r="Y64" s="1945">
        <v>64149</v>
      </c>
      <c r="Z64" s="1945">
        <v>72224</v>
      </c>
      <c r="AA64" s="1945">
        <v>27477</v>
      </c>
      <c r="AB64" s="1945">
        <v>86843</v>
      </c>
      <c r="AC64" s="1945">
        <v>236429</v>
      </c>
      <c r="AD64" s="1945">
        <v>81384</v>
      </c>
      <c r="AE64" s="1945">
        <v>12718</v>
      </c>
      <c r="AF64" s="1945">
        <v>2145</v>
      </c>
      <c r="AG64" s="1945"/>
      <c r="AH64" s="1945">
        <v>43029</v>
      </c>
      <c r="AI64" s="1945">
        <v>16879</v>
      </c>
      <c r="AJ64" s="1945">
        <v>81384</v>
      </c>
      <c r="AK64" s="1993">
        <v>42737</v>
      </c>
      <c r="AL64" s="1993">
        <v>43100</v>
      </c>
      <c r="AM64" s="1956" t="s">
        <v>109</v>
      </c>
    </row>
    <row r="65" spans="1:39" s="96" customFormat="1" ht="103.5" customHeight="1" x14ac:dyDescent="0.2">
      <c r="A65" s="2033"/>
      <c r="B65" s="2034"/>
      <c r="C65" s="2034"/>
      <c r="D65" s="2035"/>
      <c r="E65" s="2034"/>
      <c r="F65" s="2034"/>
      <c r="G65" s="2035"/>
      <c r="H65" s="2036"/>
      <c r="I65" s="2036"/>
      <c r="J65" s="1980"/>
      <c r="K65" s="1956"/>
      <c r="L65" s="1983"/>
      <c r="M65" s="2013"/>
      <c r="N65" s="1943"/>
      <c r="O65" s="1983"/>
      <c r="P65" s="2006"/>
      <c r="Q65" s="1996"/>
      <c r="R65" s="1999"/>
      <c r="S65" s="2006"/>
      <c r="T65" s="1956"/>
      <c r="U65" s="204" t="s">
        <v>213</v>
      </c>
      <c r="V65" s="211">
        <v>58000000</v>
      </c>
      <c r="W65" s="2013"/>
      <c r="X65" s="1943"/>
      <c r="Y65" s="1945"/>
      <c r="Z65" s="1945"/>
      <c r="AA65" s="1945"/>
      <c r="AB65" s="1945"/>
      <c r="AC65" s="1945"/>
      <c r="AD65" s="1945"/>
      <c r="AE65" s="1945"/>
      <c r="AF65" s="1945"/>
      <c r="AG65" s="1945"/>
      <c r="AH65" s="1945"/>
      <c r="AI65" s="1945"/>
      <c r="AJ65" s="1945"/>
      <c r="AK65" s="1993"/>
      <c r="AL65" s="1993"/>
      <c r="AM65" s="2006"/>
    </row>
    <row r="66" spans="1:39" s="96" customFormat="1" ht="60" customHeight="1" x14ac:dyDescent="0.2">
      <c r="A66" s="2033"/>
      <c r="B66" s="2034"/>
      <c r="C66" s="2034"/>
      <c r="D66" s="2035"/>
      <c r="E66" s="2034"/>
      <c r="F66" s="2034"/>
      <c r="G66" s="2035"/>
      <c r="H66" s="2036"/>
      <c r="I66" s="2036"/>
      <c r="J66" s="1980"/>
      <c r="K66" s="1956"/>
      <c r="L66" s="1983"/>
      <c r="M66" s="2013"/>
      <c r="N66" s="1943"/>
      <c r="O66" s="1983"/>
      <c r="P66" s="2006"/>
      <c r="Q66" s="1996"/>
      <c r="R66" s="1999"/>
      <c r="S66" s="2006"/>
      <c r="T66" s="1956"/>
      <c r="U66" s="204" t="s">
        <v>214</v>
      </c>
      <c r="V66" s="211">
        <v>29700000</v>
      </c>
      <c r="W66" s="2013"/>
      <c r="X66" s="1943"/>
      <c r="Y66" s="1945"/>
      <c r="Z66" s="1945"/>
      <c r="AA66" s="1945"/>
      <c r="AB66" s="1945"/>
      <c r="AC66" s="1945"/>
      <c r="AD66" s="1945"/>
      <c r="AE66" s="1945"/>
      <c r="AF66" s="1945"/>
      <c r="AG66" s="1945"/>
      <c r="AH66" s="1945"/>
      <c r="AI66" s="1945"/>
      <c r="AJ66" s="1945"/>
      <c r="AK66" s="1993"/>
      <c r="AL66" s="1993"/>
      <c r="AM66" s="2006"/>
    </row>
    <row r="67" spans="1:39" s="96" customFormat="1" ht="66.75" customHeight="1" x14ac:dyDescent="0.2">
      <c r="A67" s="2033"/>
      <c r="B67" s="2034"/>
      <c r="C67" s="2034"/>
      <c r="D67" s="2035"/>
      <c r="E67" s="2034"/>
      <c r="F67" s="2034"/>
      <c r="G67" s="2035"/>
      <c r="H67" s="2036"/>
      <c r="I67" s="2036"/>
      <c r="J67" s="1980"/>
      <c r="K67" s="1956"/>
      <c r="L67" s="1983"/>
      <c r="M67" s="2013"/>
      <c r="N67" s="1943"/>
      <c r="O67" s="1983"/>
      <c r="P67" s="2006"/>
      <c r="Q67" s="1996"/>
      <c r="R67" s="1999"/>
      <c r="S67" s="2006"/>
      <c r="T67" s="1956"/>
      <c r="U67" s="204" t="s">
        <v>215</v>
      </c>
      <c r="V67" s="211">
        <v>29700000</v>
      </c>
      <c r="W67" s="2013"/>
      <c r="X67" s="1943"/>
      <c r="Y67" s="1945"/>
      <c r="Z67" s="1945"/>
      <c r="AA67" s="1945"/>
      <c r="AB67" s="1945"/>
      <c r="AC67" s="1945"/>
      <c r="AD67" s="1945"/>
      <c r="AE67" s="1945"/>
      <c r="AF67" s="1945"/>
      <c r="AG67" s="1945"/>
      <c r="AH67" s="1945"/>
      <c r="AI67" s="1945"/>
      <c r="AJ67" s="1945"/>
      <c r="AK67" s="1993"/>
      <c r="AL67" s="1993"/>
      <c r="AM67" s="2006"/>
    </row>
    <row r="68" spans="1:39" s="96" customFormat="1" ht="60" customHeight="1" x14ac:dyDescent="0.2">
      <c r="A68" s="2033"/>
      <c r="B68" s="2034"/>
      <c r="C68" s="2034"/>
      <c r="D68" s="2035"/>
      <c r="E68" s="2034"/>
      <c r="F68" s="2034"/>
      <c r="G68" s="2035"/>
      <c r="H68" s="2036"/>
      <c r="I68" s="2036"/>
      <c r="J68" s="1980"/>
      <c r="K68" s="1956"/>
      <c r="L68" s="1983"/>
      <c r="M68" s="2013"/>
      <c r="N68" s="1943"/>
      <c r="O68" s="1983"/>
      <c r="P68" s="2006"/>
      <c r="Q68" s="1996"/>
      <c r="R68" s="1999"/>
      <c r="S68" s="2006"/>
      <c r="T68" s="1956"/>
      <c r="U68" s="204" t="s">
        <v>216</v>
      </c>
      <c r="V68" s="211">
        <v>29700000</v>
      </c>
      <c r="W68" s="2013"/>
      <c r="X68" s="1943"/>
      <c r="Y68" s="1945"/>
      <c r="Z68" s="1945"/>
      <c r="AA68" s="1945"/>
      <c r="AB68" s="1945"/>
      <c r="AC68" s="1945"/>
      <c r="AD68" s="1945"/>
      <c r="AE68" s="1945"/>
      <c r="AF68" s="1945"/>
      <c r="AG68" s="1945"/>
      <c r="AH68" s="1945"/>
      <c r="AI68" s="1945"/>
      <c r="AJ68" s="1945"/>
      <c r="AK68" s="1993"/>
      <c r="AL68" s="1993"/>
      <c r="AM68" s="2006"/>
    </row>
    <row r="69" spans="1:39" s="96" customFormat="1" ht="38.25" x14ac:dyDescent="0.2">
      <c r="A69" s="2033"/>
      <c r="B69" s="2034"/>
      <c r="C69" s="2034"/>
      <c r="D69" s="2035"/>
      <c r="E69" s="2034"/>
      <c r="F69" s="2034"/>
      <c r="G69" s="2035"/>
      <c r="H69" s="2036"/>
      <c r="I69" s="2036"/>
      <c r="J69" s="1980"/>
      <c r="K69" s="1956"/>
      <c r="L69" s="1983"/>
      <c r="M69" s="2013"/>
      <c r="N69" s="1943"/>
      <c r="O69" s="1983"/>
      <c r="P69" s="2006"/>
      <c r="Q69" s="1996"/>
      <c r="R69" s="1999"/>
      <c r="S69" s="2006"/>
      <c r="T69" s="1956"/>
      <c r="U69" s="204" t="s">
        <v>217</v>
      </c>
      <c r="V69" s="218">
        <v>30000000</v>
      </c>
      <c r="W69" s="2013"/>
      <c r="X69" s="1943"/>
      <c r="Y69" s="1945"/>
      <c r="Z69" s="1945"/>
      <c r="AA69" s="1945"/>
      <c r="AB69" s="1945"/>
      <c r="AC69" s="1945"/>
      <c r="AD69" s="1945"/>
      <c r="AE69" s="1945"/>
      <c r="AF69" s="1945"/>
      <c r="AG69" s="1945"/>
      <c r="AH69" s="1945"/>
      <c r="AI69" s="1945"/>
      <c r="AJ69" s="1945"/>
      <c r="AK69" s="1993"/>
      <c r="AL69" s="1993"/>
      <c r="AM69" s="2006"/>
    </row>
    <row r="70" spans="1:39" s="96" customFormat="1" ht="29.25" customHeight="1" x14ac:dyDescent="0.2">
      <c r="A70" s="2033"/>
      <c r="B70" s="2034"/>
      <c r="C70" s="2034"/>
      <c r="D70" s="2035"/>
      <c r="E70" s="2034"/>
      <c r="F70" s="2034"/>
      <c r="G70" s="2035"/>
      <c r="H70" s="2036"/>
      <c r="I70" s="2036"/>
      <c r="J70" s="1980"/>
      <c r="K70" s="1956"/>
      <c r="L70" s="1983"/>
      <c r="M70" s="2013"/>
      <c r="N70" s="1943"/>
      <c r="O70" s="1983"/>
      <c r="P70" s="2006"/>
      <c r="Q70" s="1996"/>
      <c r="R70" s="1999"/>
      <c r="S70" s="2006"/>
      <c r="T70" s="1956"/>
      <c r="U70" s="204" t="s">
        <v>218</v>
      </c>
      <c r="V70" s="218">
        <v>2500000</v>
      </c>
      <c r="W70" s="2013"/>
      <c r="X70" s="1943"/>
      <c r="Y70" s="1945"/>
      <c r="Z70" s="1945"/>
      <c r="AA70" s="1945"/>
      <c r="AB70" s="1945"/>
      <c r="AC70" s="1945"/>
      <c r="AD70" s="1945"/>
      <c r="AE70" s="1945"/>
      <c r="AF70" s="1945"/>
      <c r="AG70" s="1945"/>
      <c r="AH70" s="1945"/>
      <c r="AI70" s="1945"/>
      <c r="AJ70" s="1945"/>
      <c r="AK70" s="1993"/>
      <c r="AL70" s="1993"/>
      <c r="AM70" s="2006"/>
    </row>
    <row r="71" spans="1:39" s="96" customFormat="1" ht="24" customHeight="1" x14ac:dyDescent="0.2">
      <c r="A71" s="2033"/>
      <c r="B71" s="2034"/>
      <c r="C71" s="2034"/>
      <c r="D71" s="2035"/>
      <c r="E71" s="2034"/>
      <c r="F71" s="2034"/>
      <c r="G71" s="2035"/>
      <c r="H71" s="2036"/>
      <c r="I71" s="2036"/>
      <c r="J71" s="1980"/>
      <c r="K71" s="1956"/>
      <c r="L71" s="1983"/>
      <c r="M71" s="2013"/>
      <c r="N71" s="1943"/>
      <c r="O71" s="1983"/>
      <c r="P71" s="2006"/>
      <c r="Q71" s="1996"/>
      <c r="R71" s="1999"/>
      <c r="S71" s="2006"/>
      <c r="T71" s="1956" t="s">
        <v>219</v>
      </c>
      <c r="U71" s="204" t="s">
        <v>220</v>
      </c>
      <c r="V71" s="211">
        <f>20800000+11200000</f>
        <v>32000000</v>
      </c>
      <c r="W71" s="2013"/>
      <c r="X71" s="1943"/>
      <c r="Y71" s="1945"/>
      <c r="Z71" s="1945"/>
      <c r="AA71" s="1945"/>
      <c r="AB71" s="1945"/>
      <c r="AC71" s="1945"/>
      <c r="AD71" s="1945"/>
      <c r="AE71" s="1945"/>
      <c r="AF71" s="1945"/>
      <c r="AG71" s="1945"/>
      <c r="AH71" s="1945"/>
      <c r="AI71" s="1945"/>
      <c r="AJ71" s="1945"/>
      <c r="AK71" s="1993"/>
      <c r="AL71" s="1993"/>
      <c r="AM71" s="2006"/>
    </row>
    <row r="72" spans="1:39" s="96" customFormat="1" ht="29.25" customHeight="1" x14ac:dyDescent="0.2">
      <c r="A72" s="2033"/>
      <c r="B72" s="2034"/>
      <c r="C72" s="2034"/>
      <c r="D72" s="2035"/>
      <c r="E72" s="2034"/>
      <c r="F72" s="2034"/>
      <c r="G72" s="2035"/>
      <c r="H72" s="2036"/>
      <c r="I72" s="2036"/>
      <c r="J72" s="1980"/>
      <c r="K72" s="1956"/>
      <c r="L72" s="1983"/>
      <c r="M72" s="2013"/>
      <c r="N72" s="1943"/>
      <c r="O72" s="1983"/>
      <c r="P72" s="2006"/>
      <c r="Q72" s="1996"/>
      <c r="R72" s="1999"/>
      <c r="S72" s="2006"/>
      <c r="T72" s="1956"/>
      <c r="U72" s="204" t="s">
        <v>221</v>
      </c>
      <c r="V72" s="211">
        <f>20800000+11200000</f>
        <v>32000000</v>
      </c>
      <c r="W72" s="2013"/>
      <c r="X72" s="1943"/>
      <c r="Y72" s="1945"/>
      <c r="Z72" s="1945"/>
      <c r="AA72" s="1945"/>
      <c r="AB72" s="1945"/>
      <c r="AC72" s="1945"/>
      <c r="AD72" s="1945"/>
      <c r="AE72" s="1945"/>
      <c r="AF72" s="1945"/>
      <c r="AG72" s="1945"/>
      <c r="AH72" s="1945"/>
      <c r="AI72" s="1945"/>
      <c r="AJ72" s="1945"/>
      <c r="AK72" s="1993"/>
      <c r="AL72" s="1993"/>
      <c r="AM72" s="2006"/>
    </row>
    <row r="73" spans="1:39" s="96" customFormat="1" ht="36" customHeight="1" x14ac:dyDescent="0.2">
      <c r="A73" s="2033"/>
      <c r="B73" s="2034"/>
      <c r="C73" s="2034"/>
      <c r="D73" s="2035"/>
      <c r="E73" s="2034"/>
      <c r="F73" s="2034"/>
      <c r="G73" s="2035"/>
      <c r="H73" s="2036"/>
      <c r="I73" s="2036"/>
      <c r="J73" s="1980"/>
      <c r="K73" s="1956"/>
      <c r="L73" s="1983"/>
      <c r="M73" s="2013"/>
      <c r="N73" s="1943"/>
      <c r="O73" s="1983"/>
      <c r="P73" s="2006"/>
      <c r="Q73" s="1996"/>
      <c r="R73" s="1999"/>
      <c r="S73" s="2006"/>
      <c r="T73" s="1956"/>
      <c r="U73" s="204" t="s">
        <v>222</v>
      </c>
      <c r="V73" s="211">
        <f>20800000+11240000</f>
        <v>32040000</v>
      </c>
      <c r="W73" s="2013"/>
      <c r="X73" s="1943"/>
      <c r="Y73" s="1945"/>
      <c r="Z73" s="1945"/>
      <c r="AA73" s="1945"/>
      <c r="AB73" s="1945"/>
      <c r="AC73" s="1945"/>
      <c r="AD73" s="1945"/>
      <c r="AE73" s="1945"/>
      <c r="AF73" s="1945"/>
      <c r="AG73" s="1945"/>
      <c r="AH73" s="1945"/>
      <c r="AI73" s="1945"/>
      <c r="AJ73" s="1945"/>
      <c r="AK73" s="1993"/>
      <c r="AL73" s="1993"/>
      <c r="AM73" s="2006"/>
    </row>
    <row r="74" spans="1:39" s="96" customFormat="1" ht="51" customHeight="1" x14ac:dyDescent="0.2">
      <c r="A74" s="2033"/>
      <c r="B74" s="2034"/>
      <c r="C74" s="2034"/>
      <c r="D74" s="2035"/>
      <c r="E74" s="2034"/>
      <c r="F74" s="2034"/>
      <c r="G74" s="2035"/>
      <c r="H74" s="2036"/>
      <c r="I74" s="2036"/>
      <c r="J74" s="1980"/>
      <c r="K74" s="1956"/>
      <c r="L74" s="1983"/>
      <c r="M74" s="2013"/>
      <c r="N74" s="1943"/>
      <c r="O74" s="1983"/>
      <c r="P74" s="2006"/>
      <c r="Q74" s="1996"/>
      <c r="R74" s="1999"/>
      <c r="S74" s="2006"/>
      <c r="T74" s="1956"/>
      <c r="U74" s="204" t="s">
        <v>223</v>
      </c>
      <c r="V74" s="211">
        <f>20800000+11360000</f>
        <v>32160000</v>
      </c>
      <c r="W74" s="2013"/>
      <c r="X74" s="1943"/>
      <c r="Y74" s="1945"/>
      <c r="Z74" s="1945"/>
      <c r="AA74" s="1945"/>
      <c r="AB74" s="1945"/>
      <c r="AC74" s="1945"/>
      <c r="AD74" s="1945"/>
      <c r="AE74" s="1945"/>
      <c r="AF74" s="1945"/>
      <c r="AG74" s="1945"/>
      <c r="AH74" s="1945"/>
      <c r="AI74" s="1945"/>
      <c r="AJ74" s="1945"/>
      <c r="AK74" s="1993"/>
      <c r="AL74" s="1993"/>
      <c r="AM74" s="2006"/>
    </row>
    <row r="75" spans="1:39" s="96" customFormat="1" ht="60" customHeight="1" x14ac:dyDescent="0.2">
      <c r="A75" s="2033"/>
      <c r="B75" s="2034"/>
      <c r="C75" s="2034"/>
      <c r="D75" s="2035"/>
      <c r="E75" s="2034"/>
      <c r="F75" s="2034"/>
      <c r="G75" s="2035"/>
      <c r="H75" s="2036"/>
      <c r="I75" s="2036"/>
      <c r="J75" s="1980"/>
      <c r="K75" s="1956"/>
      <c r="L75" s="1983"/>
      <c r="M75" s="2013"/>
      <c r="N75" s="1943"/>
      <c r="O75" s="1983"/>
      <c r="P75" s="2006"/>
      <c r="Q75" s="1996"/>
      <c r="R75" s="1999"/>
      <c r="S75" s="2006"/>
      <c r="T75" s="219" t="s">
        <v>224</v>
      </c>
      <c r="U75" s="204" t="s">
        <v>225</v>
      </c>
      <c r="V75" s="211">
        <v>90000000</v>
      </c>
      <c r="W75" s="2013"/>
      <c r="X75" s="1943"/>
      <c r="Y75" s="1945"/>
      <c r="Z75" s="1945"/>
      <c r="AA75" s="1945"/>
      <c r="AB75" s="1945"/>
      <c r="AC75" s="1945"/>
      <c r="AD75" s="1945"/>
      <c r="AE75" s="1945"/>
      <c r="AF75" s="1945"/>
      <c r="AG75" s="1945"/>
      <c r="AH75" s="1945"/>
      <c r="AI75" s="1945"/>
      <c r="AJ75" s="1945"/>
      <c r="AK75" s="1993"/>
      <c r="AL75" s="1993"/>
      <c r="AM75" s="2006"/>
    </row>
    <row r="76" spans="1:39" s="96" customFormat="1" ht="39" customHeight="1" x14ac:dyDescent="0.2">
      <c r="A76" s="2033"/>
      <c r="B76" s="2034"/>
      <c r="C76" s="2034"/>
      <c r="D76" s="2035"/>
      <c r="E76" s="2034"/>
      <c r="F76" s="2034"/>
      <c r="G76" s="2035"/>
      <c r="H76" s="2036"/>
      <c r="I76" s="2036"/>
      <c r="J76" s="1980"/>
      <c r="K76" s="1956"/>
      <c r="L76" s="1983"/>
      <c r="M76" s="2013"/>
      <c r="N76" s="1943"/>
      <c r="O76" s="1983"/>
      <c r="P76" s="2006"/>
      <c r="Q76" s="1996"/>
      <c r="R76" s="1999"/>
      <c r="S76" s="2006"/>
      <c r="T76" s="219" t="s">
        <v>226</v>
      </c>
      <c r="U76" s="204" t="s">
        <v>227</v>
      </c>
      <c r="V76" s="211">
        <v>203200000</v>
      </c>
      <c r="W76" s="2013"/>
      <c r="X76" s="1943"/>
      <c r="Y76" s="1945"/>
      <c r="Z76" s="1945"/>
      <c r="AA76" s="1945"/>
      <c r="AB76" s="1945"/>
      <c r="AC76" s="1945"/>
      <c r="AD76" s="1945"/>
      <c r="AE76" s="1945"/>
      <c r="AF76" s="1945"/>
      <c r="AG76" s="1945"/>
      <c r="AH76" s="1945"/>
      <c r="AI76" s="1945"/>
      <c r="AJ76" s="1945"/>
      <c r="AK76" s="1993"/>
      <c r="AL76" s="1993"/>
      <c r="AM76" s="2006"/>
    </row>
    <row r="77" spans="1:39" s="96" customFormat="1" ht="50.25" customHeight="1" x14ac:dyDescent="0.2">
      <c r="A77" s="2033"/>
      <c r="B77" s="2034"/>
      <c r="C77" s="2034"/>
      <c r="D77" s="2035"/>
      <c r="E77" s="2034"/>
      <c r="F77" s="2034"/>
      <c r="G77" s="2035"/>
      <c r="H77" s="2036"/>
      <c r="I77" s="2036"/>
      <c r="J77" s="1980"/>
      <c r="K77" s="1956"/>
      <c r="L77" s="1983"/>
      <c r="M77" s="2013"/>
      <c r="N77" s="1943"/>
      <c r="O77" s="1983"/>
      <c r="P77" s="2006"/>
      <c r="Q77" s="1996"/>
      <c r="R77" s="1999"/>
      <c r="S77" s="2006"/>
      <c r="T77" s="219" t="s">
        <v>228</v>
      </c>
      <c r="U77" s="204" t="s">
        <v>229</v>
      </c>
      <c r="V77" s="211">
        <v>26000000</v>
      </c>
      <c r="W77" s="2013"/>
      <c r="X77" s="1943"/>
      <c r="Y77" s="1945"/>
      <c r="Z77" s="1945"/>
      <c r="AA77" s="1945"/>
      <c r="AB77" s="1945"/>
      <c r="AC77" s="1945"/>
      <c r="AD77" s="1945"/>
      <c r="AE77" s="1945"/>
      <c r="AF77" s="1945"/>
      <c r="AG77" s="1945"/>
      <c r="AH77" s="1945"/>
      <c r="AI77" s="1945"/>
      <c r="AJ77" s="1945"/>
      <c r="AK77" s="1993"/>
      <c r="AL77" s="1993"/>
      <c r="AM77" s="2006"/>
    </row>
    <row r="78" spans="1:39" s="96" customFormat="1" ht="106.5" customHeight="1" x14ac:dyDescent="0.2">
      <c r="A78" s="199"/>
      <c r="B78" s="200"/>
      <c r="C78" s="200"/>
      <c r="D78" s="201"/>
      <c r="E78" s="200"/>
      <c r="F78" s="200"/>
      <c r="G78" s="201"/>
      <c r="H78" s="200"/>
      <c r="I78" s="200"/>
      <c r="J78" s="1980">
        <v>266</v>
      </c>
      <c r="K78" s="1956" t="s">
        <v>230</v>
      </c>
      <c r="L78" s="2013" t="s">
        <v>16</v>
      </c>
      <c r="M78" s="2013">
        <v>1</v>
      </c>
      <c r="N78" s="1943" t="s">
        <v>231</v>
      </c>
      <c r="O78" s="1983">
        <v>13</v>
      </c>
      <c r="P78" s="2006" t="s">
        <v>232</v>
      </c>
      <c r="Q78" s="1996">
        <v>1</v>
      </c>
      <c r="R78" s="1999">
        <f>SUM(V78:V83)</f>
        <v>36000000</v>
      </c>
      <c r="S78" s="1956" t="s">
        <v>233</v>
      </c>
      <c r="T78" s="153" t="s">
        <v>234</v>
      </c>
      <c r="U78" s="153" t="s">
        <v>235</v>
      </c>
      <c r="V78" s="211">
        <v>1750000</v>
      </c>
      <c r="W78" s="1980" t="s">
        <v>146</v>
      </c>
      <c r="X78" s="1943" t="s">
        <v>147</v>
      </c>
      <c r="Y78" s="2040"/>
      <c r="Z78" s="2040"/>
      <c r="AA78" s="2040"/>
      <c r="AB78" s="1945">
        <v>50</v>
      </c>
      <c r="AC78" s="1945">
        <v>220</v>
      </c>
      <c r="AD78" s="1945">
        <v>49</v>
      </c>
      <c r="AE78" s="2041"/>
      <c r="AF78" s="2041"/>
      <c r="AG78" s="2041"/>
      <c r="AH78" s="2041"/>
      <c r="AI78" s="2041"/>
      <c r="AJ78" s="2041"/>
      <c r="AK78" s="2042">
        <v>42948</v>
      </c>
      <c r="AL78" s="2042">
        <v>43089</v>
      </c>
      <c r="AM78" s="1956" t="s">
        <v>109</v>
      </c>
    </row>
    <row r="79" spans="1:39" s="96" customFormat="1" ht="50.25" customHeight="1" x14ac:dyDescent="0.2">
      <c r="A79" s="199"/>
      <c r="B79" s="200"/>
      <c r="C79" s="200"/>
      <c r="D79" s="201"/>
      <c r="E79" s="200"/>
      <c r="F79" s="200"/>
      <c r="G79" s="201"/>
      <c r="H79" s="200"/>
      <c r="I79" s="200"/>
      <c r="J79" s="1980"/>
      <c r="K79" s="1956"/>
      <c r="L79" s="2013"/>
      <c r="M79" s="2013"/>
      <c r="N79" s="1943"/>
      <c r="O79" s="1983"/>
      <c r="P79" s="2006"/>
      <c r="Q79" s="1996"/>
      <c r="R79" s="1999"/>
      <c r="S79" s="2006"/>
      <c r="T79" s="1956" t="s">
        <v>236</v>
      </c>
      <c r="U79" s="153" t="s">
        <v>237</v>
      </c>
      <c r="V79" s="211">
        <v>3680000</v>
      </c>
      <c r="W79" s="2013"/>
      <c r="X79" s="1983"/>
      <c r="Y79" s="2040"/>
      <c r="Z79" s="2040"/>
      <c r="AA79" s="2040"/>
      <c r="AB79" s="1945"/>
      <c r="AC79" s="1945"/>
      <c r="AD79" s="1945"/>
      <c r="AE79" s="2041"/>
      <c r="AF79" s="2041"/>
      <c r="AG79" s="2041"/>
      <c r="AH79" s="2041"/>
      <c r="AI79" s="2041"/>
      <c r="AJ79" s="2041"/>
      <c r="AK79" s="2042"/>
      <c r="AL79" s="2042"/>
      <c r="AM79" s="2006"/>
    </row>
    <row r="80" spans="1:39" s="96" customFormat="1" ht="56.25" customHeight="1" x14ac:dyDescent="0.2">
      <c r="A80" s="199"/>
      <c r="B80" s="200"/>
      <c r="C80" s="200"/>
      <c r="D80" s="201"/>
      <c r="E80" s="200"/>
      <c r="F80" s="200"/>
      <c r="G80" s="201"/>
      <c r="H80" s="200"/>
      <c r="I80" s="200"/>
      <c r="J80" s="1980"/>
      <c r="K80" s="1956"/>
      <c r="L80" s="2013"/>
      <c r="M80" s="2013"/>
      <c r="N80" s="1943"/>
      <c r="O80" s="1983"/>
      <c r="P80" s="2006"/>
      <c r="Q80" s="1996"/>
      <c r="R80" s="1999"/>
      <c r="S80" s="2006"/>
      <c r="T80" s="1956"/>
      <c r="U80" s="153" t="s">
        <v>238</v>
      </c>
      <c r="V80" s="211">
        <f>7120000+4000000</f>
        <v>11120000</v>
      </c>
      <c r="W80" s="2013"/>
      <c r="X80" s="1983"/>
      <c r="Y80" s="2040"/>
      <c r="Z80" s="2040"/>
      <c r="AA80" s="2040"/>
      <c r="AB80" s="1945"/>
      <c r="AC80" s="1945"/>
      <c r="AD80" s="1945"/>
      <c r="AE80" s="2041"/>
      <c r="AF80" s="2041"/>
      <c r="AG80" s="2041"/>
      <c r="AH80" s="2041"/>
      <c r="AI80" s="2041"/>
      <c r="AJ80" s="2041"/>
      <c r="AK80" s="2042"/>
      <c r="AL80" s="2042"/>
      <c r="AM80" s="2006"/>
    </row>
    <row r="81" spans="1:39" s="96" customFormat="1" ht="56.25" customHeight="1" x14ac:dyDescent="0.2">
      <c r="A81" s="199"/>
      <c r="B81" s="200"/>
      <c r="C81" s="200"/>
      <c r="D81" s="201"/>
      <c r="E81" s="200"/>
      <c r="F81" s="200"/>
      <c r="G81" s="201"/>
      <c r="H81" s="200"/>
      <c r="I81" s="200"/>
      <c r="J81" s="1980"/>
      <c r="K81" s="1956"/>
      <c r="L81" s="2013"/>
      <c r="M81" s="2013"/>
      <c r="N81" s="1943"/>
      <c r="O81" s="1983"/>
      <c r="P81" s="2006"/>
      <c r="Q81" s="1996"/>
      <c r="R81" s="1999"/>
      <c r="S81" s="2006"/>
      <c r="T81" s="1956"/>
      <c r="U81" s="153" t="s">
        <v>239</v>
      </c>
      <c r="V81" s="218">
        <f>3375000+4700000</f>
        <v>8075000</v>
      </c>
      <c r="W81" s="2013"/>
      <c r="X81" s="1983"/>
      <c r="Y81" s="2040"/>
      <c r="Z81" s="2040"/>
      <c r="AA81" s="2040"/>
      <c r="AB81" s="1945"/>
      <c r="AC81" s="1945"/>
      <c r="AD81" s="1945"/>
      <c r="AE81" s="2041"/>
      <c r="AF81" s="2041"/>
      <c r="AG81" s="2041"/>
      <c r="AH81" s="2041"/>
      <c r="AI81" s="2041"/>
      <c r="AJ81" s="2041"/>
      <c r="AK81" s="2042"/>
      <c r="AL81" s="2042"/>
      <c r="AM81" s="2006"/>
    </row>
    <row r="82" spans="1:39" s="96" customFormat="1" ht="39" customHeight="1" x14ac:dyDescent="0.2">
      <c r="A82" s="199"/>
      <c r="B82" s="200"/>
      <c r="C82" s="200"/>
      <c r="D82" s="201"/>
      <c r="E82" s="200"/>
      <c r="F82" s="200"/>
      <c r="G82" s="201"/>
      <c r="H82" s="200"/>
      <c r="I82" s="200"/>
      <c r="J82" s="1980"/>
      <c r="K82" s="1956"/>
      <c r="L82" s="2013"/>
      <c r="M82" s="2013"/>
      <c r="N82" s="1943"/>
      <c r="O82" s="1983"/>
      <c r="P82" s="2006"/>
      <c r="Q82" s="1996"/>
      <c r="R82" s="1999"/>
      <c r="S82" s="2006"/>
      <c r="T82" s="1956"/>
      <c r="U82" s="220" t="s">
        <v>240</v>
      </c>
      <c r="V82" s="218">
        <f>75000+260000</f>
        <v>335000</v>
      </c>
      <c r="W82" s="2013"/>
      <c r="X82" s="1983"/>
      <c r="Y82" s="2040"/>
      <c r="Z82" s="2040"/>
      <c r="AA82" s="2040"/>
      <c r="AB82" s="1945"/>
      <c r="AC82" s="1945"/>
      <c r="AD82" s="1945"/>
      <c r="AE82" s="2041"/>
      <c r="AF82" s="2041"/>
      <c r="AG82" s="2041"/>
      <c r="AH82" s="2041"/>
      <c r="AI82" s="2041"/>
      <c r="AJ82" s="2041"/>
      <c r="AK82" s="2042"/>
      <c r="AL82" s="2042"/>
      <c r="AM82" s="2006"/>
    </row>
    <row r="83" spans="1:39" s="96" customFormat="1" ht="46.5" customHeight="1" x14ac:dyDescent="0.2">
      <c r="A83" s="199"/>
      <c r="B83" s="200"/>
      <c r="C83" s="200"/>
      <c r="D83" s="201"/>
      <c r="E83" s="200"/>
      <c r="F83" s="200"/>
      <c r="G83" s="201"/>
      <c r="H83" s="200"/>
      <c r="I83" s="200"/>
      <c r="J83" s="1980"/>
      <c r="K83" s="1956"/>
      <c r="L83" s="2013"/>
      <c r="M83" s="2013"/>
      <c r="N83" s="1943"/>
      <c r="O83" s="1983"/>
      <c r="P83" s="2006"/>
      <c r="Q83" s="1996"/>
      <c r="R83" s="1999"/>
      <c r="S83" s="2006"/>
      <c r="T83" s="1956"/>
      <c r="U83" s="219" t="s">
        <v>241</v>
      </c>
      <c r="V83" s="218">
        <v>11040000</v>
      </c>
      <c r="W83" s="2013"/>
      <c r="X83" s="1983"/>
      <c r="Y83" s="2040"/>
      <c r="Z83" s="2040"/>
      <c r="AA83" s="2040"/>
      <c r="AB83" s="1945"/>
      <c r="AC83" s="1945"/>
      <c r="AD83" s="1945"/>
      <c r="AE83" s="2041"/>
      <c r="AF83" s="2041"/>
      <c r="AG83" s="2041"/>
      <c r="AH83" s="2041"/>
      <c r="AI83" s="2041"/>
      <c r="AJ83" s="2041"/>
      <c r="AK83" s="2042"/>
      <c r="AL83" s="2042"/>
      <c r="AM83" s="2006"/>
    </row>
    <row r="84" spans="1:39" s="96" customFormat="1" ht="81.75" customHeight="1" x14ac:dyDescent="0.2">
      <c r="A84" s="199"/>
      <c r="B84" s="200"/>
      <c r="C84" s="200"/>
      <c r="D84" s="201"/>
      <c r="E84" s="200"/>
      <c r="F84" s="200"/>
      <c r="G84" s="201"/>
      <c r="H84" s="200"/>
      <c r="I84" s="221"/>
      <c r="J84" s="207">
        <v>267</v>
      </c>
      <c r="K84" s="153" t="s">
        <v>242</v>
      </c>
      <c r="L84" s="208" t="s">
        <v>126</v>
      </c>
      <c r="M84" s="209">
        <v>1</v>
      </c>
      <c r="N84" s="1943" t="s">
        <v>243</v>
      </c>
      <c r="O84" s="2043">
        <v>14</v>
      </c>
      <c r="P84" s="2043" t="s">
        <v>244</v>
      </c>
      <c r="Q84" s="210">
        <f>+R84/164300000</f>
        <v>7.3037127206329891E-2</v>
      </c>
      <c r="R84" s="222">
        <v>12000000</v>
      </c>
      <c r="S84" s="1956" t="s">
        <v>245</v>
      </c>
      <c r="T84" s="153" t="s">
        <v>246</v>
      </c>
      <c r="U84" s="153" t="s">
        <v>247</v>
      </c>
      <c r="V84" s="211">
        <v>12000000</v>
      </c>
      <c r="W84" s="2045" t="s">
        <v>146</v>
      </c>
      <c r="X84" s="2045" t="s">
        <v>147</v>
      </c>
      <c r="Y84" s="1945">
        <v>0</v>
      </c>
      <c r="Z84" s="1945">
        <v>0</v>
      </c>
      <c r="AA84" s="1945">
        <v>0</v>
      </c>
      <c r="AB84" s="1945">
        <v>100</v>
      </c>
      <c r="AC84" s="1945">
        <v>250</v>
      </c>
      <c r="AD84" s="1945">
        <v>41</v>
      </c>
      <c r="AE84" s="1980"/>
      <c r="AF84" s="1980"/>
      <c r="AG84" s="1980"/>
      <c r="AH84" s="1980"/>
      <c r="AI84" s="1980"/>
      <c r="AJ84" s="1980"/>
      <c r="AK84" s="1986">
        <v>42737</v>
      </c>
      <c r="AL84" s="1986">
        <v>43100</v>
      </c>
      <c r="AM84" s="1941" t="s">
        <v>109</v>
      </c>
    </row>
    <row r="85" spans="1:39" s="96" customFormat="1" ht="78.75" customHeight="1" x14ac:dyDescent="0.2">
      <c r="A85" s="199"/>
      <c r="B85" s="200"/>
      <c r="C85" s="200"/>
      <c r="D85" s="201"/>
      <c r="E85" s="200"/>
      <c r="F85" s="200"/>
      <c r="G85" s="201"/>
      <c r="H85" s="200"/>
      <c r="I85" s="221"/>
      <c r="J85" s="207">
        <v>268</v>
      </c>
      <c r="K85" s="153" t="s">
        <v>248</v>
      </c>
      <c r="L85" s="208" t="s">
        <v>126</v>
      </c>
      <c r="M85" s="209">
        <v>12</v>
      </c>
      <c r="N85" s="1943"/>
      <c r="O85" s="2043"/>
      <c r="P85" s="2043"/>
      <c r="Q85" s="210">
        <f>+R85/164300000</f>
        <v>7.3037127206329891E-2</v>
      </c>
      <c r="R85" s="222">
        <v>12000000</v>
      </c>
      <c r="S85" s="1956"/>
      <c r="T85" s="1941" t="s">
        <v>249</v>
      </c>
      <c r="U85" s="153" t="s">
        <v>250</v>
      </c>
      <c r="V85" s="211">
        <v>11000000</v>
      </c>
      <c r="W85" s="2046"/>
      <c r="X85" s="2046"/>
      <c r="Y85" s="1945"/>
      <c r="Z85" s="1945"/>
      <c r="AA85" s="1945"/>
      <c r="AB85" s="1945"/>
      <c r="AC85" s="1945"/>
      <c r="AD85" s="1945"/>
      <c r="AE85" s="1980"/>
      <c r="AF85" s="1980"/>
      <c r="AG85" s="1980"/>
      <c r="AH85" s="1980"/>
      <c r="AI85" s="1980"/>
      <c r="AJ85" s="1980"/>
      <c r="AK85" s="1986"/>
      <c r="AL85" s="1986"/>
      <c r="AM85" s="2043"/>
    </row>
    <row r="86" spans="1:39" s="96" customFormat="1" ht="60" customHeight="1" x14ac:dyDescent="0.2">
      <c r="A86" s="199"/>
      <c r="B86" s="200"/>
      <c r="C86" s="200"/>
      <c r="D86" s="201"/>
      <c r="E86" s="200"/>
      <c r="F86" s="200"/>
      <c r="G86" s="201"/>
      <c r="H86" s="200"/>
      <c r="I86" s="221"/>
      <c r="J86" s="207">
        <v>269</v>
      </c>
      <c r="K86" s="153" t="s">
        <v>251</v>
      </c>
      <c r="L86" s="208" t="s">
        <v>126</v>
      </c>
      <c r="M86" s="209">
        <v>12</v>
      </c>
      <c r="N86" s="1943"/>
      <c r="O86" s="2043"/>
      <c r="P86" s="2043"/>
      <c r="Q86" s="210">
        <f>+R86/164300000</f>
        <v>7.3037127206329891E-2</v>
      </c>
      <c r="R86" s="222">
        <v>12000000</v>
      </c>
      <c r="S86" s="1956"/>
      <c r="T86" s="1941"/>
      <c r="U86" s="153" t="s">
        <v>252</v>
      </c>
      <c r="V86" s="211">
        <v>11000000</v>
      </c>
      <c r="W86" s="2046"/>
      <c r="X86" s="2046"/>
      <c r="Y86" s="1945"/>
      <c r="Z86" s="1945"/>
      <c r="AA86" s="1945"/>
      <c r="AB86" s="1945"/>
      <c r="AC86" s="1945"/>
      <c r="AD86" s="1945"/>
      <c r="AE86" s="1980"/>
      <c r="AF86" s="1980"/>
      <c r="AG86" s="1980"/>
      <c r="AH86" s="1980"/>
      <c r="AI86" s="1980"/>
      <c r="AJ86" s="1980"/>
      <c r="AK86" s="1986"/>
      <c r="AL86" s="1986"/>
      <c r="AM86" s="2043"/>
    </row>
    <row r="87" spans="1:39" s="96" customFormat="1" ht="57.75" customHeight="1" x14ac:dyDescent="0.2">
      <c r="A87" s="199"/>
      <c r="B87" s="200"/>
      <c r="C87" s="200"/>
      <c r="D87" s="201"/>
      <c r="E87" s="200"/>
      <c r="F87" s="200"/>
      <c r="G87" s="201"/>
      <c r="H87" s="200"/>
      <c r="I87" s="221"/>
      <c r="J87" s="207">
        <v>270</v>
      </c>
      <c r="K87" s="153" t="s">
        <v>253</v>
      </c>
      <c r="L87" s="208" t="s">
        <v>126</v>
      </c>
      <c r="M87" s="209">
        <v>12</v>
      </c>
      <c r="N87" s="1943"/>
      <c r="O87" s="2043"/>
      <c r="P87" s="2043"/>
      <c r="Q87" s="210">
        <f>+R87/164300000</f>
        <v>9.129640900791236E-2</v>
      </c>
      <c r="R87" s="222">
        <v>15000000</v>
      </c>
      <c r="S87" s="1956"/>
      <c r="T87" s="1941"/>
      <c r="U87" s="153" t="s">
        <v>254</v>
      </c>
      <c r="V87" s="211">
        <v>13200000</v>
      </c>
      <c r="W87" s="2046"/>
      <c r="X87" s="2046"/>
      <c r="Y87" s="1945"/>
      <c r="Z87" s="1945"/>
      <c r="AA87" s="1945"/>
      <c r="AB87" s="1945"/>
      <c r="AC87" s="1945"/>
      <c r="AD87" s="1945"/>
      <c r="AE87" s="1980"/>
      <c r="AF87" s="1980"/>
      <c r="AG87" s="1980"/>
      <c r="AH87" s="1980"/>
      <c r="AI87" s="1980"/>
      <c r="AJ87" s="1980"/>
      <c r="AK87" s="1986"/>
      <c r="AL87" s="1986"/>
      <c r="AM87" s="2043"/>
    </row>
    <row r="88" spans="1:39" s="96" customFormat="1" ht="74.25" customHeight="1" x14ac:dyDescent="0.2">
      <c r="A88" s="199"/>
      <c r="B88" s="200"/>
      <c r="C88" s="200"/>
      <c r="D88" s="201"/>
      <c r="E88" s="200"/>
      <c r="F88" s="200"/>
      <c r="G88" s="201"/>
      <c r="H88" s="200"/>
      <c r="I88" s="221"/>
      <c r="J88" s="1980">
        <v>271</v>
      </c>
      <c r="K88" s="1956" t="s">
        <v>255</v>
      </c>
      <c r="L88" s="1983" t="s">
        <v>126</v>
      </c>
      <c r="M88" s="2013">
        <v>12</v>
      </c>
      <c r="N88" s="1943"/>
      <c r="O88" s="2043"/>
      <c r="P88" s="2043"/>
      <c r="Q88" s="1996">
        <f>R88/164300000</f>
        <v>0.27993000608642726</v>
      </c>
      <c r="R88" s="1999">
        <f>44000000+1992500</f>
        <v>45992500</v>
      </c>
      <c r="S88" s="1956"/>
      <c r="T88" s="1941"/>
      <c r="U88" s="153" t="s">
        <v>256</v>
      </c>
      <c r="V88" s="211">
        <v>34000000</v>
      </c>
      <c r="W88" s="2046"/>
      <c r="X88" s="2046"/>
      <c r="Y88" s="1945"/>
      <c r="Z88" s="1945"/>
      <c r="AA88" s="1945"/>
      <c r="AB88" s="1945"/>
      <c r="AC88" s="1945"/>
      <c r="AD88" s="1945"/>
      <c r="AE88" s="1980"/>
      <c r="AF88" s="1980"/>
      <c r="AG88" s="1980"/>
      <c r="AH88" s="1980"/>
      <c r="AI88" s="1980"/>
      <c r="AJ88" s="1980"/>
      <c r="AK88" s="1986"/>
      <c r="AL88" s="1986"/>
      <c r="AM88" s="2043"/>
    </row>
    <row r="89" spans="1:39" s="96" customFormat="1" ht="91.5" customHeight="1" x14ac:dyDescent="0.2">
      <c r="A89" s="199"/>
      <c r="B89" s="200"/>
      <c r="C89" s="200"/>
      <c r="D89" s="201"/>
      <c r="E89" s="200"/>
      <c r="F89" s="200"/>
      <c r="G89" s="201"/>
      <c r="H89" s="200"/>
      <c r="I89" s="221"/>
      <c r="J89" s="1980"/>
      <c r="K89" s="1956"/>
      <c r="L89" s="1983"/>
      <c r="M89" s="2013"/>
      <c r="N89" s="1943"/>
      <c r="O89" s="2043"/>
      <c r="P89" s="2043"/>
      <c r="Q89" s="1996"/>
      <c r="R89" s="1999"/>
      <c r="S89" s="1956"/>
      <c r="T89" s="1941"/>
      <c r="U89" s="153" t="s">
        <v>257</v>
      </c>
      <c r="V89" s="211">
        <v>10000000</v>
      </c>
      <c r="W89" s="2046"/>
      <c r="X89" s="2046"/>
      <c r="Y89" s="1945"/>
      <c r="Z89" s="1945"/>
      <c r="AA89" s="1945"/>
      <c r="AB89" s="1945"/>
      <c r="AC89" s="1945"/>
      <c r="AD89" s="1945"/>
      <c r="AE89" s="1980"/>
      <c r="AF89" s="1980"/>
      <c r="AG89" s="1980"/>
      <c r="AH89" s="1980"/>
      <c r="AI89" s="1980"/>
      <c r="AJ89" s="1980"/>
      <c r="AK89" s="1986"/>
      <c r="AL89" s="1986"/>
      <c r="AM89" s="2043"/>
    </row>
    <row r="90" spans="1:39" s="96" customFormat="1" ht="150" customHeight="1" x14ac:dyDescent="0.2">
      <c r="A90" s="199"/>
      <c r="B90" s="200"/>
      <c r="C90" s="200"/>
      <c r="D90" s="201"/>
      <c r="E90" s="200"/>
      <c r="F90" s="200"/>
      <c r="G90" s="201"/>
      <c r="H90" s="200"/>
      <c r="I90" s="221"/>
      <c r="J90" s="207">
        <v>272</v>
      </c>
      <c r="K90" s="153" t="s">
        <v>258</v>
      </c>
      <c r="L90" s="208" t="s">
        <v>126</v>
      </c>
      <c r="M90" s="209">
        <v>12</v>
      </c>
      <c r="N90" s="1943"/>
      <c r="O90" s="2043"/>
      <c r="P90" s="2043"/>
      <c r="Q90" s="210">
        <f>+R90/164300000</f>
        <v>0.1978088861838101</v>
      </c>
      <c r="R90" s="222">
        <v>32500000</v>
      </c>
      <c r="S90" s="1956"/>
      <c r="T90" s="1941"/>
      <c r="U90" s="153" t="s">
        <v>259</v>
      </c>
      <c r="V90" s="211">
        <v>31250000</v>
      </c>
      <c r="W90" s="2046"/>
      <c r="X90" s="2046"/>
      <c r="Y90" s="1945"/>
      <c r="Z90" s="1945"/>
      <c r="AA90" s="1945"/>
      <c r="AB90" s="1945"/>
      <c r="AC90" s="1945"/>
      <c r="AD90" s="1945"/>
      <c r="AE90" s="1980"/>
      <c r="AF90" s="1980"/>
      <c r="AG90" s="1980"/>
      <c r="AH90" s="1980"/>
      <c r="AI90" s="1980"/>
      <c r="AJ90" s="1980"/>
      <c r="AK90" s="1986"/>
      <c r="AL90" s="1986"/>
      <c r="AM90" s="2043"/>
    </row>
    <row r="91" spans="1:39" s="96" customFormat="1" ht="130.5" customHeight="1" x14ac:dyDescent="0.2">
      <c r="A91" s="199"/>
      <c r="B91" s="200"/>
      <c r="C91" s="200"/>
      <c r="D91" s="201"/>
      <c r="E91" s="200"/>
      <c r="F91" s="200"/>
      <c r="G91" s="201"/>
      <c r="H91" s="200"/>
      <c r="I91" s="221"/>
      <c r="J91" s="207">
        <v>273</v>
      </c>
      <c r="K91" s="153" t="s">
        <v>260</v>
      </c>
      <c r="L91" s="208" t="s">
        <v>126</v>
      </c>
      <c r="M91" s="209">
        <v>12</v>
      </c>
      <c r="N91" s="1943"/>
      <c r="O91" s="2043"/>
      <c r="P91" s="2043"/>
      <c r="Q91" s="210">
        <f>+R91/164300000</f>
        <v>1.6265976871576385E-2</v>
      </c>
      <c r="R91" s="222">
        <v>2672500</v>
      </c>
      <c r="S91" s="1956"/>
      <c r="T91" s="1941"/>
      <c r="U91" s="153" t="s">
        <v>261</v>
      </c>
      <c r="V91" s="211">
        <v>12150000</v>
      </c>
      <c r="W91" s="2046"/>
      <c r="X91" s="2046"/>
      <c r="Y91" s="1945"/>
      <c r="Z91" s="1945"/>
      <c r="AA91" s="1945"/>
      <c r="AB91" s="1945"/>
      <c r="AC91" s="1945"/>
      <c r="AD91" s="1945"/>
      <c r="AE91" s="1980"/>
      <c r="AF91" s="1980"/>
      <c r="AG91" s="1980"/>
      <c r="AH91" s="1980"/>
      <c r="AI91" s="1980"/>
      <c r="AJ91" s="1980"/>
      <c r="AK91" s="1986"/>
      <c r="AL91" s="1986"/>
      <c r="AM91" s="2043"/>
    </row>
    <row r="92" spans="1:39" ht="94.5" customHeight="1" x14ac:dyDescent="0.2">
      <c r="A92" s="141"/>
      <c r="B92" s="142"/>
      <c r="C92" s="142"/>
      <c r="D92" s="143"/>
      <c r="E92" s="142"/>
      <c r="F92" s="142"/>
      <c r="G92" s="143"/>
      <c r="H92" s="142"/>
      <c r="I92" s="149"/>
      <c r="J92" s="223">
        <v>274</v>
      </c>
      <c r="K92" s="137" t="s">
        <v>262</v>
      </c>
      <c r="L92" s="224" t="s">
        <v>126</v>
      </c>
      <c r="M92" s="225">
        <v>12</v>
      </c>
      <c r="N92" s="1943"/>
      <c r="O92" s="2043"/>
      <c r="P92" s="2043"/>
      <c r="Q92" s="226">
        <f>+R92/164300000</f>
        <v>8.6031649421789411E-2</v>
      </c>
      <c r="R92" s="227">
        <v>14135000</v>
      </c>
      <c r="S92" s="1956"/>
      <c r="T92" s="1941"/>
      <c r="U92" s="137" t="s">
        <v>263</v>
      </c>
      <c r="V92" s="211">
        <v>13200000</v>
      </c>
      <c r="W92" s="2046"/>
      <c r="X92" s="2046"/>
      <c r="Y92" s="1945"/>
      <c r="Z92" s="1945"/>
      <c r="AA92" s="1945"/>
      <c r="AB92" s="1945"/>
      <c r="AC92" s="1945"/>
      <c r="AD92" s="1945"/>
      <c r="AE92" s="1980"/>
      <c r="AF92" s="1980"/>
      <c r="AG92" s="1980"/>
      <c r="AH92" s="1980"/>
      <c r="AI92" s="1980"/>
      <c r="AJ92" s="1980"/>
      <c r="AK92" s="1986"/>
      <c r="AL92" s="1986"/>
      <c r="AM92" s="2043"/>
    </row>
    <row r="93" spans="1:39" ht="134.25" customHeight="1" thickBot="1" x14ac:dyDescent="0.25">
      <c r="A93" s="228"/>
      <c r="B93" s="229"/>
      <c r="C93" s="229"/>
      <c r="D93" s="230"/>
      <c r="E93" s="229"/>
      <c r="F93" s="229"/>
      <c r="G93" s="230"/>
      <c r="H93" s="142"/>
      <c r="I93" s="149"/>
      <c r="J93" s="231">
        <v>260</v>
      </c>
      <c r="K93" s="139" t="s">
        <v>264</v>
      </c>
      <c r="L93" s="232" t="s">
        <v>126</v>
      </c>
      <c r="M93" s="233">
        <v>12</v>
      </c>
      <c r="N93" s="1944"/>
      <c r="O93" s="2044"/>
      <c r="P93" s="2044"/>
      <c r="Q93" s="234">
        <f>+R93/164300000</f>
        <v>0.10955569080949483</v>
      </c>
      <c r="R93" s="235">
        <v>18000000</v>
      </c>
      <c r="S93" s="1957"/>
      <c r="T93" s="1942"/>
      <c r="U93" s="139" t="s">
        <v>265</v>
      </c>
      <c r="V93" s="236">
        <v>16500000</v>
      </c>
      <c r="W93" s="1975"/>
      <c r="X93" s="1975"/>
      <c r="Y93" s="1945"/>
      <c r="Z93" s="1945"/>
      <c r="AA93" s="1945"/>
      <c r="AB93" s="1945"/>
      <c r="AC93" s="1945"/>
      <c r="AD93" s="1945"/>
      <c r="AE93" s="1981"/>
      <c r="AF93" s="1981"/>
      <c r="AG93" s="1981"/>
      <c r="AH93" s="1981"/>
      <c r="AI93" s="1981"/>
      <c r="AJ93" s="1981"/>
      <c r="AK93" s="1987"/>
      <c r="AL93" s="1987"/>
      <c r="AM93" s="2044"/>
    </row>
    <row r="94" spans="1:39" s="238" customFormat="1" ht="15" customHeight="1" x14ac:dyDescent="0.2">
      <c r="A94" s="237"/>
      <c r="H94" s="239"/>
      <c r="I94" s="240"/>
      <c r="J94" s="240"/>
      <c r="K94" s="241"/>
      <c r="L94" s="242"/>
      <c r="M94" s="242"/>
      <c r="N94" s="242"/>
      <c r="O94" s="243"/>
      <c r="P94" s="241"/>
      <c r="Q94" s="244"/>
      <c r="R94" s="2048">
        <f>SUM(R12:R93)</f>
        <v>1530000000</v>
      </c>
      <c r="S94" s="245"/>
      <c r="T94" s="241"/>
      <c r="U94" s="246"/>
      <c r="V94" s="2048">
        <f>SUM(V12:V93)</f>
        <v>1530000000</v>
      </c>
      <c r="W94" s="247"/>
      <c r="X94" s="248"/>
      <c r="Y94" s="240"/>
      <c r="Z94" s="240"/>
      <c r="AA94" s="240"/>
      <c r="AB94" s="240"/>
      <c r="AC94" s="240"/>
      <c r="AD94" s="240"/>
      <c r="AE94" s="240"/>
      <c r="AF94" s="240"/>
      <c r="AG94" s="240"/>
      <c r="AH94" s="240"/>
      <c r="AI94" s="240"/>
      <c r="AJ94" s="240"/>
      <c r="AK94" s="249"/>
      <c r="AL94" s="250"/>
      <c r="AM94" s="251"/>
    </row>
    <row r="95" spans="1:39" s="238" customFormat="1" ht="13.5" thickBot="1" x14ac:dyDescent="0.25">
      <c r="A95" s="237"/>
      <c r="H95" s="252"/>
      <c r="I95" s="253"/>
      <c r="J95" s="253"/>
      <c r="K95" s="254"/>
      <c r="L95" s="255"/>
      <c r="M95" s="255"/>
      <c r="N95" s="255"/>
      <c r="O95" s="256"/>
      <c r="P95" s="254"/>
      <c r="Q95" s="257"/>
      <c r="R95" s="2049"/>
      <c r="S95" s="258"/>
      <c r="T95" s="254"/>
      <c r="U95" s="259"/>
      <c r="V95" s="2049"/>
      <c r="W95" s="260"/>
      <c r="X95" s="261"/>
      <c r="Y95" s="253"/>
      <c r="Z95" s="253"/>
      <c r="AA95" s="253"/>
      <c r="AB95" s="253"/>
      <c r="AC95" s="253"/>
      <c r="AD95" s="253"/>
      <c r="AE95" s="253"/>
      <c r="AF95" s="253"/>
      <c r="AG95" s="253"/>
      <c r="AH95" s="253"/>
      <c r="AI95" s="253"/>
      <c r="AJ95" s="253"/>
      <c r="AK95" s="262"/>
      <c r="AL95" s="263"/>
      <c r="AM95" s="264"/>
    </row>
    <row r="96" spans="1:39" x14ac:dyDescent="0.2">
      <c r="U96" s="266" t="s">
        <v>266</v>
      </c>
      <c r="V96" s="270">
        <f>[1]PROYECTOS!F31</f>
        <v>1530000000</v>
      </c>
    </row>
    <row r="97" spans="1:59" x14ac:dyDescent="0.2">
      <c r="V97" s="276">
        <f>+V94-V96</f>
        <v>0</v>
      </c>
    </row>
    <row r="98" spans="1:59" s="84" customFormat="1" ht="15" x14ac:dyDescent="0.25">
      <c r="A98" s="277"/>
      <c r="D98" s="2047" t="s">
        <v>267</v>
      </c>
      <c r="E98" s="2047"/>
      <c r="F98" s="2047"/>
      <c r="G98" s="2047"/>
      <c r="H98" s="2047"/>
      <c r="I98" s="2047"/>
      <c r="K98" s="278"/>
      <c r="L98" s="279"/>
      <c r="M98" s="279"/>
      <c r="N98" s="279"/>
      <c r="O98" s="279"/>
      <c r="P98" s="280"/>
      <c r="Q98" s="278"/>
      <c r="R98" s="281"/>
      <c r="S98" s="282"/>
      <c r="T98" s="278"/>
      <c r="U98" s="278"/>
      <c r="V98" s="278"/>
      <c r="W98" s="283"/>
      <c r="X98" s="283"/>
      <c r="Y98" s="283"/>
      <c r="Z98" s="284"/>
      <c r="AA98" s="285"/>
      <c r="AX98" s="286"/>
      <c r="AY98" s="286"/>
      <c r="BB98" s="90"/>
      <c r="BC98" s="287"/>
      <c r="BD98" s="287"/>
      <c r="BE98" s="288"/>
      <c r="BF98" s="288"/>
      <c r="BG98" s="289"/>
    </row>
    <row r="99" spans="1:59" s="84" customFormat="1" ht="15" x14ac:dyDescent="0.25">
      <c r="A99" s="277"/>
      <c r="D99" s="2047" t="s">
        <v>268</v>
      </c>
      <c r="E99" s="2047"/>
      <c r="F99" s="2047"/>
      <c r="G99" s="2047"/>
      <c r="H99" s="2047"/>
      <c r="I99" s="2047"/>
      <c r="K99" s="278"/>
      <c r="L99" s="279"/>
      <c r="M99" s="279"/>
      <c r="N99" s="279"/>
      <c r="O99" s="279"/>
      <c r="P99" s="280"/>
      <c r="Q99" s="278"/>
      <c r="R99" s="281"/>
      <c r="S99" s="282"/>
      <c r="T99" s="278"/>
      <c r="U99" s="278"/>
      <c r="V99" s="278"/>
      <c r="W99" s="283"/>
      <c r="X99" s="283"/>
      <c r="Y99" s="283"/>
      <c r="Z99" s="284"/>
      <c r="AA99" s="285"/>
      <c r="AX99" s="286"/>
      <c r="AY99" s="286"/>
      <c r="BB99" s="90"/>
      <c r="BC99" s="287"/>
      <c r="BD99" s="287"/>
      <c r="BE99" s="288"/>
      <c r="BF99" s="288"/>
      <c r="BG99" s="289"/>
    </row>
  </sheetData>
  <mergeCells count="310">
    <mergeCell ref="AG84:AG93"/>
    <mergeCell ref="D98:I98"/>
    <mergeCell ref="D99:I99"/>
    <mergeCell ref="R94:R95"/>
    <mergeCell ref="V94:V95"/>
    <mergeCell ref="J88:J89"/>
    <mergeCell ref="K88:K89"/>
    <mergeCell ref="L88:L89"/>
    <mergeCell ref="M88:M89"/>
    <mergeCell ref="Q88:Q89"/>
    <mergeCell ref="AB84:AB93"/>
    <mergeCell ref="AC84:AC93"/>
    <mergeCell ref="AD84:AD93"/>
    <mergeCell ref="Y84:Y93"/>
    <mergeCell ref="Z84:Z93"/>
    <mergeCell ref="AJ78:AJ83"/>
    <mergeCell ref="AE78:AE83"/>
    <mergeCell ref="AF78:AF83"/>
    <mergeCell ref="AG78:AG83"/>
    <mergeCell ref="AK78:AK83"/>
    <mergeCell ref="AL78:AL83"/>
    <mergeCell ref="AM78:AM83"/>
    <mergeCell ref="AA84:AA93"/>
    <mergeCell ref="N84:N93"/>
    <mergeCell ref="O84:O93"/>
    <mergeCell ref="P84:P93"/>
    <mergeCell ref="S84:S93"/>
    <mergeCell ref="W84:W93"/>
    <mergeCell ref="X84:X93"/>
    <mergeCell ref="R88:R89"/>
    <mergeCell ref="AK84:AK93"/>
    <mergeCell ref="AL84:AL93"/>
    <mergeCell ref="AM84:AM93"/>
    <mergeCell ref="T85:T93"/>
    <mergeCell ref="AH84:AH93"/>
    <mergeCell ref="AI84:AI93"/>
    <mergeCell ref="AJ84:AJ93"/>
    <mergeCell ref="AE84:AE93"/>
    <mergeCell ref="AF84:AF93"/>
    <mergeCell ref="AB78:AB83"/>
    <mergeCell ref="AC78:AC83"/>
    <mergeCell ref="AD78:AD83"/>
    <mergeCell ref="X78:X83"/>
    <mergeCell ref="Y78:Y83"/>
    <mergeCell ref="Z78:Z83"/>
    <mergeCell ref="AA78:AA83"/>
    <mergeCell ref="AH78:AH83"/>
    <mergeCell ref="AI78:AI83"/>
    <mergeCell ref="O78:O83"/>
    <mergeCell ref="P78:P83"/>
    <mergeCell ref="Q78:Q83"/>
    <mergeCell ref="R78:R83"/>
    <mergeCell ref="S78:S83"/>
    <mergeCell ref="W78:W83"/>
    <mergeCell ref="T79:T83"/>
    <mergeCell ref="J78:J83"/>
    <mergeCell ref="K78:K83"/>
    <mergeCell ref="L78:L83"/>
    <mergeCell ref="M78:M83"/>
    <mergeCell ref="N78:N83"/>
    <mergeCell ref="AK64:AK77"/>
    <mergeCell ref="AL64:AL77"/>
    <mergeCell ref="AM64:AM77"/>
    <mergeCell ref="T71:T74"/>
    <mergeCell ref="AH64:AH77"/>
    <mergeCell ref="AI64:AI77"/>
    <mergeCell ref="AJ64:AJ77"/>
    <mergeCell ref="AE64:AE77"/>
    <mergeCell ref="AF64:AF77"/>
    <mergeCell ref="AG64:AG77"/>
    <mergeCell ref="M64:M77"/>
    <mergeCell ref="N64:N77"/>
    <mergeCell ref="O64:O77"/>
    <mergeCell ref="P64:P77"/>
    <mergeCell ref="AB64:AB77"/>
    <mergeCell ref="AC64:AC77"/>
    <mergeCell ref="AD64:AD77"/>
    <mergeCell ref="Y64:Y77"/>
    <mergeCell ref="Z64:Z77"/>
    <mergeCell ref="AA64:AA77"/>
    <mergeCell ref="AI61:AI63"/>
    <mergeCell ref="AD61:AD63"/>
    <mergeCell ref="AE61:AE63"/>
    <mergeCell ref="AF61:AF63"/>
    <mergeCell ref="AM61:AM63"/>
    <mergeCell ref="A64:A77"/>
    <mergeCell ref="B64:C77"/>
    <mergeCell ref="D64:D77"/>
    <mergeCell ref="E64:F77"/>
    <mergeCell ref="G64:G77"/>
    <mergeCell ref="H64:I77"/>
    <mergeCell ref="J64:J77"/>
    <mergeCell ref="K64:K77"/>
    <mergeCell ref="AK61:AK63"/>
    <mergeCell ref="AL61:AL63"/>
    <mergeCell ref="AJ61:AJ63"/>
    <mergeCell ref="AG61:AG63"/>
    <mergeCell ref="Q64:Q77"/>
    <mergeCell ref="R64:R77"/>
    <mergeCell ref="S64:S77"/>
    <mergeCell ref="T64:T70"/>
    <mergeCell ref="W64:W77"/>
    <mergeCell ref="X64:X77"/>
    <mergeCell ref="L64:L77"/>
    <mergeCell ref="AA61:AA63"/>
    <mergeCell ref="AB61:AB63"/>
    <mergeCell ref="AC61:AC63"/>
    <mergeCell ref="T61:T62"/>
    <mergeCell ref="W61:W63"/>
    <mergeCell ref="X61:X63"/>
    <mergeCell ref="Y61:Y63"/>
    <mergeCell ref="Z61:Z63"/>
    <mergeCell ref="AH61:AH63"/>
    <mergeCell ref="AM54:AM60"/>
    <mergeCell ref="T57:T60"/>
    <mergeCell ref="J61:J63"/>
    <mergeCell ref="K61:K63"/>
    <mergeCell ref="L61:L63"/>
    <mergeCell ref="M61:M63"/>
    <mergeCell ref="AK54:AK60"/>
    <mergeCell ref="AI54:AI60"/>
    <mergeCell ref="AJ54:AJ60"/>
    <mergeCell ref="AF54:AF60"/>
    <mergeCell ref="AG54:AG60"/>
    <mergeCell ref="N61:N63"/>
    <mergeCell ref="O61:O63"/>
    <mergeCell ref="P61:P63"/>
    <mergeCell ref="Q61:Q63"/>
    <mergeCell ref="R61:R63"/>
    <mergeCell ref="S61:S63"/>
    <mergeCell ref="AL54:AL60"/>
    <mergeCell ref="AH54:AH60"/>
    <mergeCell ref="AC54:AC60"/>
    <mergeCell ref="AD54:AD60"/>
    <mergeCell ref="AE54:AE60"/>
    <mergeCell ref="Z54:Z60"/>
    <mergeCell ref="AA54:AA60"/>
    <mergeCell ref="AM46:AM53"/>
    <mergeCell ref="J52:J53"/>
    <mergeCell ref="K52:K53"/>
    <mergeCell ref="L52:L53"/>
    <mergeCell ref="M52:M53"/>
    <mergeCell ref="Q52:Q53"/>
    <mergeCell ref="R52:R53"/>
    <mergeCell ref="T52:T53"/>
    <mergeCell ref="AK46:AK53"/>
    <mergeCell ref="AL46:AL53"/>
    <mergeCell ref="AJ46:AJ53"/>
    <mergeCell ref="AG46:AG53"/>
    <mergeCell ref="AH46:AH53"/>
    <mergeCell ref="AI46:AI53"/>
    <mergeCell ref="R46:R48"/>
    <mergeCell ref="S46:S53"/>
    <mergeCell ref="T46:T48"/>
    <mergeCell ref="AD46:AD53"/>
    <mergeCell ref="AE46:AE53"/>
    <mergeCell ref="AF46:AF53"/>
    <mergeCell ref="AA46:AA53"/>
    <mergeCell ref="AB46:AB53"/>
    <mergeCell ref="AC46:AC53"/>
    <mergeCell ref="J46:J48"/>
    <mergeCell ref="E54:F60"/>
    <mergeCell ref="G54:G60"/>
    <mergeCell ref="H54:I60"/>
    <mergeCell ref="J54:J60"/>
    <mergeCell ref="K54:K60"/>
    <mergeCell ref="L54:L60"/>
    <mergeCell ref="T54:T56"/>
    <mergeCell ref="W54:W60"/>
    <mergeCell ref="X54:X60"/>
    <mergeCell ref="Y54:Y60"/>
    <mergeCell ref="M54:M60"/>
    <mergeCell ref="N54:N60"/>
    <mergeCell ref="O54:O60"/>
    <mergeCell ref="P54:P60"/>
    <mergeCell ref="Q54:Q60"/>
    <mergeCell ref="AB54:AB60"/>
    <mergeCell ref="R54:R60"/>
    <mergeCell ref="S54:S60"/>
    <mergeCell ref="K46:K48"/>
    <mergeCell ref="L46:L48"/>
    <mergeCell ref="M46:M48"/>
    <mergeCell ref="N46:N53"/>
    <mergeCell ref="AK33:AK43"/>
    <mergeCell ref="AL33:AL43"/>
    <mergeCell ref="AD33:AD43"/>
    <mergeCell ref="Y33:Y43"/>
    <mergeCell ref="Z33:Z43"/>
    <mergeCell ref="AA33:AA43"/>
    <mergeCell ref="Q33:Q43"/>
    <mergeCell ref="R33:R43"/>
    <mergeCell ref="S33:S43"/>
    <mergeCell ref="T33:T37"/>
    <mergeCell ref="W33:W43"/>
    <mergeCell ref="X33:X43"/>
    <mergeCell ref="W46:W53"/>
    <mergeCell ref="X46:X53"/>
    <mergeCell ref="Y46:Y53"/>
    <mergeCell ref="Z46:Z53"/>
    <mergeCell ref="O46:O53"/>
    <mergeCell ref="P46:P53"/>
    <mergeCell ref="Q46:Q48"/>
    <mergeCell ref="AM25:AM30"/>
    <mergeCell ref="T27:T30"/>
    <mergeCell ref="J33:J43"/>
    <mergeCell ref="K33:K43"/>
    <mergeCell ref="L33:L43"/>
    <mergeCell ref="M33:M43"/>
    <mergeCell ref="N33:N43"/>
    <mergeCell ref="O33:O43"/>
    <mergeCell ref="P33:P43"/>
    <mergeCell ref="AK25:AK30"/>
    <mergeCell ref="AL25:AL30"/>
    <mergeCell ref="AJ25:AJ30"/>
    <mergeCell ref="AG25:AG30"/>
    <mergeCell ref="AM33:AM43"/>
    <mergeCell ref="T38:T41"/>
    <mergeCell ref="AH33:AH43"/>
    <mergeCell ref="AI33:AI43"/>
    <mergeCell ref="AJ33:AJ43"/>
    <mergeCell ref="AE33:AE43"/>
    <mergeCell ref="AF33:AF43"/>
    <mergeCell ref="AG33:AG43"/>
    <mergeCell ref="AB33:AB43"/>
    <mergeCell ref="AC33:AC43"/>
    <mergeCell ref="AA25:AA30"/>
    <mergeCell ref="AB25:AB30"/>
    <mergeCell ref="AC25:AC30"/>
    <mergeCell ref="W25:W30"/>
    <mergeCell ref="X25:X30"/>
    <mergeCell ref="Y25:Y30"/>
    <mergeCell ref="Z25:Z30"/>
    <mergeCell ref="AH25:AH30"/>
    <mergeCell ref="AI25:AI30"/>
    <mergeCell ref="AD25:AD30"/>
    <mergeCell ref="AE25:AE30"/>
    <mergeCell ref="AF25:AF30"/>
    <mergeCell ref="O25:O30"/>
    <mergeCell ref="P25:P30"/>
    <mergeCell ref="Q25:Q30"/>
    <mergeCell ref="R25:R30"/>
    <mergeCell ref="S25:S30"/>
    <mergeCell ref="T25:T26"/>
    <mergeCell ref="J25:J30"/>
    <mergeCell ref="K25:K30"/>
    <mergeCell ref="L25:L30"/>
    <mergeCell ref="M25:M30"/>
    <mergeCell ref="N25:N30"/>
    <mergeCell ref="AG12:AG23"/>
    <mergeCell ref="AB12:AB23"/>
    <mergeCell ref="AC12:AC23"/>
    <mergeCell ref="AD12:AD23"/>
    <mergeCell ref="AK12:AK23"/>
    <mergeCell ref="AL12:AL23"/>
    <mergeCell ref="AM12:AM23"/>
    <mergeCell ref="B16:C16"/>
    <mergeCell ref="E16:F16"/>
    <mergeCell ref="H16:I16"/>
    <mergeCell ref="T17:T21"/>
    <mergeCell ref="AH12:AH23"/>
    <mergeCell ref="AI12:AI23"/>
    <mergeCell ref="AJ12:AJ23"/>
    <mergeCell ref="AE12:AE23"/>
    <mergeCell ref="AF12:AF23"/>
    <mergeCell ref="Y12:Y23"/>
    <mergeCell ref="Z12:Z23"/>
    <mergeCell ref="AA12:AA23"/>
    <mergeCell ref="Q12:Q23"/>
    <mergeCell ref="R12:R23"/>
    <mergeCell ref="S12:S23"/>
    <mergeCell ref="T12:T16"/>
    <mergeCell ref="W12:W23"/>
    <mergeCell ref="X12:X23"/>
    <mergeCell ref="J12:J23"/>
    <mergeCell ref="K12:K23"/>
    <mergeCell ref="L12:L23"/>
    <mergeCell ref="M12:M23"/>
    <mergeCell ref="N12:N23"/>
    <mergeCell ref="O12:O23"/>
    <mergeCell ref="P12:P23"/>
    <mergeCell ref="U7:U8"/>
    <mergeCell ref="V7:V8"/>
    <mergeCell ref="O7:O8"/>
    <mergeCell ref="P7:P8"/>
    <mergeCell ref="Q7:Q8"/>
    <mergeCell ref="R7:R8"/>
    <mergeCell ref="A1:AK4"/>
    <mergeCell ref="A5:M6"/>
    <mergeCell ref="N5:AM5"/>
    <mergeCell ref="Y6:AJ6"/>
    <mergeCell ref="S7:S8"/>
    <mergeCell ref="T7:T8"/>
    <mergeCell ref="H7:I8"/>
    <mergeCell ref="J7:J8"/>
    <mergeCell ref="K7:K8"/>
    <mergeCell ref="L7:L8"/>
    <mergeCell ref="M7:M8"/>
    <mergeCell ref="N7:N8"/>
    <mergeCell ref="A7:A8"/>
    <mergeCell ref="B7:C8"/>
    <mergeCell ref="D7:D8"/>
    <mergeCell ref="E7:F8"/>
    <mergeCell ref="G7:G8"/>
    <mergeCell ref="AK7:AK8"/>
    <mergeCell ref="AL7:AL8"/>
    <mergeCell ref="AM7:AM8"/>
    <mergeCell ref="Y7:AD7"/>
    <mergeCell ref="AE7:AJ7"/>
    <mergeCell ref="W7:W8"/>
    <mergeCell ref="X7:X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7"/>
  <sheetViews>
    <sheetView showGridLines="0" zoomScale="50" zoomScaleNormal="50" workbookViewId="0">
      <selection activeCell="AL1" sqref="A1:XFD6"/>
    </sheetView>
  </sheetViews>
  <sheetFormatPr baseColWidth="10" defaultColWidth="11.42578125" defaultRowHeight="12.75" x14ac:dyDescent="0.2"/>
  <cols>
    <col min="1" max="1" width="12.85546875" style="148" customWidth="1"/>
    <col min="2" max="2" width="4" style="148" customWidth="1"/>
    <col min="3" max="3" width="16.85546875" style="148" customWidth="1"/>
    <col min="4" max="4" width="12.5703125" style="148" customWidth="1"/>
    <col min="5" max="5" width="7.42578125" style="148" customWidth="1"/>
    <col min="6" max="6" width="10.7109375" style="148" customWidth="1"/>
    <col min="7" max="7" width="11.85546875" style="148" bestFit="1" customWidth="1"/>
    <col min="8" max="8" width="8.5703125" style="148" customWidth="1"/>
    <col min="9" max="9" width="14.85546875" style="148" customWidth="1"/>
    <col min="10" max="10" width="13" style="148" customWidth="1"/>
    <col min="11" max="11" width="22.7109375" style="118" customWidth="1"/>
    <col min="12" max="12" width="18.7109375" style="267" customWidth="1"/>
    <col min="13" max="13" width="13.85546875" style="267" customWidth="1"/>
    <col min="14" max="14" width="22.85546875" style="118" customWidth="1"/>
    <col min="15" max="15" width="13.28515625" style="267" customWidth="1"/>
    <col min="16" max="16" width="21.42578125" style="311" customWidth="1"/>
    <col min="17" max="17" width="15.85546875" style="312" customWidth="1"/>
    <col min="18" max="18" width="23.28515625" style="118" customWidth="1"/>
    <col min="19" max="19" width="32.7109375" style="118" customWidth="1"/>
    <col min="20" max="20" width="34.42578125" style="118" customWidth="1"/>
    <col min="21" max="21" width="27.140625" style="266" customWidth="1"/>
    <col min="22" max="22" width="28.140625" style="323" customWidth="1"/>
    <col min="23" max="23" width="10.85546875" style="315" bestFit="1" customWidth="1"/>
    <col min="24" max="24" width="16.28515625" style="266" customWidth="1"/>
    <col min="25" max="30" width="9" style="148" customWidth="1"/>
    <col min="31" max="36" width="14.7109375" style="148" customWidth="1"/>
    <col min="37" max="38" width="20.85546875" style="148" customWidth="1"/>
    <col min="39" max="39" width="24.42578125" style="148" customWidth="1"/>
    <col min="40" max="40" width="22.7109375" style="290" customWidth="1"/>
    <col min="41" max="41" width="28.7109375" style="95" customWidth="1"/>
    <col min="42" max="42" width="21.42578125" style="96" customWidth="1"/>
    <col min="43" max="43" width="15.7109375" style="96" bestFit="1" customWidth="1"/>
    <col min="44" max="16384" width="11.42578125" style="96"/>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 customFormat="1" ht="37.5" customHeight="1" x14ac:dyDescent="0.2">
      <c r="A7" s="1856" t="s">
        <v>8</v>
      </c>
      <c r="B7" s="1858" t="s">
        <v>9</v>
      </c>
      <c r="C7" s="1859"/>
      <c r="D7" s="1856" t="s">
        <v>8</v>
      </c>
      <c r="E7" s="1858" t="s">
        <v>10</v>
      </c>
      <c r="F7" s="1859"/>
      <c r="G7" s="1856" t="s">
        <v>8</v>
      </c>
      <c r="H7" s="1858" t="s">
        <v>11</v>
      </c>
      <c r="I7" s="1859"/>
      <c r="J7" s="1856" t="s">
        <v>8</v>
      </c>
      <c r="K7" s="1856" t="s">
        <v>12</v>
      </c>
      <c r="L7" s="1856" t="s">
        <v>13</v>
      </c>
      <c r="M7" s="1858" t="s">
        <v>14</v>
      </c>
      <c r="N7" s="1856" t="s">
        <v>15</v>
      </c>
      <c r="O7" s="1867" t="s">
        <v>16</v>
      </c>
      <c r="P7" s="1856" t="s">
        <v>6</v>
      </c>
      <c r="Q7" s="1856" t="s">
        <v>17</v>
      </c>
      <c r="R7" s="1856" t="s">
        <v>18</v>
      </c>
      <c r="S7" s="1856" t="s">
        <v>19</v>
      </c>
      <c r="T7" s="1856" t="s">
        <v>20</v>
      </c>
      <c r="U7" s="1856" t="s">
        <v>21</v>
      </c>
      <c r="V7" s="1858" t="s">
        <v>18</v>
      </c>
      <c r="W7" s="1856" t="s">
        <v>8</v>
      </c>
      <c r="X7" s="1856" t="s">
        <v>22</v>
      </c>
      <c r="Y7" s="1891" t="s">
        <v>23</v>
      </c>
      <c r="Z7" s="1892"/>
      <c r="AA7" s="1892"/>
      <c r="AB7" s="1892"/>
      <c r="AC7" s="1892"/>
      <c r="AD7" s="1892"/>
      <c r="AE7" s="1891" t="s">
        <v>24</v>
      </c>
      <c r="AF7" s="1892"/>
      <c r="AG7" s="1892"/>
      <c r="AH7" s="1892"/>
      <c r="AI7" s="1892"/>
      <c r="AJ7" s="1892"/>
      <c r="AK7" s="1871" t="s">
        <v>25</v>
      </c>
      <c r="AL7" s="1871" t="s">
        <v>26</v>
      </c>
      <c r="AM7" s="1869" t="s">
        <v>27</v>
      </c>
    </row>
    <row r="8" spans="1:72" s="1" customFormat="1" ht="49.5" customHeight="1" x14ac:dyDescent="0.2">
      <c r="A8" s="1857"/>
      <c r="B8" s="1860"/>
      <c r="C8" s="1861"/>
      <c r="D8" s="1857"/>
      <c r="E8" s="1860"/>
      <c r="F8" s="1861"/>
      <c r="G8" s="1857"/>
      <c r="H8" s="1860"/>
      <c r="I8" s="1861"/>
      <c r="J8" s="1857"/>
      <c r="K8" s="1857"/>
      <c r="L8" s="1857"/>
      <c r="M8" s="1866"/>
      <c r="N8" s="1857"/>
      <c r="O8" s="1868"/>
      <c r="P8" s="1857"/>
      <c r="Q8" s="1857"/>
      <c r="R8" s="1857"/>
      <c r="S8" s="1857"/>
      <c r="T8" s="1857"/>
      <c r="U8" s="1857"/>
      <c r="V8" s="1866"/>
      <c r="W8" s="1857"/>
      <c r="X8" s="1857"/>
      <c r="Y8" s="1786" t="s">
        <v>269</v>
      </c>
      <c r="Z8" s="1786" t="s">
        <v>29</v>
      </c>
      <c r="AA8" s="1786" t="s">
        <v>30</v>
      </c>
      <c r="AB8" s="1786" t="s">
        <v>31</v>
      </c>
      <c r="AC8" s="1786" t="s">
        <v>32</v>
      </c>
      <c r="AD8" s="1786" t="s">
        <v>33</v>
      </c>
      <c r="AE8" s="1786" t="s">
        <v>34</v>
      </c>
      <c r="AF8" s="1786" t="s">
        <v>35</v>
      </c>
      <c r="AG8" s="1786" t="s">
        <v>36</v>
      </c>
      <c r="AH8" s="1786" t="s">
        <v>37</v>
      </c>
      <c r="AI8" s="1786" t="s">
        <v>38</v>
      </c>
      <c r="AJ8" s="1786" t="s">
        <v>39</v>
      </c>
      <c r="AK8" s="1872"/>
      <c r="AL8" s="1872"/>
      <c r="AM8" s="1870"/>
    </row>
    <row r="9" spans="1:72" s="13" customFormat="1" ht="12.75" customHeight="1" x14ac:dyDescent="0.2">
      <c r="A9" s="2">
        <v>5</v>
      </c>
      <c r="B9" s="3" t="s">
        <v>42</v>
      </c>
      <c r="C9" s="4"/>
      <c r="D9" s="3"/>
      <c r="E9" s="3"/>
      <c r="F9" s="3"/>
      <c r="G9" s="3"/>
      <c r="H9" s="3"/>
      <c r="I9" s="3"/>
      <c r="J9" s="3"/>
      <c r="K9" s="3"/>
      <c r="L9" s="3"/>
      <c r="M9" s="3"/>
      <c r="N9" s="3"/>
      <c r="O9" s="3"/>
      <c r="P9" s="5"/>
      <c r="Q9" s="291"/>
      <c r="R9" s="3"/>
      <c r="S9" s="5"/>
      <c r="T9" s="5"/>
      <c r="U9" s="5"/>
      <c r="V9" s="3"/>
      <c r="W9" s="3"/>
      <c r="X9" s="9"/>
      <c r="Y9" s="10"/>
      <c r="Z9" s="3"/>
      <c r="AA9" s="3"/>
      <c r="AB9" s="3"/>
      <c r="AC9" s="3"/>
      <c r="AD9" s="3"/>
      <c r="AE9" s="3"/>
      <c r="AF9" s="3"/>
      <c r="AG9" s="3"/>
      <c r="AH9" s="3"/>
      <c r="AI9" s="3"/>
      <c r="AJ9" s="3"/>
      <c r="AK9" s="3"/>
      <c r="AL9" s="10"/>
      <c r="AM9" s="10"/>
      <c r="AN9" s="12"/>
      <c r="AO9" s="12"/>
      <c r="AP9" s="12"/>
      <c r="AQ9" s="12"/>
      <c r="AR9" s="12"/>
    </row>
    <row r="10" spans="1:72" s="16" customFormat="1" ht="15" x14ac:dyDescent="0.2">
      <c r="A10" s="2050"/>
      <c r="B10" s="2052"/>
      <c r="C10" s="2052"/>
      <c r="D10" s="15">
        <v>28</v>
      </c>
      <c r="E10" s="1900" t="s">
        <v>43</v>
      </c>
      <c r="F10" s="1901"/>
      <c r="G10" s="1901"/>
      <c r="H10" s="1901"/>
      <c r="I10" s="1901"/>
      <c r="J10" s="1901"/>
      <c r="K10" s="1901"/>
      <c r="L10" s="1901"/>
      <c r="M10" s="1901"/>
      <c r="N10" s="1901"/>
      <c r="O10" s="1901"/>
      <c r="P10" s="1901"/>
      <c r="Q10" s="1901"/>
      <c r="R10" s="1901"/>
      <c r="S10" s="1901"/>
      <c r="T10" s="1901"/>
      <c r="U10" s="1901"/>
      <c r="V10" s="1901"/>
      <c r="W10" s="1901"/>
      <c r="X10" s="1901"/>
      <c r="Y10" s="1901"/>
      <c r="Z10" s="1901"/>
      <c r="AA10" s="1901"/>
      <c r="AB10" s="1901"/>
      <c r="AC10" s="1901"/>
      <c r="AD10" s="1901"/>
      <c r="AE10" s="1901"/>
      <c r="AF10" s="1901"/>
      <c r="AG10" s="1901"/>
      <c r="AH10" s="1901"/>
      <c r="AI10" s="1901"/>
      <c r="AJ10" s="1901"/>
      <c r="AK10" s="1901"/>
      <c r="AL10" s="1901"/>
      <c r="AM10" s="1902"/>
    </row>
    <row r="11" spans="1:72" s="16" customFormat="1" ht="15.75" thickBot="1" x14ac:dyDescent="0.25">
      <c r="A11" s="2034"/>
      <c r="B11" s="2053"/>
      <c r="C11" s="2053"/>
      <c r="D11" s="2050"/>
      <c r="E11" s="2050"/>
      <c r="F11" s="2055"/>
      <c r="G11" s="18">
        <v>89</v>
      </c>
      <c r="H11" s="1905" t="s">
        <v>44</v>
      </c>
      <c r="I11" s="1906"/>
      <c r="J11" s="1906"/>
      <c r="K11" s="1906"/>
      <c r="L11" s="1906"/>
      <c r="M11" s="1906"/>
      <c r="N11" s="1906"/>
      <c r="O11" s="1906"/>
      <c r="P11" s="1906"/>
      <c r="Q11" s="1906"/>
      <c r="R11" s="1906"/>
      <c r="S11" s="1906"/>
      <c r="T11" s="1906"/>
      <c r="U11" s="1906"/>
      <c r="V11" s="1906"/>
      <c r="W11" s="1906"/>
      <c r="X11" s="1906"/>
      <c r="Y11" s="1906"/>
      <c r="Z11" s="1906"/>
      <c r="AA11" s="1906"/>
      <c r="AB11" s="1906"/>
      <c r="AC11" s="1906"/>
      <c r="AD11" s="1906"/>
      <c r="AE11" s="1906"/>
      <c r="AF11" s="1906"/>
      <c r="AG11" s="1906"/>
      <c r="AH11" s="1906"/>
      <c r="AI11" s="1906"/>
      <c r="AJ11" s="1906"/>
      <c r="AK11" s="1906"/>
      <c r="AL11" s="1906"/>
      <c r="AM11" s="1907"/>
    </row>
    <row r="12" spans="1:72" ht="125.25" customHeight="1" x14ac:dyDescent="0.2">
      <c r="A12" s="2034"/>
      <c r="B12" s="2053"/>
      <c r="C12" s="2053"/>
      <c r="D12" s="2034"/>
      <c r="E12" s="2034"/>
      <c r="F12" s="2056"/>
      <c r="G12" s="1943"/>
      <c r="H12" s="1943"/>
      <c r="I12" s="1943"/>
      <c r="J12" s="1944">
        <v>275</v>
      </c>
      <c r="K12" s="1957" t="s">
        <v>270</v>
      </c>
      <c r="L12" s="1944" t="s">
        <v>271</v>
      </c>
      <c r="M12" s="1944">
        <v>4</v>
      </c>
      <c r="N12" s="292"/>
      <c r="O12" s="1944">
        <v>16</v>
      </c>
      <c r="P12" s="1957" t="s">
        <v>272</v>
      </c>
      <c r="Q12" s="2061">
        <f>V13/R12</f>
        <v>0.69238642872312373</v>
      </c>
      <c r="R12" s="2062">
        <f>SUM(V12:V22)</f>
        <v>1763466107</v>
      </c>
      <c r="S12" s="1957" t="s">
        <v>273</v>
      </c>
      <c r="T12" s="1957" t="s">
        <v>274</v>
      </c>
      <c r="U12" s="293" t="s">
        <v>275</v>
      </c>
      <c r="V12" s="294">
        <f>1221000000-1221000000</f>
        <v>0</v>
      </c>
      <c r="W12" s="2065" t="s">
        <v>276</v>
      </c>
      <c r="X12" s="1944" t="s">
        <v>277</v>
      </c>
      <c r="Y12" s="2058">
        <v>64149</v>
      </c>
      <c r="Z12" s="2058">
        <v>72224</v>
      </c>
      <c r="AA12" s="2058">
        <v>27477</v>
      </c>
      <c r="AB12" s="2058">
        <v>86843</v>
      </c>
      <c r="AC12" s="2058">
        <v>236429</v>
      </c>
      <c r="AD12" s="2058">
        <v>81384</v>
      </c>
      <c r="AE12" s="2058">
        <v>13208</v>
      </c>
      <c r="AF12" s="2058">
        <v>1817</v>
      </c>
      <c r="AG12" s="2058"/>
      <c r="AH12" s="2058"/>
      <c r="AI12" s="2058">
        <v>16897</v>
      </c>
      <c r="AJ12" s="2058">
        <v>81384</v>
      </c>
      <c r="AK12" s="295">
        <v>42740</v>
      </c>
      <c r="AL12" s="295">
        <v>43089</v>
      </c>
      <c r="AM12" s="296" t="s">
        <v>278</v>
      </c>
      <c r="AN12" s="96"/>
      <c r="AO12" s="96"/>
    </row>
    <row r="13" spans="1:72" ht="66.75" customHeight="1" x14ac:dyDescent="0.2">
      <c r="A13" s="2034"/>
      <c r="B13" s="2053"/>
      <c r="C13" s="2053"/>
      <c r="D13" s="2034"/>
      <c r="E13" s="2034"/>
      <c r="F13" s="2056"/>
      <c r="G13" s="1943"/>
      <c r="H13" s="1943"/>
      <c r="I13" s="1943"/>
      <c r="J13" s="1974"/>
      <c r="K13" s="1978"/>
      <c r="L13" s="1974"/>
      <c r="M13" s="1974"/>
      <c r="N13" s="297" t="s">
        <v>279</v>
      </c>
      <c r="O13" s="1991"/>
      <c r="P13" s="2003"/>
      <c r="Q13" s="2023"/>
      <c r="R13" s="2063"/>
      <c r="S13" s="2003"/>
      <c r="T13" s="1978"/>
      <c r="U13" s="298" t="s">
        <v>280</v>
      </c>
      <c r="V13" s="294">
        <f>1221000000</f>
        <v>1221000000</v>
      </c>
      <c r="W13" s="2066"/>
      <c r="X13" s="1991"/>
      <c r="Y13" s="2059"/>
      <c r="Z13" s="2059"/>
      <c r="AA13" s="2059"/>
      <c r="AB13" s="2059"/>
      <c r="AC13" s="2059"/>
      <c r="AD13" s="2059"/>
      <c r="AE13" s="2059"/>
      <c r="AF13" s="2059"/>
      <c r="AG13" s="2059"/>
      <c r="AH13" s="2059"/>
      <c r="AI13" s="2059"/>
      <c r="AJ13" s="2059"/>
      <c r="AK13" s="295"/>
      <c r="AL13" s="295"/>
      <c r="AM13" s="296" t="s">
        <v>278</v>
      </c>
      <c r="AN13" s="96"/>
      <c r="AO13" s="96"/>
    </row>
    <row r="14" spans="1:72" ht="73.5" customHeight="1" x14ac:dyDescent="0.2">
      <c r="A14" s="2034"/>
      <c r="B14" s="2053"/>
      <c r="C14" s="2053"/>
      <c r="D14" s="2034"/>
      <c r="E14" s="2034"/>
      <c r="F14" s="2056"/>
      <c r="G14" s="1943"/>
      <c r="H14" s="1943"/>
      <c r="I14" s="1943"/>
      <c r="J14" s="1944">
        <v>276</v>
      </c>
      <c r="K14" s="1957" t="s">
        <v>281</v>
      </c>
      <c r="L14" s="1944" t="s">
        <v>271</v>
      </c>
      <c r="M14" s="1944">
        <v>1</v>
      </c>
      <c r="N14" s="297" t="s">
        <v>282</v>
      </c>
      <c r="O14" s="1991"/>
      <c r="P14" s="2003"/>
      <c r="Q14" s="2021">
        <f>V16/R12</f>
        <v>0.14755032657965339</v>
      </c>
      <c r="R14" s="2063"/>
      <c r="S14" s="2003"/>
      <c r="T14" s="1957" t="s">
        <v>283</v>
      </c>
      <c r="U14" s="1957" t="s">
        <v>284</v>
      </c>
      <c r="V14" s="294">
        <f>3600000+146600000-150200000</f>
        <v>0</v>
      </c>
      <c r="W14" s="2066"/>
      <c r="X14" s="1991"/>
      <c r="Y14" s="2059"/>
      <c r="Z14" s="2059"/>
      <c r="AA14" s="2059"/>
      <c r="AB14" s="2059"/>
      <c r="AC14" s="2059"/>
      <c r="AD14" s="2059"/>
      <c r="AE14" s="2059"/>
      <c r="AF14" s="2059"/>
      <c r="AG14" s="2059"/>
      <c r="AH14" s="2059"/>
      <c r="AI14" s="2059"/>
      <c r="AJ14" s="2059"/>
      <c r="AK14" s="295">
        <v>42740</v>
      </c>
      <c r="AL14" s="295">
        <v>43089</v>
      </c>
      <c r="AM14" s="296" t="s">
        <v>278</v>
      </c>
      <c r="AN14" s="2071"/>
      <c r="AO14" s="2072"/>
    </row>
    <row r="15" spans="1:72" ht="78.75" customHeight="1" x14ac:dyDescent="0.2">
      <c r="A15" s="2034"/>
      <c r="B15" s="2053"/>
      <c r="C15" s="2053"/>
      <c r="D15" s="2034"/>
      <c r="E15" s="2034"/>
      <c r="F15" s="2056"/>
      <c r="G15" s="1943"/>
      <c r="H15" s="1943"/>
      <c r="I15" s="1943"/>
      <c r="J15" s="1991"/>
      <c r="K15" s="2003"/>
      <c r="L15" s="1991"/>
      <c r="M15" s="1991"/>
      <c r="N15" s="297" t="s">
        <v>285</v>
      </c>
      <c r="O15" s="1991"/>
      <c r="P15" s="2003"/>
      <c r="Q15" s="2022"/>
      <c r="R15" s="2063"/>
      <c r="S15" s="2003"/>
      <c r="T15" s="2003"/>
      <c r="U15" s="1978"/>
      <c r="V15" s="294">
        <f>41200000-41200000</f>
        <v>0</v>
      </c>
      <c r="W15" s="2066"/>
      <c r="X15" s="1991"/>
      <c r="Y15" s="2059"/>
      <c r="Z15" s="2059"/>
      <c r="AA15" s="2059"/>
      <c r="AB15" s="2059"/>
      <c r="AC15" s="2059"/>
      <c r="AD15" s="2059"/>
      <c r="AE15" s="2059"/>
      <c r="AF15" s="2059"/>
      <c r="AG15" s="2059"/>
      <c r="AH15" s="2059"/>
      <c r="AI15" s="2059"/>
      <c r="AJ15" s="2059"/>
      <c r="AK15" s="295">
        <v>42740</v>
      </c>
      <c r="AL15" s="295">
        <v>43089</v>
      </c>
      <c r="AM15" s="296" t="s">
        <v>278</v>
      </c>
      <c r="AN15" s="2071"/>
      <c r="AO15" s="2072"/>
    </row>
    <row r="16" spans="1:72" ht="78.75" customHeight="1" x14ac:dyDescent="0.2">
      <c r="A16" s="2034"/>
      <c r="B16" s="2053"/>
      <c r="C16" s="2053"/>
      <c r="D16" s="2034"/>
      <c r="E16" s="2034"/>
      <c r="F16" s="2056"/>
      <c r="G16" s="1943"/>
      <c r="H16" s="1943"/>
      <c r="I16" s="1943"/>
      <c r="J16" s="1974"/>
      <c r="K16" s="1978"/>
      <c r="L16" s="1974"/>
      <c r="M16" s="1974"/>
      <c r="N16" s="297" t="s">
        <v>286</v>
      </c>
      <c r="O16" s="1991"/>
      <c r="P16" s="2003"/>
      <c r="Q16" s="2023"/>
      <c r="R16" s="2063"/>
      <c r="S16" s="2003"/>
      <c r="T16" s="1978"/>
      <c r="U16" s="299" t="s">
        <v>287</v>
      </c>
      <c r="V16" s="294">
        <f>3600000+146600000+110000000</f>
        <v>260200000</v>
      </c>
      <c r="W16" s="2066"/>
      <c r="X16" s="1991"/>
      <c r="Y16" s="2059"/>
      <c r="Z16" s="2059"/>
      <c r="AA16" s="2059"/>
      <c r="AB16" s="2059"/>
      <c r="AC16" s="2059"/>
      <c r="AD16" s="2059"/>
      <c r="AE16" s="2059"/>
      <c r="AF16" s="2059"/>
      <c r="AG16" s="2059"/>
      <c r="AH16" s="2059"/>
      <c r="AI16" s="2059"/>
      <c r="AJ16" s="2059"/>
      <c r="AK16" s="300"/>
      <c r="AL16" s="300"/>
      <c r="AM16" s="296" t="s">
        <v>278</v>
      </c>
      <c r="AN16" s="2071"/>
      <c r="AO16" s="2072"/>
    </row>
    <row r="17" spans="1:41" ht="52.5" customHeight="1" x14ac:dyDescent="0.2">
      <c r="A17" s="2034"/>
      <c r="B17" s="2053"/>
      <c r="C17" s="2053"/>
      <c r="D17" s="2034"/>
      <c r="E17" s="2034"/>
      <c r="F17" s="2056"/>
      <c r="G17" s="1943"/>
      <c r="H17" s="1943"/>
      <c r="I17" s="1943"/>
      <c r="J17" s="1944">
        <v>277</v>
      </c>
      <c r="K17" s="1957" t="s">
        <v>288</v>
      </c>
      <c r="L17" s="1944" t="s">
        <v>271</v>
      </c>
      <c r="M17" s="1944">
        <v>1</v>
      </c>
      <c r="N17" s="297" t="s">
        <v>289</v>
      </c>
      <c r="O17" s="1991"/>
      <c r="P17" s="2003"/>
      <c r="Q17" s="2021">
        <f>(V21+V22)/R12</f>
        <v>0.16006324469722286</v>
      </c>
      <c r="R17" s="2063"/>
      <c r="S17" s="2003"/>
      <c r="T17" s="1957" t="s">
        <v>290</v>
      </c>
      <c r="U17" s="1956" t="s">
        <v>291</v>
      </c>
      <c r="V17" s="1793">
        <f>146600000-146600000</f>
        <v>0</v>
      </c>
      <c r="W17" s="2066"/>
      <c r="X17" s="1991"/>
      <c r="Y17" s="2059"/>
      <c r="Z17" s="2059"/>
      <c r="AA17" s="2059"/>
      <c r="AB17" s="2059"/>
      <c r="AC17" s="2059"/>
      <c r="AD17" s="2059"/>
      <c r="AE17" s="2059"/>
      <c r="AF17" s="2059"/>
      <c r="AG17" s="2059"/>
      <c r="AH17" s="2059"/>
      <c r="AI17" s="2059"/>
      <c r="AJ17" s="2059"/>
      <c r="AK17" s="2068">
        <v>42740</v>
      </c>
      <c r="AL17" s="2068">
        <v>43089</v>
      </c>
      <c r="AM17" s="296" t="s">
        <v>278</v>
      </c>
      <c r="AN17" s="2071"/>
      <c r="AO17" s="2072"/>
    </row>
    <row r="18" spans="1:41" ht="45" customHeight="1" x14ac:dyDescent="0.2">
      <c r="A18" s="2034"/>
      <c r="B18" s="2053"/>
      <c r="C18" s="2053"/>
      <c r="D18" s="2034"/>
      <c r="E18" s="2034"/>
      <c r="F18" s="2056"/>
      <c r="G18" s="1943"/>
      <c r="H18" s="1943"/>
      <c r="I18" s="1943"/>
      <c r="J18" s="1991"/>
      <c r="K18" s="2003"/>
      <c r="L18" s="1991"/>
      <c r="M18" s="1991"/>
      <c r="N18" s="301" t="s">
        <v>292</v>
      </c>
      <c r="O18" s="1991"/>
      <c r="P18" s="2003"/>
      <c r="Q18" s="2022"/>
      <c r="R18" s="2063"/>
      <c r="S18" s="2003"/>
      <c r="T18" s="2003"/>
      <c r="U18" s="1956"/>
      <c r="V18" s="1793">
        <f>41200000-41200000</f>
        <v>0</v>
      </c>
      <c r="W18" s="2066"/>
      <c r="X18" s="1991"/>
      <c r="Y18" s="2059"/>
      <c r="Z18" s="2059"/>
      <c r="AA18" s="2059"/>
      <c r="AB18" s="2059"/>
      <c r="AC18" s="2059"/>
      <c r="AD18" s="2059"/>
      <c r="AE18" s="2059"/>
      <c r="AF18" s="2059"/>
      <c r="AG18" s="2059"/>
      <c r="AH18" s="2059"/>
      <c r="AI18" s="2059"/>
      <c r="AJ18" s="2059"/>
      <c r="AK18" s="2069"/>
      <c r="AL18" s="2069"/>
      <c r="AM18" s="296" t="s">
        <v>278</v>
      </c>
      <c r="AN18" s="2071"/>
      <c r="AO18" s="2072"/>
    </row>
    <row r="19" spans="1:41" ht="61.5" customHeight="1" x14ac:dyDescent="0.2">
      <c r="A19" s="2034"/>
      <c r="B19" s="2053"/>
      <c r="C19" s="2053"/>
      <c r="D19" s="2034"/>
      <c r="E19" s="2034"/>
      <c r="F19" s="2056"/>
      <c r="G19" s="1943"/>
      <c r="H19" s="1943"/>
      <c r="I19" s="1943"/>
      <c r="J19" s="1991"/>
      <c r="K19" s="2003"/>
      <c r="L19" s="1991"/>
      <c r="M19" s="1991"/>
      <c r="N19" s="297"/>
      <c r="O19" s="1991"/>
      <c r="P19" s="2003"/>
      <c r="Q19" s="2022"/>
      <c r="R19" s="2063"/>
      <c r="S19" s="2003"/>
      <c r="T19" s="2003"/>
      <c r="U19" s="1956"/>
      <c r="V19" s="1793">
        <f>200000000-200000000</f>
        <v>0</v>
      </c>
      <c r="W19" s="2066"/>
      <c r="X19" s="1991"/>
      <c r="Y19" s="2059"/>
      <c r="Z19" s="2059"/>
      <c r="AA19" s="2059"/>
      <c r="AB19" s="2059"/>
      <c r="AC19" s="2059"/>
      <c r="AD19" s="2059"/>
      <c r="AE19" s="2059"/>
      <c r="AF19" s="2059"/>
      <c r="AG19" s="2059"/>
      <c r="AH19" s="2059"/>
      <c r="AI19" s="2059"/>
      <c r="AJ19" s="2059"/>
      <c r="AK19" s="2069"/>
      <c r="AL19" s="2069"/>
      <c r="AM19" s="296" t="s">
        <v>278</v>
      </c>
      <c r="AN19" s="302"/>
      <c r="AO19" s="2072"/>
    </row>
    <row r="20" spans="1:41" ht="36.75" customHeight="1" x14ac:dyDescent="0.2">
      <c r="A20" s="2034"/>
      <c r="B20" s="2053"/>
      <c r="C20" s="2053"/>
      <c r="D20" s="2034"/>
      <c r="E20" s="2034"/>
      <c r="F20" s="2056"/>
      <c r="G20" s="1943"/>
      <c r="H20" s="1943"/>
      <c r="I20" s="1943"/>
      <c r="J20" s="1991"/>
      <c r="K20" s="2003"/>
      <c r="L20" s="1991"/>
      <c r="M20" s="1991"/>
      <c r="N20" s="297"/>
      <c r="O20" s="1991"/>
      <c r="P20" s="2003"/>
      <c r="Q20" s="2022"/>
      <c r="R20" s="2063"/>
      <c r="S20" s="2003"/>
      <c r="T20" s="2003"/>
      <c r="U20" s="1957" t="s">
        <v>293</v>
      </c>
      <c r="V20" s="1794">
        <f>146600000-146600000</f>
        <v>0</v>
      </c>
      <c r="W20" s="2066"/>
      <c r="X20" s="1991"/>
      <c r="Y20" s="2059"/>
      <c r="Z20" s="2059"/>
      <c r="AA20" s="2059"/>
      <c r="AB20" s="2059"/>
      <c r="AC20" s="2059"/>
      <c r="AD20" s="2059"/>
      <c r="AE20" s="2059"/>
      <c r="AF20" s="2059"/>
      <c r="AG20" s="2059"/>
      <c r="AH20" s="2059"/>
      <c r="AI20" s="2059"/>
      <c r="AJ20" s="2059"/>
      <c r="AK20" s="2069"/>
      <c r="AL20" s="2069"/>
      <c r="AM20" s="296" t="s">
        <v>278</v>
      </c>
      <c r="AN20" s="302"/>
      <c r="AO20" s="2072"/>
    </row>
    <row r="21" spans="1:41" ht="45" customHeight="1" x14ac:dyDescent="0.2">
      <c r="A21" s="2034"/>
      <c r="B21" s="2053"/>
      <c r="C21" s="2053"/>
      <c r="D21" s="2034"/>
      <c r="E21" s="2034"/>
      <c r="F21" s="2056"/>
      <c r="G21" s="1943"/>
      <c r="H21" s="1943"/>
      <c r="I21" s="1943"/>
      <c r="J21" s="1991"/>
      <c r="K21" s="2003"/>
      <c r="L21" s="1991"/>
      <c r="M21" s="1991"/>
      <c r="N21" s="297"/>
      <c r="O21" s="1991"/>
      <c r="P21" s="2003"/>
      <c r="Q21" s="2022"/>
      <c r="R21" s="2063"/>
      <c r="S21" s="2003"/>
      <c r="T21" s="2003"/>
      <c r="U21" s="2003"/>
      <c r="V21" s="1795">
        <f>41200000+35332521</f>
        <v>76532521</v>
      </c>
      <c r="W21" s="2066"/>
      <c r="X21" s="1991"/>
      <c r="Y21" s="2059"/>
      <c r="Z21" s="2059"/>
      <c r="AA21" s="2059"/>
      <c r="AB21" s="2059"/>
      <c r="AC21" s="2059"/>
      <c r="AD21" s="2059"/>
      <c r="AE21" s="2059"/>
      <c r="AF21" s="2059"/>
      <c r="AG21" s="2059"/>
      <c r="AH21" s="2059"/>
      <c r="AI21" s="2059"/>
      <c r="AJ21" s="2059"/>
      <c r="AK21" s="2069"/>
      <c r="AL21" s="2069"/>
      <c r="AM21" s="296" t="s">
        <v>278</v>
      </c>
      <c r="AN21" s="302"/>
      <c r="AO21" s="2072"/>
    </row>
    <row r="22" spans="1:41" ht="59.25" customHeight="1" x14ac:dyDescent="0.2">
      <c r="A22" s="2034"/>
      <c r="B22" s="2053"/>
      <c r="C22" s="2053"/>
      <c r="D22" s="2034"/>
      <c r="E22" s="2034"/>
      <c r="F22" s="2056"/>
      <c r="G22" s="1943"/>
      <c r="H22" s="1943"/>
      <c r="I22" s="1943"/>
      <c r="J22" s="1974"/>
      <c r="K22" s="1978"/>
      <c r="L22" s="1974"/>
      <c r="M22" s="1974"/>
      <c r="N22" s="303"/>
      <c r="O22" s="1974"/>
      <c r="P22" s="1978"/>
      <c r="Q22" s="2023"/>
      <c r="R22" s="2064"/>
      <c r="S22" s="1978"/>
      <c r="T22" s="1978"/>
      <c r="U22" s="1978"/>
      <c r="V22" s="1794">
        <f>200000000+5733586</f>
        <v>205733586</v>
      </c>
      <c r="W22" s="2067"/>
      <c r="X22" s="1974"/>
      <c r="Y22" s="2060"/>
      <c r="Z22" s="2060"/>
      <c r="AA22" s="2060"/>
      <c r="AB22" s="2060"/>
      <c r="AC22" s="2060"/>
      <c r="AD22" s="2060"/>
      <c r="AE22" s="2060"/>
      <c r="AF22" s="2060"/>
      <c r="AG22" s="2060"/>
      <c r="AH22" s="2060"/>
      <c r="AI22" s="2060"/>
      <c r="AJ22" s="2060"/>
      <c r="AK22" s="2070"/>
      <c r="AL22" s="2070"/>
      <c r="AM22" s="296" t="s">
        <v>278</v>
      </c>
      <c r="AN22" s="96"/>
      <c r="AO22" s="2072"/>
    </row>
    <row r="23" spans="1:41" ht="139.5" customHeight="1" x14ac:dyDescent="0.2">
      <c r="A23" s="2034"/>
      <c r="B23" s="2053"/>
      <c r="C23" s="2053"/>
      <c r="D23" s="2034"/>
      <c r="E23" s="2034"/>
      <c r="F23" s="2056"/>
      <c r="G23" s="1943"/>
      <c r="H23" s="1943"/>
      <c r="I23" s="1943"/>
      <c r="J23" s="304">
        <v>278</v>
      </c>
      <c r="K23" s="153" t="s">
        <v>294</v>
      </c>
      <c r="L23" s="304" t="s">
        <v>271</v>
      </c>
      <c r="M23" s="304">
        <v>1</v>
      </c>
      <c r="N23" s="292" t="s">
        <v>295</v>
      </c>
      <c r="O23" s="1944">
        <v>17</v>
      </c>
      <c r="P23" s="1956" t="s">
        <v>296</v>
      </c>
      <c r="Q23" s="305">
        <f>+V23/R23</f>
        <v>0.10689798506945687</v>
      </c>
      <c r="R23" s="2009">
        <f>+V23+V24</f>
        <v>374188531</v>
      </c>
      <c r="S23" s="1956" t="s">
        <v>297</v>
      </c>
      <c r="T23" s="306" t="s">
        <v>298</v>
      </c>
      <c r="U23" s="306" t="s">
        <v>299</v>
      </c>
      <c r="V23" s="294">
        <v>40000000</v>
      </c>
      <c r="W23" s="307">
        <v>20</v>
      </c>
      <c r="X23" s="153" t="s">
        <v>51</v>
      </c>
      <c r="Y23" s="2082">
        <v>64149</v>
      </c>
      <c r="Z23" s="2082">
        <v>72224</v>
      </c>
      <c r="AA23" s="2082">
        <v>27477</v>
      </c>
      <c r="AB23" s="2082">
        <v>86843</v>
      </c>
      <c r="AC23" s="2082">
        <v>236429</v>
      </c>
      <c r="AD23" s="2082">
        <v>81384</v>
      </c>
      <c r="AE23" s="2082">
        <v>13208</v>
      </c>
      <c r="AF23" s="2082">
        <v>1817</v>
      </c>
      <c r="AG23" s="2082"/>
      <c r="AH23" s="2082"/>
      <c r="AI23" s="2082">
        <v>16897</v>
      </c>
      <c r="AJ23" s="2082">
        <v>81384</v>
      </c>
      <c r="AK23" s="295">
        <v>42740</v>
      </c>
      <c r="AL23" s="295">
        <v>43089</v>
      </c>
      <c r="AM23" s="296" t="s">
        <v>278</v>
      </c>
      <c r="AN23" s="308"/>
      <c r="AO23" s="96"/>
    </row>
    <row r="24" spans="1:41" ht="106.5" customHeight="1" x14ac:dyDescent="0.2">
      <c r="A24" s="2051"/>
      <c r="B24" s="2054"/>
      <c r="C24" s="2054"/>
      <c r="D24" s="2051"/>
      <c r="E24" s="2051"/>
      <c r="F24" s="2057"/>
      <c r="G24" s="1943"/>
      <c r="H24" s="1943"/>
      <c r="I24" s="1943"/>
      <c r="J24" s="304">
        <v>279</v>
      </c>
      <c r="K24" s="153" t="s">
        <v>300</v>
      </c>
      <c r="L24" s="304" t="s">
        <v>271</v>
      </c>
      <c r="M24" s="304">
        <v>1</v>
      </c>
      <c r="N24" s="309" t="s">
        <v>301</v>
      </c>
      <c r="O24" s="1974"/>
      <c r="P24" s="1956"/>
      <c r="Q24" s="305">
        <f>+V24/R23</f>
        <v>0.89310201493054309</v>
      </c>
      <c r="R24" s="2009"/>
      <c r="S24" s="1956"/>
      <c r="T24" s="310" t="s">
        <v>302</v>
      </c>
      <c r="U24" s="306" t="s">
        <v>303</v>
      </c>
      <c r="V24" s="294">
        <f>268800000+65388531</f>
        <v>334188531</v>
      </c>
      <c r="W24" s="307">
        <v>20</v>
      </c>
      <c r="X24" s="153" t="s">
        <v>51</v>
      </c>
      <c r="Y24" s="2082"/>
      <c r="Z24" s="2082"/>
      <c r="AA24" s="2082"/>
      <c r="AB24" s="2082"/>
      <c r="AC24" s="2082"/>
      <c r="AD24" s="2082"/>
      <c r="AE24" s="2082"/>
      <c r="AF24" s="2082"/>
      <c r="AG24" s="2082"/>
      <c r="AH24" s="2082"/>
      <c r="AI24" s="2082"/>
      <c r="AJ24" s="2082"/>
      <c r="AK24" s="295">
        <v>42740</v>
      </c>
      <c r="AL24" s="295">
        <v>43089</v>
      </c>
      <c r="AM24" s="296" t="s">
        <v>278</v>
      </c>
      <c r="AN24" s="96"/>
      <c r="AO24" s="96"/>
    </row>
    <row r="25" spans="1:41" ht="13.5" thickBot="1" x14ac:dyDescent="0.25">
      <c r="R25" s="313" t="s">
        <v>72</v>
      </c>
      <c r="V25" s="314"/>
      <c r="AK25" s="316"/>
      <c r="AL25" s="316"/>
      <c r="AM25" s="317"/>
      <c r="AN25" s="96"/>
      <c r="AO25" s="96"/>
    </row>
    <row r="26" spans="1:41" s="200" customFormat="1" ht="29.25" customHeight="1" thickBot="1" x14ac:dyDescent="0.25">
      <c r="A26" s="2075" t="s">
        <v>98</v>
      </c>
      <c r="B26" s="2076"/>
      <c r="C26" s="2076"/>
      <c r="D26" s="2076"/>
      <c r="E26" s="2076"/>
      <c r="F26" s="2076"/>
      <c r="G26" s="2076"/>
      <c r="H26" s="2076"/>
      <c r="I26" s="2076"/>
      <c r="J26" s="2076"/>
      <c r="K26" s="2076"/>
      <c r="L26" s="2076"/>
      <c r="M26" s="2076"/>
      <c r="N26" s="2076"/>
      <c r="O26" s="2076"/>
      <c r="P26" s="2076"/>
      <c r="Q26" s="2077"/>
      <c r="R26" s="318">
        <f>SUM(R12:R24)</f>
        <v>2137654638</v>
      </c>
      <c r="S26" s="2078"/>
      <c r="T26" s="2079"/>
      <c r="U26" s="2080"/>
      <c r="V26" s="319">
        <f>SUM(V12:V24)</f>
        <v>2137654638</v>
      </c>
      <c r="W26" s="320"/>
      <c r="X26" s="321"/>
      <c r="Y26" s="321"/>
      <c r="Z26" s="321"/>
      <c r="AA26" s="321"/>
      <c r="AB26" s="321"/>
      <c r="AC26" s="321"/>
      <c r="AD26" s="321"/>
      <c r="AE26" s="321"/>
      <c r="AF26" s="321"/>
      <c r="AG26" s="321"/>
      <c r="AH26" s="321"/>
      <c r="AI26" s="321"/>
      <c r="AJ26" s="321"/>
      <c r="AK26" s="321"/>
      <c r="AL26" s="321"/>
      <c r="AM26" s="322"/>
    </row>
    <row r="27" spans="1:41" x14ac:dyDescent="0.2">
      <c r="AK27" s="316"/>
      <c r="AL27" s="316"/>
      <c r="AM27" s="317"/>
      <c r="AN27" s="96"/>
      <c r="AO27" s="96"/>
    </row>
    <row r="28" spans="1:41" x14ac:dyDescent="0.2">
      <c r="R28" s="148"/>
      <c r="V28" s="324"/>
      <c r="AK28" s="316"/>
      <c r="AL28" s="316"/>
      <c r="AM28" s="317"/>
      <c r="AN28" s="96"/>
      <c r="AO28" s="96"/>
    </row>
    <row r="29" spans="1:41" x14ac:dyDescent="0.2">
      <c r="U29" s="325"/>
      <c r="AK29" s="316"/>
      <c r="AL29" s="316"/>
      <c r="AM29" s="317"/>
      <c r="AN29" s="96"/>
      <c r="AO29" s="96"/>
    </row>
    <row r="30" spans="1:41" x14ac:dyDescent="0.2">
      <c r="E30" s="2081" t="s">
        <v>304</v>
      </c>
      <c r="F30" s="2081"/>
      <c r="G30" s="2081"/>
      <c r="H30" s="2081"/>
      <c r="I30" s="2081"/>
      <c r="J30" s="2081"/>
      <c r="K30" s="2081"/>
      <c r="R30" s="326"/>
      <c r="V30" s="327"/>
      <c r="W30" s="328"/>
      <c r="X30" s="329"/>
      <c r="AK30" s="316"/>
      <c r="AL30" s="316"/>
      <c r="AM30" s="317"/>
      <c r="AN30" s="96"/>
      <c r="AO30" s="96"/>
    </row>
    <row r="31" spans="1:41" x14ac:dyDescent="0.2">
      <c r="E31" s="2073" t="s">
        <v>305</v>
      </c>
      <c r="F31" s="2073"/>
      <c r="G31" s="2073"/>
      <c r="H31" s="2073"/>
      <c r="I31" s="2073"/>
      <c r="J31" s="2073"/>
      <c r="K31" s="2073"/>
      <c r="W31" s="2074"/>
      <c r="X31" s="2074"/>
      <c r="AK31" s="316"/>
      <c r="AL31" s="316"/>
      <c r="AM31" s="317"/>
      <c r="AN31" s="96"/>
      <c r="AO31" s="96"/>
    </row>
    <row r="32" spans="1:41" x14ac:dyDescent="0.2">
      <c r="V32" s="327"/>
      <c r="W32" s="328"/>
      <c r="X32" s="329"/>
      <c r="AK32" s="316"/>
      <c r="AL32" s="316"/>
      <c r="AM32" s="317"/>
      <c r="AN32" s="96"/>
      <c r="AO32" s="96"/>
    </row>
    <row r="33" spans="37:41" x14ac:dyDescent="0.2">
      <c r="AK33" s="316"/>
      <c r="AL33" s="316"/>
      <c r="AM33" s="317"/>
      <c r="AN33" s="96"/>
      <c r="AO33" s="96"/>
    </row>
    <row r="34" spans="37:41" x14ac:dyDescent="0.2">
      <c r="AK34" s="316"/>
      <c r="AL34" s="316"/>
      <c r="AM34" s="317"/>
      <c r="AN34" s="96"/>
      <c r="AO34" s="96"/>
    </row>
    <row r="35" spans="37:41" x14ac:dyDescent="0.2">
      <c r="AK35" s="316"/>
      <c r="AL35" s="316"/>
      <c r="AM35" s="317"/>
      <c r="AN35" s="96"/>
      <c r="AO35" s="96"/>
    </row>
    <row r="36" spans="37:41" x14ac:dyDescent="0.2">
      <c r="AK36" s="316"/>
      <c r="AL36" s="316"/>
      <c r="AM36" s="317"/>
      <c r="AN36" s="96"/>
      <c r="AO36" s="96"/>
    </row>
    <row r="37" spans="37:41" x14ac:dyDescent="0.2">
      <c r="AK37" s="316"/>
      <c r="AL37" s="316"/>
      <c r="AM37" s="317"/>
      <c r="AN37" s="96"/>
      <c r="AO37" s="96"/>
    </row>
  </sheetData>
  <mergeCells count="102">
    <mergeCell ref="E31:K31"/>
    <mergeCell ref="W31:X31"/>
    <mergeCell ref="A26:Q26"/>
    <mergeCell ref="S26:U26"/>
    <mergeCell ref="E30:K30"/>
    <mergeCell ref="AI23:AI24"/>
    <mergeCell ref="AJ23:AJ24"/>
    <mergeCell ref="AF23:AF24"/>
    <mergeCell ref="AG23:AG24"/>
    <mergeCell ref="AH23:AH24"/>
    <mergeCell ref="AC23:AC24"/>
    <mergeCell ref="AD23:AD24"/>
    <mergeCell ref="AE23:AE24"/>
    <mergeCell ref="Z23:Z24"/>
    <mergeCell ref="AA23:AA24"/>
    <mergeCell ref="AB23:AB24"/>
    <mergeCell ref="O23:O24"/>
    <mergeCell ref="P23:P24"/>
    <mergeCell ref="R23:R24"/>
    <mergeCell ref="S23:S24"/>
    <mergeCell ref="Y23:Y24"/>
    <mergeCell ref="AK17:AK22"/>
    <mergeCell ref="AL17:AL22"/>
    <mergeCell ref="U20:U22"/>
    <mergeCell ref="AN14:AN18"/>
    <mergeCell ref="AO14:AO22"/>
    <mergeCell ref="J17:J22"/>
    <mergeCell ref="K17:K22"/>
    <mergeCell ref="L17:L22"/>
    <mergeCell ref="M17:M22"/>
    <mergeCell ref="Q17:Q22"/>
    <mergeCell ref="T17:T22"/>
    <mergeCell ref="U17:U19"/>
    <mergeCell ref="J14:J16"/>
    <mergeCell ref="K14:K16"/>
    <mergeCell ref="L14:L16"/>
    <mergeCell ref="M14:M16"/>
    <mergeCell ref="AH12:AH22"/>
    <mergeCell ref="AI12:AI22"/>
    <mergeCell ref="AJ12:AJ22"/>
    <mergeCell ref="AE12:AE22"/>
    <mergeCell ref="AF12:AF22"/>
    <mergeCell ref="AG12:AG22"/>
    <mergeCell ref="AB12:AB22"/>
    <mergeCell ref="AC12:AC22"/>
    <mergeCell ref="AD12:AD22"/>
    <mergeCell ref="Y12:Y22"/>
    <mergeCell ref="Z12:Z22"/>
    <mergeCell ref="AA12:AA22"/>
    <mergeCell ref="Q12:Q13"/>
    <mergeCell ref="R12:R22"/>
    <mergeCell ref="S12:S22"/>
    <mergeCell ref="T12:T13"/>
    <mergeCell ref="W12:W22"/>
    <mergeCell ref="X12:X22"/>
    <mergeCell ref="Q14:Q16"/>
    <mergeCell ref="T14:T16"/>
    <mergeCell ref="U14:U15"/>
    <mergeCell ref="A1:AK4"/>
    <mergeCell ref="A5:M6"/>
    <mergeCell ref="AM7:AM8"/>
    <mergeCell ref="V7:V8"/>
    <mergeCell ref="W7:W8"/>
    <mergeCell ref="X7:X8"/>
    <mergeCell ref="Y7:AD7"/>
    <mergeCell ref="AE7:AJ7"/>
    <mergeCell ref="K12:K13"/>
    <mergeCell ref="L12:L13"/>
    <mergeCell ref="M12:M13"/>
    <mergeCell ref="O12:O22"/>
    <mergeCell ref="P12:P22"/>
    <mergeCell ref="A10:A24"/>
    <mergeCell ref="B10:C24"/>
    <mergeCell ref="E10:AM10"/>
    <mergeCell ref="D11:D24"/>
    <mergeCell ref="E11:F24"/>
    <mergeCell ref="H11:AM11"/>
    <mergeCell ref="G12:G24"/>
    <mergeCell ref="H12:I24"/>
    <mergeCell ref="J12:J13"/>
    <mergeCell ref="AK7:AK8"/>
    <mergeCell ref="AL7:AL8"/>
    <mergeCell ref="N5:AM5"/>
    <mergeCell ref="Y6:AJ6"/>
    <mergeCell ref="A7:A8"/>
    <mergeCell ref="B7:C8"/>
    <mergeCell ref="D7:D8"/>
    <mergeCell ref="E7:F8"/>
    <mergeCell ref="G7:G8"/>
    <mergeCell ref="H7:I8"/>
    <mergeCell ref="P7:P8"/>
    <mergeCell ref="Q7:Q8"/>
    <mergeCell ref="R7:R8"/>
    <mergeCell ref="S7:S8"/>
    <mergeCell ref="T7:T8"/>
    <mergeCell ref="U7:U8"/>
    <mergeCell ref="J7:J8"/>
    <mergeCell ref="K7:K8"/>
    <mergeCell ref="L7:L8"/>
    <mergeCell ref="M7:M8"/>
    <mergeCell ref="N7:N8"/>
    <mergeCell ref="O7:O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T178"/>
  <sheetViews>
    <sheetView showGridLines="0" zoomScale="60" zoomScaleNormal="60" workbookViewId="0">
      <selection sqref="A1:AK4"/>
    </sheetView>
  </sheetViews>
  <sheetFormatPr baseColWidth="10" defaultColWidth="11.42578125" defaultRowHeight="27" customHeight="1" x14ac:dyDescent="0.2"/>
  <cols>
    <col min="1" max="1" width="13.140625" style="448" customWidth="1"/>
    <col min="2" max="2" width="4" style="378" customWidth="1"/>
    <col min="3" max="3" width="14.5703125" style="378" customWidth="1"/>
    <col min="4" max="4" width="10.5703125" style="378" customWidth="1"/>
    <col min="5" max="5" width="10" style="378" customWidth="1"/>
    <col min="6" max="6" width="7.42578125" style="378" customWidth="1"/>
    <col min="7" max="7" width="14.42578125" style="378" customWidth="1"/>
    <col min="8" max="8" width="8.5703125" style="449" customWidth="1"/>
    <col min="9" max="9" width="13.7109375" style="449" customWidth="1"/>
    <col min="10" max="10" width="11.5703125" style="449" customWidth="1"/>
    <col min="11" max="11" width="39.85546875" style="437" customWidth="1"/>
    <col min="12" max="12" width="22.7109375" style="436" customWidth="1"/>
    <col min="13" max="13" width="19.85546875" style="436" customWidth="1"/>
    <col min="14" max="14" width="21.140625" style="436" customWidth="1"/>
    <col min="15" max="15" width="14" style="436" customWidth="1"/>
    <col min="16" max="16" width="23.85546875" style="437" customWidth="1"/>
    <col min="17" max="17" width="12.7109375" style="438" customWidth="1"/>
    <col min="18" max="18" width="27.140625" style="439" bestFit="1" customWidth="1"/>
    <col min="19" max="19" width="37" style="437" customWidth="1"/>
    <col min="20" max="20" width="41.140625" style="437" customWidth="1"/>
    <col min="21" max="21" width="54" style="437" customWidth="1"/>
    <col min="22" max="22" width="21.85546875" style="445" customWidth="1"/>
    <col min="23" max="23" width="22.42578125" style="441" customWidth="1"/>
    <col min="24" max="24" width="20.5703125" style="442" customWidth="1"/>
    <col min="25" max="25" width="10" style="378" customWidth="1"/>
    <col min="26" max="26" width="10.5703125" style="378" customWidth="1"/>
    <col min="27" max="27" width="11.7109375" style="378" customWidth="1"/>
    <col min="28" max="28" width="11.42578125" style="378" customWidth="1"/>
    <col min="29" max="29" width="11.7109375" style="378" customWidth="1"/>
    <col min="30" max="30" width="9.42578125" style="378" customWidth="1"/>
    <col min="31" max="31" width="8.42578125" style="378" customWidth="1"/>
    <col min="32" max="35" width="7.28515625" style="378" customWidth="1"/>
    <col min="36" max="36" width="10.7109375" style="378" customWidth="1"/>
    <col min="37" max="37" width="20.5703125" style="446" customWidth="1"/>
    <col min="38" max="38" width="20" style="447" customWidth="1"/>
    <col min="39" max="39" width="32.28515625" style="378" bestFit="1" customWidth="1"/>
    <col min="40" max="16384" width="11.42578125" style="378"/>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1" customFormat="1" ht="42" customHeight="1" x14ac:dyDescent="0.2">
      <c r="A7" s="1856" t="s">
        <v>8</v>
      </c>
      <c r="B7" s="1858" t="s">
        <v>9</v>
      </c>
      <c r="C7" s="1859"/>
      <c r="D7" s="1856" t="s">
        <v>8</v>
      </c>
      <c r="E7" s="1858" t="s">
        <v>10</v>
      </c>
      <c r="F7" s="1859"/>
      <c r="G7" s="1856" t="s">
        <v>8</v>
      </c>
      <c r="H7" s="1858" t="s">
        <v>11</v>
      </c>
      <c r="I7" s="1859"/>
      <c r="J7" s="1856" t="s">
        <v>8</v>
      </c>
      <c r="K7" s="1856" t="s">
        <v>12</v>
      </c>
      <c r="L7" s="1856" t="s">
        <v>13</v>
      </c>
      <c r="M7" s="1858" t="s">
        <v>14</v>
      </c>
      <c r="N7" s="1856" t="s">
        <v>15</v>
      </c>
      <c r="O7" s="1867" t="s">
        <v>16</v>
      </c>
      <c r="P7" s="1856" t="s">
        <v>6</v>
      </c>
      <c r="Q7" s="1856" t="s">
        <v>17</v>
      </c>
      <c r="R7" s="1856" t="s">
        <v>18</v>
      </c>
      <c r="S7" s="1856" t="s">
        <v>19</v>
      </c>
      <c r="T7" s="1856" t="s">
        <v>20</v>
      </c>
      <c r="U7" s="1856" t="s">
        <v>21</v>
      </c>
      <c r="V7" s="1858" t="s">
        <v>18</v>
      </c>
      <c r="W7" s="1856" t="s">
        <v>8</v>
      </c>
      <c r="X7" s="1856" t="s">
        <v>22</v>
      </c>
      <c r="Y7" s="1891" t="s">
        <v>23</v>
      </c>
      <c r="Z7" s="1892"/>
      <c r="AA7" s="1892"/>
      <c r="AB7" s="1892"/>
      <c r="AC7" s="1892"/>
      <c r="AD7" s="1892"/>
      <c r="AE7" s="1891" t="s">
        <v>24</v>
      </c>
      <c r="AF7" s="1892"/>
      <c r="AG7" s="1892"/>
      <c r="AH7" s="1892"/>
      <c r="AI7" s="1892"/>
      <c r="AJ7" s="1892"/>
      <c r="AK7" s="1871" t="s">
        <v>25</v>
      </c>
      <c r="AL7" s="1871" t="s">
        <v>26</v>
      </c>
      <c r="AM7" s="1869" t="s">
        <v>27</v>
      </c>
    </row>
    <row r="8" spans="1:72" s="1" customFormat="1" ht="57" customHeight="1" x14ac:dyDescent="0.2">
      <c r="A8" s="1857"/>
      <c r="B8" s="1860"/>
      <c r="C8" s="1861"/>
      <c r="D8" s="1857"/>
      <c r="E8" s="1860"/>
      <c r="F8" s="1861"/>
      <c r="G8" s="1857"/>
      <c r="H8" s="1860"/>
      <c r="I8" s="1861"/>
      <c r="J8" s="1857"/>
      <c r="K8" s="1857"/>
      <c r="L8" s="1857"/>
      <c r="M8" s="1866"/>
      <c r="N8" s="1857"/>
      <c r="O8" s="1868"/>
      <c r="P8" s="1857"/>
      <c r="Q8" s="1857"/>
      <c r="R8" s="1857"/>
      <c r="S8" s="1857"/>
      <c r="T8" s="1857"/>
      <c r="U8" s="1857"/>
      <c r="V8" s="1866"/>
      <c r="W8" s="1857"/>
      <c r="X8" s="1857"/>
      <c r="Y8" s="1786" t="s">
        <v>269</v>
      </c>
      <c r="Z8" s="1786" t="s">
        <v>29</v>
      </c>
      <c r="AA8" s="1786" t="s">
        <v>30</v>
      </c>
      <c r="AB8" s="1786" t="s">
        <v>31</v>
      </c>
      <c r="AC8" s="1786" t="s">
        <v>32</v>
      </c>
      <c r="AD8" s="1786" t="s">
        <v>33</v>
      </c>
      <c r="AE8" s="1786" t="s">
        <v>34</v>
      </c>
      <c r="AF8" s="1786" t="s">
        <v>35</v>
      </c>
      <c r="AG8" s="1786" t="s">
        <v>36</v>
      </c>
      <c r="AH8" s="1786" t="s">
        <v>37</v>
      </c>
      <c r="AI8" s="1786" t="s">
        <v>38</v>
      </c>
      <c r="AJ8" s="1786" t="s">
        <v>39</v>
      </c>
      <c r="AK8" s="1872"/>
      <c r="AL8" s="1872"/>
      <c r="AM8" s="1870"/>
    </row>
    <row r="9" spans="1:72" s="341" customFormat="1" ht="18.75" customHeight="1" x14ac:dyDescent="0.2">
      <c r="A9" s="330">
        <v>1</v>
      </c>
      <c r="B9" s="331" t="s">
        <v>306</v>
      </c>
      <c r="C9" s="331"/>
      <c r="D9" s="331"/>
      <c r="E9" s="331"/>
      <c r="F9" s="331"/>
      <c r="G9" s="331"/>
      <c r="H9" s="332"/>
      <c r="I9" s="332"/>
      <c r="J9" s="332"/>
      <c r="K9" s="332"/>
      <c r="L9" s="332"/>
      <c r="M9" s="332"/>
      <c r="N9" s="332"/>
      <c r="O9" s="332"/>
      <c r="P9" s="332"/>
      <c r="Q9" s="333"/>
      <c r="R9" s="334"/>
      <c r="S9" s="332"/>
      <c r="T9" s="332"/>
      <c r="U9" s="332"/>
      <c r="V9" s="335"/>
      <c r="W9" s="336"/>
      <c r="X9" s="337"/>
      <c r="Y9" s="331"/>
      <c r="Z9" s="331"/>
      <c r="AA9" s="331"/>
      <c r="AB9" s="331"/>
      <c r="AC9" s="331"/>
      <c r="AD9" s="331"/>
      <c r="AE9" s="331"/>
      <c r="AF9" s="331"/>
      <c r="AG9" s="331"/>
      <c r="AH9" s="331"/>
      <c r="AI9" s="331"/>
      <c r="AJ9" s="331"/>
      <c r="AK9" s="338"/>
      <c r="AL9" s="338"/>
      <c r="AM9" s="339"/>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row>
    <row r="10" spans="1:72" s="340" customFormat="1" ht="18.75" customHeight="1" x14ac:dyDescent="0.2">
      <c r="A10" s="342"/>
      <c r="B10" s="343"/>
      <c r="C10" s="343"/>
      <c r="D10" s="344">
        <v>1</v>
      </c>
      <c r="E10" s="345" t="s">
        <v>307</v>
      </c>
      <c r="F10" s="345"/>
      <c r="G10" s="345"/>
      <c r="H10" s="346"/>
      <c r="I10" s="346"/>
      <c r="J10" s="346"/>
      <c r="K10" s="346"/>
      <c r="L10" s="346"/>
      <c r="M10" s="346"/>
      <c r="N10" s="346"/>
      <c r="O10" s="346"/>
      <c r="P10" s="346"/>
      <c r="Q10" s="346"/>
      <c r="R10" s="347"/>
      <c r="S10" s="346"/>
      <c r="T10" s="346"/>
      <c r="U10" s="346"/>
      <c r="V10" s="348"/>
      <c r="W10" s="349"/>
      <c r="X10" s="350"/>
      <c r="Y10" s="345"/>
      <c r="Z10" s="345"/>
      <c r="AA10" s="345"/>
      <c r="AB10" s="345"/>
      <c r="AC10" s="345"/>
      <c r="AD10" s="345"/>
      <c r="AE10" s="345"/>
      <c r="AF10" s="345"/>
      <c r="AG10" s="345"/>
      <c r="AH10" s="345"/>
      <c r="AI10" s="345"/>
      <c r="AJ10" s="345"/>
      <c r="AK10" s="351"/>
      <c r="AL10" s="351"/>
      <c r="AM10" s="352"/>
    </row>
    <row r="11" spans="1:72" s="340" customFormat="1" ht="18.75" customHeight="1" x14ac:dyDescent="0.2">
      <c r="A11" s="342"/>
      <c r="B11" s="343"/>
      <c r="C11" s="343"/>
      <c r="D11" s="353"/>
      <c r="F11" s="343"/>
      <c r="G11" s="354">
        <v>2</v>
      </c>
      <c r="H11" s="2102" t="s">
        <v>308</v>
      </c>
      <c r="I11" s="2102"/>
      <c r="J11" s="2102"/>
      <c r="K11" s="2102"/>
      <c r="L11" s="355"/>
      <c r="M11" s="355"/>
      <c r="N11" s="356"/>
      <c r="O11" s="356"/>
      <c r="P11" s="356"/>
      <c r="Q11" s="356"/>
      <c r="R11" s="357"/>
      <c r="S11" s="356"/>
      <c r="T11" s="356"/>
      <c r="U11" s="356"/>
      <c r="V11" s="358"/>
      <c r="W11" s="359"/>
      <c r="X11" s="360"/>
      <c r="Y11" s="361"/>
      <c r="Z11" s="361"/>
      <c r="AA11" s="361"/>
      <c r="AB11" s="361"/>
      <c r="AC11" s="361"/>
      <c r="AD11" s="361"/>
      <c r="AE11" s="361"/>
      <c r="AF11" s="361"/>
      <c r="AG11" s="361"/>
      <c r="AH11" s="361"/>
      <c r="AI11" s="361"/>
      <c r="AJ11" s="361"/>
      <c r="AK11" s="362"/>
      <c r="AL11" s="362"/>
      <c r="AM11" s="363"/>
    </row>
    <row r="12" spans="1:72" s="340" customFormat="1" ht="13.5" customHeight="1" x14ac:dyDescent="0.2">
      <c r="A12" s="364"/>
      <c r="B12" s="365"/>
      <c r="C12" s="365"/>
      <c r="D12" s="366"/>
      <c r="E12" s="365"/>
      <c r="F12" s="365"/>
      <c r="G12" s="367"/>
      <c r="H12" s="2103"/>
      <c r="I12" s="2104"/>
      <c r="J12" s="2087">
        <v>9</v>
      </c>
      <c r="K12" s="2087" t="s">
        <v>309</v>
      </c>
      <c r="L12" s="2105" t="s">
        <v>310</v>
      </c>
      <c r="M12" s="2108">
        <v>5</v>
      </c>
      <c r="N12" s="368"/>
      <c r="O12" s="2087">
        <v>22</v>
      </c>
      <c r="P12" s="2087" t="s">
        <v>311</v>
      </c>
      <c r="Q12" s="2083">
        <v>1</v>
      </c>
      <c r="R12" s="2086">
        <f>SUM(V12:V19)</f>
        <v>827750071</v>
      </c>
      <c r="S12" s="2087" t="s">
        <v>312</v>
      </c>
      <c r="T12" s="2088" t="s">
        <v>313</v>
      </c>
      <c r="U12" s="2089" t="s">
        <v>314</v>
      </c>
      <c r="V12" s="2092">
        <f>106758463-106758463</f>
        <v>0</v>
      </c>
      <c r="W12" s="2096">
        <v>22</v>
      </c>
      <c r="X12" s="2098" t="s">
        <v>315</v>
      </c>
      <c r="Y12" s="2093">
        <v>55079</v>
      </c>
      <c r="Z12" s="2093">
        <v>63164</v>
      </c>
      <c r="AA12" s="2093">
        <v>45607</v>
      </c>
      <c r="AB12" s="2093">
        <v>140912</v>
      </c>
      <c r="AC12" s="2093">
        <v>365607</v>
      </c>
      <c r="AD12" s="2093">
        <v>75612</v>
      </c>
      <c r="AE12" s="2093">
        <v>12718</v>
      </c>
      <c r="AF12" s="2093">
        <v>2145</v>
      </c>
      <c r="AG12" s="2093">
        <v>413</v>
      </c>
      <c r="AH12" s="2093"/>
      <c r="AI12" s="2093">
        <v>2764</v>
      </c>
      <c r="AJ12" s="2093">
        <v>75612</v>
      </c>
      <c r="AK12" s="2100">
        <v>42736</v>
      </c>
      <c r="AL12" s="2100">
        <v>43100</v>
      </c>
      <c r="AM12" s="2101" t="s">
        <v>316</v>
      </c>
    </row>
    <row r="13" spans="1:72" s="340" customFormat="1" ht="17.25" customHeight="1" x14ac:dyDescent="0.2">
      <c r="A13" s="364"/>
      <c r="B13" s="2113"/>
      <c r="C13" s="2113"/>
      <c r="D13" s="366"/>
      <c r="E13" s="2113"/>
      <c r="F13" s="2113"/>
      <c r="G13" s="366"/>
      <c r="H13" s="2111"/>
      <c r="I13" s="2111"/>
      <c r="J13" s="2087"/>
      <c r="K13" s="2087"/>
      <c r="L13" s="2106"/>
      <c r="M13" s="2109"/>
      <c r="N13" s="369"/>
      <c r="O13" s="2087"/>
      <c r="P13" s="2087"/>
      <c r="Q13" s="2084"/>
      <c r="R13" s="2086"/>
      <c r="S13" s="2087"/>
      <c r="T13" s="2088"/>
      <c r="U13" s="2090"/>
      <c r="V13" s="2092"/>
      <c r="W13" s="2097"/>
      <c r="X13" s="2099"/>
      <c r="Y13" s="2094"/>
      <c r="Z13" s="2094">
        <v>63164</v>
      </c>
      <c r="AA13" s="2094">
        <v>45607</v>
      </c>
      <c r="AB13" s="2094">
        <v>140912</v>
      </c>
      <c r="AC13" s="2094">
        <v>365607</v>
      </c>
      <c r="AD13" s="2094">
        <v>75612</v>
      </c>
      <c r="AE13" s="2094"/>
      <c r="AF13" s="2094"/>
      <c r="AG13" s="2094"/>
      <c r="AH13" s="2094"/>
      <c r="AI13" s="2094"/>
      <c r="AJ13" s="2094"/>
      <c r="AK13" s="2100"/>
      <c r="AL13" s="2100"/>
      <c r="AM13" s="2101"/>
    </row>
    <row r="14" spans="1:72" s="340" customFormat="1" ht="12" customHeight="1" x14ac:dyDescent="0.2">
      <c r="A14" s="364"/>
      <c r="B14" s="365"/>
      <c r="C14" s="365"/>
      <c r="D14" s="366"/>
      <c r="E14" s="365"/>
      <c r="F14" s="365"/>
      <c r="G14" s="366"/>
      <c r="H14" s="370"/>
      <c r="I14" s="370"/>
      <c r="J14" s="2087"/>
      <c r="K14" s="2087"/>
      <c r="L14" s="2106"/>
      <c r="M14" s="2109"/>
      <c r="N14" s="369"/>
      <c r="O14" s="2087"/>
      <c r="P14" s="2087"/>
      <c r="Q14" s="2084"/>
      <c r="R14" s="2086"/>
      <c r="S14" s="2087"/>
      <c r="T14" s="2088"/>
      <c r="U14" s="2090"/>
      <c r="V14" s="2092"/>
      <c r="W14" s="2097"/>
      <c r="X14" s="2099"/>
      <c r="Y14" s="2094"/>
      <c r="Z14" s="2094">
        <v>63164</v>
      </c>
      <c r="AA14" s="2094">
        <v>45607</v>
      </c>
      <c r="AB14" s="2094">
        <v>140912</v>
      </c>
      <c r="AC14" s="2094">
        <v>365607</v>
      </c>
      <c r="AD14" s="2094">
        <v>75612</v>
      </c>
      <c r="AE14" s="2094"/>
      <c r="AF14" s="2094"/>
      <c r="AG14" s="2094"/>
      <c r="AH14" s="2094"/>
      <c r="AI14" s="2094"/>
      <c r="AJ14" s="2094"/>
      <c r="AK14" s="2100"/>
      <c r="AL14" s="2100"/>
      <c r="AM14" s="2101"/>
    </row>
    <row r="15" spans="1:72" s="340" customFormat="1" ht="14.25" customHeight="1" x14ac:dyDescent="0.2">
      <c r="A15" s="364"/>
      <c r="B15" s="365"/>
      <c r="C15" s="365"/>
      <c r="D15" s="366"/>
      <c r="E15" s="365"/>
      <c r="F15" s="365"/>
      <c r="G15" s="366"/>
      <c r="H15" s="370"/>
      <c r="I15" s="370"/>
      <c r="J15" s="2087"/>
      <c r="K15" s="2087"/>
      <c r="L15" s="2106"/>
      <c r="M15" s="2109"/>
      <c r="N15" s="369"/>
      <c r="O15" s="2087"/>
      <c r="P15" s="2087"/>
      <c r="Q15" s="2084"/>
      <c r="R15" s="2086"/>
      <c r="S15" s="2087"/>
      <c r="T15" s="2088"/>
      <c r="U15" s="2091"/>
      <c r="V15" s="2092"/>
      <c r="W15" s="2097"/>
      <c r="X15" s="2099"/>
      <c r="Y15" s="2094"/>
      <c r="Z15" s="2094">
        <v>63164</v>
      </c>
      <c r="AA15" s="2094">
        <v>45607</v>
      </c>
      <c r="AB15" s="2094">
        <v>140912</v>
      </c>
      <c r="AC15" s="2094">
        <v>365607</v>
      </c>
      <c r="AD15" s="2094">
        <v>75612</v>
      </c>
      <c r="AE15" s="2094"/>
      <c r="AF15" s="2094"/>
      <c r="AG15" s="2094"/>
      <c r="AH15" s="2094"/>
      <c r="AI15" s="2094"/>
      <c r="AJ15" s="2094"/>
      <c r="AK15" s="2100"/>
      <c r="AL15" s="2100"/>
      <c r="AM15" s="2101"/>
    </row>
    <row r="16" spans="1:72" s="340" customFormat="1" ht="42" customHeight="1" x14ac:dyDescent="0.2">
      <c r="A16" s="364"/>
      <c r="B16" s="365"/>
      <c r="C16" s="365"/>
      <c r="D16" s="366"/>
      <c r="E16" s="365"/>
      <c r="F16" s="365"/>
      <c r="G16" s="366"/>
      <c r="H16" s="370"/>
      <c r="I16" s="370"/>
      <c r="J16" s="2087"/>
      <c r="K16" s="2087"/>
      <c r="L16" s="2106"/>
      <c r="M16" s="2109"/>
      <c r="N16" s="369" t="s">
        <v>317</v>
      </c>
      <c r="O16" s="2087"/>
      <c r="P16" s="2087"/>
      <c r="Q16" s="2084"/>
      <c r="R16" s="2086"/>
      <c r="S16" s="2087"/>
      <c r="T16" s="2088"/>
      <c r="U16" s="2114" t="s">
        <v>318</v>
      </c>
      <c r="V16" s="2092">
        <v>110991608</v>
      </c>
      <c r="W16" s="2097"/>
      <c r="X16" s="2099"/>
      <c r="Y16" s="2094"/>
      <c r="Z16" s="2094">
        <v>63164</v>
      </c>
      <c r="AA16" s="2094">
        <v>45607</v>
      </c>
      <c r="AB16" s="2094">
        <v>140912</v>
      </c>
      <c r="AC16" s="2094">
        <v>365607</v>
      </c>
      <c r="AD16" s="2094">
        <v>75612</v>
      </c>
      <c r="AE16" s="2094"/>
      <c r="AF16" s="2094"/>
      <c r="AG16" s="2094"/>
      <c r="AH16" s="2094"/>
      <c r="AI16" s="2094"/>
      <c r="AJ16" s="2094"/>
      <c r="AK16" s="2100"/>
      <c r="AL16" s="2100"/>
      <c r="AM16" s="2101"/>
    </row>
    <row r="17" spans="1:58" s="340" customFormat="1" ht="42" customHeight="1" x14ac:dyDescent="0.2">
      <c r="A17" s="364"/>
      <c r="B17" s="365"/>
      <c r="C17" s="365"/>
      <c r="D17" s="366"/>
      <c r="E17" s="365"/>
      <c r="F17" s="365"/>
      <c r="G17" s="366"/>
      <c r="H17" s="370"/>
      <c r="I17" s="370"/>
      <c r="J17" s="2087"/>
      <c r="K17" s="2087"/>
      <c r="L17" s="2106"/>
      <c r="M17" s="2109"/>
      <c r="N17" s="369" t="s">
        <v>319</v>
      </c>
      <c r="O17" s="2087"/>
      <c r="P17" s="2087"/>
      <c r="Q17" s="2084"/>
      <c r="R17" s="2086"/>
      <c r="S17" s="2087"/>
      <c r="T17" s="2088"/>
      <c r="U17" s="2114"/>
      <c r="V17" s="2092"/>
      <c r="W17" s="2097"/>
      <c r="X17" s="2099"/>
      <c r="Y17" s="2094"/>
      <c r="Z17" s="2094">
        <v>63164</v>
      </c>
      <c r="AA17" s="2094">
        <v>45607</v>
      </c>
      <c r="AB17" s="2094">
        <v>140912</v>
      </c>
      <c r="AC17" s="2094">
        <v>365607</v>
      </c>
      <c r="AD17" s="2094">
        <v>75612</v>
      </c>
      <c r="AE17" s="2094"/>
      <c r="AF17" s="2094"/>
      <c r="AG17" s="2094"/>
      <c r="AH17" s="2094"/>
      <c r="AI17" s="2094"/>
      <c r="AJ17" s="2094"/>
      <c r="AK17" s="2100"/>
      <c r="AL17" s="2100"/>
      <c r="AM17" s="2101"/>
    </row>
    <row r="18" spans="1:58" s="340" customFormat="1" ht="55.5" customHeight="1" x14ac:dyDescent="0.2">
      <c r="A18" s="364"/>
      <c r="B18" s="2113"/>
      <c r="C18" s="2113"/>
      <c r="D18" s="366"/>
      <c r="E18" s="2113"/>
      <c r="F18" s="2113"/>
      <c r="G18" s="366"/>
      <c r="H18" s="2111"/>
      <c r="I18" s="2111"/>
      <c r="J18" s="2087"/>
      <c r="K18" s="2087"/>
      <c r="L18" s="2106"/>
      <c r="M18" s="2109"/>
      <c r="N18" s="369" t="s">
        <v>320</v>
      </c>
      <c r="O18" s="2087"/>
      <c r="P18" s="2087"/>
      <c r="Q18" s="2084"/>
      <c r="R18" s="2086"/>
      <c r="S18" s="2087"/>
      <c r="T18" s="2088"/>
      <c r="U18" s="371" t="s">
        <v>321</v>
      </c>
      <c r="V18" s="372">
        <v>400000000</v>
      </c>
      <c r="W18" s="2097"/>
      <c r="X18" s="2099"/>
      <c r="Y18" s="2094"/>
      <c r="Z18" s="2094">
        <v>63164</v>
      </c>
      <c r="AA18" s="2094">
        <v>45607</v>
      </c>
      <c r="AB18" s="2094">
        <v>140912</v>
      </c>
      <c r="AC18" s="2094">
        <v>365607</v>
      </c>
      <c r="AD18" s="2094">
        <v>75612</v>
      </c>
      <c r="AE18" s="2094"/>
      <c r="AF18" s="2094"/>
      <c r="AG18" s="2094"/>
      <c r="AH18" s="2094"/>
      <c r="AI18" s="2094"/>
      <c r="AJ18" s="2094"/>
      <c r="AK18" s="2100"/>
      <c r="AL18" s="2100"/>
      <c r="AM18" s="2101"/>
    </row>
    <row r="19" spans="1:58" s="340" customFormat="1" ht="52.5" customHeight="1" x14ac:dyDescent="0.2">
      <c r="A19" s="373"/>
      <c r="B19" s="2115"/>
      <c r="C19" s="2115"/>
      <c r="D19" s="374"/>
      <c r="E19" s="2115"/>
      <c r="F19" s="2115"/>
      <c r="G19" s="374"/>
      <c r="H19" s="2116"/>
      <c r="I19" s="2117"/>
      <c r="J19" s="2087"/>
      <c r="K19" s="2087"/>
      <c r="L19" s="2106"/>
      <c r="M19" s="2110"/>
      <c r="N19" s="375"/>
      <c r="O19" s="2087"/>
      <c r="P19" s="2087"/>
      <c r="Q19" s="2085"/>
      <c r="R19" s="2086"/>
      <c r="S19" s="2087"/>
      <c r="T19" s="2088"/>
      <c r="U19" s="376" t="s">
        <v>322</v>
      </c>
      <c r="V19" s="377">
        <v>316758463</v>
      </c>
      <c r="W19" s="2097"/>
      <c r="X19" s="2099"/>
      <c r="Y19" s="2095"/>
      <c r="Z19" s="2095">
        <v>63164</v>
      </c>
      <c r="AA19" s="2095">
        <v>45607</v>
      </c>
      <c r="AB19" s="2095">
        <v>140912</v>
      </c>
      <c r="AC19" s="2095">
        <v>365607</v>
      </c>
      <c r="AD19" s="2095">
        <v>75612</v>
      </c>
      <c r="AE19" s="2095"/>
      <c r="AF19" s="2095"/>
      <c r="AG19" s="2095"/>
      <c r="AH19" s="2095"/>
      <c r="AI19" s="2095"/>
      <c r="AJ19" s="2095"/>
      <c r="AK19" s="2100"/>
      <c r="AL19" s="2100"/>
      <c r="AM19" s="2101"/>
    </row>
    <row r="20" spans="1:58" ht="27" customHeight="1" x14ac:dyDescent="0.2">
      <c r="A20" s="364"/>
      <c r="B20" s="365"/>
      <c r="C20" s="365"/>
      <c r="D20" s="366"/>
      <c r="E20" s="365"/>
      <c r="F20" s="365"/>
      <c r="G20" s="366"/>
      <c r="H20" s="2111"/>
      <c r="I20" s="2112"/>
      <c r="J20" s="2087">
        <v>9</v>
      </c>
      <c r="K20" s="2087" t="s">
        <v>309</v>
      </c>
      <c r="L20" s="2106"/>
      <c r="M20" s="2108">
        <v>5</v>
      </c>
      <c r="N20" s="369"/>
      <c r="O20" s="2087">
        <v>23</v>
      </c>
      <c r="P20" s="2087" t="s">
        <v>323</v>
      </c>
      <c r="Q20" s="2083">
        <v>1</v>
      </c>
      <c r="R20" s="2086">
        <v>627641537</v>
      </c>
      <c r="S20" s="2087" t="s">
        <v>324</v>
      </c>
      <c r="T20" s="2088" t="s">
        <v>325</v>
      </c>
      <c r="U20" s="2114" t="s">
        <v>314</v>
      </c>
      <c r="V20" s="2092">
        <v>534400000</v>
      </c>
      <c r="W20" s="2118">
        <v>23</v>
      </c>
      <c r="X20" s="2119" t="s">
        <v>326</v>
      </c>
      <c r="Y20" s="2093">
        <v>55079</v>
      </c>
      <c r="Z20" s="2093">
        <v>63164</v>
      </c>
      <c r="AA20" s="2093">
        <v>45607</v>
      </c>
      <c r="AB20" s="2093">
        <v>140912</v>
      </c>
      <c r="AC20" s="2093">
        <v>365607</v>
      </c>
      <c r="AD20" s="2093">
        <v>75612</v>
      </c>
      <c r="AE20" s="2093">
        <v>12718</v>
      </c>
      <c r="AF20" s="2093">
        <v>2145</v>
      </c>
      <c r="AG20" s="2093">
        <v>413</v>
      </c>
      <c r="AH20" s="2093"/>
      <c r="AI20" s="2093">
        <v>16897</v>
      </c>
      <c r="AJ20" s="2093">
        <v>75612</v>
      </c>
      <c r="AK20" s="2100">
        <v>42736</v>
      </c>
      <c r="AL20" s="2100">
        <v>43100</v>
      </c>
      <c r="AM20" s="2101" t="s">
        <v>316</v>
      </c>
      <c r="AN20" s="340"/>
      <c r="AO20" s="340"/>
      <c r="AP20" s="340"/>
      <c r="AQ20" s="340"/>
      <c r="AR20" s="340"/>
      <c r="AS20" s="340"/>
      <c r="AT20" s="340"/>
      <c r="AU20" s="340"/>
      <c r="AV20" s="340"/>
      <c r="AW20" s="340"/>
      <c r="AX20" s="340"/>
      <c r="AY20" s="340"/>
      <c r="AZ20" s="340"/>
      <c r="BA20" s="340"/>
      <c r="BB20" s="340"/>
      <c r="BC20" s="340"/>
      <c r="BD20" s="340"/>
      <c r="BE20" s="340"/>
      <c r="BF20" s="340"/>
    </row>
    <row r="21" spans="1:58" ht="27" customHeight="1" x14ac:dyDescent="0.2">
      <c r="A21" s="364"/>
      <c r="B21" s="2113"/>
      <c r="C21" s="2113"/>
      <c r="D21" s="366"/>
      <c r="E21" s="2113"/>
      <c r="F21" s="2113"/>
      <c r="G21" s="366"/>
      <c r="H21" s="2111"/>
      <c r="I21" s="2111"/>
      <c r="J21" s="2087"/>
      <c r="K21" s="2087"/>
      <c r="L21" s="2106"/>
      <c r="M21" s="2109"/>
      <c r="N21" s="369"/>
      <c r="O21" s="2087"/>
      <c r="P21" s="2087"/>
      <c r="Q21" s="2084"/>
      <c r="R21" s="2086"/>
      <c r="S21" s="2087"/>
      <c r="T21" s="2088"/>
      <c r="U21" s="2114"/>
      <c r="V21" s="2092"/>
      <c r="W21" s="2118"/>
      <c r="X21" s="2119"/>
      <c r="Y21" s="2094"/>
      <c r="Z21" s="2094">
        <v>63164</v>
      </c>
      <c r="AA21" s="2094">
        <v>45607</v>
      </c>
      <c r="AB21" s="2094">
        <v>140912</v>
      </c>
      <c r="AC21" s="2094">
        <v>365607</v>
      </c>
      <c r="AD21" s="2094">
        <v>75612</v>
      </c>
      <c r="AE21" s="2094"/>
      <c r="AF21" s="2094"/>
      <c r="AG21" s="2094"/>
      <c r="AH21" s="2094"/>
      <c r="AI21" s="2094"/>
      <c r="AJ21" s="2094"/>
      <c r="AK21" s="2100"/>
      <c r="AL21" s="2100"/>
      <c r="AM21" s="2101"/>
      <c r="AN21" s="340"/>
      <c r="AO21" s="340"/>
      <c r="AP21" s="340"/>
      <c r="AQ21" s="340"/>
      <c r="AR21" s="340"/>
      <c r="AS21" s="340"/>
      <c r="AT21" s="340"/>
      <c r="AU21" s="340"/>
      <c r="AV21" s="340"/>
      <c r="AW21" s="340"/>
      <c r="AX21" s="340"/>
      <c r="AY21" s="340"/>
      <c r="AZ21" s="340"/>
      <c r="BA21" s="340"/>
      <c r="BB21" s="340"/>
      <c r="BC21" s="340"/>
      <c r="BD21" s="340"/>
      <c r="BE21" s="340"/>
      <c r="BF21" s="340"/>
    </row>
    <row r="22" spans="1:58" ht="27" customHeight="1" x14ac:dyDescent="0.2">
      <c r="A22" s="364"/>
      <c r="B22" s="365"/>
      <c r="C22" s="365"/>
      <c r="D22" s="366"/>
      <c r="E22" s="365"/>
      <c r="F22" s="365"/>
      <c r="G22" s="366"/>
      <c r="H22" s="370"/>
      <c r="I22" s="370"/>
      <c r="J22" s="2087"/>
      <c r="K22" s="2087"/>
      <c r="L22" s="2106"/>
      <c r="M22" s="2109"/>
      <c r="N22" s="369"/>
      <c r="O22" s="2087"/>
      <c r="P22" s="2087"/>
      <c r="Q22" s="2084"/>
      <c r="R22" s="2086"/>
      <c r="S22" s="2087"/>
      <c r="T22" s="2088"/>
      <c r="U22" s="2114"/>
      <c r="V22" s="2092"/>
      <c r="W22" s="2118"/>
      <c r="X22" s="2119"/>
      <c r="Y22" s="2094"/>
      <c r="Z22" s="2094">
        <v>63164</v>
      </c>
      <c r="AA22" s="2094">
        <v>45607</v>
      </c>
      <c r="AB22" s="2094">
        <v>140912</v>
      </c>
      <c r="AC22" s="2094">
        <v>365607</v>
      </c>
      <c r="AD22" s="2094">
        <v>75612</v>
      </c>
      <c r="AE22" s="2094"/>
      <c r="AF22" s="2094"/>
      <c r="AG22" s="2094"/>
      <c r="AH22" s="2094"/>
      <c r="AI22" s="2094"/>
      <c r="AJ22" s="2094"/>
      <c r="AK22" s="2100"/>
      <c r="AL22" s="2100"/>
      <c r="AM22" s="2101"/>
      <c r="AN22" s="340"/>
      <c r="AO22" s="340"/>
      <c r="AP22" s="340"/>
      <c r="AQ22" s="340"/>
      <c r="AR22" s="340"/>
      <c r="AS22" s="340"/>
      <c r="AT22" s="340"/>
      <c r="AU22" s="340"/>
      <c r="AV22" s="340"/>
      <c r="AW22" s="340"/>
      <c r="AX22" s="340"/>
      <c r="AY22" s="340"/>
      <c r="AZ22" s="340"/>
      <c r="BA22" s="340"/>
      <c r="BB22" s="340"/>
      <c r="BC22" s="340"/>
      <c r="BD22" s="340"/>
      <c r="BE22" s="340"/>
      <c r="BF22" s="340"/>
    </row>
    <row r="23" spans="1:58" ht="45.75" customHeight="1" x14ac:dyDescent="0.2">
      <c r="A23" s="364"/>
      <c r="B23" s="365"/>
      <c r="C23" s="365"/>
      <c r="D23" s="366"/>
      <c r="E23" s="365"/>
      <c r="F23" s="365"/>
      <c r="G23" s="366"/>
      <c r="H23" s="370"/>
      <c r="I23" s="370"/>
      <c r="J23" s="2087"/>
      <c r="K23" s="2087"/>
      <c r="L23" s="2106"/>
      <c r="M23" s="2109"/>
      <c r="N23" s="369" t="s">
        <v>328</v>
      </c>
      <c r="O23" s="2087"/>
      <c r="P23" s="2087"/>
      <c r="Q23" s="2084"/>
      <c r="R23" s="2086"/>
      <c r="S23" s="2087"/>
      <c r="T23" s="2088"/>
      <c r="U23" s="2114"/>
      <c r="V23" s="2092"/>
      <c r="W23" s="2118"/>
      <c r="X23" s="2119"/>
      <c r="Y23" s="2094"/>
      <c r="Z23" s="2094">
        <v>63164</v>
      </c>
      <c r="AA23" s="2094">
        <v>45607</v>
      </c>
      <c r="AB23" s="2094">
        <v>140912</v>
      </c>
      <c r="AC23" s="2094">
        <v>365607</v>
      </c>
      <c r="AD23" s="2094">
        <v>75612</v>
      </c>
      <c r="AE23" s="2094"/>
      <c r="AF23" s="2094"/>
      <c r="AG23" s="2094"/>
      <c r="AH23" s="2094"/>
      <c r="AI23" s="2094"/>
      <c r="AJ23" s="2094"/>
      <c r="AK23" s="2100"/>
      <c r="AL23" s="2100"/>
      <c r="AM23" s="2101"/>
      <c r="AN23" s="340"/>
      <c r="AO23" s="340"/>
      <c r="AP23" s="340"/>
      <c r="AQ23" s="340"/>
      <c r="AR23" s="340"/>
      <c r="AS23" s="340"/>
      <c r="AT23" s="340"/>
      <c r="AU23" s="340"/>
      <c r="AV23" s="340"/>
      <c r="AW23" s="340"/>
      <c r="AX23" s="340"/>
      <c r="AY23" s="340"/>
      <c r="AZ23" s="340"/>
      <c r="BA23" s="340"/>
      <c r="BB23" s="340"/>
      <c r="BC23" s="340"/>
      <c r="BD23" s="340"/>
      <c r="BE23" s="340"/>
      <c r="BF23" s="340"/>
    </row>
    <row r="24" spans="1:58" ht="36" customHeight="1" x14ac:dyDescent="0.2">
      <c r="A24" s="364"/>
      <c r="B24" s="365"/>
      <c r="C24" s="365"/>
      <c r="D24" s="366"/>
      <c r="E24" s="365"/>
      <c r="F24" s="365"/>
      <c r="G24" s="366"/>
      <c r="H24" s="370"/>
      <c r="I24" s="370"/>
      <c r="J24" s="2087"/>
      <c r="K24" s="2087"/>
      <c r="L24" s="2106"/>
      <c r="M24" s="2109"/>
      <c r="N24" s="369" t="s">
        <v>329</v>
      </c>
      <c r="O24" s="2087"/>
      <c r="P24" s="2087"/>
      <c r="Q24" s="2084"/>
      <c r="R24" s="2086"/>
      <c r="S24" s="2087"/>
      <c r="T24" s="2087" t="s">
        <v>330</v>
      </c>
      <c r="U24" s="2114"/>
      <c r="V24" s="2092">
        <v>93241537</v>
      </c>
      <c r="W24" s="2118"/>
      <c r="X24" s="2120" t="s">
        <v>327</v>
      </c>
      <c r="Y24" s="2094"/>
      <c r="Z24" s="2094">
        <v>63164</v>
      </c>
      <c r="AA24" s="2094">
        <v>45607</v>
      </c>
      <c r="AB24" s="2094">
        <v>140912</v>
      </c>
      <c r="AC24" s="2094">
        <v>365607</v>
      </c>
      <c r="AD24" s="2094">
        <v>75612</v>
      </c>
      <c r="AE24" s="2094"/>
      <c r="AF24" s="2094"/>
      <c r="AG24" s="2094"/>
      <c r="AH24" s="2094"/>
      <c r="AI24" s="2094"/>
      <c r="AJ24" s="2094"/>
      <c r="AK24" s="2100"/>
      <c r="AL24" s="2100"/>
      <c r="AM24" s="2101"/>
      <c r="AN24" s="340"/>
      <c r="AO24" s="340"/>
      <c r="AP24" s="340"/>
      <c r="AQ24" s="340"/>
      <c r="AR24" s="340"/>
      <c r="AS24" s="340"/>
      <c r="AT24" s="340"/>
      <c r="AU24" s="340"/>
      <c r="AV24" s="340"/>
      <c r="AW24" s="340"/>
      <c r="AX24" s="340"/>
      <c r="AY24" s="340"/>
      <c r="AZ24" s="340"/>
      <c r="BA24" s="340"/>
      <c r="BB24" s="340"/>
      <c r="BC24" s="340"/>
      <c r="BD24" s="340"/>
      <c r="BE24" s="340"/>
      <c r="BF24" s="340"/>
    </row>
    <row r="25" spans="1:58" ht="27" customHeight="1" x14ac:dyDescent="0.2">
      <c r="A25" s="364"/>
      <c r="B25" s="365"/>
      <c r="C25" s="365"/>
      <c r="D25" s="366"/>
      <c r="E25" s="365"/>
      <c r="F25" s="365"/>
      <c r="G25" s="366"/>
      <c r="H25" s="370"/>
      <c r="I25" s="370"/>
      <c r="J25" s="2087"/>
      <c r="K25" s="2087"/>
      <c r="L25" s="2106"/>
      <c r="M25" s="2109"/>
      <c r="N25" s="369"/>
      <c r="O25" s="2087"/>
      <c r="P25" s="2087"/>
      <c r="Q25" s="2084"/>
      <c r="R25" s="2086"/>
      <c r="S25" s="2087"/>
      <c r="T25" s="2087"/>
      <c r="U25" s="2114"/>
      <c r="V25" s="2092"/>
      <c r="W25" s="2118"/>
      <c r="X25" s="2120"/>
      <c r="Y25" s="2094"/>
      <c r="Z25" s="2094">
        <v>63164</v>
      </c>
      <c r="AA25" s="2094">
        <v>45607</v>
      </c>
      <c r="AB25" s="2094">
        <v>140912</v>
      </c>
      <c r="AC25" s="2094">
        <v>365607</v>
      </c>
      <c r="AD25" s="2094">
        <v>75612</v>
      </c>
      <c r="AE25" s="2094"/>
      <c r="AF25" s="2094"/>
      <c r="AG25" s="2094"/>
      <c r="AH25" s="2094"/>
      <c r="AI25" s="2094"/>
      <c r="AJ25" s="2094"/>
      <c r="AK25" s="2100"/>
      <c r="AL25" s="2100"/>
      <c r="AM25" s="2101"/>
      <c r="AN25" s="340"/>
      <c r="AO25" s="340"/>
      <c r="AP25" s="340"/>
      <c r="AQ25" s="340"/>
      <c r="AR25" s="340"/>
      <c r="AS25" s="340"/>
      <c r="AT25" s="340"/>
      <c r="AU25" s="340"/>
      <c r="AV25" s="340"/>
      <c r="AW25" s="340"/>
      <c r="AX25" s="340"/>
      <c r="AY25" s="340"/>
      <c r="AZ25" s="340"/>
      <c r="BA25" s="340"/>
      <c r="BB25" s="340"/>
      <c r="BC25" s="340"/>
      <c r="BD25" s="340"/>
      <c r="BE25" s="340"/>
      <c r="BF25" s="340"/>
    </row>
    <row r="26" spans="1:58" ht="27" customHeight="1" x14ac:dyDescent="0.2">
      <c r="A26" s="364"/>
      <c r="B26" s="2113"/>
      <c r="C26" s="2113"/>
      <c r="D26" s="366"/>
      <c r="E26" s="2113"/>
      <c r="F26" s="2113"/>
      <c r="G26" s="366"/>
      <c r="H26" s="2111"/>
      <c r="I26" s="2111"/>
      <c r="J26" s="2087"/>
      <c r="K26" s="2087"/>
      <c r="L26" s="2106"/>
      <c r="M26" s="2109"/>
      <c r="N26" s="369"/>
      <c r="O26" s="2087"/>
      <c r="P26" s="2087"/>
      <c r="Q26" s="2084"/>
      <c r="R26" s="2086"/>
      <c r="S26" s="2087"/>
      <c r="T26" s="2087"/>
      <c r="U26" s="2114"/>
      <c r="V26" s="2092"/>
      <c r="W26" s="2118"/>
      <c r="X26" s="2120"/>
      <c r="Y26" s="2094"/>
      <c r="Z26" s="2094">
        <v>63164</v>
      </c>
      <c r="AA26" s="2094">
        <v>45607</v>
      </c>
      <c r="AB26" s="2094">
        <v>140912</v>
      </c>
      <c r="AC26" s="2094">
        <v>365607</v>
      </c>
      <c r="AD26" s="2094">
        <v>75612</v>
      </c>
      <c r="AE26" s="2094"/>
      <c r="AF26" s="2094"/>
      <c r="AG26" s="2094"/>
      <c r="AH26" s="2094"/>
      <c r="AI26" s="2094"/>
      <c r="AJ26" s="2094"/>
      <c r="AK26" s="2100"/>
      <c r="AL26" s="2100"/>
      <c r="AM26" s="2101"/>
      <c r="AN26" s="340"/>
      <c r="AO26" s="340"/>
      <c r="AP26" s="340"/>
      <c r="AQ26" s="340"/>
      <c r="AR26" s="340"/>
      <c r="AS26" s="340"/>
      <c r="AT26" s="340"/>
      <c r="AU26" s="340"/>
      <c r="AV26" s="340"/>
      <c r="AW26" s="340"/>
      <c r="AX26" s="340"/>
      <c r="AY26" s="340"/>
      <c r="AZ26" s="340"/>
      <c r="BA26" s="340"/>
      <c r="BB26" s="340"/>
      <c r="BC26" s="340"/>
      <c r="BD26" s="340"/>
      <c r="BE26" s="340"/>
      <c r="BF26" s="340"/>
    </row>
    <row r="27" spans="1:58" ht="27" customHeight="1" x14ac:dyDescent="0.2">
      <c r="A27" s="373"/>
      <c r="B27" s="2115"/>
      <c r="C27" s="2115"/>
      <c r="D27" s="374"/>
      <c r="E27" s="2115"/>
      <c r="F27" s="2115"/>
      <c r="G27" s="374"/>
      <c r="H27" s="2116"/>
      <c r="I27" s="2117"/>
      <c r="J27" s="2087"/>
      <c r="K27" s="2087"/>
      <c r="L27" s="2107"/>
      <c r="M27" s="2110"/>
      <c r="N27" s="375"/>
      <c r="O27" s="2087"/>
      <c r="P27" s="2087"/>
      <c r="Q27" s="2085"/>
      <c r="R27" s="2086"/>
      <c r="S27" s="2087"/>
      <c r="T27" s="2087"/>
      <c r="U27" s="2114"/>
      <c r="V27" s="2092"/>
      <c r="W27" s="2118"/>
      <c r="X27" s="2120"/>
      <c r="Y27" s="2095"/>
      <c r="Z27" s="2095">
        <v>63164</v>
      </c>
      <c r="AA27" s="2095">
        <v>45607</v>
      </c>
      <c r="AB27" s="2095">
        <v>140912</v>
      </c>
      <c r="AC27" s="2095">
        <v>365607</v>
      </c>
      <c r="AD27" s="2095">
        <v>75612</v>
      </c>
      <c r="AE27" s="2095"/>
      <c r="AF27" s="2095"/>
      <c r="AG27" s="2095"/>
      <c r="AH27" s="2095"/>
      <c r="AI27" s="2095"/>
      <c r="AJ27" s="2095"/>
      <c r="AK27" s="2100"/>
      <c r="AL27" s="2100"/>
      <c r="AM27" s="2101"/>
      <c r="AN27" s="340"/>
      <c r="AO27" s="340"/>
      <c r="AP27" s="340"/>
      <c r="AQ27" s="340"/>
      <c r="AR27" s="340"/>
      <c r="AS27" s="340"/>
      <c r="AT27" s="340"/>
      <c r="AU27" s="340"/>
      <c r="AV27" s="340"/>
      <c r="AW27" s="340"/>
      <c r="AX27" s="340"/>
      <c r="AY27" s="340"/>
      <c r="AZ27" s="340"/>
      <c r="BA27" s="340"/>
      <c r="BB27" s="340"/>
      <c r="BC27" s="340"/>
      <c r="BD27" s="340"/>
      <c r="BE27" s="340"/>
      <c r="BF27" s="340"/>
    </row>
    <row r="28" spans="1:58" ht="27" customHeight="1" x14ac:dyDescent="0.2">
      <c r="A28" s="364"/>
      <c r="B28" s="365"/>
      <c r="C28" s="365"/>
      <c r="D28" s="366"/>
      <c r="E28" s="365"/>
      <c r="F28" s="365"/>
      <c r="G28" s="366"/>
      <c r="H28" s="2111"/>
      <c r="I28" s="2112"/>
      <c r="J28" s="2087">
        <v>10</v>
      </c>
      <c r="K28" s="2087" t="s">
        <v>331</v>
      </c>
      <c r="L28" s="2087" t="s">
        <v>332</v>
      </c>
      <c r="M28" s="2108">
        <v>5</v>
      </c>
      <c r="N28" s="2105" t="s">
        <v>333</v>
      </c>
      <c r="O28" s="2087">
        <v>24</v>
      </c>
      <c r="P28" s="2087" t="s">
        <v>334</v>
      </c>
      <c r="Q28" s="2083">
        <v>1</v>
      </c>
      <c r="R28" s="2086">
        <v>49717418</v>
      </c>
      <c r="S28" s="2087" t="s">
        <v>335</v>
      </c>
      <c r="T28" s="2088" t="s">
        <v>336</v>
      </c>
      <c r="U28" s="2106" t="s">
        <v>337</v>
      </c>
      <c r="V28" s="2124">
        <f>+R28</f>
        <v>49717418</v>
      </c>
      <c r="W28" s="2097">
        <v>24</v>
      </c>
      <c r="X28" s="2109" t="s">
        <v>326</v>
      </c>
      <c r="Y28" s="2121">
        <v>45983</v>
      </c>
      <c r="Z28" s="2121">
        <v>90390</v>
      </c>
      <c r="AA28" s="2121">
        <v>46444</v>
      </c>
      <c r="AB28" s="2121">
        <v>49316</v>
      </c>
      <c r="AC28" s="2121">
        <v>44436</v>
      </c>
      <c r="AD28" s="2121">
        <v>81384</v>
      </c>
      <c r="AE28" s="2121">
        <f>+'[2]P. 100'!$L$8</f>
        <v>12278</v>
      </c>
      <c r="AF28" s="2121">
        <f>+'[2]P. 100'!$K$8</f>
        <v>2145</v>
      </c>
      <c r="AG28" s="2121">
        <v>0</v>
      </c>
      <c r="AH28" s="2121">
        <v>0</v>
      </c>
      <c r="AI28" s="2121">
        <v>0</v>
      </c>
      <c r="AJ28" s="2121">
        <f>+AD28</f>
        <v>81384</v>
      </c>
      <c r="AK28" s="2100">
        <v>42736</v>
      </c>
      <c r="AL28" s="2100">
        <v>43100</v>
      </c>
      <c r="AM28" s="2101" t="s">
        <v>316</v>
      </c>
      <c r="AN28" s="340"/>
      <c r="AO28" s="340"/>
      <c r="AP28" s="340"/>
      <c r="AQ28" s="340"/>
      <c r="AR28" s="340"/>
      <c r="AS28" s="340"/>
      <c r="AT28" s="340"/>
      <c r="AU28" s="340"/>
      <c r="AV28" s="340"/>
      <c r="AW28" s="340"/>
      <c r="AX28" s="340"/>
      <c r="AY28" s="340"/>
      <c r="AZ28" s="340"/>
      <c r="BA28" s="340"/>
      <c r="BB28" s="340"/>
      <c r="BC28" s="340"/>
      <c r="BD28" s="340"/>
      <c r="BE28" s="340"/>
      <c r="BF28" s="340"/>
    </row>
    <row r="29" spans="1:58" ht="27" customHeight="1" x14ac:dyDescent="0.2">
      <c r="A29" s="364"/>
      <c r="B29" s="2113"/>
      <c r="C29" s="2113"/>
      <c r="D29" s="366"/>
      <c r="E29" s="2113"/>
      <c r="F29" s="2113"/>
      <c r="G29" s="366"/>
      <c r="H29" s="2111"/>
      <c r="I29" s="2111"/>
      <c r="J29" s="2087"/>
      <c r="K29" s="2087"/>
      <c r="L29" s="2087"/>
      <c r="M29" s="2109"/>
      <c r="N29" s="2106"/>
      <c r="O29" s="2087"/>
      <c r="P29" s="2087"/>
      <c r="Q29" s="2084"/>
      <c r="R29" s="2086"/>
      <c r="S29" s="2087"/>
      <c r="T29" s="2088"/>
      <c r="U29" s="2106"/>
      <c r="V29" s="2124"/>
      <c r="W29" s="2097"/>
      <c r="X29" s="2109"/>
      <c r="Y29" s="2122"/>
      <c r="Z29" s="2122">
        <v>90390</v>
      </c>
      <c r="AA29" s="2122">
        <v>46444</v>
      </c>
      <c r="AB29" s="2122">
        <v>49316</v>
      </c>
      <c r="AC29" s="2122">
        <v>44436</v>
      </c>
      <c r="AD29" s="2122">
        <v>81384</v>
      </c>
      <c r="AE29" s="2122">
        <v>2145</v>
      </c>
      <c r="AF29" s="2122"/>
      <c r="AG29" s="2122"/>
      <c r="AH29" s="2122"/>
      <c r="AI29" s="2122"/>
      <c r="AJ29" s="2122"/>
      <c r="AK29" s="2100"/>
      <c r="AL29" s="2100"/>
      <c r="AM29" s="2101"/>
      <c r="AN29" s="340"/>
      <c r="AO29" s="340"/>
      <c r="AP29" s="340"/>
      <c r="AQ29" s="340"/>
      <c r="AR29" s="340"/>
      <c r="AS29" s="340"/>
      <c r="AT29" s="340"/>
      <c r="AU29" s="340"/>
      <c r="AV29" s="340"/>
      <c r="AW29" s="340"/>
      <c r="AX29" s="340"/>
      <c r="AY29" s="340"/>
      <c r="AZ29" s="340"/>
      <c r="BA29" s="340"/>
      <c r="BB29" s="340"/>
      <c r="BC29" s="340"/>
      <c r="BD29" s="340"/>
      <c r="BE29" s="340"/>
      <c r="BF29" s="340"/>
    </row>
    <row r="30" spans="1:58" ht="27" customHeight="1" x14ac:dyDescent="0.2">
      <c r="A30" s="364"/>
      <c r="B30" s="365"/>
      <c r="C30" s="365"/>
      <c r="D30" s="366"/>
      <c r="E30" s="365"/>
      <c r="F30" s="365"/>
      <c r="G30" s="366"/>
      <c r="H30" s="370"/>
      <c r="I30" s="370"/>
      <c r="J30" s="2087"/>
      <c r="K30" s="2087"/>
      <c r="L30" s="2087"/>
      <c r="M30" s="2109"/>
      <c r="N30" s="2106"/>
      <c r="O30" s="2087"/>
      <c r="P30" s="2087"/>
      <c r="Q30" s="2084"/>
      <c r="R30" s="2086"/>
      <c r="S30" s="2087"/>
      <c r="T30" s="2088"/>
      <c r="U30" s="2106"/>
      <c r="V30" s="2124"/>
      <c r="W30" s="2097"/>
      <c r="X30" s="2109"/>
      <c r="Y30" s="2122"/>
      <c r="Z30" s="2122">
        <v>90390</v>
      </c>
      <c r="AA30" s="2122">
        <v>46444</v>
      </c>
      <c r="AB30" s="2122">
        <v>49316</v>
      </c>
      <c r="AC30" s="2122">
        <v>44436</v>
      </c>
      <c r="AD30" s="2122">
        <v>81384</v>
      </c>
      <c r="AE30" s="2122">
        <v>2145</v>
      </c>
      <c r="AF30" s="2122"/>
      <c r="AG30" s="2122"/>
      <c r="AH30" s="2122"/>
      <c r="AI30" s="2122"/>
      <c r="AJ30" s="2122"/>
      <c r="AK30" s="2100"/>
      <c r="AL30" s="2100"/>
      <c r="AM30" s="2101"/>
      <c r="AN30" s="340"/>
      <c r="AO30" s="340"/>
      <c r="AP30" s="340"/>
      <c r="AQ30" s="340"/>
      <c r="AR30" s="340"/>
      <c r="AS30" s="340"/>
      <c r="AT30" s="340"/>
      <c r="AU30" s="340"/>
      <c r="AV30" s="340"/>
      <c r="AW30" s="340"/>
      <c r="AX30" s="340"/>
      <c r="AY30" s="340"/>
      <c r="AZ30" s="340"/>
      <c r="BA30" s="340"/>
      <c r="BB30" s="340"/>
      <c r="BC30" s="340"/>
      <c r="BD30" s="340"/>
      <c r="BE30" s="340"/>
      <c r="BF30" s="340"/>
    </row>
    <row r="31" spans="1:58" ht="27" customHeight="1" x14ac:dyDescent="0.2">
      <c r="A31" s="364"/>
      <c r="B31" s="365"/>
      <c r="C31" s="365"/>
      <c r="D31" s="366"/>
      <c r="E31" s="365"/>
      <c r="F31" s="365"/>
      <c r="G31" s="366"/>
      <c r="H31" s="370"/>
      <c r="I31" s="370"/>
      <c r="J31" s="2087"/>
      <c r="K31" s="2087"/>
      <c r="L31" s="2087"/>
      <c r="M31" s="2109"/>
      <c r="N31" s="2106"/>
      <c r="O31" s="2087"/>
      <c r="P31" s="2087"/>
      <c r="Q31" s="2084"/>
      <c r="R31" s="2086"/>
      <c r="S31" s="2087"/>
      <c r="T31" s="2088"/>
      <c r="U31" s="2106"/>
      <c r="V31" s="2124"/>
      <c r="W31" s="2097"/>
      <c r="X31" s="2109"/>
      <c r="Y31" s="2122"/>
      <c r="Z31" s="2122">
        <v>90390</v>
      </c>
      <c r="AA31" s="2122">
        <v>46444</v>
      </c>
      <c r="AB31" s="2122">
        <v>49316</v>
      </c>
      <c r="AC31" s="2122">
        <v>44436</v>
      </c>
      <c r="AD31" s="2122">
        <v>81384</v>
      </c>
      <c r="AE31" s="2122">
        <v>2145</v>
      </c>
      <c r="AF31" s="2122"/>
      <c r="AG31" s="2122"/>
      <c r="AH31" s="2122"/>
      <c r="AI31" s="2122"/>
      <c r="AJ31" s="2122"/>
      <c r="AK31" s="2100"/>
      <c r="AL31" s="2100"/>
      <c r="AM31" s="2101"/>
      <c r="AN31" s="340"/>
      <c r="AO31" s="340"/>
      <c r="AP31" s="340"/>
      <c r="AQ31" s="340"/>
      <c r="AR31" s="340"/>
      <c r="AS31" s="340"/>
      <c r="AT31" s="340"/>
      <c r="AU31" s="340"/>
      <c r="AV31" s="340"/>
      <c r="AW31" s="340"/>
      <c r="AX31" s="340"/>
      <c r="AY31" s="340"/>
      <c r="AZ31" s="340"/>
      <c r="BA31" s="340"/>
      <c r="BB31" s="340"/>
      <c r="BC31" s="340"/>
      <c r="BD31" s="340"/>
      <c r="BE31" s="340"/>
      <c r="BF31" s="340"/>
    </row>
    <row r="32" spans="1:58" ht="27" customHeight="1" x14ac:dyDescent="0.2">
      <c r="A32" s="364"/>
      <c r="B32" s="365"/>
      <c r="C32" s="365"/>
      <c r="D32" s="366"/>
      <c r="E32" s="365"/>
      <c r="F32" s="365"/>
      <c r="G32" s="366"/>
      <c r="H32" s="370"/>
      <c r="I32" s="370"/>
      <c r="J32" s="2087"/>
      <c r="K32" s="2087"/>
      <c r="L32" s="2087"/>
      <c r="M32" s="2109"/>
      <c r="N32" s="2106"/>
      <c r="O32" s="2087"/>
      <c r="P32" s="2087"/>
      <c r="Q32" s="2084"/>
      <c r="R32" s="2086"/>
      <c r="S32" s="2087"/>
      <c r="T32" s="2087" t="s">
        <v>338</v>
      </c>
      <c r="U32" s="2106"/>
      <c r="V32" s="2124"/>
      <c r="W32" s="2097"/>
      <c r="X32" s="2109"/>
      <c r="Y32" s="2122"/>
      <c r="Z32" s="2122">
        <v>90390</v>
      </c>
      <c r="AA32" s="2122">
        <v>46444</v>
      </c>
      <c r="AB32" s="2122">
        <v>49316</v>
      </c>
      <c r="AC32" s="2122">
        <v>44436</v>
      </c>
      <c r="AD32" s="2122">
        <v>81384</v>
      </c>
      <c r="AE32" s="2122">
        <v>2145</v>
      </c>
      <c r="AF32" s="2122"/>
      <c r="AG32" s="2122"/>
      <c r="AH32" s="2122"/>
      <c r="AI32" s="2122"/>
      <c r="AJ32" s="2122"/>
      <c r="AK32" s="2100"/>
      <c r="AL32" s="2100"/>
      <c r="AM32" s="2101"/>
      <c r="AN32" s="340"/>
      <c r="AO32" s="340"/>
      <c r="AP32" s="340"/>
      <c r="AQ32" s="340"/>
      <c r="AR32" s="340"/>
      <c r="AS32" s="340"/>
      <c r="AT32" s="340"/>
      <c r="AU32" s="340"/>
      <c r="AV32" s="340"/>
      <c r="AW32" s="340"/>
      <c r="AX32" s="340"/>
      <c r="AY32" s="340"/>
      <c r="AZ32" s="340"/>
      <c r="BA32" s="340"/>
      <c r="BB32" s="340"/>
      <c r="BC32" s="340"/>
      <c r="BD32" s="340"/>
      <c r="BE32" s="340"/>
      <c r="BF32" s="340"/>
    </row>
    <row r="33" spans="1:58" ht="27" customHeight="1" x14ac:dyDescent="0.2">
      <c r="A33" s="364"/>
      <c r="B33" s="365"/>
      <c r="C33" s="365"/>
      <c r="D33" s="366"/>
      <c r="E33" s="365"/>
      <c r="F33" s="365"/>
      <c r="G33" s="366"/>
      <c r="H33" s="370"/>
      <c r="I33" s="370"/>
      <c r="J33" s="2087"/>
      <c r="K33" s="2087"/>
      <c r="L33" s="2087"/>
      <c r="M33" s="2109"/>
      <c r="N33" s="2106"/>
      <c r="O33" s="2087"/>
      <c r="P33" s="2087"/>
      <c r="Q33" s="2084"/>
      <c r="R33" s="2086"/>
      <c r="S33" s="2087"/>
      <c r="T33" s="2087"/>
      <c r="U33" s="2106"/>
      <c r="V33" s="2124"/>
      <c r="W33" s="2097"/>
      <c r="X33" s="2109"/>
      <c r="Y33" s="2122"/>
      <c r="Z33" s="2122">
        <v>90390</v>
      </c>
      <c r="AA33" s="2122">
        <v>46444</v>
      </c>
      <c r="AB33" s="2122">
        <v>49316</v>
      </c>
      <c r="AC33" s="2122">
        <v>44436</v>
      </c>
      <c r="AD33" s="2122">
        <v>81384</v>
      </c>
      <c r="AE33" s="2122">
        <v>2145</v>
      </c>
      <c r="AF33" s="2122"/>
      <c r="AG33" s="2122"/>
      <c r="AH33" s="2122"/>
      <c r="AI33" s="2122"/>
      <c r="AJ33" s="2122"/>
      <c r="AK33" s="2100"/>
      <c r="AL33" s="2100"/>
      <c r="AM33" s="2101"/>
      <c r="AN33" s="340"/>
      <c r="AO33" s="340"/>
      <c r="AP33" s="340"/>
      <c r="AQ33" s="340"/>
      <c r="AR33" s="340"/>
      <c r="AS33" s="340"/>
      <c r="AT33" s="340"/>
      <c r="AU33" s="340"/>
      <c r="AV33" s="340"/>
      <c r="AW33" s="340"/>
      <c r="AX33" s="340"/>
      <c r="AY33" s="340"/>
      <c r="AZ33" s="340"/>
      <c r="BA33" s="340"/>
      <c r="BB33" s="340"/>
      <c r="BC33" s="340"/>
      <c r="BD33" s="340"/>
      <c r="BE33" s="340"/>
      <c r="BF33" s="340"/>
    </row>
    <row r="34" spans="1:58" ht="27" customHeight="1" x14ac:dyDescent="0.2">
      <c r="A34" s="364"/>
      <c r="B34" s="2113"/>
      <c r="C34" s="2113"/>
      <c r="D34" s="366"/>
      <c r="E34" s="2113"/>
      <c r="F34" s="2113"/>
      <c r="G34" s="366"/>
      <c r="H34" s="2111"/>
      <c r="I34" s="2112"/>
      <c r="J34" s="2087"/>
      <c r="K34" s="2087"/>
      <c r="L34" s="2087"/>
      <c r="M34" s="2109"/>
      <c r="N34" s="2106"/>
      <c r="O34" s="2087"/>
      <c r="P34" s="2087"/>
      <c r="Q34" s="2084"/>
      <c r="R34" s="2086"/>
      <c r="S34" s="2087"/>
      <c r="T34" s="2087"/>
      <c r="U34" s="2106"/>
      <c r="V34" s="2124"/>
      <c r="W34" s="2097"/>
      <c r="X34" s="2109"/>
      <c r="Y34" s="2122"/>
      <c r="Z34" s="2122">
        <v>90390</v>
      </c>
      <c r="AA34" s="2122">
        <v>46444</v>
      </c>
      <c r="AB34" s="2122">
        <v>49316</v>
      </c>
      <c r="AC34" s="2122">
        <v>44436</v>
      </c>
      <c r="AD34" s="2122">
        <v>81384</v>
      </c>
      <c r="AE34" s="2122">
        <v>2145</v>
      </c>
      <c r="AF34" s="2122"/>
      <c r="AG34" s="2122"/>
      <c r="AH34" s="2122"/>
      <c r="AI34" s="2122"/>
      <c r="AJ34" s="2122"/>
      <c r="AK34" s="2100"/>
      <c r="AL34" s="2100"/>
      <c r="AM34" s="2101"/>
      <c r="AN34" s="340"/>
      <c r="AO34" s="340"/>
      <c r="AP34" s="340"/>
      <c r="AQ34" s="340"/>
      <c r="AR34" s="340"/>
      <c r="AS34" s="340"/>
      <c r="AT34" s="340"/>
      <c r="AU34" s="340"/>
      <c r="AV34" s="340"/>
      <c r="AW34" s="340"/>
      <c r="AX34" s="340"/>
      <c r="AY34" s="340"/>
      <c r="AZ34" s="340"/>
      <c r="BA34" s="340"/>
      <c r="BB34" s="340"/>
      <c r="BC34" s="340"/>
      <c r="BD34" s="340"/>
      <c r="BE34" s="340"/>
      <c r="BF34" s="340"/>
    </row>
    <row r="35" spans="1:58" ht="27" customHeight="1" x14ac:dyDescent="0.2">
      <c r="A35" s="373"/>
      <c r="B35" s="2115"/>
      <c r="C35" s="2115"/>
      <c r="D35" s="374"/>
      <c r="E35" s="2115"/>
      <c r="F35" s="2115"/>
      <c r="G35" s="374"/>
      <c r="H35" s="2116"/>
      <c r="I35" s="2117"/>
      <c r="J35" s="2087"/>
      <c r="K35" s="2087"/>
      <c r="L35" s="2087"/>
      <c r="M35" s="2110"/>
      <c r="N35" s="2107"/>
      <c r="O35" s="2087"/>
      <c r="P35" s="2087"/>
      <c r="Q35" s="2085"/>
      <c r="R35" s="2086"/>
      <c r="S35" s="2087"/>
      <c r="T35" s="2087"/>
      <c r="U35" s="2106"/>
      <c r="V35" s="2124"/>
      <c r="W35" s="2097"/>
      <c r="X35" s="2109"/>
      <c r="Y35" s="2123"/>
      <c r="Z35" s="2123">
        <v>90390</v>
      </c>
      <c r="AA35" s="2123">
        <v>46444</v>
      </c>
      <c r="AB35" s="2123">
        <v>49316</v>
      </c>
      <c r="AC35" s="2123">
        <v>44436</v>
      </c>
      <c r="AD35" s="2123">
        <v>81384</v>
      </c>
      <c r="AE35" s="2123">
        <v>2145</v>
      </c>
      <c r="AF35" s="2123"/>
      <c r="AG35" s="2123"/>
      <c r="AH35" s="2123"/>
      <c r="AI35" s="2123"/>
      <c r="AJ35" s="2123"/>
      <c r="AK35" s="2100"/>
      <c r="AL35" s="2100"/>
      <c r="AM35" s="2101"/>
      <c r="AN35" s="340"/>
      <c r="AO35" s="340"/>
      <c r="AP35" s="340"/>
      <c r="AQ35" s="340"/>
      <c r="AR35" s="340"/>
      <c r="AS35" s="340"/>
      <c r="AT35" s="340"/>
      <c r="AU35" s="340"/>
      <c r="AV35" s="340"/>
      <c r="AW35" s="340"/>
      <c r="AX35" s="340"/>
      <c r="AY35" s="340"/>
      <c r="AZ35" s="340"/>
      <c r="BA35" s="340"/>
      <c r="BB35" s="340"/>
      <c r="BC35" s="340"/>
      <c r="BD35" s="340"/>
      <c r="BE35" s="340"/>
      <c r="BF35" s="340"/>
    </row>
    <row r="36" spans="1:58" ht="90" x14ac:dyDescent="0.2">
      <c r="A36" s="364"/>
      <c r="B36" s="365"/>
      <c r="C36" s="365"/>
      <c r="D36" s="366"/>
      <c r="E36" s="365"/>
      <c r="F36" s="365"/>
      <c r="G36" s="366"/>
      <c r="H36" s="2111"/>
      <c r="I36" s="2112"/>
      <c r="J36" s="2087">
        <v>11</v>
      </c>
      <c r="K36" s="2087" t="s">
        <v>339</v>
      </c>
      <c r="L36" s="2087" t="s">
        <v>340</v>
      </c>
      <c r="M36" s="2108">
        <v>1</v>
      </c>
      <c r="N36" s="2087" t="s">
        <v>341</v>
      </c>
      <c r="O36" s="2087">
        <v>25</v>
      </c>
      <c r="P36" s="2087" t="s">
        <v>342</v>
      </c>
      <c r="Q36" s="2083">
        <v>1</v>
      </c>
      <c r="R36" s="2086">
        <v>324800000</v>
      </c>
      <c r="S36" s="2087" t="s">
        <v>343</v>
      </c>
      <c r="T36" s="379" t="s">
        <v>344</v>
      </c>
      <c r="U36" s="2087" t="s">
        <v>345</v>
      </c>
      <c r="V36" s="2128">
        <f>+R36</f>
        <v>324800000</v>
      </c>
      <c r="W36" s="2129">
        <v>25</v>
      </c>
      <c r="X36" s="2120" t="str">
        <f>+X28</f>
        <v>SGP AGUA POTABLE SSF 27</v>
      </c>
      <c r="Y36" s="2125">
        <v>45.982999999999997</v>
      </c>
      <c r="Z36" s="2125">
        <v>90.39</v>
      </c>
      <c r="AA36" s="2125">
        <v>46.444000000000003</v>
      </c>
      <c r="AB36" s="2125">
        <v>49.316000000000003</v>
      </c>
      <c r="AC36" s="2125">
        <v>44.436</v>
      </c>
      <c r="AD36" s="2125">
        <v>81.384</v>
      </c>
      <c r="AE36" s="2125">
        <f>+'[3]P. 100'!$L$8</f>
        <v>12.278</v>
      </c>
      <c r="AF36" s="2125">
        <f>+'[3]P. 100'!$K$8</f>
        <v>2.145</v>
      </c>
      <c r="AG36" s="2125"/>
      <c r="AH36" s="2125"/>
      <c r="AI36" s="2125"/>
      <c r="AJ36" s="2125">
        <f>+AD36</f>
        <v>81.384</v>
      </c>
      <c r="AK36" s="2100">
        <v>42736</v>
      </c>
      <c r="AL36" s="2100">
        <v>43100</v>
      </c>
      <c r="AM36" s="2101" t="s">
        <v>316</v>
      </c>
      <c r="AN36" s="340"/>
      <c r="AO36" s="340"/>
      <c r="AP36" s="340"/>
      <c r="AQ36" s="340"/>
      <c r="AR36" s="340"/>
      <c r="AS36" s="340"/>
      <c r="AT36" s="340"/>
      <c r="AU36" s="340"/>
      <c r="AV36" s="340"/>
      <c r="AW36" s="340"/>
      <c r="AX36" s="340"/>
      <c r="AY36" s="340"/>
      <c r="AZ36" s="340"/>
      <c r="BA36" s="340"/>
      <c r="BB36" s="340"/>
      <c r="BC36" s="340"/>
      <c r="BD36" s="340"/>
      <c r="BE36" s="340"/>
      <c r="BF36" s="340"/>
    </row>
    <row r="37" spans="1:58" ht="150" x14ac:dyDescent="0.2">
      <c r="A37" s="364"/>
      <c r="B37" s="2113"/>
      <c r="C37" s="2113"/>
      <c r="D37" s="366"/>
      <c r="E37" s="2113"/>
      <c r="F37" s="2113"/>
      <c r="G37" s="366"/>
      <c r="H37" s="2111"/>
      <c r="I37" s="2111"/>
      <c r="J37" s="2087"/>
      <c r="K37" s="2087"/>
      <c r="L37" s="2087"/>
      <c r="M37" s="2109"/>
      <c r="N37" s="2087"/>
      <c r="O37" s="2087"/>
      <c r="P37" s="2087"/>
      <c r="Q37" s="2084"/>
      <c r="R37" s="2086"/>
      <c r="S37" s="2087"/>
      <c r="T37" s="380" t="s">
        <v>346</v>
      </c>
      <c r="U37" s="2087"/>
      <c r="V37" s="2128"/>
      <c r="W37" s="2129"/>
      <c r="X37" s="2120"/>
      <c r="Y37" s="2126"/>
      <c r="Z37" s="2126">
        <v>90.39</v>
      </c>
      <c r="AA37" s="2126">
        <v>46.444000000000003</v>
      </c>
      <c r="AB37" s="2126">
        <v>49.316000000000003</v>
      </c>
      <c r="AC37" s="2126">
        <v>44.436</v>
      </c>
      <c r="AD37" s="2126">
        <v>81.384</v>
      </c>
      <c r="AE37" s="2126"/>
      <c r="AF37" s="2126"/>
      <c r="AG37" s="2126"/>
      <c r="AH37" s="2126"/>
      <c r="AI37" s="2126"/>
      <c r="AJ37" s="2126"/>
      <c r="AK37" s="2100"/>
      <c r="AL37" s="2100"/>
      <c r="AM37" s="2101"/>
      <c r="AN37" s="340"/>
      <c r="AO37" s="340"/>
      <c r="AP37" s="340"/>
      <c r="AQ37" s="340"/>
      <c r="AR37" s="340"/>
      <c r="AS37" s="340"/>
      <c r="AT37" s="340"/>
      <c r="AU37" s="340"/>
      <c r="AV37" s="340"/>
      <c r="AW37" s="340"/>
      <c r="AX37" s="340"/>
      <c r="AY37" s="340"/>
      <c r="AZ37" s="340"/>
      <c r="BA37" s="340"/>
      <c r="BB37" s="340"/>
      <c r="BC37" s="340"/>
      <c r="BD37" s="340"/>
      <c r="BE37" s="340"/>
      <c r="BF37" s="340"/>
    </row>
    <row r="38" spans="1:58" ht="15" customHeight="1" x14ac:dyDescent="0.2">
      <c r="A38" s="364"/>
      <c r="B38" s="365"/>
      <c r="C38" s="365"/>
      <c r="D38" s="366"/>
      <c r="E38" s="365"/>
      <c r="F38" s="365"/>
      <c r="G38" s="366"/>
      <c r="H38" s="370"/>
      <c r="I38" s="370"/>
      <c r="J38" s="2087"/>
      <c r="K38" s="2087"/>
      <c r="L38" s="2087"/>
      <c r="M38" s="2109"/>
      <c r="N38" s="2087"/>
      <c r="O38" s="2087"/>
      <c r="P38" s="2087"/>
      <c r="Q38" s="2084"/>
      <c r="R38" s="2086"/>
      <c r="S38" s="2087"/>
      <c r="T38" s="2088" t="s">
        <v>347</v>
      </c>
      <c r="U38" s="2087"/>
      <c r="V38" s="2128"/>
      <c r="W38" s="2129"/>
      <c r="X38" s="2120"/>
      <c r="Y38" s="2126"/>
      <c r="Z38" s="2126">
        <v>90.39</v>
      </c>
      <c r="AA38" s="2126">
        <v>46.444000000000003</v>
      </c>
      <c r="AB38" s="2126">
        <v>49.316000000000003</v>
      </c>
      <c r="AC38" s="2126">
        <v>44.436</v>
      </c>
      <c r="AD38" s="2126">
        <v>81.384</v>
      </c>
      <c r="AE38" s="2126"/>
      <c r="AF38" s="2126"/>
      <c r="AG38" s="2126"/>
      <c r="AH38" s="2126"/>
      <c r="AI38" s="2126"/>
      <c r="AJ38" s="2126"/>
      <c r="AK38" s="2100"/>
      <c r="AL38" s="2100"/>
      <c r="AM38" s="2101"/>
      <c r="AN38" s="340"/>
      <c r="AO38" s="340"/>
      <c r="AP38" s="340"/>
      <c r="AQ38" s="340"/>
      <c r="AR38" s="340"/>
      <c r="AS38" s="340"/>
      <c r="AT38" s="340"/>
      <c r="AU38" s="340"/>
      <c r="AV38" s="340"/>
      <c r="AW38" s="340"/>
      <c r="AX38" s="340"/>
      <c r="AY38" s="340"/>
      <c r="AZ38" s="340"/>
      <c r="BA38" s="340"/>
      <c r="BB38" s="340"/>
      <c r="BC38" s="340"/>
      <c r="BD38" s="340"/>
      <c r="BE38" s="340"/>
      <c r="BF38" s="340"/>
    </row>
    <row r="39" spans="1:58" ht="98.25" customHeight="1" x14ac:dyDescent="0.2">
      <c r="A39" s="364"/>
      <c r="B39" s="365"/>
      <c r="C39" s="365"/>
      <c r="D39" s="366"/>
      <c r="E39" s="365"/>
      <c r="F39" s="365"/>
      <c r="G39" s="366"/>
      <c r="H39" s="370"/>
      <c r="I39" s="370"/>
      <c r="J39" s="2087"/>
      <c r="K39" s="2087"/>
      <c r="L39" s="2087"/>
      <c r="M39" s="2109"/>
      <c r="N39" s="2087"/>
      <c r="O39" s="2087"/>
      <c r="P39" s="2087"/>
      <c r="Q39" s="2084"/>
      <c r="R39" s="2086"/>
      <c r="S39" s="2087"/>
      <c r="T39" s="2088"/>
      <c r="U39" s="2087"/>
      <c r="V39" s="2128"/>
      <c r="W39" s="2129"/>
      <c r="X39" s="2120"/>
      <c r="Y39" s="2126"/>
      <c r="Z39" s="2126">
        <v>90.39</v>
      </c>
      <c r="AA39" s="2126">
        <v>46.444000000000003</v>
      </c>
      <c r="AB39" s="2126">
        <v>49.316000000000003</v>
      </c>
      <c r="AC39" s="2126">
        <v>44.436</v>
      </c>
      <c r="AD39" s="2126">
        <v>81.384</v>
      </c>
      <c r="AE39" s="2126"/>
      <c r="AF39" s="2126"/>
      <c r="AG39" s="2126"/>
      <c r="AH39" s="2126"/>
      <c r="AI39" s="2126"/>
      <c r="AJ39" s="2126"/>
      <c r="AK39" s="2100"/>
      <c r="AL39" s="2100"/>
      <c r="AM39" s="2101"/>
      <c r="AN39" s="381"/>
      <c r="AO39" s="381"/>
    </row>
    <row r="40" spans="1:58" ht="73.5" customHeight="1" x14ac:dyDescent="0.2">
      <c r="A40" s="364"/>
      <c r="B40" s="365"/>
      <c r="C40" s="365"/>
      <c r="D40" s="366"/>
      <c r="E40" s="365"/>
      <c r="F40" s="365"/>
      <c r="G40" s="366"/>
      <c r="H40" s="370"/>
      <c r="I40" s="370"/>
      <c r="J40" s="2087"/>
      <c r="K40" s="2087"/>
      <c r="L40" s="2087"/>
      <c r="M40" s="2109"/>
      <c r="N40" s="2087"/>
      <c r="O40" s="2087"/>
      <c r="P40" s="2087"/>
      <c r="Q40" s="2084"/>
      <c r="R40" s="2086"/>
      <c r="S40" s="2087"/>
      <c r="T40" s="2087" t="s">
        <v>348</v>
      </c>
      <c r="U40" s="2087"/>
      <c r="V40" s="2128"/>
      <c r="W40" s="2129"/>
      <c r="X40" s="2120"/>
      <c r="Y40" s="2126"/>
      <c r="Z40" s="2126">
        <v>90.39</v>
      </c>
      <c r="AA40" s="2126">
        <v>46.444000000000003</v>
      </c>
      <c r="AB40" s="2126">
        <v>49.316000000000003</v>
      </c>
      <c r="AC40" s="2126">
        <v>44.436</v>
      </c>
      <c r="AD40" s="2126">
        <v>81.384</v>
      </c>
      <c r="AE40" s="2126"/>
      <c r="AF40" s="2126"/>
      <c r="AG40" s="2126"/>
      <c r="AH40" s="2126"/>
      <c r="AI40" s="2126"/>
      <c r="AJ40" s="2126"/>
      <c r="AK40" s="2100"/>
      <c r="AL40" s="2100"/>
      <c r="AM40" s="2101"/>
      <c r="AN40" s="381"/>
      <c r="AO40" s="381"/>
    </row>
    <row r="41" spans="1:58" ht="57" customHeight="1" x14ac:dyDescent="0.2">
      <c r="A41" s="364"/>
      <c r="B41" s="365"/>
      <c r="C41" s="365"/>
      <c r="D41" s="366"/>
      <c r="E41" s="365"/>
      <c r="F41" s="365"/>
      <c r="G41" s="366"/>
      <c r="H41" s="370"/>
      <c r="I41" s="370"/>
      <c r="J41" s="2087"/>
      <c r="K41" s="2087"/>
      <c r="L41" s="2087"/>
      <c r="M41" s="2109"/>
      <c r="N41" s="2087"/>
      <c r="O41" s="2087"/>
      <c r="P41" s="2087"/>
      <c r="Q41" s="2084"/>
      <c r="R41" s="2086"/>
      <c r="S41" s="2087"/>
      <c r="T41" s="2087"/>
      <c r="U41" s="2087"/>
      <c r="V41" s="2128"/>
      <c r="W41" s="2129"/>
      <c r="X41" s="2120"/>
      <c r="Y41" s="2126"/>
      <c r="Z41" s="2126">
        <v>90.39</v>
      </c>
      <c r="AA41" s="2126">
        <v>46.444000000000003</v>
      </c>
      <c r="AB41" s="2126">
        <v>49.316000000000003</v>
      </c>
      <c r="AC41" s="2126">
        <v>44.436</v>
      </c>
      <c r="AD41" s="2126">
        <v>81.384</v>
      </c>
      <c r="AE41" s="2126"/>
      <c r="AF41" s="2126"/>
      <c r="AG41" s="2126"/>
      <c r="AH41" s="2126"/>
      <c r="AI41" s="2126"/>
      <c r="AJ41" s="2126"/>
      <c r="AK41" s="2100"/>
      <c r="AL41" s="2100"/>
      <c r="AM41" s="2101"/>
      <c r="AN41" s="381"/>
      <c r="AO41" s="381"/>
    </row>
    <row r="42" spans="1:58" ht="57" customHeight="1" x14ac:dyDescent="0.2">
      <c r="A42" s="364"/>
      <c r="B42" s="2113"/>
      <c r="C42" s="2113"/>
      <c r="D42" s="366"/>
      <c r="E42" s="2113"/>
      <c r="F42" s="2113"/>
      <c r="G42" s="366"/>
      <c r="H42" s="2111"/>
      <c r="I42" s="2111"/>
      <c r="J42" s="2087"/>
      <c r="K42" s="2087"/>
      <c r="L42" s="2087"/>
      <c r="M42" s="2109"/>
      <c r="N42" s="2087"/>
      <c r="O42" s="2087"/>
      <c r="P42" s="2087"/>
      <c r="Q42" s="2084"/>
      <c r="R42" s="2086"/>
      <c r="S42" s="2087"/>
      <c r="T42" s="2087" t="s">
        <v>349</v>
      </c>
      <c r="U42" s="2087"/>
      <c r="V42" s="2128"/>
      <c r="W42" s="2129"/>
      <c r="X42" s="2120"/>
      <c r="Y42" s="2126"/>
      <c r="Z42" s="2126">
        <v>90.39</v>
      </c>
      <c r="AA42" s="2126">
        <v>46.444000000000003</v>
      </c>
      <c r="AB42" s="2126">
        <v>49.316000000000003</v>
      </c>
      <c r="AC42" s="2126">
        <v>44.436</v>
      </c>
      <c r="AD42" s="2126">
        <v>81.384</v>
      </c>
      <c r="AE42" s="2126"/>
      <c r="AF42" s="2126"/>
      <c r="AG42" s="2126"/>
      <c r="AH42" s="2126"/>
      <c r="AI42" s="2126"/>
      <c r="AJ42" s="2126"/>
      <c r="AK42" s="2100"/>
      <c r="AL42" s="2100"/>
      <c r="AM42" s="2101"/>
      <c r="AN42" s="381"/>
      <c r="AO42" s="381"/>
    </row>
    <row r="43" spans="1:58" ht="15" customHeight="1" x14ac:dyDescent="0.2">
      <c r="A43" s="373"/>
      <c r="B43" s="2115"/>
      <c r="C43" s="2115"/>
      <c r="D43" s="374"/>
      <c r="E43" s="2115"/>
      <c r="F43" s="2115"/>
      <c r="G43" s="374"/>
      <c r="H43" s="2116"/>
      <c r="I43" s="2117"/>
      <c r="J43" s="2087"/>
      <c r="K43" s="2087"/>
      <c r="L43" s="2087"/>
      <c r="M43" s="2110"/>
      <c r="N43" s="2087"/>
      <c r="O43" s="2087"/>
      <c r="P43" s="2087"/>
      <c r="Q43" s="2085"/>
      <c r="R43" s="2086"/>
      <c r="S43" s="2087"/>
      <c r="T43" s="2087"/>
      <c r="U43" s="2087"/>
      <c r="V43" s="2128"/>
      <c r="W43" s="2129"/>
      <c r="X43" s="2120"/>
      <c r="Y43" s="2127"/>
      <c r="Z43" s="2127">
        <v>90.39</v>
      </c>
      <c r="AA43" s="2127">
        <v>46.444000000000003</v>
      </c>
      <c r="AB43" s="2127">
        <v>49.316000000000003</v>
      </c>
      <c r="AC43" s="2127">
        <v>44.436</v>
      </c>
      <c r="AD43" s="2127">
        <v>81.384</v>
      </c>
      <c r="AE43" s="2127"/>
      <c r="AF43" s="2127"/>
      <c r="AG43" s="2127"/>
      <c r="AH43" s="2127"/>
      <c r="AI43" s="2127"/>
      <c r="AJ43" s="2127"/>
      <c r="AK43" s="2100"/>
      <c r="AL43" s="2100"/>
      <c r="AM43" s="2101"/>
      <c r="AN43" s="381"/>
      <c r="AO43" s="381"/>
    </row>
    <row r="44" spans="1:58" ht="27" customHeight="1" x14ac:dyDescent="0.2">
      <c r="A44" s="364"/>
      <c r="B44" s="365"/>
      <c r="C44" s="365"/>
      <c r="D44" s="366"/>
      <c r="E44" s="365"/>
      <c r="F44" s="365"/>
      <c r="G44" s="366"/>
      <c r="H44" s="2111"/>
      <c r="I44" s="2112"/>
      <c r="J44" s="2105">
        <v>12</v>
      </c>
      <c r="K44" s="2105" t="s">
        <v>350</v>
      </c>
      <c r="L44" s="2133" t="s">
        <v>351</v>
      </c>
      <c r="M44" s="2108">
        <v>3</v>
      </c>
      <c r="N44" s="2105" t="s">
        <v>352</v>
      </c>
      <c r="O44" s="2105">
        <v>26</v>
      </c>
      <c r="P44" s="2105" t="s">
        <v>353</v>
      </c>
      <c r="Q44" s="2083">
        <v>1</v>
      </c>
      <c r="R44" s="2136">
        <f>+V44+V48</f>
        <v>1032300000</v>
      </c>
      <c r="S44" s="2105" t="s">
        <v>354</v>
      </c>
      <c r="T44" s="2088" t="s">
        <v>355</v>
      </c>
      <c r="U44" s="2106" t="s">
        <v>356</v>
      </c>
      <c r="V44" s="2124">
        <v>282300000</v>
      </c>
      <c r="W44" s="2097">
        <v>26</v>
      </c>
      <c r="X44" s="2109" t="str">
        <f>+X28</f>
        <v>SGP AGUA POTABLE SSF 27</v>
      </c>
      <c r="Y44" s="2093">
        <v>55079</v>
      </c>
      <c r="Z44" s="2093">
        <v>63164</v>
      </c>
      <c r="AA44" s="2093">
        <v>45607</v>
      </c>
      <c r="AB44" s="2093">
        <v>140912</v>
      </c>
      <c r="AC44" s="2093">
        <v>365607</v>
      </c>
      <c r="AD44" s="2093">
        <v>75612</v>
      </c>
      <c r="AE44" s="2093">
        <f>+'[4]P. 100'!$L$8</f>
        <v>12718</v>
      </c>
      <c r="AF44" s="2093">
        <f>+'[4]P. 100'!$K$8</f>
        <v>2145</v>
      </c>
      <c r="AG44" s="2093">
        <f>+'[4]P. 100'!$X$8</f>
        <v>413</v>
      </c>
      <c r="AH44" s="2093"/>
      <c r="AI44" s="2093">
        <f>+'[4]P. 100'!$U$8</f>
        <v>16897</v>
      </c>
      <c r="AJ44" s="2093">
        <f>+AD44</f>
        <v>75612</v>
      </c>
      <c r="AK44" s="2100">
        <v>42736</v>
      </c>
      <c r="AL44" s="2100">
        <v>43100</v>
      </c>
      <c r="AM44" s="2101" t="s">
        <v>316</v>
      </c>
      <c r="AN44" s="381"/>
      <c r="AO44" s="381"/>
    </row>
    <row r="45" spans="1:58" ht="27" customHeight="1" x14ac:dyDescent="0.2">
      <c r="A45" s="364"/>
      <c r="B45" s="2113"/>
      <c r="C45" s="2130"/>
      <c r="D45" s="366"/>
      <c r="E45" s="2113"/>
      <c r="F45" s="2130"/>
      <c r="G45" s="366"/>
      <c r="H45" s="2111"/>
      <c r="I45" s="2112"/>
      <c r="J45" s="2106"/>
      <c r="K45" s="2106"/>
      <c r="L45" s="2134"/>
      <c r="M45" s="2109"/>
      <c r="N45" s="2106"/>
      <c r="O45" s="2106"/>
      <c r="P45" s="2106"/>
      <c r="Q45" s="2084"/>
      <c r="R45" s="2137"/>
      <c r="S45" s="2106"/>
      <c r="T45" s="2088"/>
      <c r="U45" s="2106"/>
      <c r="V45" s="2124"/>
      <c r="W45" s="2097"/>
      <c r="X45" s="2109"/>
      <c r="Y45" s="2094"/>
      <c r="Z45" s="2094">
        <v>63164</v>
      </c>
      <c r="AA45" s="2094">
        <v>45607</v>
      </c>
      <c r="AB45" s="2094">
        <v>140912</v>
      </c>
      <c r="AC45" s="2094">
        <v>365607</v>
      </c>
      <c r="AD45" s="2094">
        <v>75612</v>
      </c>
      <c r="AE45" s="2094"/>
      <c r="AF45" s="2094"/>
      <c r="AG45" s="2094"/>
      <c r="AH45" s="2094"/>
      <c r="AI45" s="2094"/>
      <c r="AJ45" s="2094"/>
      <c r="AK45" s="2100"/>
      <c r="AL45" s="2100"/>
      <c r="AM45" s="2101"/>
      <c r="AN45" s="381"/>
      <c r="AO45" s="381"/>
    </row>
    <row r="46" spans="1:58" ht="27" customHeight="1" x14ac:dyDescent="0.2">
      <c r="A46" s="364"/>
      <c r="B46" s="365"/>
      <c r="C46" s="365"/>
      <c r="D46" s="366"/>
      <c r="E46" s="365"/>
      <c r="F46" s="365"/>
      <c r="G46" s="366"/>
      <c r="H46" s="370"/>
      <c r="I46" s="370"/>
      <c r="J46" s="2106"/>
      <c r="K46" s="2106"/>
      <c r="L46" s="2134"/>
      <c r="M46" s="2109"/>
      <c r="N46" s="2106"/>
      <c r="O46" s="2106"/>
      <c r="P46" s="2106"/>
      <c r="Q46" s="2084"/>
      <c r="R46" s="2137"/>
      <c r="S46" s="2106"/>
      <c r="T46" s="2088"/>
      <c r="U46" s="2106"/>
      <c r="V46" s="2124"/>
      <c r="W46" s="2097"/>
      <c r="X46" s="2109"/>
      <c r="Y46" s="2094"/>
      <c r="Z46" s="2094">
        <v>63164</v>
      </c>
      <c r="AA46" s="2094">
        <v>45607</v>
      </c>
      <c r="AB46" s="2094">
        <v>140912</v>
      </c>
      <c r="AC46" s="2094">
        <v>365607</v>
      </c>
      <c r="AD46" s="2094">
        <v>75612</v>
      </c>
      <c r="AE46" s="2094"/>
      <c r="AF46" s="2094"/>
      <c r="AG46" s="2094"/>
      <c r="AH46" s="2094"/>
      <c r="AI46" s="2094"/>
      <c r="AJ46" s="2094"/>
      <c r="AK46" s="2100"/>
      <c r="AL46" s="2100"/>
      <c r="AM46" s="2101"/>
      <c r="AN46" s="381"/>
      <c r="AO46" s="381"/>
    </row>
    <row r="47" spans="1:58" ht="27" customHeight="1" x14ac:dyDescent="0.2">
      <c r="A47" s="364"/>
      <c r="B47" s="365"/>
      <c r="C47" s="365"/>
      <c r="D47" s="366"/>
      <c r="E47" s="365"/>
      <c r="F47" s="365"/>
      <c r="G47" s="366"/>
      <c r="H47" s="370"/>
      <c r="I47" s="370"/>
      <c r="J47" s="2106"/>
      <c r="K47" s="2106"/>
      <c r="L47" s="2134"/>
      <c r="M47" s="2109"/>
      <c r="N47" s="2106"/>
      <c r="O47" s="2106"/>
      <c r="P47" s="2106"/>
      <c r="Q47" s="2084"/>
      <c r="R47" s="2137"/>
      <c r="S47" s="2106"/>
      <c r="T47" s="2088"/>
      <c r="U47" s="2107"/>
      <c r="V47" s="2124"/>
      <c r="W47" s="2097"/>
      <c r="X47" s="2109"/>
      <c r="Y47" s="2094"/>
      <c r="Z47" s="2094">
        <v>63164</v>
      </c>
      <c r="AA47" s="2094">
        <v>45607</v>
      </c>
      <c r="AB47" s="2094">
        <v>140912</v>
      </c>
      <c r="AC47" s="2094">
        <v>365607</v>
      </c>
      <c r="AD47" s="2094">
        <v>75612</v>
      </c>
      <c r="AE47" s="2094"/>
      <c r="AF47" s="2094"/>
      <c r="AG47" s="2094"/>
      <c r="AH47" s="2094"/>
      <c r="AI47" s="2094"/>
      <c r="AJ47" s="2094"/>
      <c r="AK47" s="2100"/>
      <c r="AL47" s="2100"/>
      <c r="AM47" s="2101"/>
      <c r="AN47" s="381"/>
      <c r="AO47" s="381"/>
    </row>
    <row r="48" spans="1:58" ht="27" customHeight="1" x14ac:dyDescent="0.2">
      <c r="A48" s="364"/>
      <c r="B48" s="365"/>
      <c r="C48" s="365"/>
      <c r="D48" s="366"/>
      <c r="E48" s="365"/>
      <c r="F48" s="365"/>
      <c r="G48" s="366"/>
      <c r="H48" s="370"/>
      <c r="I48" s="370"/>
      <c r="J48" s="2106"/>
      <c r="K48" s="2106"/>
      <c r="L48" s="2134"/>
      <c r="M48" s="2109"/>
      <c r="N48" s="2106"/>
      <c r="O48" s="2106"/>
      <c r="P48" s="2106"/>
      <c r="Q48" s="2084"/>
      <c r="R48" s="2137"/>
      <c r="S48" s="2106"/>
      <c r="T48" s="2087" t="s">
        <v>357</v>
      </c>
      <c r="U48" s="2105" t="s">
        <v>358</v>
      </c>
      <c r="V48" s="2131">
        <v>750000000</v>
      </c>
      <c r="W48" s="2097"/>
      <c r="X48" s="2109"/>
      <c r="Y48" s="2094"/>
      <c r="Z48" s="2094">
        <v>63164</v>
      </c>
      <c r="AA48" s="2094">
        <v>45607</v>
      </c>
      <c r="AB48" s="2094">
        <v>140912</v>
      </c>
      <c r="AC48" s="2094">
        <v>365607</v>
      </c>
      <c r="AD48" s="2094">
        <v>75612</v>
      </c>
      <c r="AE48" s="2094"/>
      <c r="AF48" s="2094"/>
      <c r="AG48" s="2094"/>
      <c r="AH48" s="2094"/>
      <c r="AI48" s="2094"/>
      <c r="AJ48" s="2094"/>
      <c r="AK48" s="2100"/>
      <c r="AL48" s="2100"/>
      <c r="AM48" s="2101"/>
      <c r="AN48" s="381"/>
      <c r="AO48" s="381"/>
    </row>
    <row r="49" spans="1:369" ht="27" customHeight="1" x14ac:dyDescent="0.2">
      <c r="A49" s="364"/>
      <c r="B49" s="365"/>
      <c r="C49" s="365"/>
      <c r="D49" s="366"/>
      <c r="E49" s="365"/>
      <c r="F49" s="365"/>
      <c r="G49" s="366"/>
      <c r="H49" s="370"/>
      <c r="I49" s="370"/>
      <c r="J49" s="2106"/>
      <c r="K49" s="2106"/>
      <c r="L49" s="2134"/>
      <c r="M49" s="2109"/>
      <c r="N49" s="2106"/>
      <c r="O49" s="2106"/>
      <c r="P49" s="2106"/>
      <c r="Q49" s="2084"/>
      <c r="R49" s="2137"/>
      <c r="S49" s="2106"/>
      <c r="T49" s="2087"/>
      <c r="U49" s="2106"/>
      <c r="V49" s="2124"/>
      <c r="W49" s="2097"/>
      <c r="X49" s="2109"/>
      <c r="Y49" s="2094"/>
      <c r="Z49" s="2094">
        <v>63164</v>
      </c>
      <c r="AA49" s="2094">
        <v>45607</v>
      </c>
      <c r="AB49" s="2094">
        <v>140912</v>
      </c>
      <c r="AC49" s="2094">
        <v>365607</v>
      </c>
      <c r="AD49" s="2094">
        <v>75612</v>
      </c>
      <c r="AE49" s="2094"/>
      <c r="AF49" s="2094"/>
      <c r="AG49" s="2094"/>
      <c r="AH49" s="2094"/>
      <c r="AI49" s="2094"/>
      <c r="AJ49" s="2094"/>
      <c r="AK49" s="2100"/>
      <c r="AL49" s="2100"/>
      <c r="AM49" s="2101"/>
      <c r="AN49" s="381"/>
      <c r="AO49" s="381"/>
    </row>
    <row r="50" spans="1:369" ht="27" customHeight="1" x14ac:dyDescent="0.2">
      <c r="A50" s="364"/>
      <c r="B50" s="2113"/>
      <c r="C50" s="2130"/>
      <c r="D50" s="366"/>
      <c r="E50" s="2113"/>
      <c r="F50" s="2130"/>
      <c r="G50" s="366"/>
      <c r="H50" s="2111"/>
      <c r="I50" s="2112"/>
      <c r="J50" s="2106"/>
      <c r="K50" s="2106"/>
      <c r="L50" s="2134"/>
      <c r="M50" s="2109"/>
      <c r="N50" s="2106"/>
      <c r="O50" s="2106"/>
      <c r="P50" s="2106"/>
      <c r="Q50" s="2084"/>
      <c r="R50" s="2137"/>
      <c r="S50" s="2106"/>
      <c r="T50" s="2087"/>
      <c r="U50" s="2106"/>
      <c r="V50" s="2124"/>
      <c r="W50" s="2097"/>
      <c r="X50" s="2109"/>
      <c r="Y50" s="2094"/>
      <c r="Z50" s="2094">
        <v>63164</v>
      </c>
      <c r="AA50" s="2094">
        <v>45607</v>
      </c>
      <c r="AB50" s="2094">
        <v>140912</v>
      </c>
      <c r="AC50" s="2094">
        <v>365607</v>
      </c>
      <c r="AD50" s="2094">
        <v>75612</v>
      </c>
      <c r="AE50" s="2094"/>
      <c r="AF50" s="2094"/>
      <c r="AG50" s="2094"/>
      <c r="AH50" s="2094"/>
      <c r="AI50" s="2094"/>
      <c r="AJ50" s="2094"/>
      <c r="AK50" s="2100"/>
      <c r="AL50" s="2100"/>
      <c r="AM50" s="2101"/>
      <c r="AN50" s="381"/>
      <c r="AO50" s="381"/>
    </row>
    <row r="51" spans="1:369" ht="10.5" customHeight="1" x14ac:dyDescent="0.2">
      <c r="A51" s="373"/>
      <c r="B51" s="2115"/>
      <c r="C51" s="2132"/>
      <c r="D51" s="374"/>
      <c r="E51" s="2115"/>
      <c r="F51" s="2132"/>
      <c r="G51" s="374"/>
      <c r="H51" s="2116"/>
      <c r="I51" s="2117"/>
      <c r="J51" s="2107"/>
      <c r="K51" s="2107"/>
      <c r="L51" s="2135"/>
      <c r="M51" s="2110"/>
      <c r="N51" s="2107"/>
      <c r="O51" s="2107"/>
      <c r="P51" s="2107"/>
      <c r="Q51" s="2085"/>
      <c r="R51" s="2138"/>
      <c r="S51" s="2107"/>
      <c r="T51" s="2087"/>
      <c r="U51" s="2106"/>
      <c r="V51" s="2124"/>
      <c r="W51" s="2097"/>
      <c r="X51" s="2109"/>
      <c r="Y51" s="2095"/>
      <c r="Z51" s="2095">
        <v>63164</v>
      </c>
      <c r="AA51" s="2095">
        <v>45607</v>
      </c>
      <c r="AB51" s="2095">
        <v>140912</v>
      </c>
      <c r="AC51" s="2095">
        <v>365607</v>
      </c>
      <c r="AD51" s="2095">
        <v>75612</v>
      </c>
      <c r="AE51" s="2095"/>
      <c r="AF51" s="2095"/>
      <c r="AG51" s="2095"/>
      <c r="AH51" s="2095"/>
      <c r="AI51" s="2095"/>
      <c r="AJ51" s="2095"/>
      <c r="AK51" s="2100"/>
      <c r="AL51" s="2100"/>
      <c r="AM51" s="2101"/>
      <c r="AN51" s="381"/>
      <c r="AO51" s="381"/>
    </row>
    <row r="52" spans="1:369" ht="42" customHeight="1" x14ac:dyDescent="0.2">
      <c r="A52" s="364"/>
      <c r="B52" s="365"/>
      <c r="C52" s="365"/>
      <c r="D52" s="366"/>
      <c r="E52" s="365"/>
      <c r="F52" s="365"/>
      <c r="G52" s="366"/>
      <c r="H52" s="2111"/>
      <c r="I52" s="2112"/>
      <c r="J52" s="2105">
        <v>13</v>
      </c>
      <c r="K52" s="2105" t="s">
        <v>359</v>
      </c>
      <c r="L52" s="2105" t="s">
        <v>360</v>
      </c>
      <c r="M52" s="2108">
        <v>2</v>
      </c>
      <c r="N52" s="2105" t="s">
        <v>361</v>
      </c>
      <c r="O52" s="2105">
        <v>27</v>
      </c>
      <c r="P52" s="2105" t="s">
        <v>362</v>
      </c>
      <c r="Q52" s="2083">
        <v>1</v>
      </c>
      <c r="R52" s="2136">
        <v>265000000</v>
      </c>
      <c r="S52" s="2105" t="s">
        <v>363</v>
      </c>
      <c r="T52" s="2088" t="s">
        <v>364</v>
      </c>
      <c r="U52" s="2105" t="s">
        <v>365</v>
      </c>
      <c r="V52" s="2131">
        <v>88333333</v>
      </c>
      <c r="W52" s="2129">
        <v>27</v>
      </c>
      <c r="X52" s="2120" t="str">
        <f>+X44</f>
        <v>SGP AGUA POTABLE SSF 27</v>
      </c>
      <c r="Y52" s="2093">
        <v>55079</v>
      </c>
      <c r="Z52" s="2093">
        <v>63164</v>
      </c>
      <c r="AA52" s="2093">
        <v>45607</v>
      </c>
      <c r="AB52" s="2093">
        <v>140912</v>
      </c>
      <c r="AC52" s="2093">
        <v>365607</v>
      </c>
      <c r="AD52" s="2093">
        <v>75612</v>
      </c>
      <c r="AE52" s="2093">
        <f>+'[5]P. 100'!$L$8</f>
        <v>12718</v>
      </c>
      <c r="AF52" s="2093">
        <v>2145</v>
      </c>
      <c r="AG52" s="2093">
        <v>413</v>
      </c>
      <c r="AH52" s="2093"/>
      <c r="AI52" s="2093">
        <v>16897</v>
      </c>
      <c r="AJ52" s="2093">
        <f>+AD52</f>
        <v>75612</v>
      </c>
      <c r="AK52" s="2100">
        <v>42736</v>
      </c>
      <c r="AL52" s="2100">
        <v>43100</v>
      </c>
      <c r="AM52" s="2101" t="s">
        <v>316</v>
      </c>
      <c r="AN52" s="381"/>
      <c r="AO52" s="381"/>
    </row>
    <row r="53" spans="1:369" ht="42" customHeight="1" x14ac:dyDescent="0.2">
      <c r="A53" s="364"/>
      <c r="B53" s="2113"/>
      <c r="C53" s="2130"/>
      <c r="D53" s="366"/>
      <c r="E53" s="2113"/>
      <c r="F53" s="2130"/>
      <c r="G53" s="366"/>
      <c r="H53" s="2111"/>
      <c r="I53" s="2112"/>
      <c r="J53" s="2106"/>
      <c r="K53" s="2106"/>
      <c r="L53" s="2106"/>
      <c r="M53" s="2109"/>
      <c r="N53" s="2106"/>
      <c r="O53" s="2106"/>
      <c r="P53" s="2106"/>
      <c r="Q53" s="2084"/>
      <c r="R53" s="2137"/>
      <c r="S53" s="2106"/>
      <c r="T53" s="2088"/>
      <c r="U53" s="2106"/>
      <c r="V53" s="2124"/>
      <c r="W53" s="2129"/>
      <c r="X53" s="2120"/>
      <c r="Y53" s="2094"/>
      <c r="Z53" s="2094">
        <v>63164</v>
      </c>
      <c r="AA53" s="2094">
        <v>45607</v>
      </c>
      <c r="AB53" s="2094">
        <v>140912</v>
      </c>
      <c r="AC53" s="2094">
        <v>365607</v>
      </c>
      <c r="AD53" s="2094">
        <v>75612</v>
      </c>
      <c r="AE53" s="2094"/>
      <c r="AF53" s="2094"/>
      <c r="AG53" s="2094"/>
      <c r="AH53" s="2094"/>
      <c r="AI53" s="2094"/>
      <c r="AJ53" s="2094"/>
      <c r="AK53" s="2100"/>
      <c r="AL53" s="2100"/>
      <c r="AM53" s="2101"/>
      <c r="AN53" s="381"/>
      <c r="AO53" s="381"/>
    </row>
    <row r="54" spans="1:369" ht="42" customHeight="1" x14ac:dyDescent="0.2">
      <c r="A54" s="364"/>
      <c r="B54" s="365"/>
      <c r="C54" s="365"/>
      <c r="D54" s="366"/>
      <c r="E54" s="365"/>
      <c r="F54" s="365"/>
      <c r="G54" s="366"/>
      <c r="H54" s="370"/>
      <c r="I54" s="370"/>
      <c r="J54" s="2106"/>
      <c r="K54" s="2106"/>
      <c r="L54" s="2106"/>
      <c r="M54" s="2109"/>
      <c r="N54" s="2106"/>
      <c r="O54" s="2106"/>
      <c r="P54" s="2106"/>
      <c r="Q54" s="2084"/>
      <c r="R54" s="2137"/>
      <c r="S54" s="2106"/>
      <c r="T54" s="2088"/>
      <c r="U54" s="2107"/>
      <c r="V54" s="2139"/>
      <c r="W54" s="2129"/>
      <c r="X54" s="2120"/>
      <c r="Y54" s="2094"/>
      <c r="Z54" s="2094">
        <v>63164</v>
      </c>
      <c r="AA54" s="2094">
        <v>45607</v>
      </c>
      <c r="AB54" s="2094">
        <v>140912</v>
      </c>
      <c r="AC54" s="2094">
        <v>365607</v>
      </c>
      <c r="AD54" s="2094">
        <v>75612</v>
      </c>
      <c r="AE54" s="2094"/>
      <c r="AF54" s="2094"/>
      <c r="AG54" s="2094"/>
      <c r="AH54" s="2094"/>
      <c r="AI54" s="2094"/>
      <c r="AJ54" s="2094"/>
      <c r="AK54" s="2100"/>
      <c r="AL54" s="2100"/>
      <c r="AM54" s="2101"/>
      <c r="AN54" s="381"/>
      <c r="AO54" s="381"/>
    </row>
    <row r="55" spans="1:369" ht="42" customHeight="1" x14ac:dyDescent="0.2">
      <c r="A55" s="364"/>
      <c r="B55" s="365"/>
      <c r="C55" s="365"/>
      <c r="D55" s="366"/>
      <c r="E55" s="365"/>
      <c r="F55" s="365"/>
      <c r="G55" s="366"/>
      <c r="H55" s="370"/>
      <c r="I55" s="370"/>
      <c r="J55" s="2106"/>
      <c r="K55" s="2106"/>
      <c r="L55" s="2106"/>
      <c r="M55" s="2109"/>
      <c r="N55" s="2106"/>
      <c r="O55" s="2106"/>
      <c r="P55" s="2106"/>
      <c r="Q55" s="2084"/>
      <c r="R55" s="2137"/>
      <c r="S55" s="2106"/>
      <c r="T55" s="2088"/>
      <c r="U55" s="2105" t="s">
        <v>366</v>
      </c>
      <c r="V55" s="2131">
        <v>88333334</v>
      </c>
      <c r="W55" s="2129"/>
      <c r="X55" s="2120"/>
      <c r="Y55" s="2094"/>
      <c r="Z55" s="2094">
        <v>63164</v>
      </c>
      <c r="AA55" s="2094">
        <v>45607</v>
      </c>
      <c r="AB55" s="2094">
        <v>140912</v>
      </c>
      <c r="AC55" s="2094">
        <v>365607</v>
      </c>
      <c r="AD55" s="2094">
        <v>75612</v>
      </c>
      <c r="AE55" s="2094"/>
      <c r="AF55" s="2094"/>
      <c r="AG55" s="2094"/>
      <c r="AH55" s="2094"/>
      <c r="AI55" s="2094"/>
      <c r="AJ55" s="2094"/>
      <c r="AK55" s="2100"/>
      <c r="AL55" s="2100"/>
      <c r="AM55" s="2101"/>
      <c r="AN55" s="381"/>
      <c r="AO55" s="381"/>
    </row>
    <row r="56" spans="1:369" ht="39" customHeight="1" x14ac:dyDescent="0.2">
      <c r="A56" s="364"/>
      <c r="B56" s="365"/>
      <c r="C56" s="365"/>
      <c r="D56" s="366"/>
      <c r="E56" s="365"/>
      <c r="F56" s="365"/>
      <c r="G56" s="366"/>
      <c r="H56" s="370"/>
      <c r="I56" s="370"/>
      <c r="J56" s="2106"/>
      <c r="K56" s="2106"/>
      <c r="L56" s="2106"/>
      <c r="M56" s="2109"/>
      <c r="N56" s="2106"/>
      <c r="O56" s="2106"/>
      <c r="P56" s="2106"/>
      <c r="Q56" s="2084"/>
      <c r="R56" s="2137"/>
      <c r="S56" s="2106"/>
      <c r="T56" s="2143" t="s">
        <v>367</v>
      </c>
      <c r="U56" s="2107"/>
      <c r="V56" s="2139"/>
      <c r="W56" s="2129"/>
      <c r="X56" s="2120"/>
      <c r="Y56" s="2094"/>
      <c r="Z56" s="2094">
        <v>63164</v>
      </c>
      <c r="AA56" s="2094">
        <v>45607</v>
      </c>
      <c r="AB56" s="2094">
        <v>140912</v>
      </c>
      <c r="AC56" s="2094">
        <v>365607</v>
      </c>
      <c r="AD56" s="2094">
        <v>75612</v>
      </c>
      <c r="AE56" s="2094"/>
      <c r="AF56" s="2094"/>
      <c r="AG56" s="2094"/>
      <c r="AH56" s="2094"/>
      <c r="AI56" s="2094"/>
      <c r="AJ56" s="2094"/>
      <c r="AK56" s="2100"/>
      <c r="AL56" s="2100"/>
      <c r="AM56" s="2101"/>
      <c r="AN56" s="381"/>
      <c r="AO56" s="381"/>
    </row>
    <row r="57" spans="1:369" ht="27" customHeight="1" x14ac:dyDescent="0.2">
      <c r="A57" s="364"/>
      <c r="B57" s="365"/>
      <c r="C57" s="365"/>
      <c r="D57" s="366"/>
      <c r="E57" s="365"/>
      <c r="F57" s="365"/>
      <c r="G57" s="366"/>
      <c r="H57" s="370"/>
      <c r="I57" s="370"/>
      <c r="J57" s="2106"/>
      <c r="K57" s="2106"/>
      <c r="L57" s="2106"/>
      <c r="M57" s="2109"/>
      <c r="N57" s="2106"/>
      <c r="O57" s="2106"/>
      <c r="P57" s="2106"/>
      <c r="Q57" s="2084"/>
      <c r="R57" s="2137"/>
      <c r="S57" s="2106"/>
      <c r="T57" s="2143"/>
      <c r="U57" s="2105" t="s">
        <v>368</v>
      </c>
      <c r="V57" s="2131">
        <v>88333333</v>
      </c>
      <c r="W57" s="2129"/>
      <c r="X57" s="2120"/>
      <c r="Y57" s="2094"/>
      <c r="Z57" s="2094">
        <v>63164</v>
      </c>
      <c r="AA57" s="2094">
        <v>45607</v>
      </c>
      <c r="AB57" s="2094">
        <v>140912</v>
      </c>
      <c r="AC57" s="2094">
        <v>365607</v>
      </c>
      <c r="AD57" s="2094">
        <v>75612</v>
      </c>
      <c r="AE57" s="2094"/>
      <c r="AF57" s="2094"/>
      <c r="AG57" s="2094"/>
      <c r="AH57" s="2094"/>
      <c r="AI57" s="2094"/>
      <c r="AJ57" s="2094"/>
      <c r="AK57" s="2100"/>
      <c r="AL57" s="2100"/>
      <c r="AM57" s="2101"/>
      <c r="AN57" s="381"/>
      <c r="AO57" s="381"/>
    </row>
    <row r="58" spans="1:369" ht="30" customHeight="1" x14ac:dyDescent="0.2">
      <c r="A58" s="364"/>
      <c r="B58" s="2113"/>
      <c r="C58" s="2130"/>
      <c r="D58" s="366"/>
      <c r="E58" s="2113"/>
      <c r="F58" s="2130"/>
      <c r="G58" s="366"/>
      <c r="H58" s="2111"/>
      <c r="I58" s="2112"/>
      <c r="J58" s="2106"/>
      <c r="K58" s="2106"/>
      <c r="L58" s="2106"/>
      <c r="M58" s="2109"/>
      <c r="N58" s="2106"/>
      <c r="O58" s="2106"/>
      <c r="P58" s="2106"/>
      <c r="Q58" s="2084"/>
      <c r="R58" s="2137"/>
      <c r="S58" s="2106"/>
      <c r="T58" s="2143"/>
      <c r="U58" s="2106"/>
      <c r="V58" s="2124"/>
      <c r="W58" s="2129"/>
      <c r="X58" s="2120"/>
      <c r="Y58" s="2094"/>
      <c r="Z58" s="2094">
        <v>63164</v>
      </c>
      <c r="AA58" s="2094">
        <v>45607</v>
      </c>
      <c r="AB58" s="2094">
        <v>140912</v>
      </c>
      <c r="AC58" s="2094">
        <v>365607</v>
      </c>
      <c r="AD58" s="2094">
        <v>75612</v>
      </c>
      <c r="AE58" s="2094"/>
      <c r="AF58" s="2094"/>
      <c r="AG58" s="2094"/>
      <c r="AH58" s="2094"/>
      <c r="AI58" s="2094"/>
      <c r="AJ58" s="2094"/>
      <c r="AK58" s="2100"/>
      <c r="AL58" s="2100"/>
      <c r="AM58" s="2101"/>
      <c r="AN58" s="381"/>
      <c r="AO58" s="381"/>
    </row>
    <row r="59" spans="1:369" ht="30" customHeight="1" x14ac:dyDescent="0.2">
      <c r="A59" s="373"/>
      <c r="B59" s="2115"/>
      <c r="C59" s="2132"/>
      <c r="D59" s="374"/>
      <c r="E59" s="2115"/>
      <c r="F59" s="2132"/>
      <c r="G59" s="374"/>
      <c r="H59" s="2116"/>
      <c r="I59" s="2117"/>
      <c r="J59" s="2107"/>
      <c r="K59" s="2107"/>
      <c r="L59" s="2107"/>
      <c r="M59" s="2110"/>
      <c r="N59" s="2107"/>
      <c r="O59" s="2107"/>
      <c r="P59" s="2107"/>
      <c r="Q59" s="2085"/>
      <c r="R59" s="2138"/>
      <c r="S59" s="2107"/>
      <c r="T59" s="2143"/>
      <c r="U59" s="2107"/>
      <c r="V59" s="2139"/>
      <c r="W59" s="2129"/>
      <c r="X59" s="2120"/>
      <c r="Y59" s="2095"/>
      <c r="Z59" s="2095">
        <v>63164</v>
      </c>
      <c r="AA59" s="2095">
        <v>45607</v>
      </c>
      <c r="AB59" s="2095">
        <v>140912</v>
      </c>
      <c r="AC59" s="2095">
        <v>365607</v>
      </c>
      <c r="AD59" s="2095">
        <v>75612</v>
      </c>
      <c r="AE59" s="2095"/>
      <c r="AF59" s="2095"/>
      <c r="AG59" s="2095"/>
      <c r="AH59" s="2095"/>
      <c r="AI59" s="2095"/>
      <c r="AJ59" s="2095"/>
      <c r="AK59" s="2100"/>
      <c r="AL59" s="2100"/>
      <c r="AM59" s="2101"/>
      <c r="AN59" s="381"/>
      <c r="AO59" s="381"/>
    </row>
    <row r="60" spans="1:369" s="341" customFormat="1" ht="27" customHeight="1" x14ac:dyDescent="0.2">
      <c r="A60" s="382" t="s">
        <v>369</v>
      </c>
      <c r="B60" s="383" t="s">
        <v>370</v>
      </c>
      <c r="C60" s="383"/>
      <c r="D60" s="383"/>
      <c r="E60" s="383"/>
      <c r="F60" s="384"/>
      <c r="G60" s="385"/>
      <c r="H60" s="386"/>
      <c r="I60" s="386"/>
      <c r="J60" s="332"/>
      <c r="K60" s="332"/>
      <c r="L60" s="332"/>
      <c r="M60" s="337"/>
      <c r="N60" s="332"/>
      <c r="O60" s="332"/>
      <c r="P60" s="332"/>
      <c r="Q60" s="332"/>
      <c r="R60" s="334"/>
      <c r="S60" s="332"/>
      <c r="T60" s="386"/>
      <c r="U60" s="386"/>
      <c r="V60" s="387"/>
      <c r="W60" s="388"/>
      <c r="X60" s="389"/>
      <c r="Y60" s="331"/>
      <c r="Z60" s="331"/>
      <c r="AA60" s="331"/>
      <c r="AB60" s="331"/>
      <c r="AC60" s="331"/>
      <c r="AD60" s="331"/>
      <c r="AE60" s="331"/>
      <c r="AF60" s="331"/>
      <c r="AG60" s="331"/>
      <c r="AH60" s="331"/>
      <c r="AI60" s="331"/>
      <c r="AJ60" s="331"/>
      <c r="AK60" s="390"/>
      <c r="AL60" s="390"/>
      <c r="AM60" s="391"/>
    </row>
    <row r="61" spans="1:369" s="340" customFormat="1" ht="27" customHeight="1" x14ac:dyDescent="0.2">
      <c r="A61" s="342"/>
      <c r="B61" s="343"/>
      <c r="C61" s="343"/>
      <c r="D61" s="392" t="s">
        <v>371</v>
      </c>
      <c r="E61" s="2144" t="s">
        <v>372</v>
      </c>
      <c r="F61" s="2144"/>
      <c r="G61" s="2144"/>
      <c r="H61" s="2144"/>
      <c r="I61" s="2144"/>
      <c r="J61" s="2144"/>
      <c r="K61" s="2144"/>
      <c r="L61" s="2144"/>
      <c r="M61" s="350"/>
      <c r="N61" s="346"/>
      <c r="O61" s="346"/>
      <c r="P61" s="346"/>
      <c r="Q61" s="346"/>
      <c r="R61" s="347"/>
      <c r="S61" s="346"/>
      <c r="T61" s="346"/>
      <c r="U61" s="346"/>
      <c r="V61" s="393"/>
      <c r="W61" s="349"/>
      <c r="X61" s="394"/>
      <c r="Y61" s="345"/>
      <c r="Z61" s="345"/>
      <c r="AA61" s="345"/>
      <c r="AB61" s="345"/>
      <c r="AC61" s="345"/>
      <c r="AD61" s="345"/>
      <c r="AE61" s="345"/>
      <c r="AF61" s="345"/>
      <c r="AG61" s="345"/>
      <c r="AH61" s="345"/>
      <c r="AI61" s="345"/>
      <c r="AJ61" s="345"/>
      <c r="AK61" s="351"/>
      <c r="AL61" s="351"/>
      <c r="AM61" s="395"/>
    </row>
    <row r="62" spans="1:369" s="340" customFormat="1" ht="27" customHeight="1" x14ac:dyDescent="0.2">
      <c r="A62" s="342"/>
      <c r="B62" s="343"/>
      <c r="C62" s="343"/>
      <c r="D62" s="353"/>
      <c r="E62" s="343"/>
      <c r="F62" s="343"/>
      <c r="G62" s="396" t="s">
        <v>373</v>
      </c>
      <c r="H62" s="361" t="s">
        <v>374</v>
      </c>
      <c r="I62" s="361"/>
      <c r="J62" s="361"/>
      <c r="K62" s="356"/>
      <c r="L62" s="356"/>
      <c r="M62" s="360"/>
      <c r="N62" s="356"/>
      <c r="O62" s="356"/>
      <c r="P62" s="356"/>
      <c r="Q62" s="356"/>
      <c r="R62" s="357"/>
      <c r="S62" s="356"/>
      <c r="T62" s="356"/>
      <c r="U62" s="356"/>
      <c r="V62" s="397"/>
      <c r="W62" s="359"/>
      <c r="X62" s="398"/>
      <c r="Y62" s="361"/>
      <c r="Z62" s="361"/>
      <c r="AA62" s="361"/>
      <c r="AB62" s="361"/>
      <c r="AC62" s="361"/>
      <c r="AD62" s="361"/>
      <c r="AE62" s="361"/>
      <c r="AF62" s="361"/>
      <c r="AG62" s="361"/>
      <c r="AH62" s="361"/>
      <c r="AI62" s="361"/>
      <c r="AJ62" s="361"/>
      <c r="AK62" s="362"/>
      <c r="AL62" s="362"/>
      <c r="AM62" s="399"/>
    </row>
    <row r="63" spans="1:369" s="402" customFormat="1" ht="30.75" customHeight="1" x14ac:dyDescent="0.2">
      <c r="A63" s="2108" t="s">
        <v>72</v>
      </c>
      <c r="B63" s="2145" t="s">
        <v>72</v>
      </c>
      <c r="C63" s="2146"/>
      <c r="D63" s="2108" t="s">
        <v>72</v>
      </c>
      <c r="E63" s="2145" t="s">
        <v>72</v>
      </c>
      <c r="F63" s="2146"/>
      <c r="G63" s="2120" t="s">
        <v>72</v>
      </c>
      <c r="H63" s="2087" t="s">
        <v>72</v>
      </c>
      <c r="I63" s="2087"/>
      <c r="J63" s="2149">
        <v>54</v>
      </c>
      <c r="K63" s="2105" t="s">
        <v>375</v>
      </c>
      <c r="L63" s="2105" t="s">
        <v>376</v>
      </c>
      <c r="M63" s="2108">
        <v>130</v>
      </c>
      <c r="N63" s="376"/>
      <c r="O63" s="2105">
        <v>19</v>
      </c>
      <c r="P63" s="2105" t="s">
        <v>377</v>
      </c>
      <c r="Q63" s="2083">
        <f>(V66+V67+V68)/R63</f>
        <v>0.42102777699947935</v>
      </c>
      <c r="R63" s="2140">
        <f>SUM(V63:V76)</f>
        <v>1156404493</v>
      </c>
      <c r="S63" s="2087" t="s">
        <v>378</v>
      </c>
      <c r="T63" s="2105" t="s">
        <v>379</v>
      </c>
      <c r="U63" s="371" t="s">
        <v>380</v>
      </c>
      <c r="V63" s="400">
        <f>146056055-50700000+36646916+21048109</f>
        <v>153051080</v>
      </c>
      <c r="W63" s="2152" t="s">
        <v>381</v>
      </c>
      <c r="X63" s="2154" t="s">
        <v>382</v>
      </c>
      <c r="Y63" s="2156">
        <v>37199</v>
      </c>
      <c r="Z63" s="2156">
        <v>98821</v>
      </c>
      <c r="AA63" s="2156">
        <v>50922</v>
      </c>
      <c r="AB63" s="2156">
        <v>151591</v>
      </c>
      <c r="AC63" s="2156">
        <v>151591</v>
      </c>
      <c r="AD63" s="2156">
        <v>71991</v>
      </c>
      <c r="AE63" s="2156">
        <v>12718</v>
      </c>
      <c r="AF63" s="2156">
        <v>2145</v>
      </c>
      <c r="AG63" s="2156"/>
      <c r="AH63" s="2156">
        <v>39704</v>
      </c>
      <c r="AI63" s="2156">
        <v>41543</v>
      </c>
      <c r="AJ63" s="2156">
        <v>71991</v>
      </c>
      <c r="AK63" s="2158">
        <v>42737</v>
      </c>
      <c r="AL63" s="2158">
        <v>43100</v>
      </c>
      <c r="AM63" s="2160" t="s">
        <v>316</v>
      </c>
      <c r="AN63" s="401"/>
      <c r="AO63" s="401"/>
      <c r="AP63" s="401"/>
      <c r="AQ63" s="401"/>
      <c r="AR63" s="401"/>
      <c r="AS63" s="401"/>
      <c r="AT63" s="401"/>
      <c r="AU63" s="401"/>
      <c r="AV63" s="401"/>
      <c r="AW63" s="401"/>
      <c r="AX63" s="401"/>
      <c r="AY63" s="401"/>
      <c r="AZ63" s="401"/>
      <c r="BA63" s="401"/>
      <c r="BB63" s="401"/>
      <c r="BC63" s="401"/>
      <c r="BD63" s="401"/>
      <c r="BE63" s="401"/>
      <c r="BF63" s="401"/>
      <c r="BG63" s="401"/>
      <c r="BH63" s="401"/>
      <c r="BI63" s="401"/>
      <c r="BJ63" s="401"/>
      <c r="BK63" s="401"/>
      <c r="BL63" s="401"/>
      <c r="BM63" s="401"/>
      <c r="BN63" s="401"/>
      <c r="BO63" s="401"/>
      <c r="BP63" s="401"/>
      <c r="BQ63" s="401"/>
      <c r="BR63" s="401"/>
      <c r="BS63" s="401"/>
      <c r="BT63" s="401"/>
      <c r="BU63" s="401"/>
      <c r="BV63" s="401"/>
      <c r="BW63" s="401"/>
      <c r="BX63" s="401"/>
      <c r="BY63" s="401"/>
      <c r="BZ63" s="401"/>
      <c r="CA63" s="401"/>
      <c r="CB63" s="401"/>
      <c r="CC63" s="401"/>
      <c r="CD63" s="401"/>
      <c r="CE63" s="401"/>
      <c r="CF63" s="401"/>
      <c r="CG63" s="401"/>
      <c r="CH63" s="401"/>
      <c r="CI63" s="401"/>
      <c r="CJ63" s="401"/>
      <c r="CK63" s="401"/>
      <c r="CL63" s="401"/>
      <c r="CM63" s="401"/>
      <c r="CN63" s="401"/>
      <c r="CO63" s="401"/>
      <c r="CP63" s="401"/>
      <c r="CQ63" s="401"/>
      <c r="CR63" s="401"/>
      <c r="CS63" s="401"/>
      <c r="CT63" s="401"/>
      <c r="CU63" s="401"/>
      <c r="CV63" s="401"/>
      <c r="CW63" s="401"/>
      <c r="CX63" s="401"/>
      <c r="CY63" s="401"/>
      <c r="CZ63" s="401"/>
      <c r="DA63" s="401"/>
      <c r="DB63" s="401"/>
      <c r="DC63" s="401"/>
      <c r="DD63" s="401"/>
      <c r="DE63" s="401"/>
      <c r="DF63" s="401"/>
      <c r="DG63" s="401"/>
      <c r="DH63" s="401"/>
      <c r="DI63" s="401"/>
      <c r="DJ63" s="401"/>
      <c r="DK63" s="401"/>
      <c r="DL63" s="401"/>
      <c r="DM63" s="401"/>
      <c r="DN63" s="401"/>
      <c r="DO63" s="401"/>
      <c r="DP63" s="401"/>
      <c r="DQ63" s="401"/>
      <c r="DR63" s="401"/>
      <c r="DS63" s="401"/>
      <c r="DT63" s="401"/>
      <c r="DU63" s="401"/>
      <c r="DV63" s="401"/>
      <c r="DW63" s="401"/>
      <c r="DX63" s="401"/>
      <c r="DY63" s="401"/>
      <c r="DZ63" s="401"/>
      <c r="EA63" s="401"/>
      <c r="EB63" s="401"/>
      <c r="EC63" s="401"/>
      <c r="ED63" s="401"/>
      <c r="EE63" s="401"/>
      <c r="EF63" s="401"/>
      <c r="EG63" s="401"/>
      <c r="EH63" s="401"/>
      <c r="EI63" s="401"/>
      <c r="EJ63" s="401"/>
      <c r="EK63" s="401"/>
      <c r="EL63" s="401"/>
      <c r="EM63" s="401"/>
      <c r="EN63" s="401"/>
      <c r="EO63" s="401"/>
      <c r="EP63" s="401"/>
      <c r="EQ63" s="401"/>
      <c r="ER63" s="401"/>
      <c r="ES63" s="401"/>
      <c r="ET63" s="401"/>
      <c r="EU63" s="401"/>
      <c r="EV63" s="401"/>
      <c r="EW63" s="401"/>
      <c r="EX63" s="401"/>
      <c r="EY63" s="401"/>
      <c r="EZ63" s="401"/>
      <c r="FA63" s="401"/>
      <c r="FB63" s="401"/>
      <c r="FC63" s="401"/>
      <c r="FD63" s="401"/>
      <c r="FE63" s="401"/>
      <c r="FF63" s="401"/>
      <c r="FG63" s="401"/>
      <c r="FH63" s="401"/>
      <c r="FI63" s="401"/>
      <c r="FJ63" s="401"/>
      <c r="FK63" s="401"/>
      <c r="FL63" s="401"/>
      <c r="FM63" s="401"/>
      <c r="FN63" s="401"/>
      <c r="FO63" s="401"/>
      <c r="FP63" s="401"/>
      <c r="FQ63" s="401"/>
      <c r="FR63" s="401"/>
      <c r="FS63" s="401"/>
      <c r="FT63" s="401"/>
      <c r="FU63" s="401"/>
      <c r="FV63" s="401"/>
      <c r="FW63" s="401"/>
      <c r="FX63" s="401"/>
      <c r="FY63" s="401"/>
      <c r="FZ63" s="401"/>
      <c r="GA63" s="401"/>
      <c r="GB63" s="401"/>
      <c r="GC63" s="401"/>
      <c r="GD63" s="401"/>
      <c r="GE63" s="401"/>
      <c r="GF63" s="401"/>
      <c r="GG63" s="401"/>
      <c r="GH63" s="401"/>
      <c r="GI63" s="401"/>
      <c r="GJ63" s="401"/>
      <c r="GK63" s="401"/>
      <c r="GL63" s="401"/>
      <c r="GM63" s="401"/>
      <c r="GN63" s="401"/>
      <c r="GO63" s="401"/>
      <c r="GP63" s="401"/>
      <c r="GQ63" s="401"/>
      <c r="GR63" s="401"/>
      <c r="GS63" s="401"/>
      <c r="GT63" s="401"/>
      <c r="GU63" s="401"/>
      <c r="GV63" s="401"/>
      <c r="GW63" s="401"/>
      <c r="GX63" s="401"/>
      <c r="GY63" s="401"/>
      <c r="GZ63" s="401"/>
      <c r="HA63" s="401"/>
      <c r="HB63" s="401"/>
      <c r="HC63" s="401"/>
      <c r="HD63" s="401"/>
      <c r="HE63" s="401"/>
      <c r="HF63" s="401"/>
      <c r="HG63" s="401"/>
      <c r="HH63" s="401"/>
      <c r="HI63" s="401"/>
      <c r="HJ63" s="401"/>
      <c r="HK63" s="401"/>
      <c r="HL63" s="401"/>
      <c r="HM63" s="401"/>
      <c r="HN63" s="401"/>
      <c r="HO63" s="401"/>
      <c r="HP63" s="401"/>
      <c r="HQ63" s="401"/>
      <c r="HR63" s="401"/>
      <c r="HS63" s="401"/>
      <c r="HT63" s="401"/>
      <c r="HU63" s="401"/>
      <c r="HV63" s="401"/>
      <c r="HW63" s="401"/>
      <c r="HX63" s="401"/>
      <c r="HY63" s="401"/>
      <c r="HZ63" s="401"/>
      <c r="IA63" s="401"/>
      <c r="IB63" s="401"/>
      <c r="IC63" s="401"/>
      <c r="ID63" s="401"/>
      <c r="IE63" s="401"/>
      <c r="IF63" s="401"/>
      <c r="IG63" s="401"/>
      <c r="IH63" s="401"/>
      <c r="II63" s="401"/>
      <c r="IJ63" s="401"/>
      <c r="IK63" s="401"/>
      <c r="IL63" s="401"/>
      <c r="IM63" s="401"/>
      <c r="IN63" s="401"/>
      <c r="IO63" s="401"/>
      <c r="IP63" s="401"/>
      <c r="IQ63" s="401"/>
      <c r="IR63" s="401"/>
      <c r="IS63" s="401"/>
      <c r="IT63" s="401"/>
      <c r="IU63" s="401"/>
      <c r="IV63" s="401"/>
      <c r="IW63" s="401"/>
      <c r="IX63" s="401"/>
      <c r="IY63" s="401"/>
      <c r="IZ63" s="401"/>
      <c r="JA63" s="401"/>
      <c r="JB63" s="401"/>
      <c r="JC63" s="401"/>
      <c r="JD63" s="401"/>
      <c r="JE63" s="401"/>
      <c r="JF63" s="401"/>
      <c r="JG63" s="401"/>
      <c r="JH63" s="401"/>
      <c r="JI63" s="401"/>
      <c r="JJ63" s="401"/>
      <c r="JK63" s="401"/>
      <c r="JL63" s="401"/>
      <c r="JM63" s="401"/>
      <c r="JN63" s="401"/>
      <c r="JO63" s="401"/>
      <c r="JP63" s="401"/>
      <c r="JQ63" s="401"/>
      <c r="JR63" s="401"/>
      <c r="JS63" s="401"/>
      <c r="JT63" s="401"/>
      <c r="JU63" s="401"/>
      <c r="JV63" s="401"/>
      <c r="JW63" s="401"/>
      <c r="JX63" s="401"/>
      <c r="JY63" s="401"/>
      <c r="JZ63" s="401"/>
      <c r="KA63" s="401"/>
      <c r="KB63" s="401"/>
      <c r="KC63" s="401"/>
      <c r="KD63" s="401"/>
      <c r="KE63" s="401"/>
      <c r="KF63" s="401"/>
      <c r="KG63" s="401"/>
      <c r="KH63" s="401"/>
      <c r="KI63" s="401"/>
      <c r="KJ63" s="401"/>
      <c r="KK63" s="401"/>
      <c r="KL63" s="401"/>
      <c r="KM63" s="401"/>
      <c r="KN63" s="401"/>
      <c r="KO63" s="401"/>
      <c r="KP63" s="401"/>
      <c r="KQ63" s="401"/>
      <c r="KR63" s="401"/>
      <c r="KS63" s="401"/>
      <c r="KT63" s="401"/>
      <c r="KU63" s="401"/>
      <c r="KV63" s="401"/>
      <c r="KW63" s="401"/>
      <c r="KX63" s="401"/>
      <c r="KY63" s="401"/>
      <c r="KZ63" s="401"/>
      <c r="LA63" s="401"/>
      <c r="LB63" s="401"/>
      <c r="LC63" s="401"/>
      <c r="LD63" s="401"/>
      <c r="LE63" s="401"/>
      <c r="LF63" s="401"/>
      <c r="LG63" s="401"/>
      <c r="LH63" s="401"/>
      <c r="LI63" s="401"/>
      <c r="LJ63" s="401"/>
      <c r="LK63" s="401"/>
      <c r="LL63" s="401"/>
      <c r="LM63" s="401"/>
      <c r="LN63" s="401"/>
      <c r="LO63" s="401"/>
      <c r="LP63" s="401"/>
      <c r="LQ63" s="401"/>
      <c r="LR63" s="401"/>
      <c r="LS63" s="401"/>
      <c r="LT63" s="401"/>
      <c r="LU63" s="401"/>
      <c r="LV63" s="401"/>
      <c r="LW63" s="401"/>
      <c r="LX63" s="401"/>
      <c r="LY63" s="401"/>
      <c r="LZ63" s="401"/>
      <c r="MA63" s="401"/>
      <c r="MB63" s="401"/>
      <c r="MC63" s="401"/>
      <c r="MD63" s="401"/>
      <c r="ME63" s="401"/>
      <c r="MF63" s="401"/>
      <c r="MG63" s="401"/>
      <c r="MH63" s="401"/>
      <c r="MI63" s="401"/>
      <c r="MJ63" s="401"/>
      <c r="MK63" s="401"/>
      <c r="ML63" s="401"/>
      <c r="MM63" s="401"/>
      <c r="MN63" s="401"/>
      <c r="MO63" s="401"/>
      <c r="MP63" s="401"/>
      <c r="MQ63" s="401"/>
      <c r="MR63" s="401"/>
      <c r="MS63" s="401"/>
      <c r="MT63" s="401"/>
      <c r="MU63" s="401"/>
      <c r="MV63" s="401"/>
      <c r="MW63" s="401"/>
      <c r="MX63" s="401"/>
      <c r="MY63" s="401"/>
      <c r="MZ63" s="401"/>
      <c r="NA63" s="401"/>
      <c r="NB63" s="401"/>
      <c r="NC63" s="401"/>
      <c r="ND63" s="401"/>
      <c r="NE63" s="401"/>
    </row>
    <row r="64" spans="1:369" s="404" customFormat="1" ht="30.75" customHeight="1" x14ac:dyDescent="0.2">
      <c r="A64" s="2109"/>
      <c r="B64" s="2147"/>
      <c r="C64" s="2130"/>
      <c r="D64" s="2109"/>
      <c r="E64" s="2147"/>
      <c r="F64" s="2130"/>
      <c r="G64" s="2120"/>
      <c r="H64" s="2087"/>
      <c r="I64" s="2087"/>
      <c r="J64" s="2150"/>
      <c r="K64" s="2106"/>
      <c r="L64" s="2106"/>
      <c r="M64" s="2109"/>
      <c r="N64" s="403"/>
      <c r="O64" s="2106"/>
      <c r="P64" s="2106"/>
      <c r="Q64" s="2084"/>
      <c r="R64" s="2141"/>
      <c r="S64" s="2087"/>
      <c r="T64" s="2106"/>
      <c r="U64" s="371" t="s">
        <v>383</v>
      </c>
      <c r="V64" s="400">
        <f>18500000+100000-18600000</f>
        <v>0</v>
      </c>
      <c r="W64" s="2153"/>
      <c r="X64" s="2155"/>
      <c r="Y64" s="2157"/>
      <c r="Z64" s="2157"/>
      <c r="AA64" s="2157"/>
      <c r="AB64" s="2157"/>
      <c r="AC64" s="2157"/>
      <c r="AD64" s="2157"/>
      <c r="AE64" s="2157"/>
      <c r="AF64" s="2157"/>
      <c r="AG64" s="2157"/>
      <c r="AH64" s="2157"/>
      <c r="AI64" s="2157"/>
      <c r="AJ64" s="2157"/>
      <c r="AK64" s="2159"/>
      <c r="AL64" s="2159"/>
      <c r="AM64" s="2161"/>
      <c r="AN64" s="401"/>
      <c r="AO64" s="401"/>
      <c r="AP64" s="401"/>
      <c r="AQ64" s="401"/>
      <c r="AR64" s="401"/>
      <c r="AS64" s="401"/>
      <c r="AT64" s="401"/>
      <c r="AU64" s="401"/>
      <c r="AV64" s="401"/>
      <c r="AW64" s="401"/>
      <c r="AX64" s="401"/>
      <c r="AY64" s="401"/>
      <c r="AZ64" s="401"/>
      <c r="BA64" s="401"/>
      <c r="BB64" s="401"/>
      <c r="BC64" s="401"/>
      <c r="BD64" s="401"/>
      <c r="BE64" s="401"/>
      <c r="BF64" s="401"/>
      <c r="BG64" s="401"/>
      <c r="BH64" s="401"/>
      <c r="BI64" s="401"/>
      <c r="BJ64" s="401"/>
      <c r="BK64" s="401"/>
      <c r="BL64" s="401"/>
      <c r="BM64" s="401"/>
      <c r="BN64" s="401"/>
      <c r="BO64" s="401"/>
      <c r="BP64" s="401"/>
      <c r="BQ64" s="401"/>
      <c r="BR64" s="401"/>
      <c r="BS64" s="401"/>
      <c r="BT64" s="401"/>
      <c r="BU64" s="401"/>
      <c r="BV64" s="401"/>
      <c r="BW64" s="401"/>
      <c r="BX64" s="401"/>
      <c r="BY64" s="401"/>
      <c r="BZ64" s="401"/>
      <c r="CA64" s="401"/>
      <c r="CB64" s="401"/>
      <c r="CC64" s="401"/>
      <c r="CD64" s="401"/>
      <c r="CE64" s="401"/>
      <c r="CF64" s="401"/>
      <c r="CG64" s="401"/>
      <c r="CH64" s="401"/>
      <c r="CI64" s="401"/>
      <c r="CJ64" s="401"/>
      <c r="CK64" s="401"/>
      <c r="CL64" s="401"/>
      <c r="CM64" s="401"/>
      <c r="CN64" s="401"/>
      <c r="CO64" s="401"/>
      <c r="CP64" s="401"/>
      <c r="CQ64" s="401"/>
      <c r="CR64" s="401"/>
      <c r="CS64" s="401"/>
      <c r="CT64" s="401"/>
      <c r="CU64" s="401"/>
      <c r="CV64" s="401"/>
      <c r="CW64" s="401"/>
      <c r="CX64" s="401"/>
      <c r="CY64" s="401"/>
      <c r="CZ64" s="401"/>
      <c r="DA64" s="401"/>
      <c r="DB64" s="401"/>
      <c r="DC64" s="401"/>
      <c r="DD64" s="401"/>
      <c r="DE64" s="401"/>
      <c r="DF64" s="401"/>
      <c r="DG64" s="401"/>
      <c r="DH64" s="401"/>
      <c r="DI64" s="401"/>
      <c r="DJ64" s="401"/>
      <c r="DK64" s="401"/>
      <c r="DL64" s="401"/>
      <c r="DM64" s="401"/>
      <c r="DN64" s="401"/>
      <c r="DO64" s="401"/>
      <c r="DP64" s="401"/>
      <c r="DQ64" s="401"/>
      <c r="DR64" s="401"/>
      <c r="DS64" s="401"/>
      <c r="DT64" s="401"/>
      <c r="DU64" s="401"/>
      <c r="DV64" s="401"/>
      <c r="DW64" s="401"/>
      <c r="DX64" s="401"/>
      <c r="DY64" s="401"/>
      <c r="DZ64" s="401"/>
      <c r="EA64" s="401"/>
      <c r="EB64" s="401"/>
      <c r="EC64" s="401"/>
      <c r="ED64" s="401"/>
      <c r="EE64" s="401"/>
      <c r="EF64" s="401"/>
      <c r="EG64" s="401"/>
      <c r="EH64" s="401"/>
      <c r="EI64" s="401"/>
      <c r="EJ64" s="401"/>
      <c r="EK64" s="401"/>
      <c r="EL64" s="401"/>
      <c r="EM64" s="401"/>
      <c r="EN64" s="401"/>
      <c r="EO64" s="401"/>
      <c r="EP64" s="401"/>
      <c r="EQ64" s="401"/>
      <c r="ER64" s="401"/>
      <c r="ES64" s="401"/>
      <c r="ET64" s="401"/>
      <c r="EU64" s="401"/>
      <c r="EV64" s="401"/>
      <c r="EW64" s="401"/>
      <c r="EX64" s="401"/>
      <c r="EY64" s="401"/>
      <c r="EZ64" s="401"/>
      <c r="FA64" s="401"/>
      <c r="FB64" s="401"/>
      <c r="FC64" s="401"/>
      <c r="FD64" s="401"/>
      <c r="FE64" s="401"/>
      <c r="FF64" s="401"/>
      <c r="FG64" s="401"/>
      <c r="FH64" s="401"/>
      <c r="FI64" s="401"/>
      <c r="FJ64" s="401"/>
      <c r="FK64" s="401"/>
      <c r="FL64" s="401"/>
      <c r="FM64" s="401"/>
      <c r="FN64" s="401"/>
      <c r="FO64" s="401"/>
      <c r="FP64" s="401"/>
      <c r="FQ64" s="401"/>
      <c r="FR64" s="401"/>
      <c r="FS64" s="401"/>
      <c r="FT64" s="401"/>
      <c r="FU64" s="401"/>
      <c r="FV64" s="401"/>
      <c r="FW64" s="401"/>
      <c r="FX64" s="401"/>
      <c r="FY64" s="401"/>
      <c r="FZ64" s="401"/>
      <c r="GA64" s="401"/>
      <c r="GB64" s="401"/>
      <c r="GC64" s="401"/>
      <c r="GD64" s="401"/>
      <c r="GE64" s="401"/>
      <c r="GF64" s="401"/>
      <c r="GG64" s="401"/>
      <c r="GH64" s="401"/>
      <c r="GI64" s="401"/>
      <c r="GJ64" s="401"/>
      <c r="GK64" s="401"/>
      <c r="GL64" s="401"/>
      <c r="GM64" s="401"/>
      <c r="GN64" s="401"/>
      <c r="GO64" s="401"/>
      <c r="GP64" s="401"/>
      <c r="GQ64" s="401"/>
      <c r="GR64" s="401"/>
      <c r="GS64" s="401"/>
      <c r="GT64" s="401"/>
      <c r="GU64" s="401"/>
      <c r="GV64" s="401"/>
      <c r="GW64" s="401"/>
      <c r="GX64" s="401"/>
      <c r="GY64" s="401"/>
      <c r="GZ64" s="401"/>
      <c r="HA64" s="401"/>
      <c r="HB64" s="401"/>
      <c r="HC64" s="401"/>
      <c r="HD64" s="401"/>
      <c r="HE64" s="401"/>
      <c r="HF64" s="401"/>
      <c r="HG64" s="401"/>
      <c r="HH64" s="401"/>
      <c r="HI64" s="401"/>
      <c r="HJ64" s="401"/>
      <c r="HK64" s="401"/>
      <c r="HL64" s="401"/>
      <c r="HM64" s="401"/>
      <c r="HN64" s="401"/>
      <c r="HO64" s="401"/>
      <c r="HP64" s="401"/>
      <c r="HQ64" s="401"/>
      <c r="HR64" s="401"/>
      <c r="HS64" s="401"/>
      <c r="HT64" s="401"/>
      <c r="HU64" s="401"/>
      <c r="HV64" s="401"/>
      <c r="HW64" s="401"/>
      <c r="HX64" s="401"/>
      <c r="HY64" s="401"/>
      <c r="HZ64" s="401"/>
      <c r="IA64" s="401"/>
      <c r="IB64" s="401"/>
      <c r="IC64" s="401"/>
      <c r="ID64" s="401"/>
      <c r="IE64" s="401"/>
      <c r="IF64" s="401"/>
      <c r="IG64" s="401"/>
      <c r="IH64" s="401"/>
      <c r="II64" s="401"/>
      <c r="IJ64" s="401"/>
      <c r="IK64" s="401"/>
      <c r="IL64" s="401"/>
      <c r="IM64" s="401"/>
      <c r="IN64" s="401"/>
      <c r="IO64" s="401"/>
      <c r="IP64" s="401"/>
      <c r="IQ64" s="401"/>
      <c r="IR64" s="401"/>
      <c r="IS64" s="401"/>
      <c r="IT64" s="401"/>
      <c r="IU64" s="401"/>
      <c r="IV64" s="401"/>
      <c r="IW64" s="401"/>
      <c r="IX64" s="401"/>
      <c r="IY64" s="401"/>
      <c r="IZ64" s="401"/>
      <c r="JA64" s="401"/>
      <c r="JB64" s="401"/>
      <c r="JC64" s="401"/>
      <c r="JD64" s="401"/>
      <c r="JE64" s="401"/>
      <c r="JF64" s="401"/>
      <c r="JG64" s="401"/>
      <c r="JH64" s="401"/>
      <c r="JI64" s="401"/>
      <c r="JJ64" s="401"/>
      <c r="JK64" s="401"/>
      <c r="JL64" s="401"/>
      <c r="JM64" s="401"/>
      <c r="JN64" s="401"/>
      <c r="JO64" s="401"/>
      <c r="JP64" s="401"/>
      <c r="JQ64" s="401"/>
      <c r="JR64" s="401"/>
      <c r="JS64" s="401"/>
      <c r="JT64" s="401"/>
      <c r="JU64" s="401"/>
      <c r="JV64" s="401"/>
      <c r="JW64" s="401"/>
      <c r="JX64" s="401"/>
      <c r="JY64" s="401"/>
      <c r="JZ64" s="401"/>
      <c r="KA64" s="401"/>
      <c r="KB64" s="401"/>
      <c r="KC64" s="401"/>
      <c r="KD64" s="401"/>
      <c r="KE64" s="401"/>
      <c r="KF64" s="401"/>
      <c r="KG64" s="401"/>
      <c r="KH64" s="401"/>
      <c r="KI64" s="401"/>
      <c r="KJ64" s="401"/>
      <c r="KK64" s="401"/>
      <c r="KL64" s="401"/>
      <c r="KM64" s="401"/>
      <c r="KN64" s="401"/>
      <c r="KO64" s="401"/>
      <c r="KP64" s="401"/>
      <c r="KQ64" s="401"/>
      <c r="KR64" s="401"/>
      <c r="KS64" s="401"/>
      <c r="KT64" s="401"/>
      <c r="KU64" s="401"/>
      <c r="KV64" s="401"/>
      <c r="KW64" s="401"/>
      <c r="KX64" s="401"/>
      <c r="KY64" s="401"/>
      <c r="KZ64" s="401"/>
      <c r="LA64" s="401"/>
      <c r="LB64" s="401"/>
      <c r="LC64" s="401"/>
      <c r="LD64" s="401"/>
      <c r="LE64" s="401"/>
      <c r="LF64" s="401"/>
      <c r="LG64" s="401"/>
      <c r="LH64" s="401"/>
      <c r="LI64" s="401"/>
      <c r="LJ64" s="401"/>
      <c r="LK64" s="401"/>
      <c r="LL64" s="401"/>
      <c r="LM64" s="401"/>
      <c r="LN64" s="401"/>
      <c r="LO64" s="401"/>
      <c r="LP64" s="401"/>
      <c r="LQ64" s="401"/>
      <c r="LR64" s="401"/>
      <c r="LS64" s="401"/>
      <c r="LT64" s="401"/>
      <c r="LU64" s="401"/>
      <c r="LV64" s="401"/>
      <c r="LW64" s="401"/>
      <c r="LX64" s="401"/>
      <c r="LY64" s="401"/>
      <c r="LZ64" s="401"/>
      <c r="MA64" s="401"/>
      <c r="MB64" s="401"/>
      <c r="MC64" s="401"/>
      <c r="MD64" s="401"/>
      <c r="ME64" s="401"/>
      <c r="MF64" s="401"/>
      <c r="MG64" s="401"/>
      <c r="MH64" s="401"/>
      <c r="MI64" s="401"/>
      <c r="MJ64" s="401"/>
      <c r="MK64" s="401"/>
      <c r="ML64" s="401"/>
      <c r="MM64" s="401"/>
      <c r="MN64" s="401"/>
      <c r="MO64" s="401"/>
      <c r="MP64" s="401"/>
      <c r="MQ64" s="401"/>
      <c r="MR64" s="401"/>
      <c r="MS64" s="401"/>
      <c r="MT64" s="401"/>
      <c r="MU64" s="401"/>
      <c r="MV64" s="401"/>
      <c r="MW64" s="401"/>
      <c r="MX64" s="401"/>
      <c r="MY64" s="401"/>
      <c r="MZ64" s="401"/>
      <c r="NA64" s="401"/>
      <c r="NB64" s="401"/>
      <c r="NC64" s="401"/>
      <c r="ND64" s="401"/>
      <c r="NE64" s="401"/>
    </row>
    <row r="65" spans="1:384" s="404" customFormat="1" ht="30.75" customHeight="1" x14ac:dyDescent="0.2">
      <c r="A65" s="2109"/>
      <c r="B65" s="2147"/>
      <c r="C65" s="2130"/>
      <c r="D65" s="2109"/>
      <c r="E65" s="2147"/>
      <c r="F65" s="2130"/>
      <c r="G65" s="2120"/>
      <c r="H65" s="2087"/>
      <c r="I65" s="2087"/>
      <c r="J65" s="2150"/>
      <c r="K65" s="2106"/>
      <c r="L65" s="2106"/>
      <c r="M65" s="2109"/>
      <c r="N65" s="403"/>
      <c r="O65" s="2106"/>
      <c r="P65" s="2106"/>
      <c r="Q65" s="2084"/>
      <c r="R65" s="2141"/>
      <c r="S65" s="2087"/>
      <c r="T65" s="2106"/>
      <c r="U65" s="371" t="s">
        <v>384</v>
      </c>
      <c r="V65" s="400">
        <f>18500000+100000-18600000</f>
        <v>0</v>
      </c>
      <c r="W65" s="2153"/>
      <c r="X65" s="2155"/>
      <c r="Y65" s="2157"/>
      <c r="Z65" s="2157"/>
      <c r="AA65" s="2157"/>
      <c r="AB65" s="2157"/>
      <c r="AC65" s="2157"/>
      <c r="AD65" s="2157"/>
      <c r="AE65" s="2157"/>
      <c r="AF65" s="2157"/>
      <c r="AG65" s="2157"/>
      <c r="AH65" s="2157"/>
      <c r="AI65" s="2157"/>
      <c r="AJ65" s="2157"/>
      <c r="AK65" s="2159"/>
      <c r="AL65" s="2159"/>
      <c r="AM65" s="2161"/>
      <c r="AN65" s="401"/>
      <c r="AO65" s="401"/>
      <c r="AP65" s="401"/>
      <c r="AQ65" s="401"/>
      <c r="AR65" s="401"/>
      <c r="AS65" s="401"/>
      <c r="AT65" s="401"/>
      <c r="AU65" s="401"/>
      <c r="AV65" s="401"/>
      <c r="AW65" s="401"/>
      <c r="AX65" s="401"/>
      <c r="AY65" s="401"/>
      <c r="AZ65" s="401"/>
      <c r="BA65" s="401"/>
      <c r="BB65" s="401"/>
      <c r="BC65" s="401"/>
      <c r="BD65" s="401"/>
      <c r="BE65" s="401"/>
      <c r="BF65" s="401"/>
      <c r="BG65" s="401"/>
      <c r="BH65" s="401"/>
      <c r="BI65" s="401"/>
      <c r="BJ65" s="401"/>
      <c r="BK65" s="401"/>
      <c r="BL65" s="401"/>
      <c r="BM65" s="401"/>
      <c r="BN65" s="401"/>
      <c r="BO65" s="401"/>
      <c r="BP65" s="401"/>
      <c r="BQ65" s="401"/>
      <c r="BR65" s="401"/>
      <c r="BS65" s="401"/>
      <c r="BT65" s="401"/>
      <c r="BU65" s="401"/>
      <c r="BV65" s="401"/>
      <c r="BW65" s="401"/>
      <c r="BX65" s="401"/>
      <c r="BY65" s="401"/>
      <c r="BZ65" s="401"/>
      <c r="CA65" s="401"/>
      <c r="CB65" s="401"/>
      <c r="CC65" s="401"/>
      <c r="CD65" s="401"/>
      <c r="CE65" s="401"/>
      <c r="CF65" s="401"/>
      <c r="CG65" s="401"/>
      <c r="CH65" s="401"/>
      <c r="CI65" s="401"/>
      <c r="CJ65" s="401"/>
      <c r="CK65" s="401"/>
      <c r="CL65" s="401"/>
      <c r="CM65" s="401"/>
      <c r="CN65" s="401"/>
      <c r="CO65" s="401"/>
      <c r="CP65" s="401"/>
      <c r="CQ65" s="401"/>
      <c r="CR65" s="401"/>
      <c r="CS65" s="401"/>
      <c r="CT65" s="401"/>
      <c r="CU65" s="401"/>
      <c r="CV65" s="401"/>
      <c r="CW65" s="401"/>
      <c r="CX65" s="401"/>
      <c r="CY65" s="401"/>
      <c r="CZ65" s="401"/>
      <c r="DA65" s="401"/>
      <c r="DB65" s="401"/>
      <c r="DC65" s="401"/>
      <c r="DD65" s="401"/>
      <c r="DE65" s="401"/>
      <c r="DF65" s="401"/>
      <c r="DG65" s="401"/>
      <c r="DH65" s="401"/>
      <c r="DI65" s="401"/>
      <c r="DJ65" s="401"/>
      <c r="DK65" s="401"/>
      <c r="DL65" s="401"/>
      <c r="DM65" s="401"/>
      <c r="DN65" s="401"/>
      <c r="DO65" s="401"/>
      <c r="DP65" s="401"/>
      <c r="DQ65" s="401"/>
      <c r="DR65" s="401"/>
      <c r="DS65" s="401"/>
      <c r="DT65" s="401"/>
      <c r="DU65" s="401"/>
      <c r="DV65" s="401"/>
      <c r="DW65" s="401"/>
      <c r="DX65" s="401"/>
      <c r="DY65" s="401"/>
      <c r="DZ65" s="401"/>
      <c r="EA65" s="401"/>
      <c r="EB65" s="401"/>
      <c r="EC65" s="401"/>
      <c r="ED65" s="401"/>
      <c r="EE65" s="401"/>
      <c r="EF65" s="401"/>
      <c r="EG65" s="401"/>
      <c r="EH65" s="401"/>
      <c r="EI65" s="401"/>
      <c r="EJ65" s="401"/>
      <c r="EK65" s="401"/>
      <c r="EL65" s="401"/>
      <c r="EM65" s="401"/>
      <c r="EN65" s="401"/>
      <c r="EO65" s="401"/>
      <c r="EP65" s="401"/>
      <c r="EQ65" s="401"/>
      <c r="ER65" s="401"/>
      <c r="ES65" s="401"/>
      <c r="ET65" s="401"/>
      <c r="EU65" s="401"/>
      <c r="EV65" s="401"/>
      <c r="EW65" s="401"/>
      <c r="EX65" s="401"/>
      <c r="EY65" s="401"/>
      <c r="EZ65" s="401"/>
      <c r="FA65" s="401"/>
      <c r="FB65" s="401"/>
      <c r="FC65" s="401"/>
      <c r="FD65" s="401"/>
      <c r="FE65" s="401"/>
      <c r="FF65" s="401"/>
      <c r="FG65" s="401"/>
      <c r="FH65" s="401"/>
      <c r="FI65" s="401"/>
      <c r="FJ65" s="401"/>
      <c r="FK65" s="401"/>
      <c r="FL65" s="401"/>
      <c r="FM65" s="401"/>
      <c r="FN65" s="401"/>
      <c r="FO65" s="401"/>
      <c r="FP65" s="401"/>
      <c r="FQ65" s="401"/>
      <c r="FR65" s="401"/>
      <c r="FS65" s="401"/>
      <c r="FT65" s="401"/>
      <c r="FU65" s="401"/>
      <c r="FV65" s="401"/>
      <c r="FW65" s="401"/>
      <c r="FX65" s="401"/>
      <c r="FY65" s="401"/>
      <c r="FZ65" s="401"/>
      <c r="GA65" s="401"/>
      <c r="GB65" s="401"/>
      <c r="GC65" s="401"/>
      <c r="GD65" s="401"/>
      <c r="GE65" s="401"/>
      <c r="GF65" s="401"/>
      <c r="GG65" s="401"/>
      <c r="GH65" s="401"/>
      <c r="GI65" s="401"/>
      <c r="GJ65" s="401"/>
      <c r="GK65" s="401"/>
      <c r="GL65" s="401"/>
      <c r="GM65" s="401"/>
      <c r="GN65" s="401"/>
      <c r="GO65" s="401"/>
      <c r="GP65" s="401"/>
      <c r="GQ65" s="401"/>
      <c r="GR65" s="401"/>
      <c r="GS65" s="401"/>
      <c r="GT65" s="401"/>
      <c r="GU65" s="401"/>
      <c r="GV65" s="401"/>
      <c r="GW65" s="401"/>
      <c r="GX65" s="401"/>
      <c r="GY65" s="401"/>
      <c r="GZ65" s="401"/>
      <c r="HA65" s="401"/>
      <c r="HB65" s="401"/>
      <c r="HC65" s="401"/>
      <c r="HD65" s="401"/>
      <c r="HE65" s="401"/>
      <c r="HF65" s="401"/>
      <c r="HG65" s="401"/>
      <c r="HH65" s="401"/>
      <c r="HI65" s="401"/>
      <c r="HJ65" s="401"/>
      <c r="HK65" s="401"/>
      <c r="HL65" s="401"/>
      <c r="HM65" s="401"/>
      <c r="HN65" s="401"/>
      <c r="HO65" s="401"/>
      <c r="HP65" s="401"/>
      <c r="HQ65" s="401"/>
      <c r="HR65" s="401"/>
      <c r="HS65" s="401"/>
      <c r="HT65" s="401"/>
      <c r="HU65" s="401"/>
      <c r="HV65" s="401"/>
      <c r="HW65" s="401"/>
      <c r="HX65" s="401"/>
      <c r="HY65" s="401"/>
      <c r="HZ65" s="401"/>
      <c r="IA65" s="401"/>
      <c r="IB65" s="401"/>
      <c r="IC65" s="401"/>
      <c r="ID65" s="401"/>
      <c r="IE65" s="401"/>
      <c r="IF65" s="401"/>
      <c r="IG65" s="401"/>
      <c r="IH65" s="401"/>
      <c r="II65" s="401"/>
      <c r="IJ65" s="401"/>
      <c r="IK65" s="401"/>
      <c r="IL65" s="401"/>
      <c r="IM65" s="401"/>
      <c r="IN65" s="401"/>
      <c r="IO65" s="401"/>
      <c r="IP65" s="401"/>
      <c r="IQ65" s="401"/>
      <c r="IR65" s="401"/>
      <c r="IS65" s="401"/>
      <c r="IT65" s="401"/>
      <c r="IU65" s="401"/>
      <c r="IV65" s="401"/>
      <c r="IW65" s="401"/>
      <c r="IX65" s="401"/>
      <c r="IY65" s="401"/>
      <c r="IZ65" s="401"/>
      <c r="JA65" s="401"/>
      <c r="JB65" s="401"/>
      <c r="JC65" s="401"/>
      <c r="JD65" s="401"/>
      <c r="JE65" s="401"/>
      <c r="JF65" s="401"/>
      <c r="JG65" s="401"/>
      <c r="JH65" s="401"/>
      <c r="JI65" s="401"/>
      <c r="JJ65" s="401"/>
      <c r="JK65" s="401"/>
      <c r="JL65" s="401"/>
      <c r="JM65" s="401"/>
      <c r="JN65" s="401"/>
      <c r="JO65" s="401"/>
      <c r="JP65" s="401"/>
      <c r="JQ65" s="401"/>
      <c r="JR65" s="401"/>
      <c r="JS65" s="401"/>
      <c r="JT65" s="401"/>
      <c r="JU65" s="401"/>
      <c r="JV65" s="401"/>
      <c r="JW65" s="401"/>
      <c r="JX65" s="401"/>
      <c r="JY65" s="401"/>
      <c r="JZ65" s="401"/>
      <c r="KA65" s="401"/>
      <c r="KB65" s="401"/>
      <c r="KC65" s="401"/>
      <c r="KD65" s="401"/>
      <c r="KE65" s="401"/>
      <c r="KF65" s="401"/>
      <c r="KG65" s="401"/>
      <c r="KH65" s="401"/>
      <c r="KI65" s="401"/>
      <c r="KJ65" s="401"/>
      <c r="KK65" s="401"/>
      <c r="KL65" s="401"/>
      <c r="KM65" s="401"/>
      <c r="KN65" s="401"/>
      <c r="KO65" s="401"/>
      <c r="KP65" s="401"/>
      <c r="KQ65" s="401"/>
      <c r="KR65" s="401"/>
      <c r="KS65" s="401"/>
      <c r="KT65" s="401"/>
      <c r="KU65" s="401"/>
      <c r="KV65" s="401"/>
      <c r="KW65" s="401"/>
      <c r="KX65" s="401"/>
      <c r="KY65" s="401"/>
      <c r="KZ65" s="401"/>
      <c r="LA65" s="401"/>
      <c r="LB65" s="401"/>
      <c r="LC65" s="401"/>
      <c r="LD65" s="401"/>
      <c r="LE65" s="401"/>
      <c r="LF65" s="401"/>
      <c r="LG65" s="401"/>
      <c r="LH65" s="401"/>
      <c r="LI65" s="401"/>
      <c r="LJ65" s="401"/>
      <c r="LK65" s="401"/>
      <c r="LL65" s="401"/>
      <c r="LM65" s="401"/>
      <c r="LN65" s="401"/>
      <c r="LO65" s="401"/>
      <c r="LP65" s="401"/>
      <c r="LQ65" s="401"/>
      <c r="LR65" s="401"/>
      <c r="LS65" s="401"/>
      <c r="LT65" s="401"/>
      <c r="LU65" s="401"/>
      <c r="LV65" s="401"/>
      <c r="LW65" s="401"/>
      <c r="LX65" s="401"/>
      <c r="LY65" s="401"/>
      <c r="LZ65" s="401"/>
      <c r="MA65" s="401"/>
      <c r="MB65" s="401"/>
      <c r="MC65" s="401"/>
      <c r="MD65" s="401"/>
      <c r="ME65" s="401"/>
      <c r="MF65" s="401"/>
      <c r="MG65" s="401"/>
      <c r="MH65" s="401"/>
      <c r="MI65" s="401"/>
      <c r="MJ65" s="401"/>
      <c r="MK65" s="401"/>
      <c r="ML65" s="401"/>
      <c r="MM65" s="401"/>
      <c r="MN65" s="401"/>
      <c r="MO65" s="401"/>
      <c r="MP65" s="401"/>
      <c r="MQ65" s="401"/>
      <c r="MR65" s="401"/>
      <c r="MS65" s="401"/>
      <c r="MT65" s="401"/>
      <c r="MU65" s="401"/>
      <c r="MV65" s="401"/>
      <c r="MW65" s="401"/>
      <c r="MX65" s="401"/>
      <c r="MY65" s="401"/>
      <c r="MZ65" s="401"/>
      <c r="NA65" s="401"/>
      <c r="NB65" s="401"/>
      <c r="NC65" s="401"/>
      <c r="ND65" s="401"/>
      <c r="NE65" s="401"/>
    </row>
    <row r="66" spans="1:384" s="404" customFormat="1" ht="30.75" customHeight="1" x14ac:dyDescent="0.2">
      <c r="A66" s="2109"/>
      <c r="B66" s="2147"/>
      <c r="C66" s="2130"/>
      <c r="D66" s="2109"/>
      <c r="E66" s="2147"/>
      <c r="F66" s="2130"/>
      <c r="G66" s="2120"/>
      <c r="H66" s="2087"/>
      <c r="I66" s="2087"/>
      <c r="J66" s="2150"/>
      <c r="K66" s="2106"/>
      <c r="L66" s="2106"/>
      <c r="M66" s="2109"/>
      <c r="N66" s="403"/>
      <c r="O66" s="2106"/>
      <c r="P66" s="2106"/>
      <c r="Q66" s="2084"/>
      <c r="R66" s="2141"/>
      <c r="S66" s="2087"/>
      <c r="T66" s="2106"/>
      <c r="U66" s="371" t="s">
        <v>385</v>
      </c>
      <c r="V66" s="400">
        <f>45500000+2550000+37490000</f>
        <v>85540000</v>
      </c>
      <c r="W66" s="2153"/>
      <c r="X66" s="2155"/>
      <c r="Y66" s="2157"/>
      <c r="Z66" s="2157"/>
      <c r="AA66" s="2157"/>
      <c r="AB66" s="2157"/>
      <c r="AC66" s="2157"/>
      <c r="AD66" s="2157"/>
      <c r="AE66" s="2157"/>
      <c r="AF66" s="2157"/>
      <c r="AG66" s="2157"/>
      <c r="AH66" s="2157"/>
      <c r="AI66" s="2157"/>
      <c r="AJ66" s="2157"/>
      <c r="AK66" s="2159"/>
      <c r="AL66" s="2159"/>
      <c r="AM66" s="2161"/>
      <c r="AN66" s="401"/>
      <c r="AO66" s="401"/>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c r="BS66" s="401"/>
      <c r="BT66" s="401"/>
      <c r="BU66" s="401"/>
      <c r="BV66" s="401"/>
      <c r="BW66" s="401"/>
      <c r="BX66" s="401"/>
      <c r="BY66" s="401"/>
      <c r="BZ66" s="401"/>
      <c r="CA66" s="401"/>
      <c r="CB66" s="401"/>
      <c r="CC66" s="401"/>
      <c r="CD66" s="401"/>
      <c r="CE66" s="401"/>
      <c r="CF66" s="401"/>
      <c r="CG66" s="401"/>
      <c r="CH66" s="401"/>
      <c r="CI66" s="401"/>
      <c r="CJ66" s="401"/>
      <c r="CK66" s="401"/>
      <c r="CL66" s="401"/>
      <c r="CM66" s="401"/>
      <c r="CN66" s="401"/>
      <c r="CO66" s="401"/>
      <c r="CP66" s="401"/>
      <c r="CQ66" s="401"/>
      <c r="CR66" s="401"/>
      <c r="CS66" s="401"/>
      <c r="CT66" s="401"/>
      <c r="CU66" s="401"/>
      <c r="CV66" s="401"/>
      <c r="CW66" s="401"/>
      <c r="CX66" s="401"/>
      <c r="CY66" s="401"/>
      <c r="CZ66" s="401"/>
      <c r="DA66" s="401"/>
      <c r="DB66" s="401"/>
      <c r="DC66" s="401"/>
      <c r="DD66" s="401"/>
      <c r="DE66" s="401"/>
      <c r="DF66" s="401"/>
      <c r="DG66" s="401"/>
      <c r="DH66" s="401"/>
      <c r="DI66" s="401"/>
      <c r="DJ66" s="401"/>
      <c r="DK66" s="401"/>
      <c r="DL66" s="401"/>
      <c r="DM66" s="401"/>
      <c r="DN66" s="401"/>
      <c r="DO66" s="401"/>
      <c r="DP66" s="401"/>
      <c r="DQ66" s="401"/>
      <c r="DR66" s="401"/>
      <c r="DS66" s="401"/>
      <c r="DT66" s="401"/>
      <c r="DU66" s="401"/>
      <c r="DV66" s="401"/>
      <c r="DW66" s="401"/>
      <c r="DX66" s="401"/>
      <c r="DY66" s="401"/>
      <c r="DZ66" s="401"/>
      <c r="EA66" s="401"/>
      <c r="EB66" s="401"/>
      <c r="EC66" s="401"/>
      <c r="ED66" s="401"/>
      <c r="EE66" s="401"/>
      <c r="EF66" s="401"/>
      <c r="EG66" s="401"/>
      <c r="EH66" s="401"/>
      <c r="EI66" s="401"/>
      <c r="EJ66" s="401"/>
      <c r="EK66" s="401"/>
      <c r="EL66" s="401"/>
      <c r="EM66" s="401"/>
      <c r="EN66" s="401"/>
      <c r="EO66" s="401"/>
      <c r="EP66" s="401"/>
      <c r="EQ66" s="401"/>
      <c r="ER66" s="401"/>
      <c r="ES66" s="401"/>
      <c r="ET66" s="401"/>
      <c r="EU66" s="401"/>
      <c r="EV66" s="401"/>
      <c r="EW66" s="401"/>
      <c r="EX66" s="401"/>
      <c r="EY66" s="401"/>
      <c r="EZ66" s="401"/>
      <c r="FA66" s="401"/>
      <c r="FB66" s="401"/>
      <c r="FC66" s="401"/>
      <c r="FD66" s="401"/>
      <c r="FE66" s="401"/>
      <c r="FF66" s="401"/>
      <c r="FG66" s="401"/>
      <c r="FH66" s="401"/>
      <c r="FI66" s="401"/>
      <c r="FJ66" s="401"/>
      <c r="FK66" s="401"/>
      <c r="FL66" s="401"/>
      <c r="FM66" s="401"/>
      <c r="FN66" s="401"/>
      <c r="FO66" s="401"/>
      <c r="FP66" s="401"/>
      <c r="FQ66" s="401"/>
      <c r="FR66" s="401"/>
      <c r="FS66" s="401"/>
      <c r="FT66" s="401"/>
      <c r="FU66" s="401"/>
      <c r="FV66" s="401"/>
      <c r="FW66" s="401"/>
      <c r="FX66" s="401"/>
      <c r="FY66" s="401"/>
      <c r="FZ66" s="401"/>
      <c r="GA66" s="401"/>
      <c r="GB66" s="401"/>
      <c r="GC66" s="401"/>
      <c r="GD66" s="401"/>
      <c r="GE66" s="401"/>
      <c r="GF66" s="401"/>
      <c r="GG66" s="401"/>
      <c r="GH66" s="401"/>
      <c r="GI66" s="401"/>
      <c r="GJ66" s="401"/>
      <c r="GK66" s="401"/>
      <c r="GL66" s="401"/>
      <c r="GM66" s="401"/>
      <c r="GN66" s="401"/>
      <c r="GO66" s="401"/>
      <c r="GP66" s="401"/>
      <c r="GQ66" s="401"/>
      <c r="GR66" s="401"/>
      <c r="GS66" s="401"/>
      <c r="GT66" s="401"/>
      <c r="GU66" s="401"/>
      <c r="GV66" s="401"/>
      <c r="GW66" s="401"/>
      <c r="GX66" s="401"/>
      <c r="GY66" s="401"/>
      <c r="GZ66" s="401"/>
      <c r="HA66" s="401"/>
      <c r="HB66" s="401"/>
      <c r="HC66" s="401"/>
      <c r="HD66" s="401"/>
      <c r="HE66" s="401"/>
      <c r="HF66" s="401"/>
      <c r="HG66" s="401"/>
      <c r="HH66" s="401"/>
      <c r="HI66" s="401"/>
      <c r="HJ66" s="401"/>
      <c r="HK66" s="401"/>
      <c r="HL66" s="401"/>
      <c r="HM66" s="401"/>
      <c r="HN66" s="401"/>
      <c r="HO66" s="401"/>
      <c r="HP66" s="401"/>
      <c r="HQ66" s="401"/>
      <c r="HR66" s="401"/>
      <c r="HS66" s="401"/>
      <c r="HT66" s="401"/>
      <c r="HU66" s="401"/>
      <c r="HV66" s="401"/>
      <c r="HW66" s="401"/>
      <c r="HX66" s="401"/>
      <c r="HY66" s="401"/>
      <c r="HZ66" s="401"/>
      <c r="IA66" s="401"/>
      <c r="IB66" s="401"/>
      <c r="IC66" s="401"/>
      <c r="ID66" s="401"/>
      <c r="IE66" s="401"/>
      <c r="IF66" s="401"/>
      <c r="IG66" s="401"/>
      <c r="IH66" s="401"/>
      <c r="II66" s="401"/>
      <c r="IJ66" s="401"/>
      <c r="IK66" s="401"/>
      <c r="IL66" s="401"/>
      <c r="IM66" s="401"/>
      <c r="IN66" s="401"/>
      <c r="IO66" s="401"/>
      <c r="IP66" s="401"/>
      <c r="IQ66" s="401"/>
      <c r="IR66" s="401"/>
      <c r="IS66" s="401"/>
      <c r="IT66" s="401"/>
      <c r="IU66" s="401"/>
      <c r="IV66" s="401"/>
      <c r="IW66" s="401"/>
      <c r="IX66" s="401"/>
      <c r="IY66" s="401"/>
      <c r="IZ66" s="401"/>
      <c r="JA66" s="401"/>
      <c r="JB66" s="401"/>
      <c r="JC66" s="401"/>
      <c r="JD66" s="401"/>
      <c r="JE66" s="401"/>
      <c r="JF66" s="401"/>
      <c r="JG66" s="401"/>
      <c r="JH66" s="401"/>
      <c r="JI66" s="401"/>
      <c r="JJ66" s="401"/>
      <c r="JK66" s="401"/>
      <c r="JL66" s="401"/>
      <c r="JM66" s="401"/>
      <c r="JN66" s="401"/>
      <c r="JO66" s="401"/>
      <c r="JP66" s="401"/>
      <c r="JQ66" s="401"/>
      <c r="JR66" s="401"/>
      <c r="JS66" s="401"/>
      <c r="JT66" s="401"/>
      <c r="JU66" s="401"/>
      <c r="JV66" s="401"/>
      <c r="JW66" s="401"/>
      <c r="JX66" s="401"/>
      <c r="JY66" s="401"/>
      <c r="JZ66" s="401"/>
      <c r="KA66" s="401"/>
      <c r="KB66" s="401"/>
      <c r="KC66" s="401"/>
      <c r="KD66" s="401"/>
      <c r="KE66" s="401"/>
      <c r="KF66" s="401"/>
      <c r="KG66" s="401"/>
      <c r="KH66" s="401"/>
      <c r="KI66" s="401"/>
      <c r="KJ66" s="401"/>
      <c r="KK66" s="401"/>
      <c r="KL66" s="401"/>
      <c r="KM66" s="401"/>
      <c r="KN66" s="401"/>
      <c r="KO66" s="401"/>
      <c r="KP66" s="401"/>
      <c r="KQ66" s="401"/>
      <c r="KR66" s="401"/>
      <c r="KS66" s="401"/>
      <c r="KT66" s="401"/>
      <c r="KU66" s="401"/>
      <c r="KV66" s="401"/>
      <c r="KW66" s="401"/>
      <c r="KX66" s="401"/>
      <c r="KY66" s="401"/>
      <c r="KZ66" s="401"/>
      <c r="LA66" s="401"/>
      <c r="LB66" s="401"/>
      <c r="LC66" s="401"/>
      <c r="LD66" s="401"/>
      <c r="LE66" s="401"/>
      <c r="LF66" s="401"/>
      <c r="LG66" s="401"/>
      <c r="LH66" s="401"/>
      <c r="LI66" s="401"/>
      <c r="LJ66" s="401"/>
      <c r="LK66" s="401"/>
      <c r="LL66" s="401"/>
      <c r="LM66" s="401"/>
      <c r="LN66" s="401"/>
      <c r="LO66" s="401"/>
      <c r="LP66" s="401"/>
      <c r="LQ66" s="401"/>
      <c r="LR66" s="401"/>
      <c r="LS66" s="401"/>
      <c r="LT66" s="401"/>
      <c r="LU66" s="401"/>
      <c r="LV66" s="401"/>
      <c r="LW66" s="401"/>
      <c r="LX66" s="401"/>
      <c r="LY66" s="401"/>
      <c r="LZ66" s="401"/>
      <c r="MA66" s="401"/>
      <c r="MB66" s="401"/>
      <c r="MC66" s="401"/>
      <c r="MD66" s="401"/>
      <c r="ME66" s="401"/>
      <c r="MF66" s="401"/>
      <c r="MG66" s="401"/>
      <c r="MH66" s="401"/>
      <c r="MI66" s="401"/>
      <c r="MJ66" s="401"/>
      <c r="MK66" s="401"/>
      <c r="ML66" s="401"/>
      <c r="MM66" s="401"/>
      <c r="MN66" s="401"/>
      <c r="MO66" s="401"/>
      <c r="MP66" s="401"/>
      <c r="MQ66" s="401"/>
      <c r="MR66" s="401"/>
      <c r="MS66" s="401"/>
      <c r="MT66" s="401"/>
      <c r="MU66" s="401"/>
      <c r="MV66" s="401"/>
      <c r="MW66" s="401"/>
      <c r="MX66" s="401"/>
      <c r="MY66" s="401"/>
      <c r="MZ66" s="401"/>
      <c r="NA66" s="401"/>
      <c r="NB66" s="401"/>
      <c r="NC66" s="401"/>
      <c r="ND66" s="401"/>
      <c r="NE66" s="401"/>
    </row>
    <row r="67" spans="1:384" s="404" customFormat="1" ht="40.5" customHeight="1" x14ac:dyDescent="0.2">
      <c r="A67" s="2109"/>
      <c r="B67" s="2147"/>
      <c r="C67" s="2130"/>
      <c r="D67" s="2109"/>
      <c r="E67" s="2147"/>
      <c r="F67" s="2130"/>
      <c r="G67" s="2120"/>
      <c r="H67" s="2087"/>
      <c r="I67" s="2087"/>
      <c r="J67" s="2150"/>
      <c r="K67" s="2106"/>
      <c r="L67" s="2106"/>
      <c r="M67" s="2109"/>
      <c r="N67" s="403"/>
      <c r="O67" s="2106"/>
      <c r="P67" s="2106"/>
      <c r="Q67" s="2084"/>
      <c r="R67" s="2141"/>
      <c r="S67" s="2087"/>
      <c r="T67" s="2106"/>
      <c r="U67" s="371" t="s">
        <v>386</v>
      </c>
      <c r="V67" s="400">
        <f>21632672+11403084+68302657+250000000</f>
        <v>351338413</v>
      </c>
      <c r="W67" s="2153"/>
      <c r="X67" s="2155"/>
      <c r="Y67" s="2157"/>
      <c r="Z67" s="2157"/>
      <c r="AA67" s="2157"/>
      <c r="AB67" s="2157"/>
      <c r="AC67" s="2157"/>
      <c r="AD67" s="2157"/>
      <c r="AE67" s="2157"/>
      <c r="AF67" s="2157"/>
      <c r="AG67" s="2157"/>
      <c r="AH67" s="2157"/>
      <c r="AI67" s="2157"/>
      <c r="AJ67" s="2157"/>
      <c r="AK67" s="2159"/>
      <c r="AL67" s="2159"/>
      <c r="AM67" s="2161"/>
      <c r="AN67" s="401"/>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c r="BW67" s="401"/>
      <c r="BX67" s="401"/>
      <c r="BY67" s="401"/>
      <c r="BZ67" s="401"/>
      <c r="CA67" s="401"/>
      <c r="CB67" s="401"/>
      <c r="CC67" s="401"/>
      <c r="CD67" s="401"/>
      <c r="CE67" s="401"/>
      <c r="CF67" s="401"/>
      <c r="CG67" s="401"/>
      <c r="CH67" s="401"/>
      <c r="CI67" s="401"/>
      <c r="CJ67" s="401"/>
      <c r="CK67" s="401"/>
      <c r="CL67" s="401"/>
      <c r="CM67" s="401"/>
      <c r="CN67" s="401"/>
      <c r="CO67" s="401"/>
      <c r="CP67" s="401"/>
      <c r="CQ67" s="401"/>
      <c r="CR67" s="401"/>
      <c r="CS67" s="401"/>
      <c r="CT67" s="401"/>
      <c r="CU67" s="401"/>
      <c r="CV67" s="401"/>
      <c r="CW67" s="401"/>
      <c r="CX67" s="401"/>
      <c r="CY67" s="401"/>
      <c r="CZ67" s="401"/>
      <c r="DA67" s="401"/>
      <c r="DB67" s="401"/>
      <c r="DC67" s="401"/>
      <c r="DD67" s="401"/>
      <c r="DE67" s="401"/>
      <c r="DF67" s="401"/>
      <c r="DG67" s="401"/>
      <c r="DH67" s="401"/>
      <c r="DI67" s="401"/>
      <c r="DJ67" s="401"/>
      <c r="DK67" s="401"/>
      <c r="DL67" s="401"/>
      <c r="DM67" s="401"/>
      <c r="DN67" s="401"/>
      <c r="DO67" s="401"/>
      <c r="DP67" s="401"/>
      <c r="DQ67" s="401"/>
      <c r="DR67" s="401"/>
      <c r="DS67" s="401"/>
      <c r="DT67" s="401"/>
      <c r="DU67" s="401"/>
      <c r="DV67" s="401"/>
      <c r="DW67" s="401"/>
      <c r="DX67" s="401"/>
      <c r="DY67" s="401"/>
      <c r="DZ67" s="401"/>
      <c r="EA67" s="401"/>
      <c r="EB67" s="401"/>
      <c r="EC67" s="401"/>
      <c r="ED67" s="401"/>
      <c r="EE67" s="401"/>
      <c r="EF67" s="401"/>
      <c r="EG67" s="401"/>
      <c r="EH67" s="401"/>
      <c r="EI67" s="401"/>
      <c r="EJ67" s="401"/>
      <c r="EK67" s="401"/>
      <c r="EL67" s="401"/>
      <c r="EM67" s="401"/>
      <c r="EN67" s="401"/>
      <c r="EO67" s="401"/>
      <c r="EP67" s="401"/>
      <c r="EQ67" s="401"/>
      <c r="ER67" s="401"/>
      <c r="ES67" s="401"/>
      <c r="ET67" s="401"/>
      <c r="EU67" s="401"/>
      <c r="EV67" s="401"/>
      <c r="EW67" s="401"/>
      <c r="EX67" s="401"/>
      <c r="EY67" s="401"/>
      <c r="EZ67" s="401"/>
      <c r="FA67" s="401"/>
      <c r="FB67" s="401"/>
      <c r="FC67" s="401"/>
      <c r="FD67" s="401"/>
      <c r="FE67" s="401"/>
      <c r="FF67" s="401"/>
      <c r="FG67" s="401"/>
      <c r="FH67" s="401"/>
      <c r="FI67" s="401"/>
      <c r="FJ67" s="401"/>
      <c r="FK67" s="401"/>
      <c r="FL67" s="401"/>
      <c r="FM67" s="401"/>
      <c r="FN67" s="401"/>
      <c r="FO67" s="401"/>
      <c r="FP67" s="401"/>
      <c r="FQ67" s="401"/>
      <c r="FR67" s="401"/>
      <c r="FS67" s="401"/>
      <c r="FT67" s="401"/>
      <c r="FU67" s="401"/>
      <c r="FV67" s="401"/>
      <c r="FW67" s="401"/>
      <c r="FX67" s="401"/>
      <c r="FY67" s="401"/>
      <c r="FZ67" s="401"/>
      <c r="GA67" s="401"/>
      <c r="GB67" s="401"/>
      <c r="GC67" s="401"/>
      <c r="GD67" s="401"/>
      <c r="GE67" s="401"/>
      <c r="GF67" s="401"/>
      <c r="GG67" s="401"/>
      <c r="GH67" s="401"/>
      <c r="GI67" s="401"/>
      <c r="GJ67" s="401"/>
      <c r="GK67" s="401"/>
      <c r="GL67" s="401"/>
      <c r="GM67" s="401"/>
      <c r="GN67" s="401"/>
      <c r="GO67" s="401"/>
      <c r="GP67" s="401"/>
      <c r="GQ67" s="401"/>
      <c r="GR67" s="401"/>
      <c r="GS67" s="401"/>
      <c r="GT67" s="401"/>
      <c r="GU67" s="401"/>
      <c r="GV67" s="401"/>
      <c r="GW67" s="401"/>
      <c r="GX67" s="401"/>
      <c r="GY67" s="401"/>
      <c r="GZ67" s="401"/>
      <c r="HA67" s="401"/>
      <c r="HB67" s="401"/>
      <c r="HC67" s="401"/>
      <c r="HD67" s="401"/>
      <c r="HE67" s="401"/>
      <c r="HF67" s="401"/>
      <c r="HG67" s="401"/>
      <c r="HH67" s="401"/>
      <c r="HI67" s="401"/>
      <c r="HJ67" s="401"/>
      <c r="HK67" s="401"/>
      <c r="HL67" s="401"/>
      <c r="HM67" s="401"/>
      <c r="HN67" s="401"/>
      <c r="HO67" s="401"/>
      <c r="HP67" s="401"/>
      <c r="HQ67" s="401"/>
      <c r="HR67" s="401"/>
      <c r="HS67" s="401"/>
      <c r="HT67" s="401"/>
      <c r="HU67" s="401"/>
      <c r="HV67" s="401"/>
      <c r="HW67" s="401"/>
      <c r="HX67" s="401"/>
      <c r="HY67" s="401"/>
      <c r="HZ67" s="401"/>
      <c r="IA67" s="401"/>
      <c r="IB67" s="401"/>
      <c r="IC67" s="401"/>
      <c r="ID67" s="401"/>
      <c r="IE67" s="401"/>
      <c r="IF67" s="401"/>
      <c r="IG67" s="401"/>
      <c r="IH67" s="401"/>
      <c r="II67" s="401"/>
      <c r="IJ67" s="401"/>
      <c r="IK67" s="401"/>
      <c r="IL67" s="401"/>
      <c r="IM67" s="401"/>
      <c r="IN67" s="401"/>
      <c r="IO67" s="401"/>
      <c r="IP67" s="401"/>
      <c r="IQ67" s="401"/>
      <c r="IR67" s="401"/>
      <c r="IS67" s="401"/>
      <c r="IT67" s="401"/>
      <c r="IU67" s="401"/>
      <c r="IV67" s="401"/>
      <c r="IW67" s="401"/>
      <c r="IX67" s="401"/>
      <c r="IY67" s="401"/>
      <c r="IZ67" s="401"/>
      <c r="JA67" s="401"/>
      <c r="JB67" s="401"/>
      <c r="JC67" s="401"/>
      <c r="JD67" s="401"/>
      <c r="JE67" s="401"/>
      <c r="JF67" s="401"/>
      <c r="JG67" s="401"/>
      <c r="JH67" s="401"/>
      <c r="JI67" s="401"/>
      <c r="JJ67" s="401"/>
      <c r="JK67" s="401"/>
      <c r="JL67" s="401"/>
      <c r="JM67" s="401"/>
      <c r="JN67" s="401"/>
      <c r="JO67" s="401"/>
      <c r="JP67" s="401"/>
      <c r="JQ67" s="401"/>
      <c r="JR67" s="401"/>
      <c r="JS67" s="401"/>
      <c r="JT67" s="401"/>
      <c r="JU67" s="401"/>
      <c r="JV67" s="401"/>
      <c r="JW67" s="401"/>
      <c r="JX67" s="401"/>
      <c r="JY67" s="401"/>
      <c r="JZ67" s="401"/>
      <c r="KA67" s="401"/>
      <c r="KB67" s="401"/>
      <c r="KC67" s="401"/>
      <c r="KD67" s="401"/>
      <c r="KE67" s="401"/>
      <c r="KF67" s="401"/>
      <c r="KG67" s="401"/>
      <c r="KH67" s="401"/>
      <c r="KI67" s="401"/>
      <c r="KJ67" s="401"/>
      <c r="KK67" s="401"/>
      <c r="KL67" s="401"/>
      <c r="KM67" s="401"/>
      <c r="KN67" s="401"/>
      <c r="KO67" s="401"/>
      <c r="KP67" s="401"/>
      <c r="KQ67" s="401"/>
      <c r="KR67" s="401"/>
      <c r="KS67" s="401"/>
      <c r="KT67" s="401"/>
      <c r="KU67" s="401"/>
      <c r="KV67" s="401"/>
      <c r="KW67" s="401"/>
      <c r="KX67" s="401"/>
      <c r="KY67" s="401"/>
      <c r="KZ67" s="401"/>
      <c r="LA67" s="401"/>
      <c r="LB67" s="401"/>
      <c r="LC67" s="401"/>
      <c r="LD67" s="401"/>
      <c r="LE67" s="401"/>
      <c r="LF67" s="401"/>
      <c r="LG67" s="401"/>
      <c r="LH67" s="401"/>
      <c r="LI67" s="401"/>
      <c r="LJ67" s="401"/>
      <c r="LK67" s="401"/>
      <c r="LL67" s="401"/>
      <c r="LM67" s="401"/>
      <c r="LN67" s="401"/>
      <c r="LO67" s="401"/>
      <c r="LP67" s="401"/>
      <c r="LQ67" s="401"/>
      <c r="LR67" s="401"/>
      <c r="LS67" s="401"/>
      <c r="LT67" s="401"/>
      <c r="LU67" s="401"/>
      <c r="LV67" s="401"/>
      <c r="LW67" s="401"/>
      <c r="LX67" s="401"/>
      <c r="LY67" s="401"/>
      <c r="LZ67" s="401"/>
      <c r="MA67" s="401"/>
      <c r="MB67" s="401"/>
      <c r="MC67" s="401"/>
      <c r="MD67" s="401"/>
      <c r="ME67" s="401"/>
      <c r="MF67" s="401"/>
      <c r="MG67" s="401"/>
      <c r="MH67" s="401"/>
      <c r="MI67" s="401"/>
      <c r="MJ67" s="401"/>
      <c r="MK67" s="401"/>
      <c r="ML67" s="401"/>
      <c r="MM67" s="401"/>
      <c r="MN67" s="401"/>
      <c r="MO67" s="401"/>
      <c r="MP67" s="401"/>
      <c r="MQ67" s="401"/>
      <c r="MR67" s="401"/>
      <c r="MS67" s="401"/>
      <c r="MT67" s="401"/>
      <c r="MU67" s="401"/>
      <c r="MV67" s="401"/>
      <c r="MW67" s="401"/>
      <c r="MX67" s="401"/>
      <c r="MY67" s="401"/>
      <c r="MZ67" s="401"/>
      <c r="NA67" s="401"/>
      <c r="NB67" s="401"/>
      <c r="NC67" s="401"/>
      <c r="ND67" s="401"/>
      <c r="NE67" s="401"/>
    </row>
    <row r="68" spans="1:384" s="404" customFormat="1" ht="44.25" customHeight="1" x14ac:dyDescent="0.2">
      <c r="A68" s="2109"/>
      <c r="B68" s="2147"/>
      <c r="C68" s="2130"/>
      <c r="D68" s="2109"/>
      <c r="E68" s="2147"/>
      <c r="F68" s="2130"/>
      <c r="G68" s="2120"/>
      <c r="H68" s="2087"/>
      <c r="I68" s="2087"/>
      <c r="J68" s="2151"/>
      <c r="K68" s="2107"/>
      <c r="L68" s="2107"/>
      <c r="M68" s="2110"/>
      <c r="N68" s="403" t="s">
        <v>387</v>
      </c>
      <c r="O68" s="2106"/>
      <c r="P68" s="2106"/>
      <c r="Q68" s="2085"/>
      <c r="R68" s="2141"/>
      <c r="S68" s="2087"/>
      <c r="T68" s="2107"/>
      <c r="U68" s="405" t="s">
        <v>388</v>
      </c>
      <c r="V68" s="400">
        <v>50000000</v>
      </c>
      <c r="W68" s="2153"/>
      <c r="X68" s="2155"/>
      <c r="Y68" s="2157"/>
      <c r="Z68" s="2157"/>
      <c r="AA68" s="2157"/>
      <c r="AB68" s="2157"/>
      <c r="AC68" s="2157"/>
      <c r="AD68" s="2157"/>
      <c r="AE68" s="2157"/>
      <c r="AF68" s="2157"/>
      <c r="AG68" s="2157"/>
      <c r="AH68" s="2157"/>
      <c r="AI68" s="2157"/>
      <c r="AJ68" s="2157"/>
      <c r="AK68" s="2159"/>
      <c r="AL68" s="2159"/>
      <c r="AM68" s="2161"/>
      <c r="AN68" s="401"/>
      <c r="AO68" s="401"/>
      <c r="AP68" s="401"/>
      <c r="AQ68" s="401"/>
      <c r="AR68" s="401"/>
      <c r="AS68" s="401"/>
      <c r="AT68" s="401"/>
      <c r="AU68" s="401"/>
      <c r="AV68" s="401"/>
      <c r="AW68" s="401"/>
      <c r="AX68" s="401"/>
      <c r="AY68" s="401"/>
      <c r="AZ68" s="401"/>
      <c r="BA68" s="401"/>
      <c r="BB68" s="401"/>
      <c r="BC68" s="401"/>
      <c r="BD68" s="401"/>
      <c r="BE68" s="401"/>
      <c r="BF68" s="401"/>
      <c r="BG68" s="401"/>
      <c r="BH68" s="401"/>
      <c r="BI68" s="401"/>
      <c r="BJ68" s="401"/>
      <c r="BK68" s="401"/>
      <c r="BL68" s="401"/>
      <c r="BM68" s="401"/>
      <c r="BN68" s="401"/>
      <c r="BO68" s="401"/>
      <c r="BP68" s="401"/>
      <c r="BQ68" s="401"/>
      <c r="BR68" s="401"/>
      <c r="BS68" s="401"/>
      <c r="BT68" s="401"/>
      <c r="BU68" s="401"/>
      <c r="BV68" s="401"/>
      <c r="BW68" s="401"/>
      <c r="BX68" s="401"/>
      <c r="BY68" s="401"/>
      <c r="BZ68" s="401"/>
      <c r="CA68" s="401"/>
      <c r="CB68" s="401"/>
      <c r="CC68" s="401"/>
      <c r="CD68" s="401"/>
      <c r="CE68" s="401"/>
      <c r="CF68" s="401"/>
      <c r="CG68" s="401"/>
      <c r="CH68" s="401"/>
      <c r="CI68" s="401"/>
      <c r="CJ68" s="401"/>
      <c r="CK68" s="401"/>
      <c r="CL68" s="401"/>
      <c r="CM68" s="401"/>
      <c r="CN68" s="401"/>
      <c r="CO68" s="401"/>
      <c r="CP68" s="401"/>
      <c r="CQ68" s="401"/>
      <c r="CR68" s="401"/>
      <c r="CS68" s="401"/>
      <c r="CT68" s="401"/>
      <c r="CU68" s="401"/>
      <c r="CV68" s="401"/>
      <c r="CW68" s="401"/>
      <c r="CX68" s="401"/>
      <c r="CY68" s="401"/>
      <c r="CZ68" s="401"/>
      <c r="DA68" s="401"/>
      <c r="DB68" s="401"/>
      <c r="DC68" s="401"/>
      <c r="DD68" s="401"/>
      <c r="DE68" s="401"/>
      <c r="DF68" s="401"/>
      <c r="DG68" s="401"/>
      <c r="DH68" s="401"/>
      <c r="DI68" s="401"/>
      <c r="DJ68" s="401"/>
      <c r="DK68" s="401"/>
      <c r="DL68" s="401"/>
      <c r="DM68" s="401"/>
      <c r="DN68" s="401"/>
      <c r="DO68" s="401"/>
      <c r="DP68" s="401"/>
      <c r="DQ68" s="401"/>
      <c r="DR68" s="401"/>
      <c r="DS68" s="401"/>
      <c r="DT68" s="401"/>
      <c r="DU68" s="401"/>
      <c r="DV68" s="401"/>
      <c r="DW68" s="401"/>
      <c r="DX68" s="401"/>
      <c r="DY68" s="401"/>
      <c r="DZ68" s="401"/>
      <c r="EA68" s="401"/>
      <c r="EB68" s="401"/>
      <c r="EC68" s="401"/>
      <c r="ED68" s="401"/>
      <c r="EE68" s="401"/>
      <c r="EF68" s="401"/>
      <c r="EG68" s="401"/>
      <c r="EH68" s="401"/>
      <c r="EI68" s="401"/>
      <c r="EJ68" s="401"/>
      <c r="EK68" s="401"/>
      <c r="EL68" s="401"/>
      <c r="EM68" s="401"/>
      <c r="EN68" s="401"/>
      <c r="EO68" s="401"/>
      <c r="EP68" s="401"/>
      <c r="EQ68" s="401"/>
      <c r="ER68" s="401"/>
      <c r="ES68" s="401"/>
      <c r="ET68" s="401"/>
      <c r="EU68" s="401"/>
      <c r="EV68" s="401"/>
      <c r="EW68" s="401"/>
      <c r="EX68" s="401"/>
      <c r="EY68" s="401"/>
      <c r="EZ68" s="401"/>
      <c r="FA68" s="401"/>
      <c r="FB68" s="401"/>
      <c r="FC68" s="401"/>
      <c r="FD68" s="401"/>
      <c r="FE68" s="401"/>
      <c r="FF68" s="401"/>
      <c r="FG68" s="401"/>
      <c r="FH68" s="401"/>
      <c r="FI68" s="401"/>
      <c r="FJ68" s="401"/>
      <c r="FK68" s="401"/>
      <c r="FL68" s="401"/>
      <c r="FM68" s="401"/>
      <c r="FN68" s="401"/>
      <c r="FO68" s="401"/>
      <c r="FP68" s="401"/>
      <c r="FQ68" s="401"/>
      <c r="FR68" s="401"/>
      <c r="FS68" s="401"/>
      <c r="FT68" s="401"/>
      <c r="FU68" s="401"/>
      <c r="FV68" s="401"/>
      <c r="FW68" s="401"/>
      <c r="FX68" s="401"/>
      <c r="FY68" s="401"/>
      <c r="FZ68" s="401"/>
      <c r="GA68" s="401"/>
      <c r="GB68" s="401"/>
      <c r="GC68" s="401"/>
      <c r="GD68" s="401"/>
      <c r="GE68" s="401"/>
      <c r="GF68" s="401"/>
      <c r="GG68" s="401"/>
      <c r="GH68" s="401"/>
      <c r="GI68" s="401"/>
      <c r="GJ68" s="401"/>
      <c r="GK68" s="401"/>
      <c r="GL68" s="401"/>
      <c r="GM68" s="401"/>
      <c r="GN68" s="401"/>
      <c r="GO68" s="401"/>
      <c r="GP68" s="401"/>
      <c r="GQ68" s="401"/>
      <c r="GR68" s="401"/>
      <c r="GS68" s="401"/>
      <c r="GT68" s="401"/>
      <c r="GU68" s="401"/>
      <c r="GV68" s="401"/>
      <c r="GW68" s="401"/>
      <c r="GX68" s="401"/>
      <c r="GY68" s="401"/>
      <c r="GZ68" s="401"/>
      <c r="HA68" s="401"/>
      <c r="HB68" s="401"/>
      <c r="HC68" s="401"/>
      <c r="HD68" s="401"/>
      <c r="HE68" s="401"/>
      <c r="HF68" s="401"/>
      <c r="HG68" s="401"/>
      <c r="HH68" s="401"/>
      <c r="HI68" s="401"/>
      <c r="HJ68" s="401"/>
      <c r="HK68" s="401"/>
      <c r="HL68" s="401"/>
      <c r="HM68" s="401"/>
      <c r="HN68" s="401"/>
      <c r="HO68" s="401"/>
      <c r="HP68" s="401"/>
      <c r="HQ68" s="401"/>
      <c r="HR68" s="401"/>
      <c r="HS68" s="401"/>
      <c r="HT68" s="401"/>
      <c r="HU68" s="401"/>
      <c r="HV68" s="401"/>
      <c r="HW68" s="401"/>
      <c r="HX68" s="401"/>
      <c r="HY68" s="401"/>
      <c r="HZ68" s="401"/>
      <c r="IA68" s="401"/>
      <c r="IB68" s="401"/>
      <c r="IC68" s="401"/>
      <c r="ID68" s="401"/>
      <c r="IE68" s="401"/>
      <c r="IF68" s="401"/>
      <c r="IG68" s="401"/>
      <c r="IH68" s="401"/>
      <c r="II68" s="401"/>
      <c r="IJ68" s="401"/>
      <c r="IK68" s="401"/>
      <c r="IL68" s="401"/>
      <c r="IM68" s="401"/>
      <c r="IN68" s="401"/>
      <c r="IO68" s="401"/>
      <c r="IP68" s="401"/>
      <c r="IQ68" s="401"/>
      <c r="IR68" s="401"/>
      <c r="IS68" s="401"/>
      <c r="IT68" s="401"/>
      <c r="IU68" s="401"/>
      <c r="IV68" s="401"/>
      <c r="IW68" s="401"/>
      <c r="IX68" s="401"/>
      <c r="IY68" s="401"/>
      <c r="IZ68" s="401"/>
      <c r="JA68" s="401"/>
      <c r="JB68" s="401"/>
      <c r="JC68" s="401"/>
      <c r="JD68" s="401"/>
      <c r="JE68" s="401"/>
      <c r="JF68" s="401"/>
      <c r="JG68" s="401"/>
      <c r="JH68" s="401"/>
      <c r="JI68" s="401"/>
      <c r="JJ68" s="401"/>
      <c r="JK68" s="401"/>
      <c r="JL68" s="401"/>
      <c r="JM68" s="401"/>
      <c r="JN68" s="401"/>
      <c r="JO68" s="401"/>
      <c r="JP68" s="401"/>
      <c r="JQ68" s="401"/>
      <c r="JR68" s="401"/>
      <c r="JS68" s="401"/>
      <c r="JT68" s="401"/>
      <c r="JU68" s="401"/>
      <c r="JV68" s="401"/>
      <c r="JW68" s="401"/>
      <c r="JX68" s="401"/>
      <c r="JY68" s="401"/>
      <c r="JZ68" s="401"/>
      <c r="KA68" s="401"/>
      <c r="KB68" s="401"/>
      <c r="KC68" s="401"/>
      <c r="KD68" s="401"/>
      <c r="KE68" s="401"/>
      <c r="KF68" s="401"/>
      <c r="KG68" s="401"/>
      <c r="KH68" s="401"/>
      <c r="KI68" s="401"/>
      <c r="KJ68" s="401"/>
      <c r="KK68" s="401"/>
      <c r="KL68" s="401"/>
      <c r="KM68" s="401"/>
      <c r="KN68" s="401"/>
      <c r="KO68" s="401"/>
      <c r="KP68" s="401"/>
      <c r="KQ68" s="401"/>
      <c r="KR68" s="401"/>
      <c r="KS68" s="401"/>
      <c r="KT68" s="401"/>
      <c r="KU68" s="401"/>
      <c r="KV68" s="401"/>
      <c r="KW68" s="401"/>
      <c r="KX68" s="401"/>
      <c r="KY68" s="401"/>
      <c r="KZ68" s="401"/>
      <c r="LA68" s="401"/>
      <c r="LB68" s="401"/>
      <c r="LC68" s="401"/>
      <c r="LD68" s="401"/>
      <c r="LE68" s="401"/>
      <c r="LF68" s="401"/>
      <c r="LG68" s="401"/>
      <c r="LH68" s="401"/>
      <c r="LI68" s="401"/>
      <c r="LJ68" s="401"/>
      <c r="LK68" s="401"/>
      <c r="LL68" s="401"/>
      <c r="LM68" s="401"/>
      <c r="LN68" s="401"/>
      <c r="LO68" s="401"/>
      <c r="LP68" s="401"/>
      <c r="LQ68" s="401"/>
      <c r="LR68" s="401"/>
      <c r="LS68" s="401"/>
      <c r="LT68" s="401"/>
      <c r="LU68" s="401"/>
      <c r="LV68" s="401"/>
      <c r="LW68" s="401"/>
      <c r="LX68" s="401"/>
      <c r="LY68" s="401"/>
      <c r="LZ68" s="401"/>
      <c r="MA68" s="401"/>
      <c r="MB68" s="401"/>
      <c r="MC68" s="401"/>
      <c r="MD68" s="401"/>
      <c r="ME68" s="401"/>
      <c r="MF68" s="401"/>
      <c r="MG68" s="401"/>
      <c r="MH68" s="401"/>
      <c r="MI68" s="401"/>
      <c r="MJ68" s="401"/>
      <c r="MK68" s="401"/>
      <c r="ML68" s="401"/>
      <c r="MM68" s="401"/>
      <c r="MN68" s="401"/>
      <c r="MO68" s="401"/>
      <c r="MP68" s="401"/>
      <c r="MQ68" s="401"/>
      <c r="MR68" s="401"/>
      <c r="MS68" s="401"/>
      <c r="MT68" s="401"/>
      <c r="MU68" s="401"/>
      <c r="MV68" s="401"/>
      <c r="MW68" s="401"/>
      <c r="MX68" s="401"/>
      <c r="MY68" s="401"/>
      <c r="MZ68" s="401"/>
      <c r="NA68" s="401"/>
      <c r="NB68" s="401"/>
      <c r="NC68" s="401"/>
      <c r="ND68" s="401"/>
      <c r="NE68" s="401"/>
    </row>
    <row r="69" spans="1:384" s="404" customFormat="1" ht="47.25" customHeight="1" x14ac:dyDescent="0.2">
      <c r="A69" s="2109"/>
      <c r="B69" s="2147"/>
      <c r="C69" s="2130"/>
      <c r="D69" s="2109"/>
      <c r="E69" s="2147"/>
      <c r="F69" s="2130"/>
      <c r="G69" s="2120"/>
      <c r="H69" s="2087"/>
      <c r="I69" s="2087"/>
      <c r="J69" s="2149">
        <v>55</v>
      </c>
      <c r="K69" s="2105" t="s">
        <v>389</v>
      </c>
      <c r="L69" s="2105" t="s">
        <v>390</v>
      </c>
      <c r="M69" s="2108">
        <v>12</v>
      </c>
      <c r="N69" s="403" t="s">
        <v>391</v>
      </c>
      <c r="O69" s="2106"/>
      <c r="P69" s="2106"/>
      <c r="Q69" s="2083">
        <f>(V69+V70+V71)/R63</f>
        <v>0.37225296391165091</v>
      </c>
      <c r="R69" s="2141"/>
      <c r="S69" s="2087"/>
      <c r="T69" s="2105" t="s">
        <v>392</v>
      </c>
      <c r="U69" s="371" t="s">
        <v>380</v>
      </c>
      <c r="V69" s="400">
        <f>15600000+10980000+2795000</f>
        <v>29375000</v>
      </c>
      <c r="W69" s="2153"/>
      <c r="X69" s="2155"/>
      <c r="Y69" s="2157"/>
      <c r="Z69" s="2157"/>
      <c r="AA69" s="2157"/>
      <c r="AB69" s="2157"/>
      <c r="AC69" s="2157"/>
      <c r="AD69" s="2157"/>
      <c r="AE69" s="2157"/>
      <c r="AF69" s="2157"/>
      <c r="AG69" s="2157"/>
      <c r="AH69" s="2157"/>
      <c r="AI69" s="2157"/>
      <c r="AJ69" s="2157"/>
      <c r="AK69" s="2159"/>
      <c r="AL69" s="2159"/>
      <c r="AM69" s="2161"/>
      <c r="AN69" s="401"/>
      <c r="AO69" s="401"/>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c r="CD69" s="401"/>
      <c r="CE69" s="401"/>
      <c r="CF69" s="401"/>
      <c r="CG69" s="401"/>
      <c r="CH69" s="401"/>
      <c r="CI69" s="401"/>
      <c r="CJ69" s="401"/>
      <c r="CK69" s="401"/>
      <c r="CL69" s="401"/>
      <c r="CM69" s="401"/>
      <c r="CN69" s="401"/>
      <c r="CO69" s="401"/>
      <c r="CP69" s="401"/>
      <c r="CQ69" s="401"/>
      <c r="CR69" s="401"/>
      <c r="CS69" s="401"/>
      <c r="CT69" s="401"/>
      <c r="CU69" s="401"/>
      <c r="CV69" s="401"/>
      <c r="CW69" s="401"/>
      <c r="CX69" s="401"/>
      <c r="CY69" s="401"/>
      <c r="CZ69" s="401"/>
      <c r="DA69" s="401"/>
      <c r="DB69" s="401"/>
      <c r="DC69" s="401"/>
      <c r="DD69" s="401"/>
      <c r="DE69" s="401"/>
      <c r="DF69" s="401"/>
      <c r="DG69" s="401"/>
      <c r="DH69" s="401"/>
      <c r="DI69" s="401"/>
      <c r="DJ69" s="401"/>
      <c r="DK69" s="401"/>
      <c r="DL69" s="401"/>
      <c r="DM69" s="401"/>
      <c r="DN69" s="401"/>
      <c r="DO69" s="401"/>
      <c r="DP69" s="401"/>
      <c r="DQ69" s="401"/>
      <c r="DR69" s="401"/>
      <c r="DS69" s="401"/>
      <c r="DT69" s="401"/>
      <c r="DU69" s="401"/>
      <c r="DV69" s="401"/>
      <c r="DW69" s="401"/>
      <c r="DX69" s="401"/>
      <c r="DY69" s="401"/>
      <c r="DZ69" s="401"/>
      <c r="EA69" s="401"/>
      <c r="EB69" s="401"/>
      <c r="EC69" s="401"/>
      <c r="ED69" s="401"/>
      <c r="EE69" s="401"/>
      <c r="EF69" s="401"/>
      <c r="EG69" s="401"/>
      <c r="EH69" s="401"/>
      <c r="EI69" s="401"/>
      <c r="EJ69" s="401"/>
      <c r="EK69" s="401"/>
      <c r="EL69" s="401"/>
      <c r="EM69" s="401"/>
      <c r="EN69" s="401"/>
      <c r="EO69" s="401"/>
      <c r="EP69" s="401"/>
      <c r="EQ69" s="401"/>
      <c r="ER69" s="401"/>
      <c r="ES69" s="401"/>
      <c r="ET69" s="401"/>
      <c r="EU69" s="401"/>
      <c r="EV69" s="401"/>
      <c r="EW69" s="401"/>
      <c r="EX69" s="401"/>
      <c r="EY69" s="401"/>
      <c r="EZ69" s="401"/>
      <c r="FA69" s="401"/>
      <c r="FB69" s="401"/>
      <c r="FC69" s="401"/>
      <c r="FD69" s="401"/>
      <c r="FE69" s="401"/>
      <c r="FF69" s="401"/>
      <c r="FG69" s="401"/>
      <c r="FH69" s="401"/>
      <c r="FI69" s="401"/>
      <c r="FJ69" s="401"/>
      <c r="FK69" s="401"/>
      <c r="FL69" s="401"/>
      <c r="FM69" s="401"/>
      <c r="FN69" s="401"/>
      <c r="FO69" s="401"/>
      <c r="FP69" s="401"/>
      <c r="FQ69" s="401"/>
      <c r="FR69" s="401"/>
      <c r="FS69" s="401"/>
      <c r="FT69" s="401"/>
      <c r="FU69" s="401"/>
      <c r="FV69" s="401"/>
      <c r="FW69" s="401"/>
      <c r="FX69" s="401"/>
      <c r="FY69" s="401"/>
      <c r="FZ69" s="401"/>
      <c r="GA69" s="401"/>
      <c r="GB69" s="401"/>
      <c r="GC69" s="401"/>
      <c r="GD69" s="401"/>
      <c r="GE69" s="401"/>
      <c r="GF69" s="401"/>
      <c r="GG69" s="401"/>
      <c r="GH69" s="401"/>
      <c r="GI69" s="401"/>
      <c r="GJ69" s="401"/>
      <c r="GK69" s="401"/>
      <c r="GL69" s="401"/>
      <c r="GM69" s="401"/>
      <c r="GN69" s="401"/>
      <c r="GO69" s="401"/>
      <c r="GP69" s="401"/>
      <c r="GQ69" s="401"/>
      <c r="GR69" s="401"/>
      <c r="GS69" s="401"/>
      <c r="GT69" s="401"/>
      <c r="GU69" s="401"/>
      <c r="GV69" s="401"/>
      <c r="GW69" s="401"/>
      <c r="GX69" s="401"/>
      <c r="GY69" s="401"/>
      <c r="GZ69" s="401"/>
      <c r="HA69" s="401"/>
      <c r="HB69" s="401"/>
      <c r="HC69" s="401"/>
      <c r="HD69" s="401"/>
      <c r="HE69" s="401"/>
      <c r="HF69" s="401"/>
      <c r="HG69" s="401"/>
      <c r="HH69" s="401"/>
      <c r="HI69" s="401"/>
      <c r="HJ69" s="401"/>
      <c r="HK69" s="401"/>
      <c r="HL69" s="401"/>
      <c r="HM69" s="401"/>
      <c r="HN69" s="401"/>
      <c r="HO69" s="401"/>
      <c r="HP69" s="401"/>
      <c r="HQ69" s="401"/>
      <c r="HR69" s="401"/>
      <c r="HS69" s="401"/>
      <c r="HT69" s="401"/>
      <c r="HU69" s="401"/>
      <c r="HV69" s="401"/>
      <c r="HW69" s="401"/>
      <c r="HX69" s="401"/>
      <c r="HY69" s="401"/>
      <c r="HZ69" s="401"/>
      <c r="IA69" s="401"/>
      <c r="IB69" s="401"/>
      <c r="IC69" s="401"/>
      <c r="ID69" s="401"/>
      <c r="IE69" s="401"/>
      <c r="IF69" s="401"/>
      <c r="IG69" s="401"/>
      <c r="IH69" s="401"/>
      <c r="II69" s="401"/>
      <c r="IJ69" s="401"/>
      <c r="IK69" s="401"/>
      <c r="IL69" s="401"/>
      <c r="IM69" s="401"/>
      <c r="IN69" s="401"/>
      <c r="IO69" s="401"/>
      <c r="IP69" s="401"/>
      <c r="IQ69" s="401"/>
      <c r="IR69" s="401"/>
      <c r="IS69" s="401"/>
      <c r="IT69" s="401"/>
      <c r="IU69" s="401"/>
      <c r="IV69" s="401"/>
      <c r="IW69" s="401"/>
      <c r="IX69" s="401"/>
      <c r="IY69" s="401"/>
      <c r="IZ69" s="401"/>
      <c r="JA69" s="401"/>
      <c r="JB69" s="401"/>
      <c r="JC69" s="401"/>
      <c r="JD69" s="401"/>
      <c r="JE69" s="401"/>
      <c r="JF69" s="401"/>
      <c r="JG69" s="401"/>
      <c r="JH69" s="401"/>
      <c r="JI69" s="401"/>
      <c r="JJ69" s="401"/>
      <c r="JK69" s="401"/>
      <c r="JL69" s="401"/>
      <c r="JM69" s="401"/>
      <c r="JN69" s="401"/>
      <c r="JO69" s="401"/>
      <c r="JP69" s="401"/>
      <c r="JQ69" s="401"/>
      <c r="JR69" s="401"/>
      <c r="JS69" s="401"/>
      <c r="JT69" s="401"/>
      <c r="JU69" s="401"/>
      <c r="JV69" s="401"/>
      <c r="JW69" s="401"/>
      <c r="JX69" s="401"/>
      <c r="JY69" s="401"/>
      <c r="JZ69" s="401"/>
      <c r="KA69" s="401"/>
      <c r="KB69" s="401"/>
      <c r="KC69" s="401"/>
      <c r="KD69" s="401"/>
      <c r="KE69" s="401"/>
      <c r="KF69" s="401"/>
      <c r="KG69" s="401"/>
      <c r="KH69" s="401"/>
      <c r="KI69" s="401"/>
      <c r="KJ69" s="401"/>
      <c r="KK69" s="401"/>
      <c r="KL69" s="401"/>
      <c r="KM69" s="401"/>
      <c r="KN69" s="401"/>
      <c r="KO69" s="401"/>
      <c r="KP69" s="401"/>
      <c r="KQ69" s="401"/>
      <c r="KR69" s="401"/>
      <c r="KS69" s="401"/>
      <c r="KT69" s="401"/>
      <c r="KU69" s="401"/>
      <c r="KV69" s="401"/>
      <c r="KW69" s="401"/>
      <c r="KX69" s="401"/>
      <c r="KY69" s="401"/>
      <c r="KZ69" s="401"/>
      <c r="LA69" s="401"/>
      <c r="LB69" s="401"/>
      <c r="LC69" s="401"/>
      <c r="LD69" s="401"/>
      <c r="LE69" s="401"/>
      <c r="LF69" s="401"/>
      <c r="LG69" s="401"/>
      <c r="LH69" s="401"/>
      <c r="LI69" s="401"/>
      <c r="LJ69" s="401"/>
      <c r="LK69" s="401"/>
      <c r="LL69" s="401"/>
      <c r="LM69" s="401"/>
      <c r="LN69" s="401"/>
      <c r="LO69" s="401"/>
      <c r="LP69" s="401"/>
      <c r="LQ69" s="401"/>
      <c r="LR69" s="401"/>
      <c r="LS69" s="401"/>
      <c r="LT69" s="401"/>
      <c r="LU69" s="401"/>
      <c r="LV69" s="401"/>
      <c r="LW69" s="401"/>
      <c r="LX69" s="401"/>
      <c r="LY69" s="401"/>
      <c r="LZ69" s="401"/>
      <c r="MA69" s="401"/>
      <c r="MB69" s="401"/>
      <c r="MC69" s="401"/>
      <c r="MD69" s="401"/>
      <c r="ME69" s="401"/>
      <c r="MF69" s="401"/>
      <c r="MG69" s="401"/>
      <c r="MH69" s="401"/>
      <c r="MI69" s="401"/>
      <c r="MJ69" s="401"/>
      <c r="MK69" s="401"/>
      <c r="ML69" s="401"/>
      <c r="MM69" s="401"/>
      <c r="MN69" s="401"/>
      <c r="MO69" s="401"/>
      <c r="MP69" s="401"/>
      <c r="MQ69" s="401"/>
      <c r="MR69" s="401"/>
      <c r="MS69" s="401"/>
      <c r="MT69" s="401"/>
      <c r="MU69" s="401"/>
      <c r="MV69" s="401"/>
      <c r="MW69" s="401"/>
      <c r="MX69" s="401"/>
      <c r="MY69" s="401"/>
      <c r="MZ69" s="401"/>
      <c r="NA69" s="401"/>
      <c r="NB69" s="401"/>
      <c r="NC69" s="401"/>
      <c r="ND69" s="401"/>
      <c r="NE69" s="401"/>
    </row>
    <row r="70" spans="1:384" s="404" customFormat="1" ht="41.25" customHeight="1" x14ac:dyDescent="0.2">
      <c r="A70" s="2109"/>
      <c r="B70" s="2147"/>
      <c r="C70" s="2130"/>
      <c r="D70" s="2109"/>
      <c r="E70" s="2147"/>
      <c r="F70" s="2130"/>
      <c r="G70" s="2120"/>
      <c r="H70" s="2087"/>
      <c r="I70" s="2087"/>
      <c r="J70" s="2150"/>
      <c r="K70" s="2106"/>
      <c r="L70" s="2106"/>
      <c r="M70" s="2109"/>
      <c r="N70" s="403" t="s">
        <v>393</v>
      </c>
      <c r="O70" s="2106"/>
      <c r="P70" s="2106"/>
      <c r="Q70" s="2084"/>
      <c r="R70" s="2141"/>
      <c r="S70" s="2087"/>
      <c r="T70" s="2106"/>
      <c r="U70" s="371" t="s">
        <v>383</v>
      </c>
      <c r="V70" s="400">
        <f>25000000-3880000+11730000</f>
        <v>32850000</v>
      </c>
      <c r="W70" s="2153"/>
      <c r="X70" s="2155"/>
      <c r="Y70" s="2157"/>
      <c r="Z70" s="2157"/>
      <c r="AA70" s="2157"/>
      <c r="AB70" s="2157"/>
      <c r="AC70" s="2157"/>
      <c r="AD70" s="2157"/>
      <c r="AE70" s="2157"/>
      <c r="AF70" s="2157"/>
      <c r="AG70" s="2157"/>
      <c r="AH70" s="2157"/>
      <c r="AI70" s="2157"/>
      <c r="AJ70" s="2157"/>
      <c r="AK70" s="2159"/>
      <c r="AL70" s="2159"/>
      <c r="AM70" s="2161"/>
      <c r="AN70" s="401"/>
      <c r="AO70" s="401"/>
      <c r="AP70" s="401"/>
      <c r="AQ70" s="401"/>
      <c r="AR70" s="401"/>
      <c r="AS70" s="401"/>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401"/>
      <c r="BQ70" s="401"/>
      <c r="BR70" s="401"/>
      <c r="BS70" s="401"/>
      <c r="BT70" s="401"/>
      <c r="BU70" s="401"/>
      <c r="BV70" s="401"/>
      <c r="BW70" s="401"/>
      <c r="BX70" s="401"/>
      <c r="BY70" s="401"/>
      <c r="BZ70" s="401"/>
      <c r="CA70" s="401"/>
      <c r="CB70" s="401"/>
      <c r="CC70" s="401"/>
      <c r="CD70" s="401"/>
      <c r="CE70" s="401"/>
      <c r="CF70" s="401"/>
      <c r="CG70" s="401"/>
      <c r="CH70" s="401"/>
      <c r="CI70" s="401"/>
      <c r="CJ70" s="401"/>
      <c r="CK70" s="401"/>
      <c r="CL70" s="401"/>
      <c r="CM70" s="401"/>
      <c r="CN70" s="401"/>
      <c r="CO70" s="401"/>
      <c r="CP70" s="401"/>
      <c r="CQ70" s="401"/>
      <c r="CR70" s="401"/>
      <c r="CS70" s="401"/>
      <c r="CT70" s="401"/>
      <c r="CU70" s="401"/>
      <c r="CV70" s="401"/>
      <c r="CW70" s="401"/>
      <c r="CX70" s="401"/>
      <c r="CY70" s="401"/>
      <c r="CZ70" s="401"/>
      <c r="DA70" s="401"/>
      <c r="DB70" s="401"/>
      <c r="DC70" s="401"/>
      <c r="DD70" s="401"/>
      <c r="DE70" s="401"/>
      <c r="DF70" s="401"/>
      <c r="DG70" s="401"/>
      <c r="DH70" s="401"/>
      <c r="DI70" s="401"/>
      <c r="DJ70" s="401"/>
      <c r="DK70" s="401"/>
      <c r="DL70" s="401"/>
      <c r="DM70" s="401"/>
      <c r="DN70" s="401"/>
      <c r="DO70" s="401"/>
      <c r="DP70" s="401"/>
      <c r="DQ70" s="401"/>
      <c r="DR70" s="401"/>
      <c r="DS70" s="401"/>
      <c r="DT70" s="401"/>
      <c r="DU70" s="401"/>
      <c r="DV70" s="401"/>
      <c r="DW70" s="401"/>
      <c r="DX70" s="401"/>
      <c r="DY70" s="401"/>
      <c r="DZ70" s="401"/>
      <c r="EA70" s="401"/>
      <c r="EB70" s="401"/>
      <c r="EC70" s="401"/>
      <c r="ED70" s="401"/>
      <c r="EE70" s="401"/>
      <c r="EF70" s="401"/>
      <c r="EG70" s="401"/>
      <c r="EH70" s="401"/>
      <c r="EI70" s="401"/>
      <c r="EJ70" s="401"/>
      <c r="EK70" s="401"/>
      <c r="EL70" s="401"/>
      <c r="EM70" s="401"/>
      <c r="EN70" s="401"/>
      <c r="EO70" s="401"/>
      <c r="EP70" s="401"/>
      <c r="EQ70" s="401"/>
      <c r="ER70" s="401"/>
      <c r="ES70" s="401"/>
      <c r="ET70" s="401"/>
      <c r="EU70" s="401"/>
      <c r="EV70" s="401"/>
      <c r="EW70" s="401"/>
      <c r="EX70" s="401"/>
      <c r="EY70" s="401"/>
      <c r="EZ70" s="401"/>
      <c r="FA70" s="401"/>
      <c r="FB70" s="401"/>
      <c r="FC70" s="401"/>
      <c r="FD70" s="401"/>
      <c r="FE70" s="401"/>
      <c r="FF70" s="401"/>
      <c r="FG70" s="401"/>
      <c r="FH70" s="401"/>
      <c r="FI70" s="401"/>
      <c r="FJ70" s="401"/>
      <c r="FK70" s="401"/>
      <c r="FL70" s="401"/>
      <c r="FM70" s="401"/>
      <c r="FN70" s="401"/>
      <c r="FO70" s="401"/>
      <c r="FP70" s="401"/>
      <c r="FQ70" s="401"/>
      <c r="FR70" s="401"/>
      <c r="FS70" s="401"/>
      <c r="FT70" s="401"/>
      <c r="FU70" s="401"/>
      <c r="FV70" s="401"/>
      <c r="FW70" s="401"/>
      <c r="FX70" s="401"/>
      <c r="FY70" s="401"/>
      <c r="FZ70" s="401"/>
      <c r="GA70" s="401"/>
      <c r="GB70" s="401"/>
      <c r="GC70" s="401"/>
      <c r="GD70" s="401"/>
      <c r="GE70" s="401"/>
      <c r="GF70" s="401"/>
      <c r="GG70" s="401"/>
      <c r="GH70" s="401"/>
      <c r="GI70" s="401"/>
      <c r="GJ70" s="401"/>
      <c r="GK70" s="401"/>
      <c r="GL70" s="401"/>
      <c r="GM70" s="401"/>
      <c r="GN70" s="401"/>
      <c r="GO70" s="401"/>
      <c r="GP70" s="401"/>
      <c r="GQ70" s="401"/>
      <c r="GR70" s="401"/>
      <c r="GS70" s="401"/>
      <c r="GT70" s="401"/>
      <c r="GU70" s="401"/>
      <c r="GV70" s="401"/>
      <c r="GW70" s="401"/>
      <c r="GX70" s="401"/>
      <c r="GY70" s="401"/>
      <c r="GZ70" s="401"/>
      <c r="HA70" s="401"/>
      <c r="HB70" s="401"/>
      <c r="HC70" s="401"/>
      <c r="HD70" s="401"/>
      <c r="HE70" s="401"/>
      <c r="HF70" s="401"/>
      <c r="HG70" s="401"/>
      <c r="HH70" s="401"/>
      <c r="HI70" s="401"/>
      <c r="HJ70" s="401"/>
      <c r="HK70" s="401"/>
      <c r="HL70" s="401"/>
      <c r="HM70" s="401"/>
      <c r="HN70" s="401"/>
      <c r="HO70" s="401"/>
      <c r="HP70" s="401"/>
      <c r="HQ70" s="401"/>
      <c r="HR70" s="401"/>
      <c r="HS70" s="401"/>
      <c r="HT70" s="401"/>
      <c r="HU70" s="401"/>
      <c r="HV70" s="401"/>
      <c r="HW70" s="401"/>
      <c r="HX70" s="401"/>
      <c r="HY70" s="401"/>
      <c r="HZ70" s="401"/>
      <c r="IA70" s="401"/>
      <c r="IB70" s="401"/>
      <c r="IC70" s="401"/>
      <c r="ID70" s="401"/>
      <c r="IE70" s="401"/>
      <c r="IF70" s="401"/>
      <c r="IG70" s="401"/>
      <c r="IH70" s="401"/>
      <c r="II70" s="401"/>
      <c r="IJ70" s="401"/>
      <c r="IK70" s="401"/>
      <c r="IL70" s="401"/>
      <c r="IM70" s="401"/>
      <c r="IN70" s="401"/>
      <c r="IO70" s="401"/>
      <c r="IP70" s="401"/>
      <c r="IQ70" s="401"/>
      <c r="IR70" s="401"/>
      <c r="IS70" s="401"/>
      <c r="IT70" s="401"/>
      <c r="IU70" s="401"/>
      <c r="IV70" s="401"/>
      <c r="IW70" s="401"/>
      <c r="IX70" s="401"/>
      <c r="IY70" s="401"/>
      <c r="IZ70" s="401"/>
      <c r="JA70" s="401"/>
      <c r="JB70" s="401"/>
      <c r="JC70" s="401"/>
      <c r="JD70" s="401"/>
      <c r="JE70" s="401"/>
      <c r="JF70" s="401"/>
      <c r="JG70" s="401"/>
      <c r="JH70" s="401"/>
      <c r="JI70" s="401"/>
      <c r="JJ70" s="401"/>
      <c r="JK70" s="401"/>
      <c r="JL70" s="401"/>
      <c r="JM70" s="401"/>
      <c r="JN70" s="401"/>
      <c r="JO70" s="401"/>
      <c r="JP70" s="401"/>
      <c r="JQ70" s="401"/>
      <c r="JR70" s="401"/>
      <c r="JS70" s="401"/>
      <c r="JT70" s="401"/>
      <c r="JU70" s="401"/>
      <c r="JV70" s="401"/>
      <c r="JW70" s="401"/>
      <c r="JX70" s="401"/>
      <c r="JY70" s="401"/>
      <c r="JZ70" s="401"/>
      <c r="KA70" s="401"/>
      <c r="KB70" s="401"/>
      <c r="KC70" s="401"/>
      <c r="KD70" s="401"/>
      <c r="KE70" s="401"/>
      <c r="KF70" s="401"/>
      <c r="KG70" s="401"/>
      <c r="KH70" s="401"/>
      <c r="KI70" s="401"/>
      <c r="KJ70" s="401"/>
      <c r="KK70" s="401"/>
      <c r="KL70" s="401"/>
      <c r="KM70" s="401"/>
      <c r="KN70" s="401"/>
      <c r="KO70" s="401"/>
      <c r="KP70" s="401"/>
      <c r="KQ70" s="401"/>
      <c r="KR70" s="401"/>
      <c r="KS70" s="401"/>
      <c r="KT70" s="401"/>
      <c r="KU70" s="401"/>
      <c r="KV70" s="401"/>
      <c r="KW70" s="401"/>
      <c r="KX70" s="401"/>
      <c r="KY70" s="401"/>
      <c r="KZ70" s="401"/>
      <c r="LA70" s="401"/>
      <c r="LB70" s="401"/>
      <c r="LC70" s="401"/>
      <c r="LD70" s="401"/>
      <c r="LE70" s="401"/>
      <c r="LF70" s="401"/>
      <c r="LG70" s="401"/>
      <c r="LH70" s="401"/>
      <c r="LI70" s="401"/>
      <c r="LJ70" s="401"/>
      <c r="LK70" s="401"/>
      <c r="LL70" s="401"/>
      <c r="LM70" s="401"/>
      <c r="LN70" s="401"/>
      <c r="LO70" s="401"/>
      <c r="LP70" s="401"/>
      <c r="LQ70" s="401"/>
      <c r="LR70" s="401"/>
      <c r="LS70" s="401"/>
      <c r="LT70" s="401"/>
      <c r="LU70" s="401"/>
      <c r="LV70" s="401"/>
      <c r="LW70" s="401"/>
      <c r="LX70" s="401"/>
      <c r="LY70" s="401"/>
      <c r="LZ70" s="401"/>
      <c r="MA70" s="401"/>
      <c r="MB70" s="401"/>
      <c r="MC70" s="401"/>
      <c r="MD70" s="401"/>
      <c r="ME70" s="401"/>
      <c r="MF70" s="401"/>
      <c r="MG70" s="401"/>
      <c r="MH70" s="401"/>
      <c r="MI70" s="401"/>
      <c r="MJ70" s="401"/>
      <c r="MK70" s="401"/>
      <c r="ML70" s="401"/>
      <c r="MM70" s="401"/>
      <c r="MN70" s="401"/>
      <c r="MO70" s="401"/>
      <c r="MP70" s="401"/>
      <c r="MQ70" s="401"/>
      <c r="MR70" s="401"/>
      <c r="MS70" s="401"/>
      <c r="MT70" s="401"/>
      <c r="MU70" s="401"/>
      <c r="MV70" s="401"/>
      <c r="MW70" s="401"/>
      <c r="MX70" s="401"/>
      <c r="MY70" s="401"/>
      <c r="MZ70" s="401"/>
      <c r="NA70" s="401"/>
      <c r="NB70" s="401"/>
      <c r="NC70" s="401"/>
      <c r="ND70" s="401"/>
      <c r="NE70" s="401"/>
    </row>
    <row r="71" spans="1:384" s="404" customFormat="1" ht="33.75" customHeight="1" x14ac:dyDescent="0.2">
      <c r="A71" s="2109"/>
      <c r="B71" s="2147"/>
      <c r="C71" s="2130"/>
      <c r="D71" s="2109"/>
      <c r="E71" s="2147"/>
      <c r="F71" s="2130"/>
      <c r="G71" s="2120"/>
      <c r="H71" s="2087"/>
      <c r="I71" s="2087"/>
      <c r="J71" s="2150"/>
      <c r="K71" s="2106"/>
      <c r="L71" s="2106"/>
      <c r="M71" s="2109"/>
      <c r="N71" s="403"/>
      <c r="O71" s="2106"/>
      <c r="P71" s="2106"/>
      <c r="Q71" s="2084"/>
      <c r="R71" s="2141"/>
      <c r="S71" s="2087"/>
      <c r="T71" s="2106"/>
      <c r="U71" s="371" t="s">
        <v>385</v>
      </c>
      <c r="V71" s="400">
        <f>188400000+7400000+172450000</f>
        <v>368250000</v>
      </c>
      <c r="W71" s="2153"/>
      <c r="X71" s="2155"/>
      <c r="Y71" s="2157"/>
      <c r="Z71" s="2157"/>
      <c r="AA71" s="2157"/>
      <c r="AB71" s="2157"/>
      <c r="AC71" s="2157"/>
      <c r="AD71" s="2157"/>
      <c r="AE71" s="2157"/>
      <c r="AF71" s="2157"/>
      <c r="AG71" s="2157"/>
      <c r="AH71" s="2157"/>
      <c r="AI71" s="2157"/>
      <c r="AJ71" s="2157"/>
      <c r="AK71" s="2159"/>
      <c r="AL71" s="2159"/>
      <c r="AM71" s="2161"/>
      <c r="AN71" s="401"/>
      <c r="AO71" s="401"/>
      <c r="AP71" s="401"/>
      <c r="AQ71" s="401"/>
      <c r="AR71" s="401"/>
      <c r="AS71" s="401"/>
      <c r="AT71" s="401"/>
      <c r="AU71" s="401"/>
      <c r="AV71" s="401"/>
      <c r="AW71" s="401"/>
      <c r="AX71" s="401"/>
      <c r="AY71" s="401"/>
      <c r="AZ71" s="401"/>
      <c r="BA71" s="401"/>
      <c r="BB71" s="401"/>
      <c r="BC71" s="401"/>
      <c r="BD71" s="401"/>
      <c r="BE71" s="401"/>
      <c r="BF71" s="401"/>
      <c r="BG71" s="401"/>
      <c r="BH71" s="401"/>
      <c r="BI71" s="401"/>
      <c r="BJ71" s="401"/>
      <c r="BK71" s="401"/>
      <c r="BL71" s="401"/>
      <c r="BM71" s="401"/>
      <c r="BN71" s="401"/>
      <c r="BO71" s="401"/>
      <c r="BP71" s="401"/>
      <c r="BQ71" s="401"/>
      <c r="BR71" s="401"/>
      <c r="BS71" s="401"/>
      <c r="BT71" s="401"/>
      <c r="BU71" s="401"/>
      <c r="BV71" s="401"/>
      <c r="BW71" s="401"/>
      <c r="BX71" s="401"/>
      <c r="BY71" s="401"/>
      <c r="BZ71" s="401"/>
      <c r="CA71" s="401"/>
      <c r="CB71" s="401"/>
      <c r="CC71" s="401"/>
      <c r="CD71" s="401"/>
      <c r="CE71" s="401"/>
      <c r="CF71" s="401"/>
      <c r="CG71" s="401"/>
      <c r="CH71" s="401"/>
      <c r="CI71" s="401"/>
      <c r="CJ71" s="401"/>
      <c r="CK71" s="401"/>
      <c r="CL71" s="401"/>
      <c r="CM71" s="401"/>
      <c r="CN71" s="401"/>
      <c r="CO71" s="401"/>
      <c r="CP71" s="401"/>
      <c r="CQ71" s="401"/>
      <c r="CR71" s="401"/>
      <c r="CS71" s="401"/>
      <c r="CT71" s="401"/>
      <c r="CU71" s="401"/>
      <c r="CV71" s="401"/>
      <c r="CW71" s="401"/>
      <c r="CX71" s="401"/>
      <c r="CY71" s="401"/>
      <c r="CZ71" s="401"/>
      <c r="DA71" s="401"/>
      <c r="DB71" s="401"/>
      <c r="DC71" s="401"/>
      <c r="DD71" s="401"/>
      <c r="DE71" s="401"/>
      <c r="DF71" s="401"/>
      <c r="DG71" s="401"/>
      <c r="DH71" s="401"/>
      <c r="DI71" s="401"/>
      <c r="DJ71" s="401"/>
      <c r="DK71" s="401"/>
      <c r="DL71" s="401"/>
      <c r="DM71" s="401"/>
      <c r="DN71" s="401"/>
      <c r="DO71" s="401"/>
      <c r="DP71" s="401"/>
      <c r="DQ71" s="401"/>
      <c r="DR71" s="401"/>
      <c r="DS71" s="401"/>
      <c r="DT71" s="401"/>
      <c r="DU71" s="401"/>
      <c r="DV71" s="401"/>
      <c r="DW71" s="401"/>
      <c r="DX71" s="401"/>
      <c r="DY71" s="401"/>
      <c r="DZ71" s="401"/>
      <c r="EA71" s="401"/>
      <c r="EB71" s="401"/>
      <c r="EC71" s="401"/>
      <c r="ED71" s="401"/>
      <c r="EE71" s="401"/>
      <c r="EF71" s="401"/>
      <c r="EG71" s="401"/>
      <c r="EH71" s="401"/>
      <c r="EI71" s="401"/>
      <c r="EJ71" s="401"/>
      <c r="EK71" s="401"/>
      <c r="EL71" s="401"/>
      <c r="EM71" s="401"/>
      <c r="EN71" s="401"/>
      <c r="EO71" s="401"/>
      <c r="EP71" s="401"/>
      <c r="EQ71" s="401"/>
      <c r="ER71" s="401"/>
      <c r="ES71" s="401"/>
      <c r="ET71" s="401"/>
      <c r="EU71" s="401"/>
      <c r="EV71" s="401"/>
      <c r="EW71" s="401"/>
      <c r="EX71" s="401"/>
      <c r="EY71" s="401"/>
      <c r="EZ71" s="401"/>
      <c r="FA71" s="401"/>
      <c r="FB71" s="401"/>
      <c r="FC71" s="401"/>
      <c r="FD71" s="401"/>
      <c r="FE71" s="401"/>
      <c r="FF71" s="401"/>
      <c r="FG71" s="401"/>
      <c r="FH71" s="401"/>
      <c r="FI71" s="401"/>
      <c r="FJ71" s="401"/>
      <c r="FK71" s="401"/>
      <c r="FL71" s="401"/>
      <c r="FM71" s="401"/>
      <c r="FN71" s="401"/>
      <c r="FO71" s="401"/>
      <c r="FP71" s="401"/>
      <c r="FQ71" s="401"/>
      <c r="FR71" s="401"/>
      <c r="FS71" s="401"/>
      <c r="FT71" s="401"/>
      <c r="FU71" s="401"/>
      <c r="FV71" s="401"/>
      <c r="FW71" s="401"/>
      <c r="FX71" s="401"/>
      <c r="FY71" s="401"/>
      <c r="FZ71" s="401"/>
      <c r="GA71" s="401"/>
      <c r="GB71" s="401"/>
      <c r="GC71" s="401"/>
      <c r="GD71" s="401"/>
      <c r="GE71" s="401"/>
      <c r="GF71" s="401"/>
      <c r="GG71" s="401"/>
      <c r="GH71" s="401"/>
      <c r="GI71" s="401"/>
      <c r="GJ71" s="401"/>
      <c r="GK71" s="401"/>
      <c r="GL71" s="401"/>
      <c r="GM71" s="401"/>
      <c r="GN71" s="401"/>
      <c r="GO71" s="401"/>
      <c r="GP71" s="401"/>
      <c r="GQ71" s="401"/>
      <c r="GR71" s="401"/>
      <c r="GS71" s="401"/>
      <c r="GT71" s="401"/>
      <c r="GU71" s="401"/>
      <c r="GV71" s="401"/>
      <c r="GW71" s="401"/>
      <c r="GX71" s="401"/>
      <c r="GY71" s="401"/>
      <c r="GZ71" s="401"/>
      <c r="HA71" s="401"/>
      <c r="HB71" s="401"/>
      <c r="HC71" s="401"/>
      <c r="HD71" s="401"/>
      <c r="HE71" s="401"/>
      <c r="HF71" s="401"/>
      <c r="HG71" s="401"/>
      <c r="HH71" s="401"/>
      <c r="HI71" s="401"/>
      <c r="HJ71" s="401"/>
      <c r="HK71" s="401"/>
      <c r="HL71" s="401"/>
      <c r="HM71" s="401"/>
      <c r="HN71" s="401"/>
      <c r="HO71" s="401"/>
      <c r="HP71" s="401"/>
      <c r="HQ71" s="401"/>
      <c r="HR71" s="401"/>
      <c r="HS71" s="401"/>
      <c r="HT71" s="401"/>
      <c r="HU71" s="401"/>
      <c r="HV71" s="401"/>
      <c r="HW71" s="401"/>
      <c r="HX71" s="401"/>
      <c r="HY71" s="401"/>
      <c r="HZ71" s="401"/>
      <c r="IA71" s="401"/>
      <c r="IB71" s="401"/>
      <c r="IC71" s="401"/>
      <c r="ID71" s="401"/>
      <c r="IE71" s="401"/>
      <c r="IF71" s="401"/>
      <c r="IG71" s="401"/>
      <c r="IH71" s="401"/>
      <c r="II71" s="401"/>
      <c r="IJ71" s="401"/>
      <c r="IK71" s="401"/>
      <c r="IL71" s="401"/>
      <c r="IM71" s="401"/>
      <c r="IN71" s="401"/>
      <c r="IO71" s="401"/>
      <c r="IP71" s="401"/>
      <c r="IQ71" s="401"/>
      <c r="IR71" s="401"/>
      <c r="IS71" s="401"/>
      <c r="IT71" s="401"/>
      <c r="IU71" s="401"/>
      <c r="IV71" s="401"/>
      <c r="IW71" s="401"/>
      <c r="IX71" s="401"/>
      <c r="IY71" s="401"/>
      <c r="IZ71" s="401"/>
      <c r="JA71" s="401"/>
      <c r="JB71" s="401"/>
      <c r="JC71" s="401"/>
      <c r="JD71" s="401"/>
      <c r="JE71" s="401"/>
      <c r="JF71" s="401"/>
      <c r="JG71" s="401"/>
      <c r="JH71" s="401"/>
      <c r="JI71" s="401"/>
      <c r="JJ71" s="401"/>
      <c r="JK71" s="401"/>
      <c r="JL71" s="401"/>
      <c r="JM71" s="401"/>
      <c r="JN71" s="401"/>
      <c r="JO71" s="401"/>
      <c r="JP71" s="401"/>
      <c r="JQ71" s="401"/>
      <c r="JR71" s="401"/>
      <c r="JS71" s="401"/>
      <c r="JT71" s="401"/>
      <c r="JU71" s="401"/>
      <c r="JV71" s="401"/>
      <c r="JW71" s="401"/>
      <c r="JX71" s="401"/>
      <c r="JY71" s="401"/>
      <c r="JZ71" s="401"/>
      <c r="KA71" s="401"/>
      <c r="KB71" s="401"/>
      <c r="KC71" s="401"/>
      <c r="KD71" s="401"/>
      <c r="KE71" s="401"/>
      <c r="KF71" s="401"/>
      <c r="KG71" s="401"/>
      <c r="KH71" s="401"/>
      <c r="KI71" s="401"/>
      <c r="KJ71" s="401"/>
      <c r="KK71" s="401"/>
      <c r="KL71" s="401"/>
      <c r="KM71" s="401"/>
      <c r="KN71" s="401"/>
      <c r="KO71" s="401"/>
      <c r="KP71" s="401"/>
      <c r="KQ71" s="401"/>
      <c r="KR71" s="401"/>
      <c r="KS71" s="401"/>
      <c r="KT71" s="401"/>
      <c r="KU71" s="401"/>
      <c r="KV71" s="401"/>
      <c r="KW71" s="401"/>
      <c r="KX71" s="401"/>
      <c r="KY71" s="401"/>
      <c r="KZ71" s="401"/>
      <c r="LA71" s="401"/>
      <c r="LB71" s="401"/>
      <c r="LC71" s="401"/>
      <c r="LD71" s="401"/>
      <c r="LE71" s="401"/>
      <c r="LF71" s="401"/>
      <c r="LG71" s="401"/>
      <c r="LH71" s="401"/>
      <c r="LI71" s="401"/>
      <c r="LJ71" s="401"/>
      <c r="LK71" s="401"/>
      <c r="LL71" s="401"/>
      <c r="LM71" s="401"/>
      <c r="LN71" s="401"/>
      <c r="LO71" s="401"/>
      <c r="LP71" s="401"/>
      <c r="LQ71" s="401"/>
      <c r="LR71" s="401"/>
      <c r="LS71" s="401"/>
      <c r="LT71" s="401"/>
      <c r="LU71" s="401"/>
      <c r="LV71" s="401"/>
      <c r="LW71" s="401"/>
      <c r="LX71" s="401"/>
      <c r="LY71" s="401"/>
      <c r="LZ71" s="401"/>
      <c r="MA71" s="401"/>
      <c r="MB71" s="401"/>
      <c r="MC71" s="401"/>
      <c r="MD71" s="401"/>
      <c r="ME71" s="401"/>
      <c r="MF71" s="401"/>
      <c r="MG71" s="401"/>
      <c r="MH71" s="401"/>
      <c r="MI71" s="401"/>
      <c r="MJ71" s="401"/>
      <c r="MK71" s="401"/>
      <c r="ML71" s="401"/>
      <c r="MM71" s="401"/>
      <c r="MN71" s="401"/>
      <c r="MO71" s="401"/>
      <c r="MP71" s="401"/>
      <c r="MQ71" s="401"/>
      <c r="MR71" s="401"/>
      <c r="MS71" s="401"/>
      <c r="MT71" s="401"/>
      <c r="MU71" s="401"/>
      <c r="MV71" s="401"/>
      <c r="MW71" s="401"/>
      <c r="MX71" s="401"/>
      <c r="MY71" s="401"/>
      <c r="MZ71" s="401"/>
      <c r="NA71" s="401"/>
      <c r="NB71" s="401"/>
      <c r="NC71" s="401"/>
      <c r="ND71" s="401"/>
      <c r="NE71" s="401"/>
    </row>
    <row r="72" spans="1:384" s="404" customFormat="1" ht="33.75" customHeight="1" x14ac:dyDescent="0.2">
      <c r="A72" s="2109"/>
      <c r="B72" s="2147"/>
      <c r="C72" s="2130"/>
      <c r="D72" s="2109"/>
      <c r="E72" s="2147"/>
      <c r="F72" s="2130"/>
      <c r="G72" s="2120"/>
      <c r="H72" s="2087"/>
      <c r="I72" s="2087"/>
      <c r="J72" s="2150"/>
      <c r="K72" s="2106"/>
      <c r="L72" s="2106"/>
      <c r="M72" s="2109"/>
      <c r="N72" s="403"/>
      <c r="O72" s="2106"/>
      <c r="P72" s="2106"/>
      <c r="Q72" s="2084"/>
      <c r="R72" s="2141"/>
      <c r="S72" s="2087"/>
      <c r="T72" s="2106"/>
      <c r="U72" s="371" t="s">
        <v>394</v>
      </c>
      <c r="V72" s="400">
        <f>11000000-11000000</f>
        <v>0</v>
      </c>
      <c r="W72" s="2153"/>
      <c r="X72" s="2155"/>
      <c r="Y72" s="2157"/>
      <c r="Z72" s="2157"/>
      <c r="AA72" s="2157"/>
      <c r="AB72" s="2157"/>
      <c r="AC72" s="2157"/>
      <c r="AD72" s="2157"/>
      <c r="AE72" s="2157"/>
      <c r="AF72" s="2157"/>
      <c r="AG72" s="2157"/>
      <c r="AH72" s="2157"/>
      <c r="AI72" s="2157"/>
      <c r="AJ72" s="2157"/>
      <c r="AK72" s="2159"/>
      <c r="AL72" s="2159"/>
      <c r="AM72" s="2161"/>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c r="BQ72" s="401"/>
      <c r="BR72" s="401"/>
      <c r="BS72" s="401"/>
      <c r="BT72" s="401"/>
      <c r="BU72" s="401"/>
      <c r="BV72" s="401"/>
      <c r="BW72" s="401"/>
      <c r="BX72" s="401"/>
      <c r="BY72" s="401"/>
      <c r="BZ72" s="401"/>
      <c r="CA72" s="401"/>
      <c r="CB72" s="401"/>
      <c r="CC72" s="401"/>
      <c r="CD72" s="401"/>
      <c r="CE72" s="401"/>
      <c r="CF72" s="401"/>
      <c r="CG72" s="401"/>
      <c r="CH72" s="401"/>
      <c r="CI72" s="401"/>
      <c r="CJ72" s="401"/>
      <c r="CK72" s="401"/>
      <c r="CL72" s="401"/>
      <c r="CM72" s="401"/>
      <c r="CN72" s="401"/>
      <c r="CO72" s="401"/>
      <c r="CP72" s="401"/>
      <c r="CQ72" s="401"/>
      <c r="CR72" s="401"/>
      <c r="CS72" s="401"/>
      <c r="CT72" s="401"/>
      <c r="CU72" s="401"/>
      <c r="CV72" s="401"/>
      <c r="CW72" s="401"/>
      <c r="CX72" s="401"/>
      <c r="CY72" s="401"/>
      <c r="CZ72" s="401"/>
      <c r="DA72" s="401"/>
      <c r="DB72" s="401"/>
      <c r="DC72" s="401"/>
      <c r="DD72" s="401"/>
      <c r="DE72" s="401"/>
      <c r="DF72" s="401"/>
      <c r="DG72" s="401"/>
      <c r="DH72" s="401"/>
      <c r="DI72" s="401"/>
      <c r="DJ72" s="401"/>
      <c r="DK72" s="401"/>
      <c r="DL72" s="401"/>
      <c r="DM72" s="401"/>
      <c r="DN72" s="401"/>
      <c r="DO72" s="401"/>
      <c r="DP72" s="401"/>
      <c r="DQ72" s="401"/>
      <c r="DR72" s="401"/>
      <c r="DS72" s="401"/>
      <c r="DT72" s="401"/>
      <c r="DU72" s="401"/>
      <c r="DV72" s="401"/>
      <c r="DW72" s="401"/>
      <c r="DX72" s="401"/>
      <c r="DY72" s="401"/>
      <c r="DZ72" s="401"/>
      <c r="EA72" s="401"/>
      <c r="EB72" s="401"/>
      <c r="EC72" s="401"/>
      <c r="ED72" s="401"/>
      <c r="EE72" s="401"/>
      <c r="EF72" s="401"/>
      <c r="EG72" s="401"/>
      <c r="EH72" s="401"/>
      <c r="EI72" s="401"/>
      <c r="EJ72" s="401"/>
      <c r="EK72" s="401"/>
      <c r="EL72" s="401"/>
      <c r="EM72" s="401"/>
      <c r="EN72" s="401"/>
      <c r="EO72" s="401"/>
      <c r="EP72" s="401"/>
      <c r="EQ72" s="401"/>
      <c r="ER72" s="401"/>
      <c r="ES72" s="401"/>
      <c r="ET72" s="401"/>
      <c r="EU72" s="401"/>
      <c r="EV72" s="401"/>
      <c r="EW72" s="401"/>
      <c r="EX72" s="401"/>
      <c r="EY72" s="401"/>
      <c r="EZ72" s="401"/>
      <c r="FA72" s="401"/>
      <c r="FB72" s="401"/>
      <c r="FC72" s="401"/>
      <c r="FD72" s="401"/>
      <c r="FE72" s="401"/>
      <c r="FF72" s="401"/>
      <c r="FG72" s="401"/>
      <c r="FH72" s="401"/>
      <c r="FI72" s="401"/>
      <c r="FJ72" s="401"/>
      <c r="FK72" s="401"/>
      <c r="FL72" s="401"/>
      <c r="FM72" s="401"/>
      <c r="FN72" s="401"/>
      <c r="FO72" s="401"/>
      <c r="FP72" s="401"/>
      <c r="FQ72" s="401"/>
      <c r="FR72" s="401"/>
      <c r="FS72" s="401"/>
      <c r="FT72" s="401"/>
      <c r="FU72" s="401"/>
      <c r="FV72" s="401"/>
      <c r="FW72" s="401"/>
      <c r="FX72" s="401"/>
      <c r="FY72" s="401"/>
      <c r="FZ72" s="401"/>
      <c r="GA72" s="401"/>
      <c r="GB72" s="401"/>
      <c r="GC72" s="401"/>
      <c r="GD72" s="401"/>
      <c r="GE72" s="401"/>
      <c r="GF72" s="401"/>
      <c r="GG72" s="401"/>
      <c r="GH72" s="401"/>
      <c r="GI72" s="401"/>
      <c r="GJ72" s="401"/>
      <c r="GK72" s="401"/>
      <c r="GL72" s="401"/>
      <c r="GM72" s="401"/>
      <c r="GN72" s="401"/>
      <c r="GO72" s="401"/>
      <c r="GP72" s="401"/>
      <c r="GQ72" s="401"/>
      <c r="GR72" s="401"/>
      <c r="GS72" s="401"/>
      <c r="GT72" s="401"/>
      <c r="GU72" s="401"/>
      <c r="GV72" s="401"/>
      <c r="GW72" s="401"/>
      <c r="GX72" s="401"/>
      <c r="GY72" s="401"/>
      <c r="GZ72" s="401"/>
      <c r="HA72" s="401"/>
      <c r="HB72" s="401"/>
      <c r="HC72" s="401"/>
      <c r="HD72" s="401"/>
      <c r="HE72" s="401"/>
      <c r="HF72" s="401"/>
      <c r="HG72" s="401"/>
      <c r="HH72" s="401"/>
      <c r="HI72" s="401"/>
      <c r="HJ72" s="401"/>
      <c r="HK72" s="401"/>
      <c r="HL72" s="401"/>
      <c r="HM72" s="401"/>
      <c r="HN72" s="401"/>
      <c r="HO72" s="401"/>
      <c r="HP72" s="401"/>
      <c r="HQ72" s="401"/>
      <c r="HR72" s="401"/>
      <c r="HS72" s="401"/>
      <c r="HT72" s="401"/>
      <c r="HU72" s="401"/>
      <c r="HV72" s="401"/>
      <c r="HW72" s="401"/>
      <c r="HX72" s="401"/>
      <c r="HY72" s="401"/>
      <c r="HZ72" s="401"/>
      <c r="IA72" s="401"/>
      <c r="IB72" s="401"/>
      <c r="IC72" s="401"/>
      <c r="ID72" s="401"/>
      <c r="IE72" s="401"/>
      <c r="IF72" s="401"/>
      <c r="IG72" s="401"/>
      <c r="IH72" s="401"/>
      <c r="II72" s="401"/>
      <c r="IJ72" s="401"/>
      <c r="IK72" s="401"/>
      <c r="IL72" s="401"/>
      <c r="IM72" s="401"/>
      <c r="IN72" s="401"/>
      <c r="IO72" s="401"/>
      <c r="IP72" s="401"/>
      <c r="IQ72" s="401"/>
      <c r="IR72" s="401"/>
      <c r="IS72" s="401"/>
      <c r="IT72" s="401"/>
      <c r="IU72" s="401"/>
      <c r="IV72" s="401"/>
      <c r="IW72" s="401"/>
      <c r="IX72" s="401"/>
      <c r="IY72" s="401"/>
      <c r="IZ72" s="401"/>
      <c r="JA72" s="401"/>
      <c r="JB72" s="401"/>
      <c r="JC72" s="401"/>
      <c r="JD72" s="401"/>
      <c r="JE72" s="401"/>
      <c r="JF72" s="401"/>
      <c r="JG72" s="401"/>
      <c r="JH72" s="401"/>
      <c r="JI72" s="401"/>
      <c r="JJ72" s="401"/>
      <c r="JK72" s="401"/>
      <c r="JL72" s="401"/>
      <c r="JM72" s="401"/>
      <c r="JN72" s="401"/>
      <c r="JO72" s="401"/>
      <c r="JP72" s="401"/>
      <c r="JQ72" s="401"/>
      <c r="JR72" s="401"/>
      <c r="JS72" s="401"/>
      <c r="JT72" s="401"/>
      <c r="JU72" s="401"/>
      <c r="JV72" s="401"/>
      <c r="JW72" s="401"/>
      <c r="JX72" s="401"/>
      <c r="JY72" s="401"/>
      <c r="JZ72" s="401"/>
      <c r="KA72" s="401"/>
      <c r="KB72" s="401"/>
      <c r="KC72" s="401"/>
      <c r="KD72" s="401"/>
      <c r="KE72" s="401"/>
      <c r="KF72" s="401"/>
      <c r="KG72" s="401"/>
      <c r="KH72" s="401"/>
      <c r="KI72" s="401"/>
      <c r="KJ72" s="401"/>
      <c r="KK72" s="401"/>
      <c r="KL72" s="401"/>
      <c r="KM72" s="401"/>
      <c r="KN72" s="401"/>
      <c r="KO72" s="401"/>
      <c r="KP72" s="401"/>
      <c r="KQ72" s="401"/>
      <c r="KR72" s="401"/>
      <c r="KS72" s="401"/>
      <c r="KT72" s="401"/>
      <c r="KU72" s="401"/>
      <c r="KV72" s="401"/>
      <c r="KW72" s="401"/>
      <c r="KX72" s="401"/>
      <c r="KY72" s="401"/>
      <c r="KZ72" s="401"/>
      <c r="LA72" s="401"/>
      <c r="LB72" s="401"/>
      <c r="LC72" s="401"/>
      <c r="LD72" s="401"/>
      <c r="LE72" s="401"/>
      <c r="LF72" s="401"/>
      <c r="LG72" s="401"/>
      <c r="LH72" s="401"/>
      <c r="LI72" s="401"/>
      <c r="LJ72" s="401"/>
      <c r="LK72" s="401"/>
      <c r="LL72" s="401"/>
      <c r="LM72" s="401"/>
      <c r="LN72" s="401"/>
      <c r="LO72" s="401"/>
      <c r="LP72" s="401"/>
      <c r="LQ72" s="401"/>
      <c r="LR72" s="401"/>
      <c r="LS72" s="401"/>
      <c r="LT72" s="401"/>
      <c r="LU72" s="401"/>
      <c r="LV72" s="401"/>
      <c r="LW72" s="401"/>
      <c r="LX72" s="401"/>
      <c r="LY72" s="401"/>
      <c r="LZ72" s="401"/>
      <c r="MA72" s="401"/>
      <c r="MB72" s="401"/>
      <c r="MC72" s="401"/>
      <c r="MD72" s="401"/>
      <c r="ME72" s="401"/>
      <c r="MF72" s="401"/>
      <c r="MG72" s="401"/>
      <c r="MH72" s="401"/>
      <c r="MI72" s="401"/>
      <c r="MJ72" s="401"/>
      <c r="MK72" s="401"/>
      <c r="ML72" s="401"/>
      <c r="MM72" s="401"/>
      <c r="MN72" s="401"/>
      <c r="MO72" s="401"/>
      <c r="MP72" s="401"/>
      <c r="MQ72" s="401"/>
      <c r="MR72" s="401"/>
      <c r="MS72" s="401"/>
      <c r="MT72" s="401"/>
      <c r="MU72" s="401"/>
      <c r="MV72" s="401"/>
      <c r="MW72" s="401"/>
      <c r="MX72" s="401"/>
      <c r="MY72" s="401"/>
      <c r="MZ72" s="401"/>
      <c r="NA72" s="401"/>
      <c r="NB72" s="401"/>
      <c r="NC72" s="401"/>
      <c r="ND72" s="401"/>
      <c r="NE72" s="401"/>
    </row>
    <row r="73" spans="1:384" s="404" customFormat="1" ht="33.75" customHeight="1" x14ac:dyDescent="0.2">
      <c r="A73" s="2109"/>
      <c r="B73" s="2147"/>
      <c r="C73" s="2130"/>
      <c r="D73" s="2109"/>
      <c r="E73" s="2147"/>
      <c r="F73" s="2130"/>
      <c r="G73" s="2120"/>
      <c r="H73" s="2087"/>
      <c r="I73" s="2087"/>
      <c r="J73" s="2150"/>
      <c r="K73" s="2106"/>
      <c r="L73" s="2106"/>
      <c r="M73" s="2109"/>
      <c r="N73" s="403"/>
      <c r="O73" s="2106"/>
      <c r="P73" s="2106"/>
      <c r="Q73" s="2084"/>
      <c r="R73" s="2141"/>
      <c r="S73" s="2087"/>
      <c r="T73" s="2106"/>
      <c r="U73" s="371" t="s">
        <v>395</v>
      </c>
      <c r="V73" s="400">
        <f>21000000-3500000-17500000</f>
        <v>0</v>
      </c>
      <c r="W73" s="2153"/>
      <c r="X73" s="2155"/>
      <c r="Y73" s="2157"/>
      <c r="Z73" s="2157"/>
      <c r="AA73" s="2157"/>
      <c r="AB73" s="2157"/>
      <c r="AC73" s="2157"/>
      <c r="AD73" s="2157"/>
      <c r="AE73" s="2157"/>
      <c r="AF73" s="2157"/>
      <c r="AG73" s="2157"/>
      <c r="AH73" s="2157"/>
      <c r="AI73" s="2157"/>
      <c r="AJ73" s="2157"/>
      <c r="AK73" s="2159"/>
      <c r="AL73" s="2159"/>
      <c r="AM73" s="2161"/>
      <c r="AN73" s="401"/>
      <c r="AO73" s="401"/>
      <c r="AP73" s="401"/>
      <c r="AQ73" s="401"/>
      <c r="AR73" s="401"/>
      <c r="AS73" s="401"/>
      <c r="AT73" s="401"/>
      <c r="AU73" s="401"/>
      <c r="AV73" s="401"/>
      <c r="AW73" s="401"/>
      <c r="AX73" s="401"/>
      <c r="AY73" s="401"/>
      <c r="AZ73" s="401"/>
      <c r="BA73" s="401"/>
      <c r="BB73" s="401"/>
      <c r="BC73" s="401"/>
      <c r="BD73" s="401"/>
      <c r="BE73" s="401"/>
      <c r="BF73" s="401"/>
      <c r="BG73" s="401"/>
      <c r="BH73" s="401"/>
      <c r="BI73" s="401"/>
      <c r="BJ73" s="401"/>
      <c r="BK73" s="401"/>
      <c r="BL73" s="401"/>
      <c r="BM73" s="401"/>
      <c r="BN73" s="401"/>
      <c r="BO73" s="401"/>
      <c r="BP73" s="401"/>
      <c r="BQ73" s="401"/>
      <c r="BR73" s="401"/>
      <c r="BS73" s="401"/>
      <c r="BT73" s="401"/>
      <c r="BU73" s="401"/>
      <c r="BV73" s="401"/>
      <c r="BW73" s="401"/>
      <c r="BX73" s="401"/>
      <c r="BY73" s="401"/>
      <c r="BZ73" s="401"/>
      <c r="CA73" s="401"/>
      <c r="CB73" s="401"/>
      <c r="CC73" s="401"/>
      <c r="CD73" s="401"/>
      <c r="CE73" s="401"/>
      <c r="CF73" s="401"/>
      <c r="CG73" s="401"/>
      <c r="CH73" s="401"/>
      <c r="CI73" s="401"/>
      <c r="CJ73" s="401"/>
      <c r="CK73" s="401"/>
      <c r="CL73" s="401"/>
      <c r="CM73" s="401"/>
      <c r="CN73" s="401"/>
      <c r="CO73" s="401"/>
      <c r="CP73" s="401"/>
      <c r="CQ73" s="401"/>
      <c r="CR73" s="401"/>
      <c r="CS73" s="401"/>
      <c r="CT73" s="401"/>
      <c r="CU73" s="401"/>
      <c r="CV73" s="401"/>
      <c r="CW73" s="401"/>
      <c r="CX73" s="401"/>
      <c r="CY73" s="401"/>
      <c r="CZ73" s="401"/>
      <c r="DA73" s="401"/>
      <c r="DB73" s="401"/>
      <c r="DC73" s="401"/>
      <c r="DD73" s="401"/>
      <c r="DE73" s="401"/>
      <c r="DF73" s="401"/>
      <c r="DG73" s="401"/>
      <c r="DH73" s="401"/>
      <c r="DI73" s="401"/>
      <c r="DJ73" s="401"/>
      <c r="DK73" s="401"/>
      <c r="DL73" s="401"/>
      <c r="DM73" s="401"/>
      <c r="DN73" s="401"/>
      <c r="DO73" s="401"/>
      <c r="DP73" s="401"/>
      <c r="DQ73" s="401"/>
      <c r="DR73" s="401"/>
      <c r="DS73" s="401"/>
      <c r="DT73" s="401"/>
      <c r="DU73" s="401"/>
      <c r="DV73" s="401"/>
      <c r="DW73" s="401"/>
      <c r="DX73" s="401"/>
      <c r="DY73" s="401"/>
      <c r="DZ73" s="401"/>
      <c r="EA73" s="401"/>
      <c r="EB73" s="401"/>
      <c r="EC73" s="401"/>
      <c r="ED73" s="401"/>
      <c r="EE73" s="401"/>
      <c r="EF73" s="401"/>
      <c r="EG73" s="401"/>
      <c r="EH73" s="401"/>
      <c r="EI73" s="401"/>
      <c r="EJ73" s="401"/>
      <c r="EK73" s="401"/>
      <c r="EL73" s="401"/>
      <c r="EM73" s="401"/>
      <c r="EN73" s="401"/>
      <c r="EO73" s="401"/>
      <c r="EP73" s="401"/>
      <c r="EQ73" s="401"/>
      <c r="ER73" s="401"/>
      <c r="ES73" s="401"/>
      <c r="ET73" s="401"/>
      <c r="EU73" s="401"/>
      <c r="EV73" s="401"/>
      <c r="EW73" s="401"/>
      <c r="EX73" s="401"/>
      <c r="EY73" s="401"/>
      <c r="EZ73" s="401"/>
      <c r="FA73" s="401"/>
      <c r="FB73" s="401"/>
      <c r="FC73" s="401"/>
      <c r="FD73" s="401"/>
      <c r="FE73" s="401"/>
      <c r="FF73" s="401"/>
      <c r="FG73" s="401"/>
      <c r="FH73" s="401"/>
      <c r="FI73" s="401"/>
      <c r="FJ73" s="401"/>
      <c r="FK73" s="401"/>
      <c r="FL73" s="401"/>
      <c r="FM73" s="401"/>
      <c r="FN73" s="401"/>
      <c r="FO73" s="401"/>
      <c r="FP73" s="401"/>
      <c r="FQ73" s="401"/>
      <c r="FR73" s="401"/>
      <c r="FS73" s="401"/>
      <c r="FT73" s="401"/>
      <c r="FU73" s="401"/>
      <c r="FV73" s="401"/>
      <c r="FW73" s="401"/>
      <c r="FX73" s="401"/>
      <c r="FY73" s="401"/>
      <c r="FZ73" s="401"/>
      <c r="GA73" s="401"/>
      <c r="GB73" s="401"/>
      <c r="GC73" s="401"/>
      <c r="GD73" s="401"/>
      <c r="GE73" s="401"/>
      <c r="GF73" s="401"/>
      <c r="GG73" s="401"/>
      <c r="GH73" s="401"/>
      <c r="GI73" s="401"/>
      <c r="GJ73" s="401"/>
      <c r="GK73" s="401"/>
      <c r="GL73" s="401"/>
      <c r="GM73" s="401"/>
      <c r="GN73" s="401"/>
      <c r="GO73" s="401"/>
      <c r="GP73" s="401"/>
      <c r="GQ73" s="401"/>
      <c r="GR73" s="401"/>
      <c r="GS73" s="401"/>
      <c r="GT73" s="401"/>
      <c r="GU73" s="401"/>
      <c r="GV73" s="401"/>
      <c r="GW73" s="401"/>
      <c r="GX73" s="401"/>
      <c r="GY73" s="401"/>
      <c r="GZ73" s="401"/>
      <c r="HA73" s="401"/>
      <c r="HB73" s="401"/>
      <c r="HC73" s="401"/>
      <c r="HD73" s="401"/>
      <c r="HE73" s="401"/>
      <c r="HF73" s="401"/>
      <c r="HG73" s="401"/>
      <c r="HH73" s="401"/>
      <c r="HI73" s="401"/>
      <c r="HJ73" s="401"/>
      <c r="HK73" s="401"/>
      <c r="HL73" s="401"/>
      <c r="HM73" s="401"/>
      <c r="HN73" s="401"/>
      <c r="HO73" s="401"/>
      <c r="HP73" s="401"/>
      <c r="HQ73" s="401"/>
      <c r="HR73" s="401"/>
      <c r="HS73" s="401"/>
      <c r="HT73" s="401"/>
      <c r="HU73" s="401"/>
      <c r="HV73" s="401"/>
      <c r="HW73" s="401"/>
      <c r="HX73" s="401"/>
      <c r="HY73" s="401"/>
      <c r="HZ73" s="401"/>
      <c r="IA73" s="401"/>
      <c r="IB73" s="401"/>
      <c r="IC73" s="401"/>
      <c r="ID73" s="401"/>
      <c r="IE73" s="401"/>
      <c r="IF73" s="401"/>
      <c r="IG73" s="401"/>
      <c r="IH73" s="401"/>
      <c r="II73" s="401"/>
      <c r="IJ73" s="401"/>
      <c r="IK73" s="401"/>
      <c r="IL73" s="401"/>
      <c r="IM73" s="401"/>
      <c r="IN73" s="401"/>
      <c r="IO73" s="401"/>
      <c r="IP73" s="401"/>
      <c r="IQ73" s="401"/>
      <c r="IR73" s="401"/>
      <c r="IS73" s="401"/>
      <c r="IT73" s="401"/>
      <c r="IU73" s="401"/>
      <c r="IV73" s="401"/>
      <c r="IW73" s="401"/>
      <c r="IX73" s="401"/>
      <c r="IY73" s="401"/>
      <c r="IZ73" s="401"/>
      <c r="JA73" s="401"/>
      <c r="JB73" s="401"/>
      <c r="JC73" s="401"/>
      <c r="JD73" s="401"/>
      <c r="JE73" s="401"/>
      <c r="JF73" s="401"/>
      <c r="JG73" s="401"/>
      <c r="JH73" s="401"/>
      <c r="JI73" s="401"/>
      <c r="JJ73" s="401"/>
      <c r="JK73" s="401"/>
      <c r="JL73" s="401"/>
      <c r="JM73" s="401"/>
      <c r="JN73" s="401"/>
      <c r="JO73" s="401"/>
      <c r="JP73" s="401"/>
      <c r="JQ73" s="401"/>
      <c r="JR73" s="401"/>
      <c r="JS73" s="401"/>
      <c r="JT73" s="401"/>
      <c r="JU73" s="401"/>
      <c r="JV73" s="401"/>
      <c r="JW73" s="401"/>
      <c r="JX73" s="401"/>
      <c r="JY73" s="401"/>
      <c r="JZ73" s="401"/>
      <c r="KA73" s="401"/>
      <c r="KB73" s="401"/>
      <c r="KC73" s="401"/>
      <c r="KD73" s="401"/>
      <c r="KE73" s="401"/>
      <c r="KF73" s="401"/>
      <c r="KG73" s="401"/>
      <c r="KH73" s="401"/>
      <c r="KI73" s="401"/>
      <c r="KJ73" s="401"/>
      <c r="KK73" s="401"/>
      <c r="KL73" s="401"/>
      <c r="KM73" s="401"/>
      <c r="KN73" s="401"/>
      <c r="KO73" s="401"/>
      <c r="KP73" s="401"/>
      <c r="KQ73" s="401"/>
      <c r="KR73" s="401"/>
      <c r="KS73" s="401"/>
      <c r="KT73" s="401"/>
      <c r="KU73" s="401"/>
      <c r="KV73" s="401"/>
      <c r="KW73" s="401"/>
      <c r="KX73" s="401"/>
      <c r="KY73" s="401"/>
      <c r="KZ73" s="401"/>
      <c r="LA73" s="401"/>
      <c r="LB73" s="401"/>
      <c r="LC73" s="401"/>
      <c r="LD73" s="401"/>
      <c r="LE73" s="401"/>
      <c r="LF73" s="401"/>
      <c r="LG73" s="401"/>
      <c r="LH73" s="401"/>
      <c r="LI73" s="401"/>
      <c r="LJ73" s="401"/>
      <c r="LK73" s="401"/>
      <c r="LL73" s="401"/>
      <c r="LM73" s="401"/>
      <c r="LN73" s="401"/>
      <c r="LO73" s="401"/>
      <c r="LP73" s="401"/>
      <c r="LQ73" s="401"/>
      <c r="LR73" s="401"/>
      <c r="LS73" s="401"/>
      <c r="LT73" s="401"/>
      <c r="LU73" s="401"/>
      <c r="LV73" s="401"/>
      <c r="LW73" s="401"/>
      <c r="LX73" s="401"/>
      <c r="LY73" s="401"/>
      <c r="LZ73" s="401"/>
      <c r="MA73" s="401"/>
      <c r="MB73" s="401"/>
      <c r="MC73" s="401"/>
      <c r="MD73" s="401"/>
      <c r="ME73" s="401"/>
      <c r="MF73" s="401"/>
      <c r="MG73" s="401"/>
      <c r="MH73" s="401"/>
      <c r="MI73" s="401"/>
      <c r="MJ73" s="401"/>
      <c r="MK73" s="401"/>
      <c r="ML73" s="401"/>
      <c r="MM73" s="401"/>
      <c r="MN73" s="401"/>
      <c r="MO73" s="401"/>
      <c r="MP73" s="401"/>
      <c r="MQ73" s="401"/>
      <c r="MR73" s="401"/>
      <c r="MS73" s="401"/>
      <c r="MT73" s="401"/>
      <c r="MU73" s="401"/>
      <c r="MV73" s="401"/>
      <c r="MW73" s="401"/>
      <c r="MX73" s="401"/>
      <c r="MY73" s="401"/>
      <c r="MZ73" s="401"/>
      <c r="NA73" s="401"/>
      <c r="NB73" s="401"/>
      <c r="NC73" s="401"/>
      <c r="ND73" s="401"/>
      <c r="NE73" s="401"/>
    </row>
    <row r="74" spans="1:384" s="406" customFormat="1" ht="28.5" customHeight="1" x14ac:dyDescent="0.2">
      <c r="A74" s="2109"/>
      <c r="B74" s="2147"/>
      <c r="C74" s="2130"/>
      <c r="D74" s="2109"/>
      <c r="E74" s="2147"/>
      <c r="F74" s="2130"/>
      <c r="G74" s="2120"/>
      <c r="H74" s="2087"/>
      <c r="I74" s="2087"/>
      <c r="J74" s="2151"/>
      <c r="K74" s="2107"/>
      <c r="L74" s="2107"/>
      <c r="M74" s="2110"/>
      <c r="N74" s="403"/>
      <c r="O74" s="2106"/>
      <c r="P74" s="2106"/>
      <c r="Q74" s="2085"/>
      <c r="R74" s="2141"/>
      <c r="S74" s="2087"/>
      <c r="T74" s="2107"/>
      <c r="U74" s="371" t="s">
        <v>386</v>
      </c>
      <c r="V74" s="400">
        <v>0</v>
      </c>
      <c r="W74" s="2153"/>
      <c r="X74" s="2155"/>
      <c r="Y74" s="2157"/>
      <c r="Z74" s="2157"/>
      <c r="AA74" s="2157"/>
      <c r="AB74" s="2157"/>
      <c r="AC74" s="2157"/>
      <c r="AD74" s="2157"/>
      <c r="AE74" s="2157"/>
      <c r="AF74" s="2157"/>
      <c r="AG74" s="2157"/>
      <c r="AH74" s="2157"/>
      <c r="AI74" s="2157"/>
      <c r="AJ74" s="2157"/>
      <c r="AK74" s="2159"/>
      <c r="AL74" s="2159"/>
      <c r="AM74" s="2161"/>
    </row>
    <row r="75" spans="1:384" s="406" customFormat="1" ht="28.5" customHeight="1" x14ac:dyDescent="0.2">
      <c r="A75" s="2109"/>
      <c r="B75" s="2147"/>
      <c r="C75" s="2130"/>
      <c r="D75" s="2109"/>
      <c r="E75" s="2147"/>
      <c r="F75" s="2130"/>
      <c r="G75" s="2120"/>
      <c r="H75" s="2087"/>
      <c r="I75" s="2087"/>
      <c r="J75" s="2149">
        <v>56</v>
      </c>
      <c r="K75" s="2105" t="s">
        <v>396</v>
      </c>
      <c r="L75" s="2105" t="s">
        <v>16</v>
      </c>
      <c r="M75" s="2108">
        <v>3</v>
      </c>
      <c r="N75" s="403"/>
      <c r="O75" s="2106"/>
      <c r="P75" s="2106"/>
      <c r="Q75" s="2083">
        <f>(V75+V76)/R63</f>
        <v>7.4368441596845303E-2</v>
      </c>
      <c r="R75" s="2141"/>
      <c r="S75" s="2087"/>
      <c r="T75" s="2105" t="s">
        <v>397</v>
      </c>
      <c r="U75" s="371" t="s">
        <v>388</v>
      </c>
      <c r="V75" s="400">
        <f>129300000+50700000-50700000-9300000+180000000-250000000</f>
        <v>50000000</v>
      </c>
      <c r="W75" s="2153"/>
      <c r="X75" s="2155"/>
      <c r="Y75" s="2157"/>
      <c r="Z75" s="2157"/>
      <c r="AA75" s="2157"/>
      <c r="AB75" s="2157"/>
      <c r="AC75" s="2157"/>
      <c r="AD75" s="2157"/>
      <c r="AE75" s="2157"/>
      <c r="AF75" s="2157"/>
      <c r="AG75" s="2157"/>
      <c r="AH75" s="2157"/>
      <c r="AI75" s="2157"/>
      <c r="AJ75" s="2157"/>
      <c r="AK75" s="2159"/>
      <c r="AL75" s="2159"/>
      <c r="AM75" s="2161"/>
    </row>
    <row r="76" spans="1:384" s="406" customFormat="1" ht="39" customHeight="1" x14ac:dyDescent="0.2">
      <c r="A76" s="2109"/>
      <c r="B76" s="2147"/>
      <c r="C76" s="2130"/>
      <c r="D76" s="2109"/>
      <c r="E76" s="2147"/>
      <c r="F76" s="2130"/>
      <c r="G76" s="2120"/>
      <c r="H76" s="2087"/>
      <c r="I76" s="2087"/>
      <c r="J76" s="2151"/>
      <c r="K76" s="2107"/>
      <c r="L76" s="2107"/>
      <c r="M76" s="2110"/>
      <c r="N76" s="403"/>
      <c r="O76" s="2106"/>
      <c r="P76" s="2106"/>
      <c r="Q76" s="2085"/>
      <c r="R76" s="2142"/>
      <c r="S76" s="2087"/>
      <c r="T76" s="2107"/>
      <c r="U76" s="371" t="s">
        <v>395</v>
      </c>
      <c r="V76" s="400">
        <f>9300000+26700000</f>
        <v>36000000</v>
      </c>
      <c r="W76" s="2153"/>
      <c r="X76" s="2155"/>
      <c r="Y76" s="2157"/>
      <c r="Z76" s="2157"/>
      <c r="AA76" s="2157"/>
      <c r="AB76" s="2157"/>
      <c r="AC76" s="2157"/>
      <c r="AD76" s="2157"/>
      <c r="AE76" s="2157"/>
      <c r="AF76" s="2157"/>
      <c r="AG76" s="2157"/>
      <c r="AH76" s="2157"/>
      <c r="AI76" s="2157"/>
      <c r="AJ76" s="2157"/>
      <c r="AK76" s="2159"/>
      <c r="AL76" s="2159"/>
      <c r="AM76" s="2162"/>
    </row>
    <row r="77" spans="1:384" s="414" customFormat="1" ht="29.25" customHeight="1" x14ac:dyDescent="0.2">
      <c r="A77" s="2109"/>
      <c r="B77" s="2147"/>
      <c r="C77" s="2130"/>
      <c r="D77" s="2109"/>
      <c r="E77" s="2147"/>
      <c r="F77" s="2130"/>
      <c r="G77" s="407" t="s">
        <v>398</v>
      </c>
      <c r="H77" s="2163" t="s">
        <v>399</v>
      </c>
      <c r="I77" s="2164"/>
      <c r="J77" s="2164"/>
      <c r="K77" s="2165"/>
      <c r="L77" s="408"/>
      <c r="M77" s="410"/>
      <c r="N77" s="408"/>
      <c r="O77" s="408"/>
      <c r="P77" s="408"/>
      <c r="Q77" s="408"/>
      <c r="R77" s="408"/>
      <c r="S77" s="408"/>
      <c r="T77" s="408"/>
      <c r="U77" s="408"/>
      <c r="V77" s="409"/>
      <c r="W77" s="410"/>
      <c r="X77" s="411"/>
      <c r="Y77" s="412"/>
      <c r="Z77" s="412"/>
      <c r="AA77" s="412"/>
      <c r="AB77" s="412"/>
      <c r="AC77" s="412"/>
      <c r="AD77" s="412"/>
      <c r="AE77" s="412"/>
      <c r="AF77" s="412"/>
      <c r="AG77" s="412"/>
      <c r="AH77" s="412"/>
      <c r="AI77" s="412"/>
      <c r="AJ77" s="412"/>
      <c r="AK77" s="412"/>
      <c r="AL77" s="412"/>
      <c r="AM77" s="413"/>
    </row>
    <row r="78" spans="1:384" s="418" customFormat="1" ht="37.5" customHeight="1" x14ac:dyDescent="0.2">
      <c r="A78" s="2109"/>
      <c r="B78" s="2147"/>
      <c r="C78" s="2130"/>
      <c r="D78" s="2109"/>
      <c r="E78" s="2147"/>
      <c r="F78" s="2130"/>
      <c r="G78" s="2108"/>
      <c r="H78" s="2166" t="s">
        <v>400</v>
      </c>
      <c r="I78" s="2104"/>
      <c r="J78" s="2149">
        <v>57</v>
      </c>
      <c r="K78" s="2105" t="s">
        <v>401</v>
      </c>
      <c r="L78" s="2105" t="s">
        <v>402</v>
      </c>
      <c r="M78" s="2108">
        <v>12</v>
      </c>
      <c r="N78" s="376"/>
      <c r="O78" s="2105">
        <v>21</v>
      </c>
      <c r="P78" s="2105" t="s">
        <v>403</v>
      </c>
      <c r="Q78" s="2083">
        <f>+V78/$R$78</f>
        <v>0.64516793761261471</v>
      </c>
      <c r="R78" s="2140">
        <f>SUM(V78:V94)</f>
        <v>10186227185</v>
      </c>
      <c r="S78" s="2105" t="s">
        <v>404</v>
      </c>
      <c r="T78" s="2105" t="s">
        <v>405</v>
      </c>
      <c r="U78" s="415" t="s">
        <v>380</v>
      </c>
      <c r="V78" s="2169">
        <f>4489900000+2081927185</f>
        <v>6571827185</v>
      </c>
      <c r="W78" s="2152" t="s">
        <v>406</v>
      </c>
      <c r="X78" s="2154" t="s">
        <v>407</v>
      </c>
      <c r="Y78" s="2156">
        <v>37199</v>
      </c>
      <c r="Z78" s="2156">
        <v>98821</v>
      </c>
      <c r="AA78" s="2156">
        <v>50922</v>
      </c>
      <c r="AB78" s="2156">
        <v>151591</v>
      </c>
      <c r="AC78" s="2156">
        <v>151591</v>
      </c>
      <c r="AD78" s="2156">
        <v>71991</v>
      </c>
      <c r="AE78" s="2156">
        <v>12718</v>
      </c>
      <c r="AF78" s="2156">
        <v>2145</v>
      </c>
      <c r="AG78" s="2156"/>
      <c r="AH78" s="2156">
        <v>39704</v>
      </c>
      <c r="AI78" s="2156">
        <v>41543</v>
      </c>
      <c r="AJ78" s="2156">
        <v>71991</v>
      </c>
      <c r="AK78" s="2158">
        <v>42737</v>
      </c>
      <c r="AL78" s="2158">
        <v>43100</v>
      </c>
      <c r="AM78" s="2156" t="s">
        <v>316</v>
      </c>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6"/>
      <c r="BN78" s="416"/>
      <c r="BO78" s="416"/>
      <c r="BP78" s="416"/>
      <c r="BQ78" s="416"/>
      <c r="BR78" s="416"/>
      <c r="BS78" s="416"/>
      <c r="BT78" s="416"/>
      <c r="BU78" s="416"/>
      <c r="BV78" s="416"/>
      <c r="BW78" s="416"/>
      <c r="BX78" s="416"/>
      <c r="BY78" s="416"/>
      <c r="BZ78" s="416"/>
      <c r="CA78" s="416"/>
      <c r="CB78" s="416"/>
      <c r="CC78" s="416"/>
      <c r="CD78" s="416"/>
      <c r="CE78" s="416"/>
      <c r="CF78" s="416"/>
      <c r="CG78" s="416"/>
      <c r="CH78" s="416"/>
      <c r="CI78" s="416"/>
      <c r="CJ78" s="416"/>
      <c r="CK78" s="416"/>
      <c r="CL78" s="416"/>
      <c r="CM78" s="416"/>
      <c r="CN78" s="416"/>
      <c r="CO78" s="416"/>
      <c r="CP78" s="416"/>
      <c r="CQ78" s="416"/>
      <c r="CR78" s="416"/>
      <c r="CS78" s="416"/>
      <c r="CT78" s="416"/>
      <c r="CU78" s="416"/>
      <c r="CV78" s="416"/>
      <c r="CW78" s="416"/>
      <c r="CX78" s="416"/>
      <c r="CY78" s="416"/>
      <c r="CZ78" s="416"/>
      <c r="DA78" s="416"/>
      <c r="DB78" s="416"/>
      <c r="DC78" s="416"/>
      <c r="DD78" s="416"/>
      <c r="DE78" s="416"/>
      <c r="DF78" s="416"/>
      <c r="DG78" s="416"/>
      <c r="DH78" s="416"/>
      <c r="DI78" s="416"/>
      <c r="DJ78" s="416"/>
      <c r="DK78" s="416"/>
      <c r="DL78" s="416"/>
      <c r="DM78" s="416"/>
      <c r="DN78" s="416"/>
      <c r="DO78" s="416"/>
      <c r="DP78" s="416"/>
      <c r="DQ78" s="416"/>
      <c r="DR78" s="416"/>
      <c r="DS78" s="416"/>
      <c r="DT78" s="416"/>
      <c r="DU78" s="416"/>
      <c r="DV78" s="416"/>
      <c r="DW78" s="416"/>
      <c r="DX78" s="416"/>
      <c r="DY78" s="416"/>
      <c r="DZ78" s="416"/>
      <c r="EA78" s="416"/>
      <c r="EB78" s="416"/>
      <c r="EC78" s="416"/>
      <c r="ED78" s="416"/>
      <c r="EE78" s="416"/>
      <c r="EF78" s="416"/>
      <c r="EG78" s="416"/>
      <c r="EH78" s="416"/>
      <c r="EI78" s="416"/>
      <c r="EJ78" s="416"/>
      <c r="EK78" s="416"/>
      <c r="EL78" s="416"/>
      <c r="EM78" s="416"/>
      <c r="EN78" s="416"/>
      <c r="EO78" s="416"/>
      <c r="EP78" s="416"/>
      <c r="EQ78" s="416"/>
      <c r="ER78" s="416"/>
      <c r="ES78" s="416"/>
      <c r="ET78" s="416"/>
      <c r="EU78" s="416"/>
      <c r="EV78" s="416"/>
      <c r="EW78" s="416"/>
      <c r="EX78" s="416"/>
      <c r="EY78" s="416"/>
      <c r="EZ78" s="416"/>
      <c r="FA78" s="416"/>
      <c r="FB78" s="416"/>
      <c r="FC78" s="416"/>
      <c r="FD78" s="416"/>
      <c r="FE78" s="416"/>
      <c r="FF78" s="416"/>
      <c r="FG78" s="416"/>
      <c r="FH78" s="416"/>
      <c r="FI78" s="416"/>
      <c r="FJ78" s="416"/>
      <c r="FK78" s="416"/>
      <c r="FL78" s="416"/>
      <c r="FM78" s="416"/>
      <c r="FN78" s="416"/>
      <c r="FO78" s="416"/>
      <c r="FP78" s="416"/>
      <c r="FQ78" s="416"/>
      <c r="FR78" s="416"/>
      <c r="FS78" s="416"/>
      <c r="FT78" s="416"/>
      <c r="FU78" s="416"/>
      <c r="FV78" s="416"/>
      <c r="FW78" s="416"/>
      <c r="FX78" s="416"/>
      <c r="FY78" s="416"/>
      <c r="FZ78" s="416"/>
      <c r="GA78" s="416"/>
      <c r="GB78" s="416"/>
      <c r="GC78" s="416"/>
      <c r="GD78" s="416"/>
      <c r="GE78" s="416"/>
      <c r="GF78" s="416"/>
      <c r="GG78" s="416"/>
      <c r="GH78" s="416"/>
      <c r="GI78" s="416"/>
      <c r="GJ78" s="416"/>
      <c r="GK78" s="416"/>
      <c r="GL78" s="416"/>
      <c r="GM78" s="416"/>
      <c r="GN78" s="416"/>
      <c r="GO78" s="416"/>
      <c r="GP78" s="416"/>
      <c r="GQ78" s="416"/>
      <c r="GR78" s="416"/>
      <c r="GS78" s="416"/>
      <c r="GT78" s="416"/>
      <c r="GU78" s="416"/>
      <c r="GV78" s="416"/>
      <c r="GW78" s="416"/>
      <c r="GX78" s="416"/>
      <c r="GY78" s="416"/>
      <c r="GZ78" s="416"/>
      <c r="HA78" s="416"/>
      <c r="HB78" s="416"/>
      <c r="HC78" s="416"/>
      <c r="HD78" s="416"/>
      <c r="HE78" s="416"/>
      <c r="HF78" s="416"/>
      <c r="HG78" s="416"/>
      <c r="HH78" s="416"/>
      <c r="HI78" s="416"/>
      <c r="HJ78" s="416"/>
      <c r="HK78" s="416"/>
      <c r="HL78" s="416"/>
      <c r="HM78" s="416"/>
      <c r="HN78" s="416"/>
      <c r="HO78" s="416"/>
      <c r="HP78" s="416"/>
      <c r="HQ78" s="416"/>
      <c r="HR78" s="416"/>
      <c r="HS78" s="416"/>
      <c r="HT78" s="416"/>
      <c r="HU78" s="416"/>
      <c r="HV78" s="416"/>
      <c r="HW78" s="416"/>
      <c r="HX78" s="416"/>
      <c r="HY78" s="416"/>
      <c r="HZ78" s="416"/>
      <c r="IA78" s="416"/>
      <c r="IB78" s="416"/>
      <c r="IC78" s="416"/>
      <c r="ID78" s="416"/>
      <c r="IE78" s="416"/>
      <c r="IF78" s="416"/>
      <c r="IG78" s="416"/>
      <c r="IH78" s="416"/>
      <c r="II78" s="416"/>
      <c r="IJ78" s="416"/>
      <c r="IK78" s="416"/>
      <c r="IL78" s="416"/>
      <c r="IM78" s="416"/>
      <c r="IN78" s="416"/>
      <c r="IO78" s="416"/>
      <c r="IP78" s="416"/>
      <c r="IQ78" s="416"/>
      <c r="IR78" s="416"/>
      <c r="IS78" s="416"/>
      <c r="IT78" s="416"/>
      <c r="IU78" s="416"/>
      <c r="IV78" s="416"/>
      <c r="IW78" s="416"/>
      <c r="IX78" s="416"/>
      <c r="IY78" s="416"/>
      <c r="IZ78" s="416"/>
      <c r="JA78" s="416"/>
      <c r="JB78" s="416"/>
      <c r="JC78" s="416"/>
      <c r="JD78" s="416"/>
      <c r="JE78" s="416"/>
      <c r="JF78" s="416"/>
      <c r="JG78" s="416"/>
      <c r="JH78" s="416"/>
      <c r="JI78" s="416"/>
      <c r="JJ78" s="416"/>
      <c r="JK78" s="416"/>
      <c r="JL78" s="416"/>
      <c r="JM78" s="416"/>
      <c r="JN78" s="416"/>
      <c r="JO78" s="416"/>
      <c r="JP78" s="416"/>
      <c r="JQ78" s="416"/>
      <c r="JR78" s="416"/>
      <c r="JS78" s="416"/>
      <c r="JT78" s="416"/>
      <c r="JU78" s="416"/>
      <c r="JV78" s="416"/>
      <c r="JW78" s="416"/>
      <c r="JX78" s="416"/>
      <c r="JY78" s="416"/>
      <c r="JZ78" s="416"/>
      <c r="KA78" s="416"/>
      <c r="KB78" s="416"/>
      <c r="KC78" s="416"/>
      <c r="KD78" s="416"/>
      <c r="KE78" s="416"/>
      <c r="KF78" s="416"/>
      <c r="KG78" s="416"/>
      <c r="KH78" s="416"/>
      <c r="KI78" s="416"/>
      <c r="KJ78" s="416"/>
      <c r="KK78" s="416"/>
      <c r="KL78" s="416"/>
      <c r="KM78" s="416"/>
      <c r="KN78" s="416"/>
      <c r="KO78" s="416"/>
      <c r="KP78" s="416"/>
      <c r="KQ78" s="416"/>
      <c r="KR78" s="416"/>
      <c r="KS78" s="416"/>
      <c r="KT78" s="416"/>
      <c r="KU78" s="416"/>
      <c r="KV78" s="416"/>
      <c r="KW78" s="416"/>
      <c r="KX78" s="416"/>
      <c r="KY78" s="416"/>
      <c r="KZ78" s="416"/>
      <c r="LA78" s="416"/>
      <c r="LB78" s="416"/>
      <c r="LC78" s="416"/>
      <c r="LD78" s="416"/>
      <c r="LE78" s="416"/>
      <c r="LF78" s="416"/>
      <c r="LG78" s="416"/>
      <c r="LH78" s="416"/>
      <c r="LI78" s="416"/>
      <c r="LJ78" s="416"/>
      <c r="LK78" s="416"/>
      <c r="LL78" s="416"/>
      <c r="LM78" s="416"/>
      <c r="LN78" s="416"/>
      <c r="LO78" s="416"/>
      <c r="LP78" s="416"/>
      <c r="LQ78" s="416"/>
      <c r="LR78" s="416"/>
      <c r="LS78" s="416"/>
      <c r="LT78" s="416"/>
      <c r="LU78" s="416"/>
      <c r="LV78" s="416"/>
      <c r="LW78" s="416"/>
      <c r="LX78" s="416"/>
      <c r="LY78" s="416"/>
      <c r="LZ78" s="416"/>
      <c r="MA78" s="416"/>
      <c r="MB78" s="416"/>
      <c r="MC78" s="416"/>
      <c r="MD78" s="416"/>
      <c r="ME78" s="416"/>
      <c r="MF78" s="416"/>
      <c r="MG78" s="416"/>
      <c r="MH78" s="416"/>
      <c r="MI78" s="416"/>
      <c r="MJ78" s="416"/>
      <c r="MK78" s="416"/>
      <c r="ML78" s="416"/>
      <c r="MM78" s="416"/>
      <c r="MN78" s="416"/>
      <c r="MO78" s="416"/>
      <c r="MP78" s="416"/>
      <c r="MQ78" s="416"/>
      <c r="MR78" s="416"/>
      <c r="MS78" s="416"/>
      <c r="MT78" s="416"/>
      <c r="MU78" s="416"/>
      <c r="MV78" s="416"/>
      <c r="MW78" s="416"/>
      <c r="MX78" s="416"/>
      <c r="MY78" s="416"/>
      <c r="MZ78" s="416"/>
      <c r="NA78" s="416"/>
      <c r="NB78" s="416"/>
      <c r="NC78" s="416"/>
      <c r="ND78" s="416"/>
      <c r="NE78" s="416"/>
      <c r="NF78" s="416"/>
      <c r="NG78" s="416"/>
      <c r="NH78" s="416"/>
      <c r="NI78" s="416"/>
      <c r="NJ78" s="416"/>
      <c r="NK78" s="416"/>
      <c r="NL78" s="416"/>
      <c r="NM78" s="416"/>
      <c r="NN78" s="416"/>
      <c r="NO78" s="416"/>
      <c r="NP78" s="416"/>
      <c r="NQ78" s="416"/>
      <c r="NR78" s="416"/>
      <c r="NS78" s="416"/>
      <c r="NT78" s="417"/>
    </row>
    <row r="79" spans="1:384" s="419" customFormat="1" ht="37.5" customHeight="1" x14ac:dyDescent="0.2">
      <c r="A79" s="2109"/>
      <c r="B79" s="2147"/>
      <c r="C79" s="2130"/>
      <c r="D79" s="2109"/>
      <c r="E79" s="2147"/>
      <c r="F79" s="2130"/>
      <c r="G79" s="2109"/>
      <c r="H79" s="2167"/>
      <c r="I79" s="2112"/>
      <c r="J79" s="2150"/>
      <c r="K79" s="2106"/>
      <c r="L79" s="2106"/>
      <c r="M79" s="2109"/>
      <c r="N79" s="403"/>
      <c r="O79" s="2106"/>
      <c r="P79" s="2106"/>
      <c r="Q79" s="2084"/>
      <c r="R79" s="2141"/>
      <c r="S79" s="2106"/>
      <c r="T79" s="2106"/>
      <c r="U79" s="415" t="s">
        <v>383</v>
      </c>
      <c r="V79" s="2169"/>
      <c r="W79" s="2153"/>
      <c r="X79" s="2155"/>
      <c r="Y79" s="2157"/>
      <c r="Z79" s="2157"/>
      <c r="AA79" s="2157"/>
      <c r="AB79" s="2157"/>
      <c r="AC79" s="2157"/>
      <c r="AD79" s="2157"/>
      <c r="AE79" s="2157"/>
      <c r="AF79" s="2157"/>
      <c r="AG79" s="2157"/>
      <c r="AH79" s="2157"/>
      <c r="AI79" s="2157"/>
      <c r="AJ79" s="2157"/>
      <c r="AK79" s="2159"/>
      <c r="AL79" s="2159"/>
      <c r="AM79" s="2157"/>
      <c r="AN79" s="416"/>
      <c r="AO79" s="416"/>
      <c r="AP79" s="416"/>
      <c r="AQ79" s="41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6"/>
      <c r="BN79" s="416"/>
      <c r="BO79" s="416"/>
      <c r="BP79" s="416"/>
      <c r="BQ79" s="416"/>
      <c r="BR79" s="416"/>
      <c r="BS79" s="416"/>
      <c r="BT79" s="416"/>
      <c r="BU79" s="416"/>
      <c r="BV79" s="416"/>
      <c r="BW79" s="416"/>
      <c r="BX79" s="416"/>
      <c r="BY79" s="416"/>
      <c r="BZ79" s="416"/>
      <c r="CA79" s="416"/>
      <c r="CB79" s="416"/>
      <c r="CC79" s="416"/>
      <c r="CD79" s="416"/>
      <c r="CE79" s="416"/>
      <c r="CF79" s="416"/>
      <c r="CG79" s="416"/>
      <c r="CH79" s="416"/>
      <c r="CI79" s="416"/>
      <c r="CJ79" s="416"/>
      <c r="CK79" s="416"/>
      <c r="CL79" s="416"/>
      <c r="CM79" s="416"/>
      <c r="CN79" s="416"/>
      <c r="CO79" s="416"/>
      <c r="CP79" s="416"/>
      <c r="CQ79" s="416"/>
      <c r="CR79" s="416"/>
      <c r="CS79" s="416"/>
      <c r="CT79" s="416"/>
      <c r="CU79" s="416"/>
      <c r="CV79" s="416"/>
      <c r="CW79" s="416"/>
      <c r="CX79" s="416"/>
      <c r="CY79" s="416"/>
      <c r="CZ79" s="416"/>
      <c r="DA79" s="416"/>
      <c r="DB79" s="416"/>
      <c r="DC79" s="416"/>
      <c r="DD79" s="416"/>
      <c r="DE79" s="416"/>
      <c r="DF79" s="416"/>
      <c r="DG79" s="416"/>
      <c r="DH79" s="416"/>
      <c r="DI79" s="416"/>
      <c r="DJ79" s="416"/>
      <c r="DK79" s="416"/>
      <c r="DL79" s="416"/>
      <c r="DM79" s="416"/>
      <c r="DN79" s="416"/>
      <c r="DO79" s="416"/>
      <c r="DP79" s="416"/>
      <c r="DQ79" s="416"/>
      <c r="DR79" s="416"/>
      <c r="DS79" s="416"/>
      <c r="DT79" s="416"/>
      <c r="DU79" s="416"/>
      <c r="DV79" s="416"/>
      <c r="DW79" s="416"/>
      <c r="DX79" s="416"/>
      <c r="DY79" s="416"/>
      <c r="DZ79" s="416"/>
      <c r="EA79" s="416"/>
      <c r="EB79" s="416"/>
      <c r="EC79" s="416"/>
      <c r="ED79" s="416"/>
      <c r="EE79" s="416"/>
      <c r="EF79" s="416"/>
      <c r="EG79" s="416"/>
      <c r="EH79" s="416"/>
      <c r="EI79" s="416"/>
      <c r="EJ79" s="416"/>
      <c r="EK79" s="416"/>
      <c r="EL79" s="416"/>
      <c r="EM79" s="416"/>
      <c r="EN79" s="416"/>
      <c r="EO79" s="416"/>
      <c r="EP79" s="416"/>
      <c r="EQ79" s="416"/>
      <c r="ER79" s="416"/>
      <c r="ES79" s="416"/>
      <c r="ET79" s="416"/>
      <c r="EU79" s="416"/>
      <c r="EV79" s="416"/>
      <c r="EW79" s="416"/>
      <c r="EX79" s="416"/>
      <c r="EY79" s="416"/>
      <c r="EZ79" s="416"/>
      <c r="FA79" s="416"/>
      <c r="FB79" s="416"/>
      <c r="FC79" s="416"/>
      <c r="FD79" s="416"/>
      <c r="FE79" s="416"/>
      <c r="FF79" s="416"/>
      <c r="FG79" s="416"/>
      <c r="FH79" s="416"/>
      <c r="FI79" s="416"/>
      <c r="FJ79" s="416"/>
      <c r="FK79" s="416"/>
      <c r="FL79" s="416"/>
      <c r="FM79" s="416"/>
      <c r="FN79" s="416"/>
      <c r="FO79" s="416"/>
      <c r="FP79" s="416"/>
      <c r="FQ79" s="416"/>
      <c r="FR79" s="416"/>
      <c r="FS79" s="416"/>
      <c r="FT79" s="416"/>
      <c r="FU79" s="416"/>
      <c r="FV79" s="416"/>
      <c r="FW79" s="416"/>
      <c r="FX79" s="416"/>
      <c r="FY79" s="416"/>
      <c r="FZ79" s="416"/>
      <c r="GA79" s="416"/>
      <c r="GB79" s="416"/>
      <c r="GC79" s="416"/>
      <c r="GD79" s="416"/>
      <c r="GE79" s="416"/>
      <c r="GF79" s="416"/>
      <c r="GG79" s="416"/>
      <c r="GH79" s="416"/>
      <c r="GI79" s="416"/>
      <c r="GJ79" s="416"/>
      <c r="GK79" s="416"/>
      <c r="GL79" s="416"/>
      <c r="GM79" s="416"/>
      <c r="GN79" s="416"/>
      <c r="GO79" s="416"/>
      <c r="GP79" s="416"/>
      <c r="GQ79" s="416"/>
      <c r="GR79" s="416"/>
      <c r="GS79" s="416"/>
      <c r="GT79" s="416"/>
      <c r="GU79" s="416"/>
      <c r="GV79" s="416"/>
      <c r="GW79" s="416"/>
      <c r="GX79" s="416"/>
      <c r="GY79" s="416"/>
      <c r="GZ79" s="416"/>
      <c r="HA79" s="416"/>
      <c r="HB79" s="416"/>
      <c r="HC79" s="416"/>
      <c r="HD79" s="416"/>
      <c r="HE79" s="416"/>
      <c r="HF79" s="416"/>
      <c r="HG79" s="416"/>
      <c r="HH79" s="416"/>
      <c r="HI79" s="416"/>
      <c r="HJ79" s="416"/>
      <c r="HK79" s="416"/>
      <c r="HL79" s="416"/>
      <c r="HM79" s="416"/>
      <c r="HN79" s="416"/>
      <c r="HO79" s="416"/>
      <c r="HP79" s="416"/>
      <c r="HQ79" s="416"/>
      <c r="HR79" s="416"/>
      <c r="HS79" s="416"/>
      <c r="HT79" s="416"/>
      <c r="HU79" s="416"/>
      <c r="HV79" s="416"/>
      <c r="HW79" s="416"/>
      <c r="HX79" s="416"/>
      <c r="HY79" s="416"/>
      <c r="HZ79" s="416"/>
      <c r="IA79" s="416"/>
      <c r="IB79" s="416"/>
      <c r="IC79" s="416"/>
      <c r="ID79" s="416"/>
      <c r="IE79" s="416"/>
      <c r="IF79" s="416"/>
      <c r="IG79" s="416"/>
      <c r="IH79" s="416"/>
      <c r="II79" s="416"/>
      <c r="IJ79" s="416"/>
      <c r="IK79" s="416"/>
      <c r="IL79" s="416"/>
      <c r="IM79" s="416"/>
      <c r="IN79" s="416"/>
      <c r="IO79" s="416"/>
      <c r="IP79" s="416"/>
      <c r="IQ79" s="416"/>
      <c r="IR79" s="416"/>
      <c r="IS79" s="416"/>
      <c r="IT79" s="416"/>
      <c r="IU79" s="416"/>
      <c r="IV79" s="416"/>
      <c r="IW79" s="416"/>
      <c r="IX79" s="416"/>
      <c r="IY79" s="416"/>
      <c r="IZ79" s="416"/>
      <c r="JA79" s="416"/>
      <c r="JB79" s="416"/>
      <c r="JC79" s="416"/>
      <c r="JD79" s="416"/>
      <c r="JE79" s="416"/>
      <c r="JF79" s="416"/>
      <c r="JG79" s="416"/>
      <c r="JH79" s="416"/>
      <c r="JI79" s="416"/>
      <c r="JJ79" s="416"/>
      <c r="JK79" s="416"/>
      <c r="JL79" s="416"/>
      <c r="JM79" s="416"/>
      <c r="JN79" s="416"/>
      <c r="JO79" s="416"/>
      <c r="JP79" s="416"/>
      <c r="JQ79" s="416"/>
      <c r="JR79" s="416"/>
      <c r="JS79" s="416"/>
      <c r="JT79" s="416"/>
      <c r="JU79" s="416"/>
      <c r="JV79" s="416"/>
      <c r="JW79" s="416"/>
      <c r="JX79" s="416"/>
      <c r="JY79" s="416"/>
      <c r="JZ79" s="416"/>
      <c r="KA79" s="416"/>
      <c r="KB79" s="416"/>
      <c r="KC79" s="416"/>
      <c r="KD79" s="416"/>
      <c r="KE79" s="416"/>
      <c r="KF79" s="416"/>
      <c r="KG79" s="416"/>
      <c r="KH79" s="416"/>
      <c r="KI79" s="416"/>
      <c r="KJ79" s="416"/>
      <c r="KK79" s="416"/>
      <c r="KL79" s="416"/>
      <c r="KM79" s="416"/>
      <c r="KN79" s="416"/>
      <c r="KO79" s="416"/>
      <c r="KP79" s="416"/>
      <c r="KQ79" s="416"/>
      <c r="KR79" s="416"/>
      <c r="KS79" s="416"/>
      <c r="KT79" s="416"/>
      <c r="KU79" s="416"/>
      <c r="KV79" s="416"/>
      <c r="KW79" s="416"/>
      <c r="KX79" s="416"/>
      <c r="KY79" s="416"/>
      <c r="KZ79" s="416"/>
      <c r="LA79" s="416"/>
      <c r="LB79" s="416"/>
      <c r="LC79" s="416"/>
      <c r="LD79" s="416"/>
      <c r="LE79" s="416"/>
      <c r="LF79" s="416"/>
      <c r="LG79" s="416"/>
      <c r="LH79" s="416"/>
      <c r="LI79" s="416"/>
      <c r="LJ79" s="416"/>
      <c r="LK79" s="416"/>
      <c r="LL79" s="416"/>
      <c r="LM79" s="416"/>
      <c r="LN79" s="416"/>
      <c r="LO79" s="416"/>
      <c r="LP79" s="416"/>
      <c r="LQ79" s="416"/>
      <c r="LR79" s="416"/>
      <c r="LS79" s="416"/>
      <c r="LT79" s="416"/>
      <c r="LU79" s="416"/>
      <c r="LV79" s="416"/>
      <c r="LW79" s="416"/>
      <c r="LX79" s="416"/>
      <c r="LY79" s="416"/>
      <c r="LZ79" s="416"/>
      <c r="MA79" s="416"/>
      <c r="MB79" s="416"/>
      <c r="MC79" s="416"/>
      <c r="MD79" s="416"/>
      <c r="ME79" s="416"/>
      <c r="MF79" s="416"/>
      <c r="MG79" s="416"/>
      <c r="MH79" s="416"/>
      <c r="MI79" s="416"/>
      <c r="MJ79" s="416"/>
      <c r="MK79" s="416"/>
      <c r="ML79" s="416"/>
      <c r="MM79" s="416"/>
      <c r="MN79" s="416"/>
      <c r="MO79" s="416"/>
      <c r="MP79" s="416"/>
      <c r="MQ79" s="416"/>
      <c r="MR79" s="416"/>
      <c r="MS79" s="416"/>
      <c r="MT79" s="416"/>
      <c r="MU79" s="416"/>
      <c r="MV79" s="416"/>
      <c r="MW79" s="416"/>
      <c r="MX79" s="416"/>
      <c r="MY79" s="416"/>
      <c r="MZ79" s="416"/>
      <c r="NA79" s="416"/>
      <c r="NB79" s="416"/>
      <c r="NC79" s="416"/>
      <c r="ND79" s="416"/>
      <c r="NE79" s="416"/>
      <c r="NF79" s="416"/>
      <c r="NG79" s="416"/>
      <c r="NH79" s="416"/>
      <c r="NI79" s="416"/>
      <c r="NJ79" s="416"/>
      <c r="NK79" s="416"/>
      <c r="NL79" s="416"/>
      <c r="NM79" s="416"/>
      <c r="NN79" s="416"/>
      <c r="NO79" s="416"/>
      <c r="NP79" s="416"/>
      <c r="NQ79" s="416"/>
      <c r="NR79" s="416"/>
      <c r="NS79" s="416"/>
    </row>
    <row r="80" spans="1:384" s="419" customFormat="1" ht="37.5" customHeight="1" x14ac:dyDescent="0.2">
      <c r="A80" s="2109"/>
      <c r="B80" s="2147"/>
      <c r="C80" s="2130"/>
      <c r="D80" s="2109"/>
      <c r="E80" s="2147"/>
      <c r="F80" s="2130"/>
      <c r="G80" s="2109"/>
      <c r="H80" s="2167"/>
      <c r="I80" s="2112"/>
      <c r="J80" s="2150"/>
      <c r="K80" s="2106"/>
      <c r="L80" s="2106"/>
      <c r="M80" s="2109"/>
      <c r="N80" s="403"/>
      <c r="O80" s="2106"/>
      <c r="P80" s="2106"/>
      <c r="Q80" s="2084"/>
      <c r="R80" s="2141"/>
      <c r="S80" s="2106"/>
      <c r="T80" s="2106"/>
      <c r="U80" s="415" t="s">
        <v>385</v>
      </c>
      <c r="V80" s="2169"/>
      <c r="W80" s="2153"/>
      <c r="X80" s="2155"/>
      <c r="Y80" s="2157"/>
      <c r="Z80" s="2157"/>
      <c r="AA80" s="2157"/>
      <c r="AB80" s="2157"/>
      <c r="AC80" s="2157"/>
      <c r="AD80" s="2157"/>
      <c r="AE80" s="2157"/>
      <c r="AF80" s="2157"/>
      <c r="AG80" s="2157"/>
      <c r="AH80" s="2157"/>
      <c r="AI80" s="2157"/>
      <c r="AJ80" s="2157"/>
      <c r="AK80" s="2159"/>
      <c r="AL80" s="2159"/>
      <c r="AM80" s="2157"/>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416"/>
      <c r="BO80" s="416"/>
      <c r="BP80" s="416"/>
      <c r="BQ80" s="416"/>
      <c r="BR80" s="416"/>
      <c r="BS80" s="416"/>
      <c r="BT80" s="416"/>
      <c r="BU80" s="416"/>
      <c r="BV80" s="416"/>
      <c r="BW80" s="416"/>
      <c r="BX80" s="416"/>
      <c r="BY80" s="416"/>
      <c r="BZ80" s="416"/>
      <c r="CA80" s="416"/>
      <c r="CB80" s="416"/>
      <c r="CC80" s="416"/>
      <c r="CD80" s="416"/>
      <c r="CE80" s="416"/>
      <c r="CF80" s="416"/>
      <c r="CG80" s="416"/>
      <c r="CH80" s="416"/>
      <c r="CI80" s="416"/>
      <c r="CJ80" s="416"/>
      <c r="CK80" s="416"/>
      <c r="CL80" s="416"/>
      <c r="CM80" s="416"/>
      <c r="CN80" s="416"/>
      <c r="CO80" s="416"/>
      <c r="CP80" s="416"/>
      <c r="CQ80" s="416"/>
      <c r="CR80" s="416"/>
      <c r="CS80" s="416"/>
      <c r="CT80" s="416"/>
      <c r="CU80" s="416"/>
      <c r="CV80" s="416"/>
      <c r="CW80" s="416"/>
      <c r="CX80" s="416"/>
      <c r="CY80" s="416"/>
      <c r="CZ80" s="416"/>
      <c r="DA80" s="416"/>
      <c r="DB80" s="416"/>
      <c r="DC80" s="416"/>
      <c r="DD80" s="416"/>
      <c r="DE80" s="416"/>
      <c r="DF80" s="416"/>
      <c r="DG80" s="416"/>
      <c r="DH80" s="416"/>
      <c r="DI80" s="416"/>
      <c r="DJ80" s="416"/>
      <c r="DK80" s="416"/>
      <c r="DL80" s="416"/>
      <c r="DM80" s="416"/>
      <c r="DN80" s="416"/>
      <c r="DO80" s="416"/>
      <c r="DP80" s="416"/>
      <c r="DQ80" s="416"/>
      <c r="DR80" s="416"/>
      <c r="DS80" s="416"/>
      <c r="DT80" s="416"/>
      <c r="DU80" s="416"/>
      <c r="DV80" s="416"/>
      <c r="DW80" s="416"/>
      <c r="DX80" s="416"/>
      <c r="DY80" s="416"/>
      <c r="DZ80" s="416"/>
      <c r="EA80" s="416"/>
      <c r="EB80" s="416"/>
      <c r="EC80" s="416"/>
      <c r="ED80" s="416"/>
      <c r="EE80" s="416"/>
      <c r="EF80" s="416"/>
      <c r="EG80" s="416"/>
      <c r="EH80" s="416"/>
      <c r="EI80" s="416"/>
      <c r="EJ80" s="416"/>
      <c r="EK80" s="416"/>
      <c r="EL80" s="416"/>
      <c r="EM80" s="416"/>
      <c r="EN80" s="416"/>
      <c r="EO80" s="416"/>
      <c r="EP80" s="416"/>
      <c r="EQ80" s="416"/>
      <c r="ER80" s="416"/>
      <c r="ES80" s="416"/>
      <c r="ET80" s="416"/>
      <c r="EU80" s="416"/>
      <c r="EV80" s="416"/>
      <c r="EW80" s="416"/>
      <c r="EX80" s="416"/>
      <c r="EY80" s="416"/>
      <c r="EZ80" s="416"/>
      <c r="FA80" s="416"/>
      <c r="FB80" s="416"/>
      <c r="FC80" s="416"/>
      <c r="FD80" s="416"/>
      <c r="FE80" s="416"/>
      <c r="FF80" s="416"/>
      <c r="FG80" s="416"/>
      <c r="FH80" s="416"/>
      <c r="FI80" s="416"/>
      <c r="FJ80" s="416"/>
      <c r="FK80" s="416"/>
      <c r="FL80" s="416"/>
      <c r="FM80" s="416"/>
      <c r="FN80" s="416"/>
      <c r="FO80" s="416"/>
      <c r="FP80" s="416"/>
      <c r="FQ80" s="416"/>
      <c r="FR80" s="416"/>
      <c r="FS80" s="416"/>
      <c r="FT80" s="416"/>
      <c r="FU80" s="416"/>
      <c r="FV80" s="416"/>
      <c r="FW80" s="416"/>
      <c r="FX80" s="416"/>
      <c r="FY80" s="416"/>
      <c r="FZ80" s="416"/>
      <c r="GA80" s="416"/>
      <c r="GB80" s="416"/>
      <c r="GC80" s="416"/>
      <c r="GD80" s="416"/>
      <c r="GE80" s="416"/>
      <c r="GF80" s="416"/>
      <c r="GG80" s="416"/>
      <c r="GH80" s="416"/>
      <c r="GI80" s="416"/>
      <c r="GJ80" s="416"/>
      <c r="GK80" s="416"/>
      <c r="GL80" s="416"/>
      <c r="GM80" s="416"/>
      <c r="GN80" s="416"/>
      <c r="GO80" s="416"/>
      <c r="GP80" s="416"/>
      <c r="GQ80" s="416"/>
      <c r="GR80" s="416"/>
      <c r="GS80" s="416"/>
      <c r="GT80" s="416"/>
      <c r="GU80" s="416"/>
      <c r="GV80" s="416"/>
      <c r="GW80" s="416"/>
      <c r="GX80" s="416"/>
      <c r="GY80" s="416"/>
      <c r="GZ80" s="416"/>
      <c r="HA80" s="416"/>
      <c r="HB80" s="416"/>
      <c r="HC80" s="416"/>
      <c r="HD80" s="416"/>
      <c r="HE80" s="416"/>
      <c r="HF80" s="416"/>
      <c r="HG80" s="416"/>
      <c r="HH80" s="416"/>
      <c r="HI80" s="416"/>
      <c r="HJ80" s="416"/>
      <c r="HK80" s="416"/>
      <c r="HL80" s="416"/>
      <c r="HM80" s="416"/>
      <c r="HN80" s="416"/>
      <c r="HO80" s="416"/>
      <c r="HP80" s="416"/>
      <c r="HQ80" s="416"/>
      <c r="HR80" s="416"/>
      <c r="HS80" s="416"/>
      <c r="HT80" s="416"/>
      <c r="HU80" s="416"/>
      <c r="HV80" s="416"/>
      <c r="HW80" s="416"/>
      <c r="HX80" s="416"/>
      <c r="HY80" s="416"/>
      <c r="HZ80" s="416"/>
      <c r="IA80" s="416"/>
      <c r="IB80" s="416"/>
      <c r="IC80" s="416"/>
      <c r="ID80" s="416"/>
      <c r="IE80" s="416"/>
      <c r="IF80" s="416"/>
      <c r="IG80" s="416"/>
      <c r="IH80" s="416"/>
      <c r="II80" s="416"/>
      <c r="IJ80" s="416"/>
      <c r="IK80" s="416"/>
      <c r="IL80" s="416"/>
      <c r="IM80" s="416"/>
      <c r="IN80" s="416"/>
      <c r="IO80" s="416"/>
      <c r="IP80" s="416"/>
      <c r="IQ80" s="416"/>
      <c r="IR80" s="416"/>
      <c r="IS80" s="416"/>
      <c r="IT80" s="416"/>
      <c r="IU80" s="416"/>
      <c r="IV80" s="416"/>
      <c r="IW80" s="416"/>
      <c r="IX80" s="416"/>
      <c r="IY80" s="416"/>
      <c r="IZ80" s="416"/>
      <c r="JA80" s="416"/>
      <c r="JB80" s="416"/>
      <c r="JC80" s="416"/>
      <c r="JD80" s="416"/>
      <c r="JE80" s="416"/>
      <c r="JF80" s="416"/>
      <c r="JG80" s="416"/>
      <c r="JH80" s="416"/>
      <c r="JI80" s="416"/>
      <c r="JJ80" s="416"/>
      <c r="JK80" s="416"/>
      <c r="JL80" s="416"/>
      <c r="JM80" s="416"/>
      <c r="JN80" s="416"/>
      <c r="JO80" s="416"/>
      <c r="JP80" s="416"/>
      <c r="JQ80" s="416"/>
      <c r="JR80" s="416"/>
      <c r="JS80" s="416"/>
      <c r="JT80" s="416"/>
      <c r="JU80" s="416"/>
      <c r="JV80" s="416"/>
      <c r="JW80" s="416"/>
      <c r="JX80" s="416"/>
      <c r="JY80" s="416"/>
      <c r="JZ80" s="416"/>
      <c r="KA80" s="416"/>
      <c r="KB80" s="416"/>
      <c r="KC80" s="416"/>
      <c r="KD80" s="416"/>
      <c r="KE80" s="416"/>
      <c r="KF80" s="416"/>
      <c r="KG80" s="416"/>
      <c r="KH80" s="416"/>
      <c r="KI80" s="416"/>
      <c r="KJ80" s="416"/>
      <c r="KK80" s="416"/>
      <c r="KL80" s="416"/>
      <c r="KM80" s="416"/>
      <c r="KN80" s="416"/>
      <c r="KO80" s="416"/>
      <c r="KP80" s="416"/>
      <c r="KQ80" s="416"/>
      <c r="KR80" s="416"/>
      <c r="KS80" s="416"/>
      <c r="KT80" s="416"/>
      <c r="KU80" s="416"/>
      <c r="KV80" s="416"/>
      <c r="KW80" s="416"/>
      <c r="KX80" s="416"/>
      <c r="KY80" s="416"/>
      <c r="KZ80" s="416"/>
      <c r="LA80" s="416"/>
      <c r="LB80" s="416"/>
      <c r="LC80" s="416"/>
      <c r="LD80" s="416"/>
      <c r="LE80" s="416"/>
      <c r="LF80" s="416"/>
      <c r="LG80" s="416"/>
      <c r="LH80" s="416"/>
      <c r="LI80" s="416"/>
      <c r="LJ80" s="416"/>
      <c r="LK80" s="416"/>
      <c r="LL80" s="416"/>
      <c r="LM80" s="416"/>
      <c r="LN80" s="416"/>
      <c r="LO80" s="416"/>
      <c r="LP80" s="416"/>
      <c r="LQ80" s="416"/>
      <c r="LR80" s="416"/>
      <c r="LS80" s="416"/>
      <c r="LT80" s="416"/>
      <c r="LU80" s="416"/>
      <c r="LV80" s="416"/>
      <c r="LW80" s="416"/>
      <c r="LX80" s="416"/>
      <c r="LY80" s="416"/>
      <c r="LZ80" s="416"/>
      <c r="MA80" s="416"/>
      <c r="MB80" s="416"/>
      <c r="MC80" s="416"/>
      <c r="MD80" s="416"/>
      <c r="ME80" s="416"/>
      <c r="MF80" s="416"/>
      <c r="MG80" s="416"/>
      <c r="MH80" s="416"/>
      <c r="MI80" s="416"/>
      <c r="MJ80" s="416"/>
      <c r="MK80" s="416"/>
      <c r="ML80" s="416"/>
      <c r="MM80" s="416"/>
      <c r="MN80" s="416"/>
      <c r="MO80" s="416"/>
      <c r="MP80" s="416"/>
      <c r="MQ80" s="416"/>
      <c r="MR80" s="416"/>
      <c r="MS80" s="416"/>
      <c r="MT80" s="416"/>
      <c r="MU80" s="416"/>
      <c r="MV80" s="416"/>
      <c r="MW80" s="416"/>
      <c r="MX80" s="416"/>
      <c r="MY80" s="416"/>
      <c r="MZ80" s="416"/>
      <c r="NA80" s="416"/>
      <c r="NB80" s="416"/>
      <c r="NC80" s="416"/>
      <c r="ND80" s="416"/>
      <c r="NE80" s="416"/>
      <c r="NF80" s="416"/>
      <c r="NG80" s="416"/>
      <c r="NH80" s="416"/>
      <c r="NI80" s="416"/>
      <c r="NJ80" s="416"/>
      <c r="NK80" s="416"/>
      <c r="NL80" s="416"/>
      <c r="NM80" s="416"/>
      <c r="NN80" s="416"/>
      <c r="NO80" s="416"/>
      <c r="NP80" s="416"/>
      <c r="NQ80" s="416"/>
      <c r="NR80" s="416"/>
      <c r="NS80" s="416"/>
    </row>
    <row r="81" spans="1:383" s="419" customFormat="1" ht="37.5" customHeight="1" x14ac:dyDescent="0.2">
      <c r="A81" s="2109"/>
      <c r="B81" s="2147"/>
      <c r="C81" s="2130"/>
      <c r="D81" s="2109"/>
      <c r="E81" s="2147"/>
      <c r="F81" s="2130"/>
      <c r="G81" s="2109"/>
      <c r="H81" s="2167"/>
      <c r="I81" s="2112"/>
      <c r="J81" s="2150"/>
      <c r="K81" s="2106"/>
      <c r="L81" s="2106"/>
      <c r="M81" s="2109"/>
      <c r="N81" s="403"/>
      <c r="O81" s="2106"/>
      <c r="P81" s="2106"/>
      <c r="Q81" s="2084"/>
      <c r="R81" s="2141"/>
      <c r="S81" s="2106"/>
      <c r="T81" s="2106"/>
      <c r="U81" s="415" t="s">
        <v>408</v>
      </c>
      <c r="V81" s="2169"/>
      <c r="W81" s="2153"/>
      <c r="X81" s="2155"/>
      <c r="Y81" s="2157"/>
      <c r="Z81" s="2157"/>
      <c r="AA81" s="2157"/>
      <c r="AB81" s="2157"/>
      <c r="AC81" s="2157"/>
      <c r="AD81" s="2157"/>
      <c r="AE81" s="2157"/>
      <c r="AF81" s="2157"/>
      <c r="AG81" s="2157"/>
      <c r="AH81" s="2157"/>
      <c r="AI81" s="2157"/>
      <c r="AJ81" s="2157"/>
      <c r="AK81" s="2159"/>
      <c r="AL81" s="2159"/>
      <c r="AM81" s="2157"/>
      <c r="AN81" s="416"/>
      <c r="AO81" s="416"/>
      <c r="AP81" s="416"/>
      <c r="AQ81" s="416"/>
      <c r="AR81" s="416"/>
      <c r="AS81" s="416"/>
      <c r="AT81" s="416"/>
      <c r="AU81" s="416"/>
      <c r="AV81" s="416"/>
      <c r="AW81" s="416"/>
      <c r="AX81" s="416"/>
      <c r="AY81" s="416"/>
      <c r="AZ81" s="416"/>
      <c r="BA81" s="416"/>
      <c r="BB81" s="416"/>
      <c r="BC81" s="416"/>
      <c r="BD81" s="416"/>
      <c r="BE81" s="416"/>
      <c r="BF81" s="416"/>
      <c r="BG81" s="416"/>
      <c r="BH81" s="416"/>
      <c r="BI81" s="416"/>
      <c r="BJ81" s="416"/>
      <c r="BK81" s="416"/>
      <c r="BL81" s="416"/>
      <c r="BM81" s="416"/>
      <c r="BN81" s="416"/>
      <c r="BO81" s="416"/>
      <c r="BP81" s="416"/>
      <c r="BQ81" s="416"/>
      <c r="BR81" s="416"/>
      <c r="BS81" s="416"/>
      <c r="BT81" s="416"/>
      <c r="BU81" s="416"/>
      <c r="BV81" s="416"/>
      <c r="BW81" s="416"/>
      <c r="BX81" s="416"/>
      <c r="BY81" s="416"/>
      <c r="BZ81" s="416"/>
      <c r="CA81" s="416"/>
      <c r="CB81" s="416"/>
      <c r="CC81" s="416"/>
      <c r="CD81" s="416"/>
      <c r="CE81" s="416"/>
      <c r="CF81" s="416"/>
      <c r="CG81" s="416"/>
      <c r="CH81" s="416"/>
      <c r="CI81" s="416"/>
      <c r="CJ81" s="416"/>
      <c r="CK81" s="416"/>
      <c r="CL81" s="416"/>
      <c r="CM81" s="416"/>
      <c r="CN81" s="416"/>
      <c r="CO81" s="416"/>
      <c r="CP81" s="416"/>
      <c r="CQ81" s="416"/>
      <c r="CR81" s="416"/>
      <c r="CS81" s="416"/>
      <c r="CT81" s="416"/>
      <c r="CU81" s="416"/>
      <c r="CV81" s="416"/>
      <c r="CW81" s="416"/>
      <c r="CX81" s="416"/>
      <c r="CY81" s="416"/>
      <c r="CZ81" s="416"/>
      <c r="DA81" s="416"/>
      <c r="DB81" s="416"/>
      <c r="DC81" s="416"/>
      <c r="DD81" s="416"/>
      <c r="DE81" s="416"/>
      <c r="DF81" s="416"/>
      <c r="DG81" s="416"/>
      <c r="DH81" s="416"/>
      <c r="DI81" s="416"/>
      <c r="DJ81" s="416"/>
      <c r="DK81" s="416"/>
      <c r="DL81" s="416"/>
      <c r="DM81" s="416"/>
      <c r="DN81" s="416"/>
      <c r="DO81" s="416"/>
      <c r="DP81" s="416"/>
      <c r="DQ81" s="416"/>
      <c r="DR81" s="416"/>
      <c r="DS81" s="416"/>
      <c r="DT81" s="416"/>
      <c r="DU81" s="416"/>
      <c r="DV81" s="416"/>
      <c r="DW81" s="416"/>
      <c r="DX81" s="416"/>
      <c r="DY81" s="416"/>
      <c r="DZ81" s="416"/>
      <c r="EA81" s="416"/>
      <c r="EB81" s="416"/>
      <c r="EC81" s="416"/>
      <c r="ED81" s="416"/>
      <c r="EE81" s="416"/>
      <c r="EF81" s="416"/>
      <c r="EG81" s="416"/>
      <c r="EH81" s="416"/>
      <c r="EI81" s="416"/>
      <c r="EJ81" s="416"/>
      <c r="EK81" s="416"/>
      <c r="EL81" s="416"/>
      <c r="EM81" s="416"/>
      <c r="EN81" s="416"/>
      <c r="EO81" s="416"/>
      <c r="EP81" s="416"/>
      <c r="EQ81" s="416"/>
      <c r="ER81" s="416"/>
      <c r="ES81" s="416"/>
      <c r="ET81" s="416"/>
      <c r="EU81" s="416"/>
      <c r="EV81" s="416"/>
      <c r="EW81" s="416"/>
      <c r="EX81" s="416"/>
      <c r="EY81" s="416"/>
      <c r="EZ81" s="416"/>
      <c r="FA81" s="416"/>
      <c r="FB81" s="416"/>
      <c r="FC81" s="416"/>
      <c r="FD81" s="416"/>
      <c r="FE81" s="416"/>
      <c r="FF81" s="416"/>
      <c r="FG81" s="416"/>
      <c r="FH81" s="416"/>
      <c r="FI81" s="416"/>
      <c r="FJ81" s="416"/>
      <c r="FK81" s="416"/>
      <c r="FL81" s="416"/>
      <c r="FM81" s="416"/>
      <c r="FN81" s="416"/>
      <c r="FO81" s="416"/>
      <c r="FP81" s="416"/>
      <c r="FQ81" s="416"/>
      <c r="FR81" s="416"/>
      <c r="FS81" s="416"/>
      <c r="FT81" s="416"/>
      <c r="FU81" s="416"/>
      <c r="FV81" s="416"/>
      <c r="FW81" s="416"/>
      <c r="FX81" s="416"/>
      <c r="FY81" s="416"/>
      <c r="FZ81" s="416"/>
      <c r="GA81" s="416"/>
      <c r="GB81" s="416"/>
      <c r="GC81" s="416"/>
      <c r="GD81" s="416"/>
      <c r="GE81" s="416"/>
      <c r="GF81" s="416"/>
      <c r="GG81" s="416"/>
      <c r="GH81" s="416"/>
      <c r="GI81" s="416"/>
      <c r="GJ81" s="416"/>
      <c r="GK81" s="416"/>
      <c r="GL81" s="416"/>
      <c r="GM81" s="416"/>
      <c r="GN81" s="416"/>
      <c r="GO81" s="416"/>
      <c r="GP81" s="416"/>
      <c r="GQ81" s="416"/>
      <c r="GR81" s="416"/>
      <c r="GS81" s="416"/>
      <c r="GT81" s="416"/>
      <c r="GU81" s="416"/>
      <c r="GV81" s="416"/>
      <c r="GW81" s="416"/>
      <c r="GX81" s="416"/>
      <c r="GY81" s="416"/>
      <c r="GZ81" s="416"/>
      <c r="HA81" s="416"/>
      <c r="HB81" s="416"/>
      <c r="HC81" s="416"/>
      <c r="HD81" s="416"/>
      <c r="HE81" s="416"/>
      <c r="HF81" s="416"/>
      <c r="HG81" s="416"/>
      <c r="HH81" s="416"/>
      <c r="HI81" s="416"/>
      <c r="HJ81" s="416"/>
      <c r="HK81" s="416"/>
      <c r="HL81" s="416"/>
      <c r="HM81" s="416"/>
      <c r="HN81" s="416"/>
      <c r="HO81" s="416"/>
      <c r="HP81" s="416"/>
      <c r="HQ81" s="416"/>
      <c r="HR81" s="416"/>
      <c r="HS81" s="416"/>
      <c r="HT81" s="416"/>
      <c r="HU81" s="416"/>
      <c r="HV81" s="416"/>
      <c r="HW81" s="416"/>
      <c r="HX81" s="416"/>
      <c r="HY81" s="416"/>
      <c r="HZ81" s="416"/>
      <c r="IA81" s="416"/>
      <c r="IB81" s="416"/>
      <c r="IC81" s="416"/>
      <c r="ID81" s="416"/>
      <c r="IE81" s="416"/>
      <c r="IF81" s="416"/>
      <c r="IG81" s="416"/>
      <c r="IH81" s="416"/>
      <c r="II81" s="416"/>
      <c r="IJ81" s="416"/>
      <c r="IK81" s="416"/>
      <c r="IL81" s="416"/>
      <c r="IM81" s="416"/>
      <c r="IN81" s="416"/>
      <c r="IO81" s="416"/>
      <c r="IP81" s="416"/>
      <c r="IQ81" s="416"/>
      <c r="IR81" s="416"/>
      <c r="IS81" s="416"/>
      <c r="IT81" s="416"/>
      <c r="IU81" s="416"/>
      <c r="IV81" s="416"/>
      <c r="IW81" s="416"/>
      <c r="IX81" s="416"/>
      <c r="IY81" s="416"/>
      <c r="IZ81" s="416"/>
      <c r="JA81" s="416"/>
      <c r="JB81" s="416"/>
      <c r="JC81" s="416"/>
      <c r="JD81" s="416"/>
      <c r="JE81" s="416"/>
      <c r="JF81" s="416"/>
      <c r="JG81" s="416"/>
      <c r="JH81" s="416"/>
      <c r="JI81" s="416"/>
      <c r="JJ81" s="416"/>
      <c r="JK81" s="416"/>
      <c r="JL81" s="416"/>
      <c r="JM81" s="416"/>
      <c r="JN81" s="416"/>
      <c r="JO81" s="416"/>
      <c r="JP81" s="416"/>
      <c r="JQ81" s="416"/>
      <c r="JR81" s="416"/>
      <c r="JS81" s="416"/>
      <c r="JT81" s="416"/>
      <c r="JU81" s="416"/>
      <c r="JV81" s="416"/>
      <c r="JW81" s="416"/>
      <c r="JX81" s="416"/>
      <c r="JY81" s="416"/>
      <c r="JZ81" s="416"/>
      <c r="KA81" s="416"/>
      <c r="KB81" s="416"/>
      <c r="KC81" s="416"/>
      <c r="KD81" s="416"/>
      <c r="KE81" s="416"/>
      <c r="KF81" s="416"/>
      <c r="KG81" s="416"/>
      <c r="KH81" s="416"/>
      <c r="KI81" s="416"/>
      <c r="KJ81" s="416"/>
      <c r="KK81" s="416"/>
      <c r="KL81" s="416"/>
      <c r="KM81" s="416"/>
      <c r="KN81" s="416"/>
      <c r="KO81" s="416"/>
      <c r="KP81" s="416"/>
      <c r="KQ81" s="416"/>
      <c r="KR81" s="416"/>
      <c r="KS81" s="416"/>
      <c r="KT81" s="416"/>
      <c r="KU81" s="416"/>
      <c r="KV81" s="416"/>
      <c r="KW81" s="416"/>
      <c r="KX81" s="416"/>
      <c r="KY81" s="416"/>
      <c r="KZ81" s="416"/>
      <c r="LA81" s="416"/>
      <c r="LB81" s="416"/>
      <c r="LC81" s="416"/>
      <c r="LD81" s="416"/>
      <c r="LE81" s="416"/>
      <c r="LF81" s="416"/>
      <c r="LG81" s="416"/>
      <c r="LH81" s="416"/>
      <c r="LI81" s="416"/>
      <c r="LJ81" s="416"/>
      <c r="LK81" s="416"/>
      <c r="LL81" s="416"/>
      <c r="LM81" s="416"/>
      <c r="LN81" s="416"/>
      <c r="LO81" s="416"/>
      <c r="LP81" s="416"/>
      <c r="LQ81" s="416"/>
      <c r="LR81" s="416"/>
      <c r="LS81" s="416"/>
      <c r="LT81" s="416"/>
      <c r="LU81" s="416"/>
      <c r="LV81" s="416"/>
      <c r="LW81" s="416"/>
      <c r="LX81" s="416"/>
      <c r="LY81" s="416"/>
      <c r="LZ81" s="416"/>
      <c r="MA81" s="416"/>
      <c r="MB81" s="416"/>
      <c r="MC81" s="416"/>
      <c r="MD81" s="416"/>
      <c r="ME81" s="416"/>
      <c r="MF81" s="416"/>
      <c r="MG81" s="416"/>
      <c r="MH81" s="416"/>
      <c r="MI81" s="416"/>
      <c r="MJ81" s="416"/>
      <c r="MK81" s="416"/>
      <c r="ML81" s="416"/>
      <c r="MM81" s="416"/>
      <c r="MN81" s="416"/>
      <c r="MO81" s="416"/>
      <c r="MP81" s="416"/>
      <c r="MQ81" s="416"/>
      <c r="MR81" s="416"/>
      <c r="MS81" s="416"/>
      <c r="MT81" s="416"/>
      <c r="MU81" s="416"/>
      <c r="MV81" s="416"/>
      <c r="MW81" s="416"/>
      <c r="MX81" s="416"/>
      <c r="MY81" s="416"/>
      <c r="MZ81" s="416"/>
      <c r="NA81" s="416"/>
      <c r="NB81" s="416"/>
      <c r="NC81" s="416"/>
      <c r="ND81" s="416"/>
      <c r="NE81" s="416"/>
      <c r="NF81" s="416"/>
      <c r="NG81" s="416"/>
      <c r="NH81" s="416"/>
      <c r="NI81" s="416"/>
      <c r="NJ81" s="416"/>
      <c r="NK81" s="416"/>
      <c r="NL81" s="416"/>
      <c r="NM81" s="416"/>
      <c r="NN81" s="416"/>
      <c r="NO81" s="416"/>
      <c r="NP81" s="416"/>
      <c r="NQ81" s="416"/>
      <c r="NR81" s="416"/>
      <c r="NS81" s="416"/>
    </row>
    <row r="82" spans="1:383" s="419" customFormat="1" ht="37.5" customHeight="1" x14ac:dyDescent="0.2">
      <c r="A82" s="2109"/>
      <c r="B82" s="2147"/>
      <c r="C82" s="2130"/>
      <c r="D82" s="2109"/>
      <c r="E82" s="2147"/>
      <c r="F82" s="2130"/>
      <c r="G82" s="2109"/>
      <c r="H82" s="2167"/>
      <c r="I82" s="2112"/>
      <c r="J82" s="2151"/>
      <c r="K82" s="2107"/>
      <c r="L82" s="2107"/>
      <c r="M82" s="2110"/>
      <c r="N82" s="403"/>
      <c r="O82" s="2106"/>
      <c r="P82" s="2106"/>
      <c r="Q82" s="2084"/>
      <c r="R82" s="2141"/>
      <c r="S82" s="2106"/>
      <c r="T82" s="2107"/>
      <c r="U82" s="415" t="s">
        <v>386</v>
      </c>
      <c r="V82" s="2169"/>
      <c r="W82" s="2153"/>
      <c r="X82" s="2171"/>
      <c r="Y82" s="2157"/>
      <c r="Z82" s="2157"/>
      <c r="AA82" s="2157"/>
      <c r="AB82" s="2157"/>
      <c r="AC82" s="2157"/>
      <c r="AD82" s="2157"/>
      <c r="AE82" s="2157"/>
      <c r="AF82" s="2157"/>
      <c r="AG82" s="2157"/>
      <c r="AH82" s="2157"/>
      <c r="AI82" s="2157"/>
      <c r="AJ82" s="2157"/>
      <c r="AK82" s="2159"/>
      <c r="AL82" s="2159"/>
      <c r="AM82" s="2157"/>
      <c r="AN82" s="416"/>
      <c r="AO82" s="416"/>
      <c r="AP82" s="416"/>
      <c r="AQ82" s="416"/>
      <c r="AR82" s="416"/>
      <c r="AS82" s="416"/>
      <c r="AT82" s="416"/>
      <c r="AU82" s="416"/>
      <c r="AV82" s="416"/>
      <c r="AW82" s="416"/>
      <c r="AX82" s="416"/>
      <c r="AY82" s="416"/>
      <c r="AZ82" s="416"/>
      <c r="BA82" s="416"/>
      <c r="BB82" s="416"/>
      <c r="BC82" s="416"/>
      <c r="BD82" s="416"/>
      <c r="BE82" s="416"/>
      <c r="BF82" s="416"/>
      <c r="BG82" s="416"/>
      <c r="BH82" s="416"/>
      <c r="BI82" s="416"/>
      <c r="BJ82" s="416"/>
      <c r="BK82" s="416"/>
      <c r="BL82" s="416"/>
      <c r="BM82" s="416"/>
      <c r="BN82" s="416"/>
      <c r="BO82" s="416"/>
      <c r="BP82" s="416"/>
      <c r="BQ82" s="416"/>
      <c r="BR82" s="416"/>
      <c r="BS82" s="416"/>
      <c r="BT82" s="416"/>
      <c r="BU82" s="416"/>
      <c r="BV82" s="416"/>
      <c r="BW82" s="416"/>
      <c r="BX82" s="416"/>
      <c r="BY82" s="416"/>
      <c r="BZ82" s="416"/>
      <c r="CA82" s="416"/>
      <c r="CB82" s="416"/>
      <c r="CC82" s="416"/>
      <c r="CD82" s="416"/>
      <c r="CE82" s="416"/>
      <c r="CF82" s="416"/>
      <c r="CG82" s="416"/>
      <c r="CH82" s="416"/>
      <c r="CI82" s="416"/>
      <c r="CJ82" s="416"/>
      <c r="CK82" s="416"/>
      <c r="CL82" s="416"/>
      <c r="CM82" s="416"/>
      <c r="CN82" s="416"/>
      <c r="CO82" s="416"/>
      <c r="CP82" s="416"/>
      <c r="CQ82" s="416"/>
      <c r="CR82" s="416"/>
      <c r="CS82" s="416"/>
      <c r="CT82" s="416"/>
      <c r="CU82" s="416"/>
      <c r="CV82" s="416"/>
      <c r="CW82" s="416"/>
      <c r="CX82" s="416"/>
      <c r="CY82" s="416"/>
      <c r="CZ82" s="416"/>
      <c r="DA82" s="416"/>
      <c r="DB82" s="416"/>
      <c r="DC82" s="416"/>
      <c r="DD82" s="416"/>
      <c r="DE82" s="416"/>
      <c r="DF82" s="416"/>
      <c r="DG82" s="416"/>
      <c r="DH82" s="416"/>
      <c r="DI82" s="416"/>
      <c r="DJ82" s="416"/>
      <c r="DK82" s="416"/>
      <c r="DL82" s="416"/>
      <c r="DM82" s="416"/>
      <c r="DN82" s="416"/>
      <c r="DO82" s="416"/>
      <c r="DP82" s="416"/>
      <c r="DQ82" s="416"/>
      <c r="DR82" s="416"/>
      <c r="DS82" s="416"/>
      <c r="DT82" s="416"/>
      <c r="DU82" s="416"/>
      <c r="DV82" s="416"/>
      <c r="DW82" s="416"/>
      <c r="DX82" s="416"/>
      <c r="DY82" s="416"/>
      <c r="DZ82" s="416"/>
      <c r="EA82" s="416"/>
      <c r="EB82" s="416"/>
      <c r="EC82" s="416"/>
      <c r="ED82" s="416"/>
      <c r="EE82" s="416"/>
      <c r="EF82" s="416"/>
      <c r="EG82" s="416"/>
      <c r="EH82" s="416"/>
      <c r="EI82" s="416"/>
      <c r="EJ82" s="416"/>
      <c r="EK82" s="416"/>
      <c r="EL82" s="416"/>
      <c r="EM82" s="416"/>
      <c r="EN82" s="416"/>
      <c r="EO82" s="416"/>
      <c r="EP82" s="416"/>
      <c r="EQ82" s="416"/>
      <c r="ER82" s="416"/>
      <c r="ES82" s="416"/>
      <c r="ET82" s="416"/>
      <c r="EU82" s="416"/>
      <c r="EV82" s="416"/>
      <c r="EW82" s="416"/>
      <c r="EX82" s="416"/>
      <c r="EY82" s="416"/>
      <c r="EZ82" s="416"/>
      <c r="FA82" s="416"/>
      <c r="FB82" s="416"/>
      <c r="FC82" s="416"/>
      <c r="FD82" s="416"/>
      <c r="FE82" s="416"/>
      <c r="FF82" s="416"/>
      <c r="FG82" s="416"/>
      <c r="FH82" s="416"/>
      <c r="FI82" s="416"/>
      <c r="FJ82" s="416"/>
      <c r="FK82" s="416"/>
      <c r="FL82" s="416"/>
      <c r="FM82" s="416"/>
      <c r="FN82" s="416"/>
      <c r="FO82" s="416"/>
      <c r="FP82" s="416"/>
      <c r="FQ82" s="416"/>
      <c r="FR82" s="416"/>
      <c r="FS82" s="416"/>
      <c r="FT82" s="416"/>
      <c r="FU82" s="416"/>
      <c r="FV82" s="416"/>
      <c r="FW82" s="416"/>
      <c r="FX82" s="416"/>
      <c r="FY82" s="416"/>
      <c r="FZ82" s="416"/>
      <c r="GA82" s="416"/>
      <c r="GB82" s="416"/>
      <c r="GC82" s="416"/>
      <c r="GD82" s="416"/>
      <c r="GE82" s="416"/>
      <c r="GF82" s="416"/>
      <c r="GG82" s="416"/>
      <c r="GH82" s="416"/>
      <c r="GI82" s="416"/>
      <c r="GJ82" s="416"/>
      <c r="GK82" s="416"/>
      <c r="GL82" s="416"/>
      <c r="GM82" s="416"/>
      <c r="GN82" s="416"/>
      <c r="GO82" s="416"/>
      <c r="GP82" s="416"/>
      <c r="GQ82" s="416"/>
      <c r="GR82" s="416"/>
      <c r="GS82" s="416"/>
      <c r="GT82" s="416"/>
      <c r="GU82" s="416"/>
      <c r="GV82" s="416"/>
      <c r="GW82" s="416"/>
      <c r="GX82" s="416"/>
      <c r="GY82" s="416"/>
      <c r="GZ82" s="416"/>
      <c r="HA82" s="416"/>
      <c r="HB82" s="416"/>
      <c r="HC82" s="416"/>
      <c r="HD82" s="416"/>
      <c r="HE82" s="416"/>
      <c r="HF82" s="416"/>
      <c r="HG82" s="416"/>
      <c r="HH82" s="416"/>
      <c r="HI82" s="416"/>
      <c r="HJ82" s="416"/>
      <c r="HK82" s="416"/>
      <c r="HL82" s="416"/>
      <c r="HM82" s="416"/>
      <c r="HN82" s="416"/>
      <c r="HO82" s="416"/>
      <c r="HP82" s="416"/>
      <c r="HQ82" s="416"/>
      <c r="HR82" s="416"/>
      <c r="HS82" s="416"/>
      <c r="HT82" s="416"/>
      <c r="HU82" s="416"/>
      <c r="HV82" s="416"/>
      <c r="HW82" s="416"/>
      <c r="HX82" s="416"/>
      <c r="HY82" s="416"/>
      <c r="HZ82" s="416"/>
      <c r="IA82" s="416"/>
      <c r="IB82" s="416"/>
      <c r="IC82" s="416"/>
      <c r="ID82" s="416"/>
      <c r="IE82" s="416"/>
      <c r="IF82" s="416"/>
      <c r="IG82" s="416"/>
      <c r="IH82" s="416"/>
      <c r="II82" s="416"/>
      <c r="IJ82" s="416"/>
      <c r="IK82" s="416"/>
      <c r="IL82" s="416"/>
      <c r="IM82" s="416"/>
      <c r="IN82" s="416"/>
      <c r="IO82" s="416"/>
      <c r="IP82" s="416"/>
      <c r="IQ82" s="416"/>
      <c r="IR82" s="416"/>
      <c r="IS82" s="416"/>
      <c r="IT82" s="416"/>
      <c r="IU82" s="416"/>
      <c r="IV82" s="416"/>
      <c r="IW82" s="416"/>
      <c r="IX82" s="416"/>
      <c r="IY82" s="416"/>
      <c r="IZ82" s="416"/>
      <c r="JA82" s="416"/>
      <c r="JB82" s="416"/>
      <c r="JC82" s="416"/>
      <c r="JD82" s="416"/>
      <c r="JE82" s="416"/>
      <c r="JF82" s="416"/>
      <c r="JG82" s="416"/>
      <c r="JH82" s="416"/>
      <c r="JI82" s="416"/>
      <c r="JJ82" s="416"/>
      <c r="JK82" s="416"/>
      <c r="JL82" s="416"/>
      <c r="JM82" s="416"/>
      <c r="JN82" s="416"/>
      <c r="JO82" s="416"/>
      <c r="JP82" s="416"/>
      <c r="JQ82" s="416"/>
      <c r="JR82" s="416"/>
      <c r="JS82" s="416"/>
      <c r="JT82" s="416"/>
      <c r="JU82" s="416"/>
      <c r="JV82" s="416"/>
      <c r="JW82" s="416"/>
      <c r="JX82" s="416"/>
      <c r="JY82" s="416"/>
      <c r="JZ82" s="416"/>
      <c r="KA82" s="416"/>
      <c r="KB82" s="416"/>
      <c r="KC82" s="416"/>
      <c r="KD82" s="416"/>
      <c r="KE82" s="416"/>
      <c r="KF82" s="416"/>
      <c r="KG82" s="416"/>
      <c r="KH82" s="416"/>
      <c r="KI82" s="416"/>
      <c r="KJ82" s="416"/>
      <c r="KK82" s="416"/>
      <c r="KL82" s="416"/>
      <c r="KM82" s="416"/>
      <c r="KN82" s="416"/>
      <c r="KO82" s="416"/>
      <c r="KP82" s="416"/>
      <c r="KQ82" s="416"/>
      <c r="KR82" s="416"/>
      <c r="KS82" s="416"/>
      <c r="KT82" s="416"/>
      <c r="KU82" s="416"/>
      <c r="KV82" s="416"/>
      <c r="KW82" s="416"/>
      <c r="KX82" s="416"/>
      <c r="KY82" s="416"/>
      <c r="KZ82" s="416"/>
      <c r="LA82" s="416"/>
      <c r="LB82" s="416"/>
      <c r="LC82" s="416"/>
      <c r="LD82" s="416"/>
      <c r="LE82" s="416"/>
      <c r="LF82" s="416"/>
      <c r="LG82" s="416"/>
      <c r="LH82" s="416"/>
      <c r="LI82" s="416"/>
      <c r="LJ82" s="416"/>
      <c r="LK82" s="416"/>
      <c r="LL82" s="416"/>
      <c r="LM82" s="416"/>
      <c r="LN82" s="416"/>
      <c r="LO82" s="416"/>
      <c r="LP82" s="416"/>
      <c r="LQ82" s="416"/>
      <c r="LR82" s="416"/>
      <c r="LS82" s="416"/>
      <c r="LT82" s="416"/>
      <c r="LU82" s="416"/>
      <c r="LV82" s="416"/>
      <c r="LW82" s="416"/>
      <c r="LX82" s="416"/>
      <c r="LY82" s="416"/>
      <c r="LZ82" s="416"/>
      <c r="MA82" s="416"/>
      <c r="MB82" s="416"/>
      <c r="MC82" s="416"/>
      <c r="MD82" s="416"/>
      <c r="ME82" s="416"/>
      <c r="MF82" s="416"/>
      <c r="MG82" s="416"/>
      <c r="MH82" s="416"/>
      <c r="MI82" s="416"/>
      <c r="MJ82" s="416"/>
      <c r="MK82" s="416"/>
      <c r="ML82" s="416"/>
      <c r="MM82" s="416"/>
      <c r="MN82" s="416"/>
      <c r="MO82" s="416"/>
      <c r="MP82" s="416"/>
      <c r="MQ82" s="416"/>
      <c r="MR82" s="416"/>
      <c r="MS82" s="416"/>
      <c r="MT82" s="416"/>
      <c r="MU82" s="416"/>
      <c r="MV82" s="416"/>
      <c r="MW82" s="416"/>
      <c r="MX82" s="416"/>
      <c r="MY82" s="416"/>
      <c r="MZ82" s="416"/>
      <c r="NA82" s="416"/>
      <c r="NB82" s="416"/>
      <c r="NC82" s="416"/>
      <c r="ND82" s="416"/>
      <c r="NE82" s="416"/>
      <c r="NF82" s="416"/>
      <c r="NG82" s="416"/>
      <c r="NH82" s="416"/>
      <c r="NI82" s="416"/>
      <c r="NJ82" s="416"/>
      <c r="NK82" s="416"/>
      <c r="NL82" s="416"/>
      <c r="NM82" s="416"/>
      <c r="NN82" s="416"/>
      <c r="NO82" s="416"/>
      <c r="NP82" s="416"/>
      <c r="NQ82" s="416"/>
      <c r="NR82" s="416"/>
      <c r="NS82" s="416"/>
    </row>
    <row r="83" spans="1:383" s="406" customFormat="1" ht="35.25" customHeight="1" x14ac:dyDescent="0.2">
      <c r="A83" s="2109"/>
      <c r="B83" s="2147"/>
      <c r="C83" s="2130"/>
      <c r="D83" s="2109"/>
      <c r="E83" s="2147"/>
      <c r="F83" s="2130"/>
      <c r="G83" s="2109"/>
      <c r="H83" s="2167"/>
      <c r="I83" s="2112"/>
      <c r="J83" s="2089">
        <v>58</v>
      </c>
      <c r="K83" s="2089" t="s">
        <v>409</v>
      </c>
      <c r="L83" s="2105" t="s">
        <v>410</v>
      </c>
      <c r="M83" s="2108">
        <v>1</v>
      </c>
      <c r="N83" s="403"/>
      <c r="O83" s="2106"/>
      <c r="P83" s="2106"/>
      <c r="Q83" s="2083">
        <f>+V83/R78</f>
        <v>4.9085887337785702E-3</v>
      </c>
      <c r="R83" s="2141"/>
      <c r="S83" s="2106"/>
      <c r="T83" s="2105" t="s">
        <v>405</v>
      </c>
      <c r="U83" s="415" t="s">
        <v>411</v>
      </c>
      <c r="V83" s="2169">
        <v>50000000</v>
      </c>
      <c r="W83" s="2153"/>
      <c r="X83" s="2154" t="s">
        <v>412</v>
      </c>
      <c r="Y83" s="2157"/>
      <c r="Z83" s="2157"/>
      <c r="AA83" s="2157"/>
      <c r="AB83" s="2157"/>
      <c r="AC83" s="2157"/>
      <c r="AD83" s="2157"/>
      <c r="AE83" s="2157"/>
      <c r="AF83" s="2157"/>
      <c r="AG83" s="2157"/>
      <c r="AH83" s="2157"/>
      <c r="AI83" s="2157"/>
      <c r="AJ83" s="2157"/>
      <c r="AK83" s="2159"/>
      <c r="AL83" s="2159"/>
      <c r="AM83" s="2157"/>
    </row>
    <row r="84" spans="1:383" s="406" customFormat="1" ht="35.25" customHeight="1" x14ac:dyDescent="0.2">
      <c r="A84" s="2109"/>
      <c r="B84" s="2147"/>
      <c r="C84" s="2130"/>
      <c r="D84" s="2109"/>
      <c r="E84" s="2147"/>
      <c r="F84" s="2130"/>
      <c r="G84" s="2109"/>
      <c r="H84" s="2167"/>
      <c r="I84" s="2112"/>
      <c r="J84" s="2091"/>
      <c r="K84" s="2091"/>
      <c r="L84" s="2107"/>
      <c r="M84" s="2110"/>
      <c r="N84" s="403"/>
      <c r="O84" s="2106"/>
      <c r="P84" s="2106"/>
      <c r="Q84" s="2085"/>
      <c r="R84" s="2141"/>
      <c r="S84" s="2106"/>
      <c r="T84" s="2106"/>
      <c r="U84" s="415" t="s">
        <v>386</v>
      </c>
      <c r="V84" s="2169"/>
      <c r="W84" s="2153"/>
      <c r="X84" s="2171"/>
      <c r="Y84" s="2157"/>
      <c r="Z84" s="2157"/>
      <c r="AA84" s="2157"/>
      <c r="AB84" s="2157"/>
      <c r="AC84" s="2157"/>
      <c r="AD84" s="2157"/>
      <c r="AE84" s="2157"/>
      <c r="AF84" s="2157"/>
      <c r="AG84" s="2157"/>
      <c r="AH84" s="2157"/>
      <c r="AI84" s="2157"/>
      <c r="AJ84" s="2157"/>
      <c r="AK84" s="2159"/>
      <c r="AL84" s="2159"/>
      <c r="AM84" s="2157"/>
    </row>
    <row r="85" spans="1:383" s="406" customFormat="1" ht="47.25" customHeight="1" x14ac:dyDescent="0.2">
      <c r="A85" s="2109"/>
      <c r="B85" s="2147"/>
      <c r="C85" s="2130"/>
      <c r="D85" s="2109"/>
      <c r="E85" s="2147"/>
      <c r="F85" s="2130"/>
      <c r="G85" s="2109"/>
      <c r="H85" s="2167"/>
      <c r="I85" s="2112"/>
      <c r="J85" s="2089">
        <v>59</v>
      </c>
      <c r="K85" s="2089" t="s">
        <v>413</v>
      </c>
      <c r="L85" s="2105" t="s">
        <v>414</v>
      </c>
      <c r="M85" s="2108">
        <v>12</v>
      </c>
      <c r="N85" s="403" t="s">
        <v>415</v>
      </c>
      <c r="O85" s="2106"/>
      <c r="P85" s="2106"/>
      <c r="Q85" s="2083">
        <f>+V85/R78</f>
        <v>0.24818806355731207</v>
      </c>
      <c r="R85" s="2141"/>
      <c r="S85" s="2106"/>
      <c r="T85" s="2106"/>
      <c r="U85" s="415" t="s">
        <v>380</v>
      </c>
      <c r="V85" s="2169">
        <f>2005100000+523000000</f>
        <v>2528100000</v>
      </c>
      <c r="W85" s="2153"/>
      <c r="X85" s="2154" t="s">
        <v>407</v>
      </c>
      <c r="Y85" s="2157"/>
      <c r="Z85" s="2157"/>
      <c r="AA85" s="2157"/>
      <c r="AB85" s="2157"/>
      <c r="AC85" s="2157"/>
      <c r="AD85" s="2157"/>
      <c r="AE85" s="2157"/>
      <c r="AF85" s="2157"/>
      <c r="AG85" s="2157"/>
      <c r="AH85" s="2157"/>
      <c r="AI85" s="2157"/>
      <c r="AJ85" s="2157"/>
      <c r="AK85" s="2159"/>
      <c r="AL85" s="2159"/>
      <c r="AM85" s="2157"/>
    </row>
    <row r="86" spans="1:383" s="406" customFormat="1" ht="51" customHeight="1" x14ac:dyDescent="0.2">
      <c r="A86" s="2109"/>
      <c r="B86" s="2147"/>
      <c r="C86" s="2130"/>
      <c r="D86" s="2109"/>
      <c r="E86" s="2147"/>
      <c r="F86" s="2130"/>
      <c r="G86" s="2109"/>
      <c r="H86" s="2167"/>
      <c r="I86" s="2112"/>
      <c r="J86" s="2090"/>
      <c r="K86" s="2090"/>
      <c r="L86" s="2106"/>
      <c r="M86" s="2109"/>
      <c r="N86" s="403" t="s">
        <v>416</v>
      </c>
      <c r="O86" s="2106"/>
      <c r="P86" s="2106"/>
      <c r="Q86" s="2084"/>
      <c r="R86" s="2141"/>
      <c r="S86" s="2106"/>
      <c r="T86" s="2106"/>
      <c r="U86" s="415" t="s">
        <v>385</v>
      </c>
      <c r="V86" s="2169"/>
      <c r="W86" s="2153"/>
      <c r="X86" s="2155"/>
      <c r="Y86" s="2157"/>
      <c r="Z86" s="2157"/>
      <c r="AA86" s="2157"/>
      <c r="AB86" s="2157"/>
      <c r="AC86" s="2157"/>
      <c r="AD86" s="2157"/>
      <c r="AE86" s="2157"/>
      <c r="AF86" s="2157"/>
      <c r="AG86" s="2157"/>
      <c r="AH86" s="2157"/>
      <c r="AI86" s="2157"/>
      <c r="AJ86" s="2157"/>
      <c r="AK86" s="2159"/>
      <c r="AL86" s="2159"/>
      <c r="AM86" s="2157"/>
    </row>
    <row r="87" spans="1:383" s="406" customFormat="1" ht="51.75" customHeight="1" x14ac:dyDescent="0.2">
      <c r="A87" s="2109"/>
      <c r="B87" s="2147"/>
      <c r="C87" s="2130"/>
      <c r="D87" s="2109"/>
      <c r="E87" s="2147"/>
      <c r="F87" s="2130"/>
      <c r="G87" s="2109"/>
      <c r="H87" s="2167"/>
      <c r="I87" s="2112"/>
      <c r="J87" s="2090"/>
      <c r="K87" s="2090"/>
      <c r="L87" s="2106"/>
      <c r="M87" s="2109"/>
      <c r="N87" s="403" t="s">
        <v>417</v>
      </c>
      <c r="O87" s="2106"/>
      <c r="P87" s="2106"/>
      <c r="Q87" s="2084"/>
      <c r="R87" s="2141"/>
      <c r="S87" s="2106"/>
      <c r="T87" s="2106"/>
      <c r="U87" s="415" t="s">
        <v>411</v>
      </c>
      <c r="V87" s="2169"/>
      <c r="W87" s="2153"/>
      <c r="X87" s="2155"/>
      <c r="Y87" s="2157"/>
      <c r="Z87" s="2157"/>
      <c r="AA87" s="2157"/>
      <c r="AB87" s="2157"/>
      <c r="AC87" s="2157"/>
      <c r="AD87" s="2157"/>
      <c r="AE87" s="2157"/>
      <c r="AF87" s="2157"/>
      <c r="AG87" s="2157"/>
      <c r="AH87" s="2157"/>
      <c r="AI87" s="2157"/>
      <c r="AJ87" s="2157"/>
      <c r="AK87" s="2159"/>
      <c r="AL87" s="2159"/>
      <c r="AM87" s="2157"/>
    </row>
    <row r="88" spans="1:383" s="406" customFormat="1" ht="39.75" customHeight="1" x14ac:dyDescent="0.2">
      <c r="A88" s="2109"/>
      <c r="B88" s="2147"/>
      <c r="C88" s="2130"/>
      <c r="D88" s="2109"/>
      <c r="E88" s="2147"/>
      <c r="F88" s="2130"/>
      <c r="G88" s="2109"/>
      <c r="H88" s="2167"/>
      <c r="I88" s="2112"/>
      <c r="J88" s="2091"/>
      <c r="K88" s="2091"/>
      <c r="L88" s="2107"/>
      <c r="M88" s="2110"/>
      <c r="N88" s="403" t="s">
        <v>418</v>
      </c>
      <c r="O88" s="2106"/>
      <c r="P88" s="2106"/>
      <c r="Q88" s="2085"/>
      <c r="R88" s="2141"/>
      <c r="S88" s="2106"/>
      <c r="T88" s="2106"/>
      <c r="U88" s="415" t="s">
        <v>386</v>
      </c>
      <c r="V88" s="2169"/>
      <c r="W88" s="2153"/>
      <c r="X88" s="2171"/>
      <c r="Y88" s="2157"/>
      <c r="Z88" s="2157"/>
      <c r="AA88" s="2157"/>
      <c r="AB88" s="2157"/>
      <c r="AC88" s="2157"/>
      <c r="AD88" s="2157"/>
      <c r="AE88" s="2157"/>
      <c r="AF88" s="2157"/>
      <c r="AG88" s="2157"/>
      <c r="AH88" s="2157"/>
      <c r="AI88" s="2157"/>
      <c r="AJ88" s="2157"/>
      <c r="AK88" s="2159"/>
      <c r="AL88" s="2159"/>
      <c r="AM88" s="2157"/>
    </row>
    <row r="89" spans="1:383" s="406" customFormat="1" ht="100.5" customHeight="1" x14ac:dyDescent="0.2">
      <c r="A89" s="2109"/>
      <c r="B89" s="2147"/>
      <c r="C89" s="2130"/>
      <c r="D89" s="2109"/>
      <c r="E89" s="2147"/>
      <c r="F89" s="2130"/>
      <c r="G89" s="2109"/>
      <c r="H89" s="2167"/>
      <c r="I89" s="2112"/>
      <c r="J89" s="371">
        <v>60</v>
      </c>
      <c r="K89" s="371" t="s">
        <v>1989</v>
      </c>
      <c r="L89" s="415" t="s">
        <v>419</v>
      </c>
      <c r="M89" s="1784">
        <v>12</v>
      </c>
      <c r="N89" s="403" t="s">
        <v>420</v>
      </c>
      <c r="O89" s="2106"/>
      <c r="P89" s="2106"/>
      <c r="Q89" s="420">
        <f>+V89/R78</f>
        <v>4.9085887337785702E-3</v>
      </c>
      <c r="R89" s="2141"/>
      <c r="S89" s="2106"/>
      <c r="T89" s="2106"/>
      <c r="U89" s="415" t="s">
        <v>386</v>
      </c>
      <c r="V89" s="421">
        <v>50000000</v>
      </c>
      <c r="W89" s="2153"/>
      <c r="X89" s="422" t="s">
        <v>412</v>
      </c>
      <c r="Y89" s="2157"/>
      <c r="Z89" s="2157"/>
      <c r="AA89" s="2157"/>
      <c r="AB89" s="2157"/>
      <c r="AC89" s="2157"/>
      <c r="AD89" s="2157"/>
      <c r="AE89" s="2157"/>
      <c r="AF89" s="2157"/>
      <c r="AG89" s="2157"/>
      <c r="AH89" s="2157"/>
      <c r="AI89" s="2157"/>
      <c r="AJ89" s="2157"/>
      <c r="AK89" s="2159"/>
      <c r="AL89" s="2159"/>
      <c r="AM89" s="2157"/>
    </row>
    <row r="90" spans="1:383" s="424" customFormat="1" ht="84" customHeight="1" x14ac:dyDescent="0.2">
      <c r="A90" s="2109"/>
      <c r="B90" s="2147"/>
      <c r="C90" s="2130"/>
      <c r="D90" s="2109"/>
      <c r="E90" s="2147"/>
      <c r="F90" s="2130"/>
      <c r="G90" s="2109"/>
      <c r="H90" s="2167"/>
      <c r="I90" s="2112"/>
      <c r="J90" s="423">
        <v>61</v>
      </c>
      <c r="K90" s="415" t="s">
        <v>421</v>
      </c>
      <c r="L90" s="415" t="s">
        <v>422</v>
      </c>
      <c r="M90" s="1784">
        <v>2</v>
      </c>
      <c r="N90" s="403"/>
      <c r="O90" s="2106"/>
      <c r="P90" s="2106"/>
      <c r="Q90" s="420">
        <f>+V90/R78*100</f>
        <v>3.3604198471448092</v>
      </c>
      <c r="R90" s="2141"/>
      <c r="S90" s="2106"/>
      <c r="T90" s="2106"/>
      <c r="U90" s="415" t="s">
        <v>386</v>
      </c>
      <c r="V90" s="421">
        <f>50000000+94300000+198000000</f>
        <v>342300000</v>
      </c>
      <c r="W90" s="2153"/>
      <c r="X90" s="422" t="s">
        <v>412</v>
      </c>
      <c r="Y90" s="2157"/>
      <c r="Z90" s="2157"/>
      <c r="AA90" s="2157"/>
      <c r="AB90" s="2157"/>
      <c r="AC90" s="2157"/>
      <c r="AD90" s="2157"/>
      <c r="AE90" s="2157"/>
      <c r="AF90" s="2157"/>
      <c r="AG90" s="2157"/>
      <c r="AH90" s="2157"/>
      <c r="AI90" s="2157"/>
      <c r="AJ90" s="2157"/>
      <c r="AK90" s="2159"/>
      <c r="AL90" s="2159"/>
      <c r="AM90" s="2157"/>
    </row>
    <row r="91" spans="1:383" s="424" customFormat="1" ht="94.5" customHeight="1" x14ac:dyDescent="0.2">
      <c r="A91" s="2109"/>
      <c r="B91" s="2147"/>
      <c r="C91" s="2130"/>
      <c r="D91" s="2109"/>
      <c r="E91" s="2147"/>
      <c r="F91" s="2130"/>
      <c r="G91" s="2109"/>
      <c r="H91" s="2167"/>
      <c r="I91" s="2112"/>
      <c r="J91" s="423">
        <v>62</v>
      </c>
      <c r="K91" s="415" t="s">
        <v>423</v>
      </c>
      <c r="L91" s="415" t="s">
        <v>424</v>
      </c>
      <c r="M91" s="1784">
        <v>2</v>
      </c>
      <c r="N91" s="403"/>
      <c r="O91" s="2106"/>
      <c r="P91" s="2106"/>
      <c r="Q91" s="420">
        <f>+V91/R78*100</f>
        <v>2.1008759780572284</v>
      </c>
      <c r="R91" s="2141"/>
      <c r="S91" s="2106"/>
      <c r="T91" s="2107"/>
      <c r="U91" s="415" t="s">
        <v>386</v>
      </c>
      <c r="V91" s="421">
        <f>70000000+144000000</f>
        <v>214000000</v>
      </c>
      <c r="W91" s="2153"/>
      <c r="X91" s="422" t="s">
        <v>412</v>
      </c>
      <c r="Y91" s="2157"/>
      <c r="Z91" s="2157"/>
      <c r="AA91" s="2157"/>
      <c r="AB91" s="2157"/>
      <c r="AC91" s="2157"/>
      <c r="AD91" s="2157"/>
      <c r="AE91" s="2157"/>
      <c r="AF91" s="2157"/>
      <c r="AG91" s="2157"/>
      <c r="AH91" s="2157"/>
      <c r="AI91" s="2157"/>
      <c r="AJ91" s="2157"/>
      <c r="AK91" s="2159"/>
      <c r="AL91" s="2159"/>
      <c r="AM91" s="2157"/>
    </row>
    <row r="92" spans="1:383" s="424" customFormat="1" ht="72.75" customHeight="1" x14ac:dyDescent="0.2">
      <c r="A92" s="2109"/>
      <c r="B92" s="2147"/>
      <c r="C92" s="2130"/>
      <c r="D92" s="2109"/>
      <c r="E92" s="2147"/>
      <c r="F92" s="2130"/>
      <c r="G92" s="2109"/>
      <c r="H92" s="2167"/>
      <c r="I92" s="2112"/>
      <c r="J92" s="371">
        <v>63</v>
      </c>
      <c r="K92" s="371" t="s">
        <v>425</v>
      </c>
      <c r="L92" s="415" t="s">
        <v>426</v>
      </c>
      <c r="M92" s="1784">
        <v>250</v>
      </c>
      <c r="N92" s="403"/>
      <c r="O92" s="2106"/>
      <c r="P92" s="2106"/>
      <c r="Q92" s="420">
        <f>+V92/R78*100</f>
        <v>3.926870987022856</v>
      </c>
      <c r="R92" s="2141"/>
      <c r="S92" s="2106"/>
      <c r="T92" s="415" t="s">
        <v>405</v>
      </c>
      <c r="U92" s="415" t="s">
        <v>386</v>
      </c>
      <c r="V92" s="421">
        <v>400000000</v>
      </c>
      <c r="W92" s="2153"/>
      <c r="X92" s="422" t="s">
        <v>412</v>
      </c>
      <c r="Y92" s="2157"/>
      <c r="Z92" s="2157"/>
      <c r="AA92" s="2157"/>
      <c r="AB92" s="2157"/>
      <c r="AC92" s="2157"/>
      <c r="AD92" s="2157"/>
      <c r="AE92" s="2157"/>
      <c r="AF92" s="2157"/>
      <c r="AG92" s="2157"/>
      <c r="AH92" s="2157"/>
      <c r="AI92" s="2157"/>
      <c r="AJ92" s="2157"/>
      <c r="AK92" s="2159"/>
      <c r="AL92" s="2159">
        <v>43100</v>
      </c>
      <c r="AM92" s="2157"/>
    </row>
    <row r="93" spans="1:383" s="424" customFormat="1" ht="41.25" customHeight="1" x14ac:dyDescent="0.2">
      <c r="A93" s="2109"/>
      <c r="B93" s="2147"/>
      <c r="C93" s="2130"/>
      <c r="D93" s="2109"/>
      <c r="E93" s="2147"/>
      <c r="F93" s="2130"/>
      <c r="G93" s="2109"/>
      <c r="H93" s="2167"/>
      <c r="I93" s="2112"/>
      <c r="J93" s="2089">
        <v>64</v>
      </c>
      <c r="K93" s="2089" t="s">
        <v>427</v>
      </c>
      <c r="L93" s="2105" t="s">
        <v>428</v>
      </c>
      <c r="M93" s="2108">
        <v>1</v>
      </c>
      <c r="N93" s="403"/>
      <c r="O93" s="2106"/>
      <c r="P93" s="2106"/>
      <c r="Q93" s="2083">
        <f>+V93/R78*100</f>
        <v>0.29451532402671421</v>
      </c>
      <c r="R93" s="2141"/>
      <c r="S93" s="2106"/>
      <c r="T93" s="2105" t="s">
        <v>405</v>
      </c>
      <c r="U93" s="415" t="s">
        <v>380</v>
      </c>
      <c r="V93" s="2101">
        <v>30000000</v>
      </c>
      <c r="W93" s="2153"/>
      <c r="X93" s="422" t="s">
        <v>412</v>
      </c>
      <c r="Y93" s="2157"/>
      <c r="Z93" s="2157"/>
      <c r="AA93" s="2157"/>
      <c r="AB93" s="2157"/>
      <c r="AC93" s="2157"/>
      <c r="AD93" s="2157"/>
      <c r="AE93" s="2157"/>
      <c r="AF93" s="2157"/>
      <c r="AG93" s="2157"/>
      <c r="AH93" s="2157"/>
      <c r="AI93" s="2157"/>
      <c r="AJ93" s="2157"/>
      <c r="AK93" s="2159"/>
      <c r="AL93" s="2159" t="s">
        <v>429</v>
      </c>
      <c r="AM93" s="2157"/>
    </row>
    <row r="94" spans="1:383" s="424" customFormat="1" ht="64.5" customHeight="1" x14ac:dyDescent="0.2">
      <c r="A94" s="2110"/>
      <c r="B94" s="2148"/>
      <c r="C94" s="2132"/>
      <c r="D94" s="2110"/>
      <c r="E94" s="2148"/>
      <c r="F94" s="2132"/>
      <c r="G94" s="2110"/>
      <c r="H94" s="2168"/>
      <c r="I94" s="2117"/>
      <c r="J94" s="2091"/>
      <c r="K94" s="2091"/>
      <c r="L94" s="2107"/>
      <c r="M94" s="2110"/>
      <c r="N94" s="425"/>
      <c r="O94" s="2107"/>
      <c r="P94" s="2107"/>
      <c r="Q94" s="2085"/>
      <c r="R94" s="2142"/>
      <c r="S94" s="2107"/>
      <c r="T94" s="2107"/>
      <c r="U94" s="415" t="s">
        <v>385</v>
      </c>
      <c r="V94" s="2101"/>
      <c r="W94" s="2170"/>
      <c r="X94" s="422" t="s">
        <v>412</v>
      </c>
      <c r="Y94" s="2172"/>
      <c r="Z94" s="2172"/>
      <c r="AA94" s="2172"/>
      <c r="AB94" s="2172"/>
      <c r="AC94" s="2172"/>
      <c r="AD94" s="2172"/>
      <c r="AE94" s="2172"/>
      <c r="AF94" s="2172"/>
      <c r="AG94" s="2172"/>
      <c r="AH94" s="2172"/>
      <c r="AI94" s="2172"/>
      <c r="AJ94" s="2172"/>
      <c r="AK94" s="2173"/>
      <c r="AL94" s="2173"/>
      <c r="AM94" s="2172"/>
    </row>
    <row r="95" spans="1:383" s="424" customFormat="1" ht="31.5" customHeight="1" x14ac:dyDescent="0.2">
      <c r="A95" s="365"/>
      <c r="B95" s="365"/>
      <c r="C95" s="365"/>
      <c r="D95" s="365"/>
      <c r="E95" s="365"/>
      <c r="F95" s="365"/>
      <c r="G95" s="365"/>
      <c r="H95" s="370"/>
      <c r="I95" s="370"/>
      <c r="J95" s="426"/>
      <c r="K95" s="426"/>
      <c r="L95" s="370"/>
      <c r="M95" s="370"/>
      <c r="N95" s="370"/>
      <c r="O95" s="370"/>
      <c r="P95" s="370"/>
      <c r="Q95" s="370"/>
      <c r="R95" s="427">
        <f>SUM(R12:R94)</f>
        <v>14469840704</v>
      </c>
      <c r="S95" s="428"/>
      <c r="T95" s="370"/>
      <c r="U95" s="370"/>
      <c r="V95" s="429">
        <f>SUM(V12:V94)</f>
        <v>14469840704</v>
      </c>
      <c r="W95" s="430"/>
      <c r="X95" s="431"/>
      <c r="Y95" s="428"/>
      <c r="Z95" s="432"/>
      <c r="AA95" s="370"/>
      <c r="AB95" s="433"/>
      <c r="AC95" s="433"/>
      <c r="AD95" s="434"/>
      <c r="AE95" s="433"/>
      <c r="AF95" s="433"/>
      <c r="AG95" s="433"/>
      <c r="AH95" s="433"/>
      <c r="AI95" s="433"/>
      <c r="AJ95" s="433"/>
      <c r="AK95" s="433"/>
      <c r="AL95" s="435"/>
    </row>
    <row r="96" spans="1:383" ht="27" customHeight="1" x14ac:dyDescent="0.2">
      <c r="A96" s="340"/>
      <c r="B96" s="340"/>
      <c r="C96" s="340"/>
      <c r="D96" s="340"/>
      <c r="E96" s="340"/>
      <c r="F96" s="340"/>
      <c r="G96" s="340"/>
      <c r="H96" s="436"/>
      <c r="I96" s="436"/>
      <c r="J96" s="436"/>
      <c r="V96" s="440">
        <v>14469840703.74</v>
      </c>
      <c r="Y96" s="381"/>
      <c r="Z96" s="381"/>
      <c r="AA96" s="381"/>
      <c r="AB96" s="381"/>
      <c r="AC96" s="381"/>
      <c r="AD96" s="381"/>
      <c r="AE96" s="381"/>
      <c r="AF96" s="381"/>
      <c r="AG96" s="381"/>
      <c r="AH96" s="381"/>
      <c r="AI96" s="381"/>
      <c r="AJ96" s="381"/>
      <c r="AK96" s="443"/>
      <c r="AL96" s="435"/>
    </row>
    <row r="97" spans="1:38" ht="27" customHeight="1" x14ac:dyDescent="0.25">
      <c r="A97" s="444"/>
      <c r="B97" s="444" t="s">
        <v>430</v>
      </c>
      <c r="C97" s="444"/>
      <c r="D97" s="444"/>
      <c r="E97" s="444"/>
      <c r="F97" s="340"/>
      <c r="G97" s="340"/>
      <c r="H97" s="436"/>
      <c r="I97" s="436"/>
      <c r="J97" s="436"/>
      <c r="Y97" s="381"/>
      <c r="Z97" s="381"/>
      <c r="AA97" s="381"/>
      <c r="AB97" s="381"/>
      <c r="AC97" s="381"/>
      <c r="AD97" s="381"/>
      <c r="AE97" s="381"/>
      <c r="AF97" s="381"/>
      <c r="AG97" s="381"/>
      <c r="AH97" s="381"/>
      <c r="AI97" s="381"/>
      <c r="AJ97" s="381"/>
      <c r="AK97" s="443"/>
      <c r="AL97" s="435"/>
    </row>
    <row r="98" spans="1:38" ht="19.5" customHeight="1" x14ac:dyDescent="0.25">
      <c r="A98" s="444"/>
      <c r="B98" s="444" t="s">
        <v>431</v>
      </c>
      <c r="C98" s="444"/>
      <c r="D98" s="444"/>
      <c r="E98" s="444"/>
      <c r="F98" s="340"/>
      <c r="G98" s="340"/>
      <c r="H98" s="436"/>
      <c r="I98" s="436"/>
      <c r="J98" s="436"/>
      <c r="Y98" s="381"/>
      <c r="Z98" s="381"/>
      <c r="AA98" s="381"/>
      <c r="AB98" s="381"/>
      <c r="AC98" s="381"/>
      <c r="AD98" s="381"/>
      <c r="AE98" s="381"/>
      <c r="AF98" s="381"/>
      <c r="AG98" s="381"/>
      <c r="AH98" s="381"/>
      <c r="AI98" s="381"/>
      <c r="AJ98" s="381"/>
      <c r="AK98" s="381"/>
      <c r="AL98" s="443"/>
    </row>
    <row r="99" spans="1:38" ht="27" customHeight="1" x14ac:dyDescent="0.25">
      <c r="A99" s="444"/>
      <c r="B99" s="444"/>
      <c r="C99" s="444"/>
      <c r="D99" s="444"/>
      <c r="E99" s="444"/>
      <c r="F99" s="340"/>
      <c r="G99" s="340"/>
      <c r="H99" s="436"/>
      <c r="I99" s="436"/>
      <c r="J99" s="436"/>
      <c r="Y99" s="381"/>
      <c r="Z99" s="381"/>
      <c r="AA99" s="381"/>
      <c r="AB99" s="381"/>
      <c r="AC99" s="381"/>
      <c r="AD99" s="381"/>
      <c r="AE99" s="381"/>
      <c r="AF99" s="381"/>
      <c r="AG99" s="381"/>
      <c r="AH99" s="381"/>
      <c r="AI99" s="381"/>
      <c r="AJ99" s="381"/>
      <c r="AK99" s="381"/>
      <c r="AL99" s="443"/>
    </row>
    <row r="100" spans="1:38" ht="27" customHeight="1" x14ac:dyDescent="0.2">
      <c r="A100" s="340"/>
      <c r="B100" s="340"/>
      <c r="C100" s="340"/>
      <c r="D100" s="340"/>
      <c r="E100" s="340"/>
      <c r="F100" s="340"/>
      <c r="G100" s="340"/>
      <c r="H100" s="436"/>
      <c r="I100" s="436"/>
      <c r="J100" s="436"/>
      <c r="Y100" s="381"/>
      <c r="Z100" s="381"/>
      <c r="AA100" s="381"/>
      <c r="AB100" s="381"/>
      <c r="AC100" s="381"/>
      <c r="AD100" s="381"/>
      <c r="AE100" s="381"/>
      <c r="AF100" s="381"/>
      <c r="AG100" s="381"/>
      <c r="AH100" s="381"/>
      <c r="AI100" s="381"/>
      <c r="AJ100" s="381"/>
      <c r="AK100" s="381"/>
      <c r="AL100" s="381"/>
    </row>
    <row r="101" spans="1:38" ht="27" customHeight="1" x14ac:dyDescent="0.2">
      <c r="A101" s="340"/>
      <c r="B101" s="340"/>
      <c r="C101" s="340"/>
      <c r="D101" s="340"/>
      <c r="E101" s="340"/>
      <c r="F101" s="340"/>
      <c r="G101" s="340"/>
      <c r="H101" s="436"/>
      <c r="I101" s="436"/>
      <c r="J101" s="436"/>
      <c r="Y101" s="381"/>
      <c r="Z101" s="381"/>
      <c r="AA101" s="381"/>
      <c r="AB101" s="381"/>
      <c r="AC101" s="381"/>
      <c r="AD101" s="381"/>
      <c r="AE101" s="381"/>
      <c r="AF101" s="381"/>
      <c r="AG101" s="381"/>
      <c r="AH101" s="381"/>
      <c r="AI101" s="381"/>
      <c r="AJ101" s="381"/>
      <c r="AK101" s="381"/>
      <c r="AL101" s="381"/>
    </row>
    <row r="102" spans="1:38" ht="27" customHeight="1" x14ac:dyDescent="0.2">
      <c r="A102" s="340"/>
      <c r="B102" s="340"/>
      <c r="C102" s="340"/>
      <c r="D102" s="340"/>
      <c r="E102" s="340"/>
      <c r="F102" s="340"/>
      <c r="G102" s="340"/>
      <c r="H102" s="436"/>
      <c r="I102" s="436"/>
      <c r="J102" s="436"/>
      <c r="Y102" s="381"/>
      <c r="Z102" s="381"/>
      <c r="AA102" s="381"/>
      <c r="AB102" s="381"/>
      <c r="AC102" s="381"/>
      <c r="AD102" s="381"/>
      <c r="AE102" s="381"/>
      <c r="AF102" s="381"/>
      <c r="AG102" s="381"/>
      <c r="AH102" s="381"/>
      <c r="AI102" s="381"/>
      <c r="AJ102" s="381"/>
      <c r="AK102" s="381"/>
      <c r="AL102" s="381"/>
    </row>
    <row r="103" spans="1:38" ht="27" customHeight="1" x14ac:dyDescent="0.2">
      <c r="A103" s="340"/>
      <c r="B103" s="340"/>
      <c r="C103" s="340"/>
      <c r="D103" s="340"/>
      <c r="E103" s="340"/>
      <c r="F103" s="340"/>
      <c r="G103" s="340"/>
      <c r="H103" s="436"/>
      <c r="I103" s="436"/>
      <c r="J103" s="436"/>
      <c r="Y103" s="381"/>
      <c r="Z103" s="381"/>
      <c r="AA103" s="381"/>
      <c r="AB103" s="381"/>
      <c r="AC103" s="381"/>
      <c r="AD103" s="381"/>
      <c r="AE103" s="381"/>
      <c r="AF103" s="381"/>
      <c r="AG103" s="381"/>
      <c r="AH103" s="381"/>
      <c r="AI103" s="381"/>
      <c r="AJ103" s="381"/>
      <c r="AK103" s="381"/>
      <c r="AL103" s="381"/>
    </row>
    <row r="104" spans="1:38" ht="27" customHeight="1" x14ac:dyDescent="0.2">
      <c r="A104" s="340"/>
      <c r="B104" s="340"/>
      <c r="C104" s="340"/>
      <c r="D104" s="340"/>
      <c r="E104" s="340"/>
      <c r="F104" s="340"/>
      <c r="G104" s="340"/>
      <c r="H104" s="436"/>
      <c r="I104" s="436"/>
      <c r="J104" s="436"/>
      <c r="Y104" s="381"/>
      <c r="Z104" s="381"/>
      <c r="AA104" s="381"/>
      <c r="AB104" s="381"/>
      <c r="AC104" s="381"/>
      <c r="AD104" s="381"/>
      <c r="AE104" s="381"/>
      <c r="AF104" s="381"/>
      <c r="AG104" s="381"/>
      <c r="AH104" s="381"/>
      <c r="AI104" s="381"/>
      <c r="AJ104" s="381"/>
      <c r="AK104" s="381"/>
      <c r="AL104" s="381"/>
    </row>
    <row r="105" spans="1:38" ht="27" customHeight="1" x14ac:dyDescent="0.2">
      <c r="A105" s="340"/>
      <c r="B105" s="340"/>
      <c r="C105" s="340"/>
      <c r="D105" s="340"/>
      <c r="E105" s="340"/>
      <c r="F105" s="340"/>
      <c r="G105" s="340"/>
      <c r="H105" s="436"/>
      <c r="I105" s="436"/>
      <c r="J105" s="436"/>
      <c r="Y105" s="381"/>
      <c r="Z105" s="381"/>
      <c r="AA105" s="381"/>
      <c r="AB105" s="381"/>
      <c r="AC105" s="381"/>
      <c r="AD105" s="381"/>
      <c r="AE105" s="381"/>
      <c r="AF105" s="381"/>
      <c r="AG105" s="381"/>
      <c r="AH105" s="381"/>
      <c r="AI105" s="381"/>
      <c r="AJ105" s="381"/>
      <c r="AK105" s="381"/>
      <c r="AL105" s="381"/>
    </row>
    <row r="106" spans="1:38" ht="27" customHeight="1" x14ac:dyDescent="0.2">
      <c r="A106" s="340"/>
      <c r="B106" s="340"/>
      <c r="C106" s="340"/>
      <c r="D106" s="340"/>
      <c r="E106" s="340"/>
      <c r="F106" s="340"/>
      <c r="G106" s="340"/>
      <c r="H106" s="436"/>
      <c r="I106" s="436"/>
      <c r="J106" s="436"/>
      <c r="Y106" s="381"/>
      <c r="Z106" s="381"/>
      <c r="AA106" s="381"/>
      <c r="AB106" s="381"/>
      <c r="AC106" s="381"/>
      <c r="AD106" s="381"/>
      <c r="AE106" s="381"/>
      <c r="AF106" s="381"/>
      <c r="AG106" s="381"/>
      <c r="AH106" s="381"/>
      <c r="AI106" s="381"/>
      <c r="AJ106" s="381"/>
      <c r="AK106" s="381"/>
      <c r="AL106" s="381"/>
    </row>
    <row r="107" spans="1:38" ht="27" customHeight="1" x14ac:dyDescent="0.2">
      <c r="A107" s="437"/>
      <c r="B107" s="437"/>
      <c r="C107" s="437"/>
      <c r="D107" s="437"/>
      <c r="E107" s="437"/>
      <c r="F107" s="437"/>
      <c r="G107" s="437"/>
      <c r="H107" s="437"/>
      <c r="I107" s="437"/>
      <c r="J107" s="437"/>
      <c r="Y107" s="381"/>
      <c r="Z107" s="381"/>
      <c r="AA107" s="381"/>
      <c r="AB107" s="381"/>
      <c r="AC107" s="381"/>
      <c r="AD107" s="381"/>
      <c r="AE107" s="381"/>
      <c r="AF107" s="381"/>
      <c r="AG107" s="381"/>
      <c r="AH107" s="381"/>
      <c r="AI107" s="381"/>
      <c r="AJ107" s="381"/>
      <c r="AK107" s="381"/>
      <c r="AL107" s="381"/>
    </row>
    <row r="108" spans="1:38" ht="27" customHeight="1" x14ac:dyDescent="0.2">
      <c r="A108" s="437"/>
      <c r="B108" s="437"/>
      <c r="C108" s="437"/>
      <c r="D108" s="437"/>
      <c r="E108" s="437"/>
      <c r="F108" s="437"/>
      <c r="G108" s="437"/>
      <c r="H108" s="437"/>
      <c r="I108" s="437"/>
      <c r="J108" s="437"/>
      <c r="Y108" s="381"/>
      <c r="Z108" s="381"/>
      <c r="AA108" s="381"/>
      <c r="AB108" s="381"/>
      <c r="AC108" s="381"/>
      <c r="AD108" s="381"/>
      <c r="AE108" s="381"/>
      <c r="AF108" s="381"/>
      <c r="AG108" s="381"/>
      <c r="AH108" s="381"/>
      <c r="AI108" s="381"/>
      <c r="AJ108" s="381"/>
      <c r="AK108" s="381"/>
      <c r="AL108" s="381"/>
    </row>
    <row r="109" spans="1:38" ht="27" customHeight="1" x14ac:dyDescent="0.2">
      <c r="A109" s="437"/>
      <c r="B109" s="437"/>
      <c r="C109" s="437"/>
      <c r="D109" s="437"/>
      <c r="E109" s="437"/>
      <c r="F109" s="437"/>
      <c r="G109" s="437"/>
      <c r="H109" s="437"/>
      <c r="I109" s="437"/>
      <c r="J109" s="437"/>
      <c r="Y109" s="381"/>
      <c r="Z109" s="381"/>
      <c r="AA109" s="381"/>
      <c r="AB109" s="381"/>
      <c r="AC109" s="381"/>
      <c r="AD109" s="381"/>
      <c r="AE109" s="381"/>
      <c r="AF109" s="381"/>
      <c r="AG109" s="381"/>
      <c r="AH109" s="381"/>
      <c r="AI109" s="381"/>
      <c r="AJ109" s="381"/>
      <c r="AK109" s="381"/>
      <c r="AL109" s="381"/>
    </row>
    <row r="110" spans="1:38" ht="27" customHeight="1" x14ac:dyDescent="0.2">
      <c r="A110" s="437"/>
      <c r="B110" s="437"/>
      <c r="C110" s="437"/>
      <c r="D110" s="437"/>
      <c r="E110" s="437"/>
      <c r="F110" s="437"/>
      <c r="G110" s="437"/>
      <c r="H110" s="437"/>
      <c r="I110" s="437"/>
      <c r="J110" s="437"/>
      <c r="Y110" s="381"/>
      <c r="Z110" s="381"/>
      <c r="AA110" s="381"/>
      <c r="AB110" s="381"/>
      <c r="AC110" s="381"/>
      <c r="AD110" s="381"/>
      <c r="AE110" s="381"/>
      <c r="AF110" s="381"/>
      <c r="AG110" s="381"/>
      <c r="AH110" s="381"/>
      <c r="AI110" s="381"/>
      <c r="AJ110" s="381"/>
      <c r="AK110" s="381"/>
      <c r="AL110" s="381"/>
    </row>
    <row r="111" spans="1:38" ht="27" customHeight="1" x14ac:dyDescent="0.2">
      <c r="A111" s="437"/>
      <c r="B111" s="437"/>
      <c r="C111" s="437"/>
      <c r="D111" s="437"/>
      <c r="E111" s="437"/>
      <c r="F111" s="437"/>
      <c r="G111" s="437"/>
      <c r="H111" s="437"/>
      <c r="I111" s="437"/>
      <c r="J111" s="437"/>
      <c r="Y111" s="381"/>
      <c r="Z111" s="381"/>
      <c r="AA111" s="381"/>
      <c r="AB111" s="381"/>
      <c r="AC111" s="381"/>
      <c r="AD111" s="381"/>
      <c r="AE111" s="381"/>
      <c r="AF111" s="381"/>
      <c r="AG111" s="381"/>
      <c r="AH111" s="381"/>
      <c r="AI111" s="381"/>
      <c r="AJ111" s="381"/>
      <c r="AK111" s="381"/>
      <c r="AL111" s="381"/>
    </row>
    <row r="112" spans="1:38" ht="27" customHeight="1" x14ac:dyDescent="0.2">
      <c r="A112" s="437"/>
      <c r="B112" s="437"/>
      <c r="C112" s="437"/>
      <c r="D112" s="437"/>
      <c r="E112" s="437"/>
      <c r="F112" s="437"/>
      <c r="G112" s="437"/>
      <c r="H112" s="437"/>
      <c r="I112" s="437"/>
      <c r="J112" s="437"/>
      <c r="Y112" s="381"/>
      <c r="Z112" s="381"/>
      <c r="AA112" s="381"/>
      <c r="AB112" s="381"/>
      <c r="AC112" s="381"/>
      <c r="AD112" s="381"/>
      <c r="AE112" s="381"/>
      <c r="AF112" s="381"/>
      <c r="AG112" s="381"/>
      <c r="AH112" s="381"/>
      <c r="AI112" s="381"/>
      <c r="AJ112" s="381"/>
      <c r="AK112" s="381"/>
      <c r="AL112" s="381"/>
    </row>
    <row r="113" spans="1:38" ht="27" customHeight="1" x14ac:dyDescent="0.2">
      <c r="A113" s="437"/>
      <c r="B113" s="437"/>
      <c r="C113" s="437"/>
      <c r="D113" s="437"/>
      <c r="E113" s="437"/>
      <c r="F113" s="437"/>
      <c r="G113" s="437"/>
      <c r="H113" s="437"/>
      <c r="I113" s="437"/>
      <c r="J113" s="437"/>
      <c r="Y113" s="381"/>
      <c r="Z113" s="381"/>
      <c r="AA113" s="381"/>
      <c r="AB113" s="381"/>
      <c r="AC113" s="381"/>
      <c r="AD113" s="381"/>
      <c r="AE113" s="381"/>
      <c r="AF113" s="381"/>
      <c r="AG113" s="381"/>
      <c r="AH113" s="381"/>
      <c r="AI113" s="381"/>
      <c r="AJ113" s="381"/>
      <c r="AK113" s="381"/>
      <c r="AL113" s="381"/>
    </row>
    <row r="114" spans="1:38" ht="27" customHeight="1" x14ac:dyDescent="0.2">
      <c r="A114" s="437"/>
      <c r="B114" s="437"/>
      <c r="C114" s="437"/>
      <c r="D114" s="437"/>
      <c r="E114" s="437"/>
      <c r="F114" s="437"/>
      <c r="G114" s="437"/>
      <c r="H114" s="437"/>
      <c r="I114" s="437"/>
      <c r="J114" s="437"/>
      <c r="Y114" s="381"/>
      <c r="Z114" s="381"/>
      <c r="AA114" s="381"/>
      <c r="AB114" s="381"/>
      <c r="AC114" s="381"/>
      <c r="AD114" s="381"/>
      <c r="AE114" s="381"/>
      <c r="AF114" s="381"/>
      <c r="AG114" s="381"/>
      <c r="AH114" s="381"/>
      <c r="AI114" s="381"/>
      <c r="AJ114" s="381"/>
      <c r="AK114" s="381"/>
      <c r="AL114" s="381"/>
    </row>
    <row r="115" spans="1:38" ht="27" customHeight="1" x14ac:dyDescent="0.2">
      <c r="A115" s="437"/>
      <c r="B115" s="437"/>
      <c r="C115" s="437"/>
      <c r="D115" s="437"/>
      <c r="E115" s="437"/>
      <c r="F115" s="437"/>
      <c r="G115" s="437"/>
      <c r="H115" s="437"/>
      <c r="I115" s="437"/>
      <c r="J115" s="437"/>
      <c r="Y115" s="381"/>
      <c r="Z115" s="381"/>
      <c r="AA115" s="381"/>
      <c r="AB115" s="381"/>
      <c r="AC115" s="381"/>
      <c r="AD115" s="381"/>
      <c r="AE115" s="381"/>
      <c r="AF115" s="381"/>
      <c r="AG115" s="381"/>
      <c r="AH115" s="381"/>
      <c r="AI115" s="381"/>
      <c r="AJ115" s="381"/>
      <c r="AK115" s="381"/>
      <c r="AL115" s="381"/>
    </row>
    <row r="116" spans="1:38" ht="27" customHeight="1" x14ac:dyDescent="0.2">
      <c r="A116" s="437"/>
      <c r="B116" s="437"/>
      <c r="C116" s="437"/>
      <c r="D116" s="437"/>
      <c r="E116" s="437"/>
      <c r="F116" s="437"/>
      <c r="G116" s="437"/>
      <c r="H116" s="437"/>
      <c r="I116" s="437"/>
      <c r="J116" s="437"/>
      <c r="Y116" s="381"/>
      <c r="Z116" s="381"/>
      <c r="AA116" s="381"/>
      <c r="AB116" s="381"/>
      <c r="AC116" s="381"/>
      <c r="AD116" s="381"/>
      <c r="AE116" s="381"/>
      <c r="AF116" s="381"/>
      <c r="AG116" s="381"/>
      <c r="AH116" s="381"/>
      <c r="AI116" s="381"/>
      <c r="AJ116" s="381"/>
      <c r="AK116" s="381"/>
      <c r="AL116" s="381"/>
    </row>
    <row r="117" spans="1:38" ht="27" customHeight="1" x14ac:dyDescent="0.2">
      <c r="A117" s="437"/>
      <c r="B117" s="437"/>
      <c r="C117" s="437"/>
      <c r="D117" s="437"/>
      <c r="E117" s="437"/>
      <c r="F117" s="437"/>
      <c r="G117" s="437"/>
      <c r="H117" s="437"/>
      <c r="I117" s="437"/>
      <c r="J117" s="437"/>
      <c r="Y117" s="381"/>
      <c r="Z117" s="381"/>
      <c r="AA117" s="381"/>
      <c r="AB117" s="381"/>
      <c r="AC117" s="381"/>
      <c r="AD117" s="381"/>
      <c r="AE117" s="381"/>
      <c r="AF117" s="381"/>
      <c r="AG117" s="381"/>
      <c r="AH117" s="381"/>
      <c r="AI117" s="381"/>
      <c r="AJ117" s="381"/>
      <c r="AK117" s="381"/>
      <c r="AL117" s="381"/>
    </row>
    <row r="118" spans="1:38" ht="27" customHeight="1" x14ac:dyDescent="0.2">
      <c r="A118" s="437"/>
      <c r="B118" s="437"/>
      <c r="C118" s="437"/>
      <c r="D118" s="437"/>
      <c r="E118" s="437"/>
      <c r="F118" s="437"/>
      <c r="G118" s="437"/>
      <c r="H118" s="437"/>
      <c r="I118" s="437"/>
      <c r="J118" s="437"/>
      <c r="Y118" s="381"/>
      <c r="Z118" s="381"/>
      <c r="AA118" s="381"/>
      <c r="AB118" s="381"/>
      <c r="AC118" s="381"/>
      <c r="AD118" s="381"/>
      <c r="AE118" s="381"/>
      <c r="AF118" s="381"/>
      <c r="AG118" s="381"/>
      <c r="AH118" s="381"/>
      <c r="AI118" s="381"/>
      <c r="AJ118" s="381"/>
      <c r="AK118" s="381"/>
      <c r="AL118" s="381"/>
    </row>
    <row r="119" spans="1:38" ht="27" customHeight="1" x14ac:dyDescent="0.2">
      <c r="A119" s="437"/>
      <c r="B119" s="437"/>
      <c r="C119" s="437"/>
      <c r="D119" s="437"/>
      <c r="E119" s="437"/>
      <c r="F119" s="437"/>
      <c r="G119" s="437"/>
      <c r="H119" s="437"/>
      <c r="I119" s="437"/>
      <c r="J119" s="437"/>
      <c r="Y119" s="381"/>
      <c r="Z119" s="381"/>
      <c r="AA119" s="381"/>
      <c r="AB119" s="381"/>
      <c r="AC119" s="381"/>
      <c r="AD119" s="381"/>
      <c r="AE119" s="381"/>
      <c r="AF119" s="381"/>
      <c r="AG119" s="381"/>
      <c r="AH119" s="381"/>
      <c r="AI119" s="381"/>
      <c r="AJ119" s="381"/>
      <c r="AK119" s="381"/>
      <c r="AL119" s="381"/>
    </row>
    <row r="120" spans="1:38" ht="27" customHeight="1" x14ac:dyDescent="0.2">
      <c r="A120" s="437"/>
      <c r="B120" s="437"/>
      <c r="C120" s="437"/>
      <c r="D120" s="437"/>
      <c r="E120" s="437"/>
      <c r="F120" s="437"/>
      <c r="G120" s="437"/>
      <c r="H120" s="437"/>
      <c r="I120" s="437"/>
      <c r="J120" s="437"/>
      <c r="Y120" s="381"/>
      <c r="Z120" s="381"/>
      <c r="AA120" s="381"/>
      <c r="AB120" s="381"/>
      <c r="AC120" s="381"/>
      <c r="AD120" s="381"/>
      <c r="AE120" s="381"/>
      <c r="AF120" s="381"/>
      <c r="AG120" s="381"/>
      <c r="AH120" s="381"/>
      <c r="AI120" s="381"/>
      <c r="AJ120" s="381"/>
      <c r="AK120" s="381"/>
      <c r="AL120" s="381"/>
    </row>
    <row r="121" spans="1:38" ht="27" customHeight="1" x14ac:dyDescent="0.2">
      <c r="A121" s="437"/>
      <c r="B121" s="437"/>
      <c r="C121" s="437"/>
      <c r="D121" s="437"/>
      <c r="E121" s="437"/>
      <c r="F121" s="437"/>
      <c r="G121" s="437"/>
      <c r="H121" s="437"/>
      <c r="I121" s="437"/>
      <c r="J121" s="437"/>
      <c r="Y121" s="381"/>
      <c r="Z121" s="381"/>
      <c r="AA121" s="381"/>
      <c r="AB121" s="381"/>
      <c r="AC121" s="381"/>
      <c r="AD121" s="381"/>
      <c r="AE121" s="381"/>
      <c r="AF121" s="381"/>
      <c r="AG121" s="381"/>
      <c r="AH121" s="381"/>
      <c r="AI121" s="381"/>
      <c r="AJ121" s="381"/>
      <c r="AK121" s="381"/>
      <c r="AL121" s="381"/>
    </row>
    <row r="122" spans="1:38" ht="27" customHeight="1" x14ac:dyDescent="0.2">
      <c r="A122" s="437"/>
      <c r="B122" s="437"/>
      <c r="C122" s="437"/>
      <c r="D122" s="437"/>
      <c r="E122" s="437"/>
      <c r="F122" s="437"/>
      <c r="G122" s="437"/>
      <c r="H122" s="437"/>
      <c r="I122" s="437"/>
      <c r="J122" s="437"/>
      <c r="Y122" s="381"/>
      <c r="Z122" s="381"/>
      <c r="AA122" s="381"/>
      <c r="AB122" s="381"/>
      <c r="AC122" s="381"/>
      <c r="AD122" s="381"/>
      <c r="AE122" s="381"/>
      <c r="AF122" s="381"/>
      <c r="AG122" s="381"/>
      <c r="AH122" s="381"/>
      <c r="AI122" s="381"/>
      <c r="AJ122" s="381"/>
      <c r="AK122" s="381"/>
      <c r="AL122" s="381"/>
    </row>
    <row r="123" spans="1:38" ht="27" customHeight="1" x14ac:dyDescent="0.2">
      <c r="A123" s="437"/>
      <c r="B123" s="437"/>
      <c r="C123" s="437"/>
      <c r="D123" s="437"/>
      <c r="E123" s="437"/>
      <c r="F123" s="437"/>
      <c r="G123" s="437"/>
      <c r="H123" s="437"/>
      <c r="I123" s="437"/>
      <c r="J123" s="437"/>
      <c r="Y123" s="381"/>
      <c r="Z123" s="381"/>
      <c r="AA123" s="381"/>
      <c r="AB123" s="381"/>
      <c r="AC123" s="381"/>
      <c r="AD123" s="381"/>
      <c r="AE123" s="381"/>
      <c r="AF123" s="381"/>
      <c r="AG123" s="381"/>
      <c r="AH123" s="381"/>
      <c r="AI123" s="381"/>
      <c r="AJ123" s="381"/>
      <c r="AK123" s="381"/>
      <c r="AL123" s="381"/>
    </row>
    <row r="124" spans="1:38" ht="27" customHeight="1" x14ac:dyDescent="0.2">
      <c r="A124" s="437"/>
      <c r="B124" s="437"/>
      <c r="C124" s="437"/>
      <c r="D124" s="437"/>
      <c r="E124" s="437"/>
      <c r="F124" s="437"/>
      <c r="G124" s="437"/>
      <c r="H124" s="437"/>
      <c r="I124" s="437"/>
      <c r="J124" s="437"/>
      <c r="Y124" s="381"/>
      <c r="Z124" s="381"/>
      <c r="AA124" s="381"/>
      <c r="AB124" s="381"/>
      <c r="AC124" s="381"/>
      <c r="AD124" s="381"/>
      <c r="AE124" s="381"/>
      <c r="AF124" s="381"/>
      <c r="AG124" s="381"/>
      <c r="AH124" s="381"/>
      <c r="AI124" s="381"/>
      <c r="AJ124" s="381"/>
      <c r="AK124" s="381"/>
      <c r="AL124" s="381"/>
    </row>
    <row r="125" spans="1:38" ht="27" customHeight="1" x14ac:dyDescent="0.2">
      <c r="A125" s="437"/>
      <c r="B125" s="437"/>
      <c r="C125" s="437"/>
      <c r="D125" s="437"/>
      <c r="E125" s="437"/>
      <c r="F125" s="437"/>
      <c r="G125" s="437"/>
      <c r="H125" s="437"/>
      <c r="I125" s="437"/>
      <c r="J125" s="437"/>
      <c r="Y125" s="381"/>
      <c r="Z125" s="381"/>
      <c r="AA125" s="381"/>
      <c r="AB125" s="381"/>
      <c r="AC125" s="381"/>
      <c r="AD125" s="381"/>
      <c r="AE125" s="381"/>
      <c r="AF125" s="381"/>
      <c r="AG125" s="381"/>
      <c r="AH125" s="381"/>
      <c r="AI125" s="381"/>
      <c r="AJ125" s="381"/>
      <c r="AK125" s="381"/>
      <c r="AL125" s="381"/>
    </row>
    <row r="126" spans="1:38" ht="27" customHeight="1" x14ac:dyDescent="0.2">
      <c r="A126" s="437"/>
      <c r="B126" s="437"/>
      <c r="C126" s="437"/>
      <c r="D126" s="437"/>
      <c r="E126" s="437"/>
      <c r="F126" s="437"/>
      <c r="G126" s="437"/>
      <c r="H126" s="437"/>
      <c r="I126" s="437"/>
      <c r="J126" s="437"/>
      <c r="Y126" s="381"/>
      <c r="Z126" s="381"/>
      <c r="AA126" s="381"/>
      <c r="AB126" s="381"/>
      <c r="AC126" s="381"/>
      <c r="AD126" s="381"/>
      <c r="AE126" s="381"/>
      <c r="AF126" s="381"/>
      <c r="AG126" s="381"/>
      <c r="AH126" s="381"/>
      <c r="AI126" s="381"/>
      <c r="AJ126" s="381"/>
      <c r="AK126" s="381"/>
      <c r="AL126" s="381"/>
    </row>
    <row r="127" spans="1:38" ht="27" customHeight="1" x14ac:dyDescent="0.2">
      <c r="A127" s="437"/>
      <c r="B127" s="437"/>
      <c r="C127" s="437"/>
      <c r="D127" s="437"/>
      <c r="E127" s="437"/>
      <c r="F127" s="437"/>
      <c r="G127" s="437"/>
      <c r="H127" s="437"/>
      <c r="I127" s="437"/>
      <c r="J127" s="437"/>
      <c r="Y127" s="381"/>
      <c r="Z127" s="381"/>
      <c r="AA127" s="381"/>
      <c r="AB127" s="381"/>
      <c r="AC127" s="381"/>
      <c r="AD127" s="381"/>
      <c r="AE127" s="381"/>
      <c r="AF127" s="381"/>
      <c r="AG127" s="381"/>
      <c r="AH127" s="381"/>
      <c r="AI127" s="381"/>
      <c r="AJ127" s="381"/>
      <c r="AK127" s="381"/>
      <c r="AL127" s="381"/>
    </row>
    <row r="128" spans="1:38" ht="27" customHeight="1" x14ac:dyDescent="0.2">
      <c r="A128" s="437"/>
      <c r="B128" s="437"/>
      <c r="C128" s="437"/>
      <c r="D128" s="437"/>
      <c r="E128" s="437"/>
      <c r="F128" s="437"/>
      <c r="G128" s="437"/>
      <c r="H128" s="437"/>
      <c r="I128" s="437"/>
      <c r="J128" s="437"/>
      <c r="Y128" s="381"/>
      <c r="Z128" s="381"/>
      <c r="AA128" s="381"/>
      <c r="AB128" s="381"/>
      <c r="AC128" s="381"/>
      <c r="AD128" s="381"/>
      <c r="AE128" s="381"/>
      <c r="AF128" s="381"/>
      <c r="AG128" s="381"/>
      <c r="AH128" s="381"/>
      <c r="AI128" s="381"/>
      <c r="AJ128" s="381"/>
      <c r="AK128" s="381"/>
      <c r="AL128" s="381"/>
    </row>
    <row r="129" spans="1:38" ht="27" customHeight="1" x14ac:dyDescent="0.2">
      <c r="A129" s="437"/>
      <c r="B129" s="437"/>
      <c r="C129" s="437"/>
      <c r="D129" s="437"/>
      <c r="E129" s="437"/>
      <c r="F129" s="437"/>
      <c r="G129" s="437"/>
      <c r="H129" s="437"/>
      <c r="I129" s="437"/>
      <c r="J129" s="437"/>
      <c r="Y129" s="381"/>
      <c r="Z129" s="381"/>
      <c r="AA129" s="381"/>
      <c r="AB129" s="381"/>
      <c r="AC129" s="381"/>
      <c r="AD129" s="381"/>
      <c r="AE129" s="381"/>
      <c r="AF129" s="381"/>
      <c r="AG129" s="381"/>
      <c r="AH129" s="381"/>
      <c r="AI129" s="381"/>
      <c r="AJ129" s="381"/>
      <c r="AK129" s="381"/>
      <c r="AL129" s="381"/>
    </row>
    <row r="130" spans="1:38" ht="27" customHeight="1" x14ac:dyDescent="0.2">
      <c r="A130" s="437"/>
      <c r="B130" s="437"/>
      <c r="C130" s="437"/>
      <c r="D130" s="437"/>
      <c r="E130" s="437"/>
      <c r="F130" s="437"/>
      <c r="G130" s="437"/>
      <c r="H130" s="437"/>
      <c r="I130" s="437"/>
      <c r="J130" s="437"/>
      <c r="Y130" s="381"/>
      <c r="Z130" s="381"/>
      <c r="AA130" s="381"/>
      <c r="AB130" s="381"/>
      <c r="AC130" s="381"/>
      <c r="AD130" s="381"/>
      <c r="AE130" s="381"/>
      <c r="AF130" s="381"/>
      <c r="AG130" s="381"/>
      <c r="AH130" s="381"/>
      <c r="AI130" s="381"/>
      <c r="AJ130" s="381"/>
      <c r="AK130" s="381"/>
      <c r="AL130" s="381"/>
    </row>
    <row r="131" spans="1:38" ht="27" customHeight="1" x14ac:dyDescent="0.2">
      <c r="A131" s="437"/>
      <c r="B131" s="437"/>
      <c r="C131" s="437"/>
      <c r="D131" s="437"/>
      <c r="E131" s="437"/>
      <c r="F131" s="437"/>
      <c r="G131" s="437"/>
      <c r="H131" s="437"/>
      <c r="I131" s="437"/>
      <c r="J131" s="437"/>
      <c r="Y131" s="381"/>
      <c r="Z131" s="381"/>
      <c r="AA131" s="381"/>
      <c r="AB131" s="381"/>
      <c r="AC131" s="381"/>
      <c r="AD131" s="381"/>
      <c r="AE131" s="381"/>
      <c r="AF131" s="381"/>
      <c r="AG131" s="381"/>
      <c r="AH131" s="381"/>
      <c r="AI131" s="381"/>
      <c r="AJ131" s="381"/>
      <c r="AK131" s="381"/>
      <c r="AL131" s="381"/>
    </row>
    <row r="132" spans="1:38" ht="27" customHeight="1" x14ac:dyDescent="0.2">
      <c r="A132" s="437"/>
      <c r="B132" s="437"/>
      <c r="C132" s="437"/>
      <c r="D132" s="437"/>
      <c r="E132" s="437"/>
      <c r="F132" s="437"/>
      <c r="G132" s="437"/>
      <c r="H132" s="437"/>
      <c r="I132" s="437"/>
      <c r="J132" s="437"/>
      <c r="Y132" s="381"/>
      <c r="Z132" s="381"/>
      <c r="AA132" s="381"/>
      <c r="AB132" s="381"/>
      <c r="AC132" s="381"/>
      <c r="AD132" s="381"/>
      <c r="AE132" s="381"/>
      <c r="AF132" s="381"/>
      <c r="AG132" s="381"/>
      <c r="AH132" s="381"/>
      <c r="AI132" s="381"/>
      <c r="AJ132" s="381"/>
      <c r="AK132" s="381"/>
      <c r="AL132" s="381"/>
    </row>
    <row r="133" spans="1:38" ht="27" customHeight="1" x14ac:dyDescent="0.2">
      <c r="A133" s="437"/>
      <c r="B133" s="437"/>
      <c r="C133" s="437"/>
      <c r="D133" s="437"/>
      <c r="E133" s="437"/>
      <c r="F133" s="437"/>
      <c r="G133" s="437"/>
      <c r="H133" s="437"/>
      <c r="I133" s="437"/>
      <c r="J133" s="437"/>
      <c r="Y133" s="381"/>
      <c r="Z133" s="381"/>
      <c r="AA133" s="381"/>
      <c r="AB133" s="381"/>
      <c r="AC133" s="381"/>
      <c r="AD133" s="381"/>
      <c r="AE133" s="381"/>
      <c r="AF133" s="381"/>
      <c r="AG133" s="381"/>
      <c r="AH133" s="381"/>
      <c r="AI133" s="381"/>
      <c r="AJ133" s="381"/>
      <c r="AK133" s="381"/>
      <c r="AL133" s="381"/>
    </row>
    <row r="134" spans="1:38" ht="27" customHeight="1" x14ac:dyDescent="0.2">
      <c r="A134" s="437"/>
      <c r="B134" s="437"/>
      <c r="C134" s="437"/>
      <c r="D134" s="437"/>
      <c r="E134" s="437"/>
      <c r="F134" s="437"/>
      <c r="G134" s="437"/>
      <c r="H134" s="437"/>
      <c r="I134" s="437"/>
      <c r="J134" s="437"/>
      <c r="Y134" s="381"/>
      <c r="Z134" s="381"/>
      <c r="AA134" s="381"/>
      <c r="AB134" s="381"/>
      <c r="AC134" s="381"/>
      <c r="AD134" s="381"/>
      <c r="AE134" s="381"/>
      <c r="AF134" s="381"/>
      <c r="AG134" s="381"/>
      <c r="AH134" s="381"/>
      <c r="AI134" s="381"/>
      <c r="AJ134" s="381"/>
      <c r="AK134" s="381"/>
      <c r="AL134" s="381"/>
    </row>
    <row r="135" spans="1:38" ht="27" customHeight="1" x14ac:dyDescent="0.2">
      <c r="A135" s="437"/>
      <c r="B135" s="437"/>
      <c r="C135" s="437"/>
      <c r="D135" s="437"/>
      <c r="E135" s="437"/>
      <c r="F135" s="437"/>
      <c r="G135" s="437"/>
      <c r="H135" s="437"/>
      <c r="I135" s="437"/>
      <c r="J135" s="437"/>
      <c r="Y135" s="381"/>
      <c r="Z135" s="381"/>
      <c r="AA135" s="381"/>
      <c r="AB135" s="381"/>
      <c r="AC135" s="381"/>
      <c r="AD135" s="381"/>
      <c r="AE135" s="381"/>
      <c r="AF135" s="381"/>
      <c r="AG135" s="381"/>
      <c r="AH135" s="381"/>
      <c r="AI135" s="381"/>
      <c r="AJ135" s="381"/>
      <c r="AK135" s="381"/>
      <c r="AL135" s="381"/>
    </row>
    <row r="136" spans="1:38" ht="27" customHeight="1" x14ac:dyDescent="0.2">
      <c r="A136" s="437"/>
      <c r="B136" s="437"/>
      <c r="C136" s="437"/>
      <c r="D136" s="437"/>
      <c r="E136" s="437"/>
      <c r="F136" s="437"/>
      <c r="G136" s="437"/>
      <c r="H136" s="437"/>
      <c r="I136" s="437"/>
      <c r="J136" s="437"/>
      <c r="Y136" s="381"/>
      <c r="Z136" s="381"/>
      <c r="AA136" s="381"/>
      <c r="AB136" s="381"/>
      <c r="AC136" s="381"/>
      <c r="AD136" s="381"/>
      <c r="AE136" s="381"/>
      <c r="AF136" s="381"/>
      <c r="AG136" s="381"/>
      <c r="AH136" s="381"/>
      <c r="AI136" s="381"/>
      <c r="AJ136" s="381"/>
      <c r="AK136" s="381"/>
      <c r="AL136" s="381"/>
    </row>
    <row r="137" spans="1:38" ht="27" customHeight="1" x14ac:dyDescent="0.2">
      <c r="A137" s="437"/>
      <c r="B137" s="437"/>
      <c r="C137" s="437"/>
      <c r="D137" s="437"/>
      <c r="E137" s="437"/>
      <c r="F137" s="437"/>
      <c r="G137" s="437"/>
      <c r="H137" s="437"/>
      <c r="I137" s="437"/>
      <c r="J137" s="437"/>
      <c r="Y137" s="381"/>
      <c r="Z137" s="381"/>
      <c r="AA137" s="381"/>
      <c r="AB137" s="381"/>
      <c r="AC137" s="381"/>
      <c r="AD137" s="381"/>
      <c r="AE137" s="381"/>
      <c r="AF137" s="381"/>
      <c r="AG137" s="381"/>
      <c r="AH137" s="381"/>
      <c r="AI137" s="381"/>
      <c r="AJ137" s="381"/>
      <c r="AK137" s="381"/>
      <c r="AL137" s="381"/>
    </row>
    <row r="138" spans="1:38" ht="27" customHeight="1" x14ac:dyDescent="0.2">
      <c r="A138" s="437"/>
      <c r="B138" s="437"/>
      <c r="C138" s="437"/>
      <c r="D138" s="437"/>
      <c r="E138" s="437"/>
      <c r="F138" s="437"/>
      <c r="G138" s="437"/>
      <c r="H138" s="437"/>
      <c r="I138" s="437"/>
      <c r="J138" s="437"/>
      <c r="Y138" s="381"/>
      <c r="Z138" s="381"/>
      <c r="AA138" s="381"/>
      <c r="AB138" s="381"/>
      <c r="AC138" s="381"/>
      <c r="AD138" s="381"/>
      <c r="AE138" s="381"/>
      <c r="AF138" s="381"/>
      <c r="AG138" s="381"/>
      <c r="AH138" s="381"/>
      <c r="AI138" s="381"/>
      <c r="AJ138" s="381"/>
      <c r="AK138" s="381"/>
      <c r="AL138" s="381"/>
    </row>
    <row r="139" spans="1:38" ht="27" customHeight="1" x14ac:dyDescent="0.2">
      <c r="A139" s="437"/>
      <c r="B139" s="437"/>
      <c r="C139" s="437"/>
      <c r="D139" s="437"/>
      <c r="E139" s="437"/>
      <c r="F139" s="437"/>
      <c r="G139" s="437"/>
      <c r="H139" s="437"/>
      <c r="I139" s="437"/>
      <c r="J139" s="437"/>
      <c r="Y139" s="381"/>
      <c r="Z139" s="381"/>
      <c r="AA139" s="381"/>
      <c r="AB139" s="381"/>
      <c r="AC139" s="381"/>
      <c r="AD139" s="381"/>
      <c r="AE139" s="381"/>
      <c r="AF139" s="381"/>
      <c r="AG139" s="381"/>
      <c r="AH139" s="381"/>
      <c r="AI139" s="381"/>
      <c r="AJ139" s="381"/>
      <c r="AK139" s="381"/>
      <c r="AL139" s="381"/>
    </row>
    <row r="140" spans="1:38" ht="27" customHeight="1" x14ac:dyDescent="0.2">
      <c r="A140" s="437"/>
      <c r="B140" s="437"/>
      <c r="C140" s="437"/>
      <c r="D140" s="437"/>
      <c r="E140" s="437"/>
      <c r="F140" s="437"/>
      <c r="G140" s="437"/>
      <c r="H140" s="437"/>
      <c r="I140" s="437"/>
      <c r="J140" s="437"/>
      <c r="Y140" s="381"/>
      <c r="Z140" s="381"/>
      <c r="AA140" s="381"/>
      <c r="AB140" s="381"/>
      <c r="AC140" s="381"/>
      <c r="AD140" s="381"/>
      <c r="AE140" s="381"/>
      <c r="AF140" s="381"/>
      <c r="AG140" s="381"/>
      <c r="AH140" s="381"/>
      <c r="AI140" s="381"/>
      <c r="AJ140" s="381"/>
      <c r="AK140" s="381"/>
      <c r="AL140" s="381"/>
    </row>
    <row r="141" spans="1:38" ht="27" customHeight="1" x14ac:dyDescent="0.2">
      <c r="A141" s="437"/>
      <c r="B141" s="437"/>
      <c r="C141" s="437"/>
      <c r="D141" s="437"/>
      <c r="E141" s="437"/>
      <c r="F141" s="437"/>
      <c r="G141" s="437"/>
      <c r="H141" s="437"/>
      <c r="I141" s="437"/>
      <c r="J141" s="437"/>
      <c r="Y141" s="381"/>
      <c r="Z141" s="381"/>
      <c r="AA141" s="381"/>
      <c r="AB141" s="381"/>
      <c r="AC141" s="381"/>
      <c r="AD141" s="381"/>
      <c r="AE141" s="381"/>
      <c r="AF141" s="381"/>
      <c r="AG141" s="381"/>
      <c r="AH141" s="381"/>
      <c r="AI141" s="381"/>
      <c r="AJ141" s="381"/>
      <c r="AK141" s="381"/>
      <c r="AL141" s="381"/>
    </row>
    <row r="142" spans="1:38" ht="27" customHeight="1" x14ac:dyDescent="0.2">
      <c r="A142" s="437"/>
      <c r="B142" s="437"/>
      <c r="C142" s="437"/>
      <c r="D142" s="437"/>
      <c r="E142" s="437"/>
      <c r="F142" s="437"/>
      <c r="G142" s="437"/>
      <c r="H142" s="437"/>
      <c r="I142" s="437"/>
      <c r="J142" s="437"/>
      <c r="Y142" s="381"/>
      <c r="Z142" s="381"/>
      <c r="AA142" s="381"/>
      <c r="AB142" s="381"/>
      <c r="AC142" s="381"/>
      <c r="AD142" s="381"/>
      <c r="AE142" s="381"/>
      <c r="AF142" s="381"/>
      <c r="AG142" s="381"/>
      <c r="AH142" s="381"/>
      <c r="AI142" s="381"/>
      <c r="AJ142" s="381"/>
      <c r="AK142" s="381"/>
      <c r="AL142" s="381"/>
    </row>
    <row r="143" spans="1:38" ht="27" customHeight="1" x14ac:dyDescent="0.2">
      <c r="A143" s="437"/>
      <c r="B143" s="437"/>
      <c r="C143" s="437"/>
      <c r="D143" s="437"/>
      <c r="E143" s="437"/>
      <c r="F143" s="437"/>
      <c r="G143" s="437"/>
      <c r="H143" s="437"/>
      <c r="I143" s="437"/>
      <c r="J143" s="437"/>
      <c r="Y143" s="381"/>
      <c r="Z143" s="381"/>
      <c r="AA143" s="381"/>
      <c r="AB143" s="381"/>
      <c r="AC143" s="381"/>
      <c r="AD143" s="381"/>
      <c r="AE143" s="381"/>
      <c r="AF143" s="381"/>
      <c r="AG143" s="381"/>
      <c r="AH143" s="381"/>
      <c r="AI143" s="381"/>
      <c r="AJ143" s="381"/>
      <c r="AK143" s="381"/>
      <c r="AL143" s="381"/>
    </row>
    <row r="144" spans="1:38" ht="27" customHeight="1" x14ac:dyDescent="0.2">
      <c r="A144" s="437"/>
      <c r="B144" s="437"/>
      <c r="C144" s="437"/>
      <c r="D144" s="437"/>
      <c r="E144" s="437"/>
      <c r="F144" s="437"/>
      <c r="G144" s="437"/>
      <c r="H144" s="437"/>
      <c r="I144" s="437"/>
      <c r="J144" s="437"/>
      <c r="Y144" s="381"/>
      <c r="Z144" s="381"/>
      <c r="AA144" s="381"/>
      <c r="AB144" s="381"/>
      <c r="AC144" s="381"/>
      <c r="AD144" s="381"/>
      <c r="AE144" s="381"/>
      <c r="AF144" s="381"/>
      <c r="AG144" s="381"/>
      <c r="AH144" s="381"/>
      <c r="AI144" s="381"/>
      <c r="AJ144" s="381"/>
      <c r="AK144" s="381"/>
      <c r="AL144" s="381"/>
    </row>
    <row r="145" spans="1:38" ht="27" customHeight="1" x14ac:dyDescent="0.2">
      <c r="A145" s="437"/>
      <c r="B145" s="437"/>
      <c r="C145" s="437"/>
      <c r="D145" s="437"/>
      <c r="E145" s="437"/>
      <c r="F145" s="437"/>
      <c r="G145" s="437"/>
      <c r="H145" s="437"/>
      <c r="I145" s="437"/>
      <c r="J145" s="437"/>
      <c r="Y145" s="381"/>
      <c r="Z145" s="381"/>
      <c r="AA145" s="381"/>
      <c r="AB145" s="381"/>
      <c r="AC145" s="381"/>
      <c r="AD145" s="381"/>
      <c r="AE145" s="381"/>
      <c r="AF145" s="381"/>
      <c r="AG145" s="381"/>
      <c r="AH145" s="381"/>
      <c r="AI145" s="381"/>
      <c r="AJ145" s="381"/>
      <c r="AK145" s="381"/>
      <c r="AL145" s="381"/>
    </row>
    <row r="146" spans="1:38" ht="27" customHeight="1" x14ac:dyDescent="0.2">
      <c r="A146" s="437"/>
      <c r="B146" s="437"/>
      <c r="C146" s="437"/>
      <c r="D146" s="437"/>
      <c r="E146" s="437"/>
      <c r="F146" s="437"/>
      <c r="G146" s="437"/>
      <c r="H146" s="437"/>
      <c r="I146" s="437"/>
      <c r="J146" s="437"/>
      <c r="Y146" s="381"/>
      <c r="Z146" s="381"/>
      <c r="AA146" s="381"/>
      <c r="AB146" s="381"/>
      <c r="AC146" s="381"/>
      <c r="AD146" s="381"/>
      <c r="AE146" s="381"/>
      <c r="AF146" s="381"/>
      <c r="AG146" s="381"/>
      <c r="AH146" s="381"/>
      <c r="AI146" s="381"/>
      <c r="AJ146" s="381"/>
      <c r="AK146" s="381"/>
      <c r="AL146" s="381"/>
    </row>
    <row r="147" spans="1:38" ht="27" customHeight="1" x14ac:dyDescent="0.2">
      <c r="A147" s="437"/>
      <c r="B147" s="437"/>
      <c r="C147" s="437"/>
      <c r="D147" s="437"/>
      <c r="E147" s="437"/>
      <c r="F147" s="437"/>
      <c r="G147" s="437"/>
      <c r="H147" s="437"/>
      <c r="I147" s="437"/>
      <c r="J147" s="437"/>
      <c r="Y147" s="381"/>
      <c r="Z147" s="381"/>
      <c r="AA147" s="381"/>
      <c r="AB147" s="381"/>
      <c r="AC147" s="381"/>
      <c r="AD147" s="381"/>
      <c r="AE147" s="381"/>
      <c r="AF147" s="381"/>
      <c r="AG147" s="381"/>
      <c r="AH147" s="381"/>
      <c r="AI147" s="381"/>
      <c r="AJ147" s="381"/>
      <c r="AK147" s="381"/>
      <c r="AL147" s="381"/>
    </row>
    <row r="148" spans="1:38" ht="27" customHeight="1" x14ac:dyDescent="0.2">
      <c r="A148" s="437"/>
      <c r="B148" s="437"/>
      <c r="C148" s="437"/>
      <c r="D148" s="437"/>
      <c r="E148" s="437"/>
      <c r="F148" s="437"/>
      <c r="G148" s="437"/>
      <c r="H148" s="437"/>
      <c r="I148" s="437"/>
      <c r="J148" s="437"/>
      <c r="Y148" s="381"/>
      <c r="Z148" s="381"/>
      <c r="AA148" s="381"/>
      <c r="AB148" s="381"/>
      <c r="AC148" s="381"/>
      <c r="AD148" s="381"/>
      <c r="AE148" s="381"/>
      <c r="AF148" s="381"/>
      <c r="AG148" s="381"/>
      <c r="AH148" s="381"/>
      <c r="AI148" s="381"/>
      <c r="AJ148" s="381"/>
      <c r="AK148" s="381"/>
      <c r="AL148" s="381"/>
    </row>
    <row r="149" spans="1:38" ht="27" customHeight="1" x14ac:dyDescent="0.2">
      <c r="A149" s="437"/>
      <c r="B149" s="437"/>
      <c r="C149" s="437"/>
      <c r="D149" s="437"/>
      <c r="E149" s="437"/>
      <c r="F149" s="437"/>
      <c r="G149" s="437"/>
      <c r="H149" s="437"/>
      <c r="I149" s="437"/>
      <c r="J149" s="437"/>
      <c r="Y149" s="381"/>
      <c r="Z149" s="381"/>
      <c r="AA149" s="381"/>
      <c r="AB149" s="381"/>
      <c r="AC149" s="381"/>
      <c r="AD149" s="381"/>
      <c r="AE149" s="381"/>
      <c r="AF149" s="381"/>
      <c r="AG149" s="381"/>
      <c r="AH149" s="381"/>
      <c r="AI149" s="381"/>
      <c r="AJ149" s="381"/>
      <c r="AK149" s="381"/>
      <c r="AL149" s="381"/>
    </row>
    <row r="150" spans="1:38" ht="27" customHeight="1" x14ac:dyDescent="0.2">
      <c r="A150" s="437"/>
      <c r="B150" s="437"/>
      <c r="C150" s="437"/>
      <c r="D150" s="437"/>
      <c r="E150" s="437"/>
      <c r="F150" s="437"/>
      <c r="G150" s="437"/>
      <c r="H150" s="437"/>
      <c r="I150" s="437"/>
      <c r="J150" s="437"/>
      <c r="Y150" s="381"/>
      <c r="Z150" s="381"/>
      <c r="AA150" s="381"/>
      <c r="AB150" s="381"/>
      <c r="AC150" s="381"/>
      <c r="AD150" s="381"/>
      <c r="AE150" s="381"/>
      <c r="AF150" s="381"/>
      <c r="AG150" s="381"/>
      <c r="AH150" s="381"/>
      <c r="AI150" s="381"/>
      <c r="AJ150" s="381"/>
      <c r="AK150" s="381"/>
      <c r="AL150" s="381"/>
    </row>
    <row r="151" spans="1:38" ht="27" customHeight="1" x14ac:dyDescent="0.2">
      <c r="A151" s="437"/>
      <c r="B151" s="437"/>
      <c r="C151" s="437"/>
      <c r="D151" s="437"/>
      <c r="E151" s="437"/>
      <c r="F151" s="437"/>
      <c r="G151" s="437"/>
      <c r="H151" s="437"/>
      <c r="I151" s="437"/>
      <c r="J151" s="437"/>
      <c r="Y151" s="381"/>
      <c r="Z151" s="381"/>
      <c r="AA151" s="381"/>
      <c r="AB151" s="381"/>
      <c r="AC151" s="381"/>
      <c r="AD151" s="381"/>
      <c r="AE151" s="381"/>
      <c r="AF151" s="381"/>
      <c r="AG151" s="381"/>
      <c r="AH151" s="381"/>
      <c r="AI151" s="381"/>
      <c r="AJ151" s="381"/>
      <c r="AK151" s="381"/>
      <c r="AL151" s="381"/>
    </row>
    <row r="152" spans="1:38" ht="27" customHeight="1" x14ac:dyDescent="0.2">
      <c r="A152" s="437"/>
      <c r="B152" s="437"/>
      <c r="C152" s="437"/>
      <c r="D152" s="437"/>
      <c r="E152" s="437"/>
      <c r="F152" s="437"/>
      <c r="G152" s="437"/>
      <c r="H152" s="437"/>
      <c r="I152" s="437"/>
      <c r="J152" s="437"/>
      <c r="Y152" s="381"/>
      <c r="Z152" s="381"/>
      <c r="AA152" s="381"/>
      <c r="AB152" s="381"/>
      <c r="AC152" s="381"/>
      <c r="AD152" s="381"/>
      <c r="AE152" s="381"/>
      <c r="AF152" s="381"/>
      <c r="AG152" s="381"/>
      <c r="AH152" s="381"/>
      <c r="AI152" s="381"/>
      <c r="AJ152" s="381"/>
      <c r="AK152" s="381"/>
      <c r="AL152" s="381"/>
    </row>
    <row r="153" spans="1:38" ht="27" customHeight="1" x14ac:dyDescent="0.2">
      <c r="A153" s="437"/>
      <c r="B153" s="437"/>
      <c r="C153" s="437"/>
      <c r="D153" s="437"/>
      <c r="E153" s="437"/>
      <c r="F153" s="437"/>
      <c r="G153" s="437"/>
      <c r="H153" s="437"/>
      <c r="I153" s="437"/>
      <c r="J153" s="437"/>
      <c r="Y153" s="381"/>
      <c r="Z153" s="381"/>
      <c r="AA153" s="381"/>
      <c r="AB153" s="381"/>
      <c r="AC153" s="381"/>
      <c r="AD153" s="381"/>
      <c r="AE153" s="381"/>
      <c r="AF153" s="381"/>
      <c r="AG153" s="381"/>
      <c r="AH153" s="381"/>
      <c r="AI153" s="381"/>
      <c r="AJ153" s="381"/>
      <c r="AK153" s="381"/>
      <c r="AL153" s="381"/>
    </row>
    <row r="154" spans="1:38" ht="27" customHeight="1" x14ac:dyDescent="0.2">
      <c r="A154" s="437"/>
      <c r="B154" s="437"/>
      <c r="C154" s="437"/>
      <c r="D154" s="437"/>
      <c r="E154" s="437"/>
      <c r="F154" s="437"/>
      <c r="G154" s="437"/>
      <c r="H154" s="437"/>
      <c r="I154" s="437"/>
      <c r="J154" s="437"/>
      <c r="Y154" s="381"/>
      <c r="Z154" s="381"/>
      <c r="AA154" s="381"/>
      <c r="AB154" s="381"/>
      <c r="AC154" s="381"/>
      <c r="AD154" s="381"/>
      <c r="AE154" s="381"/>
      <c r="AF154" s="381"/>
      <c r="AG154" s="381"/>
      <c r="AH154" s="381"/>
      <c r="AI154" s="381"/>
      <c r="AJ154" s="381"/>
      <c r="AK154" s="381"/>
      <c r="AL154" s="381"/>
    </row>
    <row r="155" spans="1:38" ht="27" customHeight="1" x14ac:dyDescent="0.2">
      <c r="A155" s="437"/>
      <c r="B155" s="437"/>
      <c r="C155" s="437"/>
      <c r="D155" s="437"/>
      <c r="E155" s="437"/>
      <c r="F155" s="437"/>
      <c r="G155" s="437"/>
      <c r="H155" s="437"/>
      <c r="I155" s="437"/>
      <c r="J155" s="437"/>
      <c r="Y155" s="381"/>
      <c r="Z155" s="381"/>
      <c r="AA155" s="381"/>
      <c r="AB155" s="381"/>
      <c r="AC155" s="381"/>
      <c r="AD155" s="381"/>
      <c r="AE155" s="381"/>
      <c r="AF155" s="381"/>
      <c r="AG155" s="381"/>
      <c r="AH155" s="381"/>
      <c r="AI155" s="381"/>
      <c r="AJ155" s="381"/>
      <c r="AK155" s="381"/>
      <c r="AL155" s="381"/>
    </row>
    <row r="156" spans="1:38" ht="27" customHeight="1" x14ac:dyDescent="0.2">
      <c r="A156" s="437"/>
      <c r="B156" s="437"/>
      <c r="C156" s="437"/>
      <c r="D156" s="437"/>
      <c r="E156" s="437"/>
      <c r="F156" s="437"/>
      <c r="G156" s="437"/>
      <c r="H156" s="437"/>
      <c r="I156" s="437"/>
      <c r="J156" s="437"/>
      <c r="Y156" s="381"/>
      <c r="Z156" s="381"/>
      <c r="AA156" s="381"/>
      <c r="AB156" s="381"/>
      <c r="AC156" s="381"/>
      <c r="AD156" s="381"/>
      <c r="AE156" s="381"/>
      <c r="AF156" s="381"/>
      <c r="AG156" s="381"/>
      <c r="AH156" s="381"/>
      <c r="AI156" s="381"/>
      <c r="AJ156" s="381"/>
      <c r="AK156" s="381"/>
      <c r="AL156" s="381"/>
    </row>
    <row r="157" spans="1:38" ht="27" customHeight="1" x14ac:dyDescent="0.2">
      <c r="A157" s="437"/>
      <c r="B157" s="437"/>
      <c r="C157" s="437"/>
      <c r="D157" s="437"/>
      <c r="E157" s="437"/>
      <c r="F157" s="437"/>
      <c r="G157" s="437"/>
      <c r="H157" s="437"/>
      <c r="I157" s="437"/>
      <c r="J157" s="437"/>
      <c r="Y157" s="381"/>
      <c r="Z157" s="381"/>
      <c r="AA157" s="381"/>
      <c r="AB157" s="381"/>
      <c r="AC157" s="381"/>
      <c r="AD157" s="381"/>
      <c r="AE157" s="381"/>
      <c r="AF157" s="381"/>
      <c r="AG157" s="381"/>
      <c r="AH157" s="381"/>
      <c r="AI157" s="381"/>
      <c r="AJ157" s="381"/>
      <c r="AK157" s="381"/>
      <c r="AL157" s="381"/>
    </row>
    <row r="158" spans="1:38" ht="27" customHeight="1" x14ac:dyDescent="0.2">
      <c r="A158" s="437"/>
      <c r="B158" s="437"/>
      <c r="C158" s="437"/>
      <c r="D158" s="437"/>
      <c r="E158" s="437"/>
      <c r="F158" s="437"/>
      <c r="G158" s="437"/>
      <c r="H158" s="437"/>
      <c r="I158" s="437"/>
      <c r="J158" s="437"/>
      <c r="Y158" s="381"/>
      <c r="Z158" s="381"/>
      <c r="AA158" s="381"/>
      <c r="AB158" s="381"/>
      <c r="AC158" s="381"/>
      <c r="AD158" s="381"/>
      <c r="AE158" s="381"/>
      <c r="AF158" s="381"/>
      <c r="AG158" s="381"/>
      <c r="AH158" s="381"/>
      <c r="AI158" s="381"/>
      <c r="AJ158" s="381"/>
      <c r="AK158" s="381"/>
      <c r="AL158" s="381"/>
    </row>
    <row r="159" spans="1:38" ht="27" customHeight="1" x14ac:dyDescent="0.2">
      <c r="A159" s="437"/>
      <c r="B159" s="437"/>
      <c r="C159" s="437"/>
      <c r="D159" s="437"/>
      <c r="E159" s="437"/>
      <c r="F159" s="437"/>
      <c r="G159" s="437"/>
      <c r="H159" s="437"/>
      <c r="I159" s="437"/>
      <c r="J159" s="437"/>
      <c r="Y159" s="381"/>
      <c r="Z159" s="381"/>
      <c r="AA159" s="381"/>
      <c r="AB159" s="381"/>
      <c r="AC159" s="381"/>
      <c r="AD159" s="381"/>
      <c r="AE159" s="381"/>
      <c r="AF159" s="381"/>
      <c r="AG159" s="381"/>
      <c r="AH159" s="381"/>
      <c r="AI159" s="381"/>
      <c r="AJ159" s="381"/>
      <c r="AK159" s="381"/>
      <c r="AL159" s="381"/>
    </row>
    <row r="160" spans="1:38" ht="27" customHeight="1" x14ac:dyDescent="0.2">
      <c r="A160" s="437"/>
      <c r="B160" s="437"/>
      <c r="C160" s="437"/>
      <c r="D160" s="437"/>
      <c r="E160" s="437"/>
      <c r="F160" s="437"/>
      <c r="G160" s="437"/>
      <c r="H160" s="437"/>
      <c r="I160" s="437"/>
      <c r="J160" s="437"/>
      <c r="Y160" s="381"/>
      <c r="Z160" s="381"/>
      <c r="AA160" s="381"/>
      <c r="AB160" s="381"/>
      <c r="AC160" s="381"/>
      <c r="AD160" s="381"/>
      <c r="AE160" s="381"/>
      <c r="AF160" s="381"/>
      <c r="AG160" s="381"/>
      <c r="AH160" s="381"/>
      <c r="AI160" s="381"/>
      <c r="AJ160" s="381"/>
      <c r="AK160" s="381"/>
      <c r="AL160" s="381"/>
    </row>
    <row r="161" spans="1:38" ht="27" customHeight="1" x14ac:dyDescent="0.2">
      <c r="A161" s="437"/>
      <c r="B161" s="437"/>
      <c r="C161" s="437"/>
      <c r="D161" s="437"/>
      <c r="E161" s="437"/>
      <c r="F161" s="437"/>
      <c r="G161" s="437"/>
      <c r="H161" s="437"/>
      <c r="I161" s="437"/>
      <c r="J161" s="437"/>
      <c r="Y161" s="381"/>
      <c r="Z161" s="381"/>
      <c r="AA161" s="381"/>
      <c r="AB161" s="381"/>
      <c r="AC161" s="381"/>
      <c r="AD161" s="381"/>
      <c r="AE161" s="381"/>
      <c r="AF161" s="381"/>
      <c r="AG161" s="381"/>
      <c r="AH161" s="381"/>
      <c r="AI161" s="381"/>
      <c r="AJ161" s="381"/>
      <c r="AK161" s="381"/>
      <c r="AL161" s="381"/>
    </row>
    <row r="162" spans="1:38" ht="27" customHeight="1" x14ac:dyDescent="0.2">
      <c r="A162" s="437"/>
      <c r="B162" s="437"/>
      <c r="C162" s="437"/>
      <c r="D162" s="437"/>
      <c r="E162" s="437"/>
      <c r="F162" s="437"/>
      <c r="G162" s="437"/>
      <c r="H162" s="437"/>
      <c r="I162" s="437"/>
      <c r="J162" s="437"/>
      <c r="Y162" s="381"/>
      <c r="Z162" s="381"/>
      <c r="AA162" s="381"/>
      <c r="AB162" s="381"/>
      <c r="AC162" s="381"/>
      <c r="AD162" s="381"/>
      <c r="AE162" s="381"/>
      <c r="AF162" s="381"/>
      <c r="AG162" s="381"/>
      <c r="AH162" s="381"/>
      <c r="AI162" s="381"/>
      <c r="AJ162" s="381"/>
      <c r="AK162" s="381"/>
      <c r="AL162" s="381"/>
    </row>
    <row r="163" spans="1:38" ht="27" customHeight="1" x14ac:dyDescent="0.2">
      <c r="A163" s="437"/>
      <c r="B163" s="437"/>
      <c r="C163" s="437"/>
      <c r="D163" s="437"/>
      <c r="E163" s="437"/>
      <c r="F163" s="437"/>
      <c r="G163" s="437"/>
      <c r="H163" s="437"/>
      <c r="I163" s="437"/>
      <c r="J163" s="437"/>
      <c r="Y163" s="381"/>
      <c r="Z163" s="381"/>
      <c r="AA163" s="381"/>
      <c r="AB163" s="381"/>
      <c r="AC163" s="381"/>
      <c r="AD163" s="381"/>
      <c r="AE163" s="381"/>
      <c r="AF163" s="381"/>
      <c r="AG163" s="381"/>
      <c r="AH163" s="381"/>
      <c r="AI163" s="381"/>
      <c r="AJ163" s="381"/>
      <c r="AK163" s="381"/>
      <c r="AL163" s="381"/>
    </row>
    <row r="164" spans="1:38" ht="27" customHeight="1" x14ac:dyDescent="0.2">
      <c r="A164" s="437"/>
      <c r="B164" s="437"/>
      <c r="C164" s="437"/>
      <c r="D164" s="437"/>
      <c r="E164" s="437"/>
      <c r="F164" s="437"/>
      <c r="G164" s="437"/>
      <c r="H164" s="437"/>
      <c r="I164" s="437"/>
      <c r="J164" s="437"/>
      <c r="Y164" s="381"/>
      <c r="Z164" s="381"/>
      <c r="AA164" s="381"/>
      <c r="AB164" s="381"/>
      <c r="AC164" s="381"/>
      <c r="AD164" s="381"/>
      <c r="AE164" s="381"/>
      <c r="AF164" s="381"/>
      <c r="AG164" s="381"/>
      <c r="AH164" s="381"/>
      <c r="AI164" s="381"/>
      <c r="AJ164" s="381"/>
      <c r="AK164" s="381"/>
      <c r="AL164" s="381"/>
    </row>
    <row r="165" spans="1:38" ht="27" customHeight="1" x14ac:dyDescent="0.2">
      <c r="A165" s="437"/>
      <c r="B165" s="437"/>
      <c r="C165" s="437"/>
      <c r="D165" s="437"/>
      <c r="E165" s="437"/>
      <c r="F165" s="437"/>
      <c r="G165" s="437"/>
      <c r="H165" s="437"/>
      <c r="I165" s="437"/>
      <c r="J165" s="437"/>
      <c r="Y165" s="381"/>
      <c r="Z165" s="381"/>
      <c r="AA165" s="381"/>
      <c r="AB165" s="381"/>
      <c r="AC165" s="381"/>
      <c r="AD165" s="381"/>
      <c r="AE165" s="381"/>
      <c r="AF165" s="381"/>
      <c r="AG165" s="381"/>
      <c r="AH165" s="381"/>
      <c r="AI165" s="381"/>
      <c r="AJ165" s="381"/>
      <c r="AK165" s="381"/>
      <c r="AL165" s="381"/>
    </row>
    <row r="166" spans="1:38" ht="27" customHeight="1" x14ac:dyDescent="0.2">
      <c r="A166" s="437"/>
      <c r="B166" s="437"/>
      <c r="C166" s="437"/>
      <c r="D166" s="437"/>
      <c r="E166" s="437"/>
      <c r="F166" s="437"/>
      <c r="G166" s="437"/>
      <c r="H166" s="437"/>
      <c r="I166" s="437"/>
      <c r="J166" s="437"/>
      <c r="Y166" s="381"/>
      <c r="Z166" s="381"/>
      <c r="AA166" s="381"/>
      <c r="AB166" s="381"/>
      <c r="AC166" s="381"/>
      <c r="AD166" s="381"/>
      <c r="AE166" s="381"/>
      <c r="AF166" s="381"/>
      <c r="AG166" s="381"/>
      <c r="AH166" s="381"/>
      <c r="AI166" s="381"/>
      <c r="AJ166" s="381"/>
      <c r="AK166" s="381"/>
      <c r="AL166" s="381"/>
    </row>
    <row r="167" spans="1:38" ht="27" customHeight="1" x14ac:dyDescent="0.2">
      <c r="A167" s="437"/>
      <c r="B167" s="437"/>
      <c r="C167" s="437"/>
      <c r="D167" s="437"/>
      <c r="E167" s="437"/>
      <c r="F167" s="437"/>
      <c r="G167" s="437"/>
      <c r="H167" s="437"/>
      <c r="I167" s="437"/>
      <c r="J167" s="437"/>
      <c r="Y167" s="381"/>
      <c r="Z167" s="381"/>
      <c r="AA167" s="381"/>
      <c r="AB167" s="381"/>
      <c r="AC167" s="381"/>
      <c r="AD167" s="381"/>
      <c r="AE167" s="381"/>
      <c r="AF167" s="381"/>
      <c r="AG167" s="381"/>
      <c r="AH167" s="381"/>
      <c r="AI167" s="381"/>
      <c r="AJ167" s="381"/>
      <c r="AK167" s="381"/>
      <c r="AL167" s="381"/>
    </row>
    <row r="168" spans="1:38" ht="27" customHeight="1" x14ac:dyDescent="0.2">
      <c r="A168" s="437"/>
      <c r="B168" s="437"/>
      <c r="C168" s="437"/>
      <c r="D168" s="437"/>
      <c r="E168" s="437"/>
      <c r="F168" s="437"/>
      <c r="G168" s="437"/>
      <c r="H168" s="437"/>
      <c r="I168" s="437"/>
      <c r="J168" s="437"/>
      <c r="Y168" s="381"/>
      <c r="Z168" s="381"/>
      <c r="AA168" s="381"/>
      <c r="AB168" s="381"/>
      <c r="AC168" s="381"/>
      <c r="AD168" s="381"/>
      <c r="AE168" s="381"/>
      <c r="AF168" s="381"/>
      <c r="AG168" s="381"/>
      <c r="AH168" s="381"/>
      <c r="AI168" s="381"/>
      <c r="AJ168" s="381"/>
      <c r="AK168" s="381"/>
      <c r="AL168" s="381"/>
    </row>
    <row r="169" spans="1:38" ht="27" customHeight="1" x14ac:dyDescent="0.2">
      <c r="A169" s="437"/>
      <c r="B169" s="437"/>
      <c r="C169" s="437"/>
      <c r="D169" s="437"/>
      <c r="E169" s="437"/>
      <c r="F169" s="437"/>
      <c r="G169" s="437"/>
      <c r="H169" s="437"/>
      <c r="I169" s="437"/>
      <c r="J169" s="437"/>
      <c r="Y169" s="381"/>
      <c r="Z169" s="381"/>
      <c r="AA169" s="381"/>
      <c r="AB169" s="381"/>
      <c r="AC169" s="381"/>
      <c r="AD169" s="381"/>
      <c r="AE169" s="381"/>
      <c r="AF169" s="381"/>
      <c r="AG169" s="381"/>
      <c r="AH169" s="381"/>
      <c r="AI169" s="381"/>
      <c r="AJ169" s="381"/>
      <c r="AK169" s="381"/>
      <c r="AL169" s="381"/>
    </row>
    <row r="170" spans="1:38" ht="27" customHeight="1" x14ac:dyDescent="0.2">
      <c r="A170" s="437"/>
      <c r="B170" s="437"/>
      <c r="C170" s="437"/>
      <c r="D170" s="437"/>
      <c r="E170" s="437"/>
      <c r="F170" s="437"/>
      <c r="G170" s="437"/>
      <c r="H170" s="437"/>
      <c r="I170" s="437"/>
      <c r="J170" s="437"/>
      <c r="Y170" s="381"/>
      <c r="Z170" s="381"/>
      <c r="AA170" s="381"/>
      <c r="AB170" s="381"/>
      <c r="AC170" s="381"/>
      <c r="AD170" s="381"/>
      <c r="AE170" s="381"/>
      <c r="AF170" s="381"/>
      <c r="AG170" s="381"/>
      <c r="AH170" s="381"/>
      <c r="AI170" s="381"/>
      <c r="AJ170" s="381"/>
      <c r="AK170" s="381"/>
      <c r="AL170" s="381"/>
    </row>
    <row r="171" spans="1:38" ht="27" customHeight="1" x14ac:dyDescent="0.2">
      <c r="A171" s="437"/>
      <c r="B171" s="437"/>
      <c r="C171" s="437"/>
      <c r="D171" s="437"/>
      <c r="E171" s="437"/>
      <c r="F171" s="437"/>
      <c r="G171" s="437"/>
      <c r="H171" s="437"/>
      <c r="I171" s="437"/>
      <c r="J171" s="437"/>
    </row>
    <row r="172" spans="1:38" ht="27" customHeight="1" x14ac:dyDescent="0.2">
      <c r="A172" s="437"/>
      <c r="B172" s="437"/>
      <c r="C172" s="437"/>
      <c r="D172" s="437"/>
      <c r="E172" s="437"/>
      <c r="F172" s="437"/>
      <c r="G172" s="437"/>
      <c r="H172" s="437"/>
      <c r="I172" s="437"/>
      <c r="J172" s="437"/>
    </row>
    <row r="173" spans="1:38" ht="27" customHeight="1" x14ac:dyDescent="0.2">
      <c r="A173" s="437"/>
      <c r="B173" s="437"/>
      <c r="C173" s="437"/>
      <c r="D173" s="437"/>
      <c r="E173" s="437"/>
      <c r="F173" s="437"/>
      <c r="G173" s="437"/>
      <c r="H173" s="437"/>
      <c r="I173" s="437"/>
      <c r="J173" s="437"/>
    </row>
    <row r="174" spans="1:38" ht="27" customHeight="1" x14ac:dyDescent="0.2">
      <c r="A174" s="437"/>
      <c r="B174" s="437"/>
      <c r="C174" s="437"/>
      <c r="D174" s="437"/>
      <c r="E174" s="437"/>
      <c r="F174" s="437"/>
      <c r="G174" s="437"/>
      <c r="H174" s="437"/>
      <c r="I174" s="437"/>
      <c r="J174" s="437"/>
    </row>
    <row r="175" spans="1:38" ht="27" customHeight="1" x14ac:dyDescent="0.2">
      <c r="A175" s="437"/>
      <c r="B175" s="437"/>
      <c r="C175" s="437"/>
      <c r="D175" s="437"/>
      <c r="E175" s="437"/>
      <c r="F175" s="437"/>
      <c r="G175" s="437"/>
      <c r="H175" s="437"/>
      <c r="I175" s="437"/>
      <c r="J175" s="437"/>
    </row>
    <row r="176" spans="1:38" ht="27" customHeight="1" x14ac:dyDescent="0.2">
      <c r="A176" s="437"/>
      <c r="B176" s="437"/>
      <c r="C176" s="437"/>
      <c r="D176" s="437"/>
      <c r="E176" s="437"/>
      <c r="F176" s="437"/>
      <c r="G176" s="437"/>
      <c r="H176" s="437"/>
      <c r="I176" s="437"/>
      <c r="J176" s="437"/>
    </row>
    <row r="177" spans="1:10" ht="27" customHeight="1" x14ac:dyDescent="0.2">
      <c r="A177" s="437"/>
      <c r="B177" s="437"/>
      <c r="C177" s="437"/>
      <c r="D177" s="437"/>
      <c r="E177" s="437"/>
      <c r="F177" s="437"/>
      <c r="G177" s="437"/>
      <c r="H177" s="437"/>
      <c r="I177" s="437"/>
      <c r="J177" s="437"/>
    </row>
    <row r="178" spans="1:10" ht="27" customHeight="1" x14ac:dyDescent="0.2">
      <c r="A178" s="437"/>
      <c r="B178" s="437"/>
      <c r="C178" s="437"/>
      <c r="D178" s="437"/>
      <c r="E178" s="437"/>
      <c r="F178" s="437"/>
      <c r="G178" s="437"/>
      <c r="H178" s="437"/>
      <c r="I178" s="437"/>
      <c r="J178" s="437"/>
    </row>
  </sheetData>
  <mergeCells count="383">
    <mergeCell ref="AF78:AF94"/>
    <mergeCell ref="AG78:AG94"/>
    <mergeCell ref="AB78:AB94"/>
    <mergeCell ref="AC78:AC94"/>
    <mergeCell ref="AD78:AD94"/>
    <mergeCell ref="X85:X88"/>
    <mergeCell ref="AK78:AK94"/>
    <mergeCell ref="AL78:AL94"/>
    <mergeCell ref="AM78:AM94"/>
    <mergeCell ref="AH78:AH94"/>
    <mergeCell ref="AI78:AI94"/>
    <mergeCell ref="AJ78:AJ94"/>
    <mergeCell ref="AE78:AE94"/>
    <mergeCell ref="Y78:Y94"/>
    <mergeCell ref="Z78:Z94"/>
    <mergeCell ref="AA78:AA94"/>
    <mergeCell ref="T78:T82"/>
    <mergeCell ref="V78:V82"/>
    <mergeCell ref="W78:W94"/>
    <mergeCell ref="X78:X82"/>
    <mergeCell ref="T83:T91"/>
    <mergeCell ref="V83:V84"/>
    <mergeCell ref="T93:T94"/>
    <mergeCell ref="V93:V94"/>
    <mergeCell ref="X83:X84"/>
    <mergeCell ref="V85:V88"/>
    <mergeCell ref="S78:S94"/>
    <mergeCell ref="M93:M94"/>
    <mergeCell ref="Q93:Q94"/>
    <mergeCell ref="H77:K77"/>
    <mergeCell ref="J85:J88"/>
    <mergeCell ref="K85:K88"/>
    <mergeCell ref="L85:L88"/>
    <mergeCell ref="M85:M88"/>
    <mergeCell ref="Q85:Q88"/>
    <mergeCell ref="H78:I94"/>
    <mergeCell ref="J78:J82"/>
    <mergeCell ref="K78:K82"/>
    <mergeCell ref="L78:L82"/>
    <mergeCell ref="J93:J94"/>
    <mergeCell ref="K93:K94"/>
    <mergeCell ref="L93:L94"/>
    <mergeCell ref="J83:J84"/>
    <mergeCell ref="K83:K84"/>
    <mergeCell ref="L83:L84"/>
    <mergeCell ref="M83:M84"/>
    <mergeCell ref="Q83:Q84"/>
    <mergeCell ref="M78:M82"/>
    <mergeCell ref="O78:O94"/>
    <mergeCell ref="P78:P94"/>
    <mergeCell ref="AL63:AL76"/>
    <mergeCell ref="AM63:AM76"/>
    <mergeCell ref="J69:J74"/>
    <mergeCell ref="K69:K74"/>
    <mergeCell ref="L69:L74"/>
    <mergeCell ref="M69:M74"/>
    <mergeCell ref="Q69:Q74"/>
    <mergeCell ref="T69:T74"/>
    <mergeCell ref="AK63:AK76"/>
    <mergeCell ref="AI63:AI76"/>
    <mergeCell ref="AJ63:AJ76"/>
    <mergeCell ref="AF63:AF76"/>
    <mergeCell ref="AG63:AG76"/>
    <mergeCell ref="AH63:AH76"/>
    <mergeCell ref="AC63:AC76"/>
    <mergeCell ref="AD63:AD76"/>
    <mergeCell ref="AE63:AE76"/>
    <mergeCell ref="J75:J76"/>
    <mergeCell ref="K75:K76"/>
    <mergeCell ref="L75:L76"/>
    <mergeCell ref="Z63:Z76"/>
    <mergeCell ref="AA63:AA76"/>
    <mergeCell ref="AB63:AB76"/>
    <mergeCell ref="S63:S76"/>
    <mergeCell ref="T63:T68"/>
    <mergeCell ref="W63:W76"/>
    <mergeCell ref="X63:X76"/>
    <mergeCell ref="Y63:Y76"/>
    <mergeCell ref="T75:T76"/>
    <mergeCell ref="M63:M68"/>
    <mergeCell ref="O63:O76"/>
    <mergeCell ref="P63:P76"/>
    <mergeCell ref="Q63:Q68"/>
    <mergeCell ref="R63:R76"/>
    <mergeCell ref="M75:M76"/>
    <mergeCell ref="Q75:Q76"/>
    <mergeCell ref="E61:L61"/>
    <mergeCell ref="A63:A94"/>
    <mergeCell ref="B63:C94"/>
    <mergeCell ref="D63:D94"/>
    <mergeCell ref="E63:F94"/>
    <mergeCell ref="G63:G76"/>
    <mergeCell ref="H63:I76"/>
    <mergeCell ref="J63:J68"/>
    <mergeCell ref="K63:K68"/>
    <mergeCell ref="L63:L68"/>
    <mergeCell ref="G78:G94"/>
    <mergeCell ref="Q78:Q82"/>
    <mergeCell ref="R78:R94"/>
    <mergeCell ref="B58:C58"/>
    <mergeCell ref="E58:F58"/>
    <mergeCell ref="H58:I58"/>
    <mergeCell ref="B59:C59"/>
    <mergeCell ref="E59:F59"/>
    <mergeCell ref="H59:I59"/>
    <mergeCell ref="AM52:AM59"/>
    <mergeCell ref="B53:C53"/>
    <mergeCell ref="E53:F53"/>
    <mergeCell ref="H53:I53"/>
    <mergeCell ref="U55:U56"/>
    <mergeCell ref="V55:V56"/>
    <mergeCell ref="T56:T59"/>
    <mergeCell ref="AK52:AK59"/>
    <mergeCell ref="AL52:AL59"/>
    <mergeCell ref="AJ52:AJ59"/>
    <mergeCell ref="AD52:AD59"/>
    <mergeCell ref="AE52:AE59"/>
    <mergeCell ref="AF52:AF59"/>
    <mergeCell ref="AA52:AA59"/>
    <mergeCell ref="AB52:AB59"/>
    <mergeCell ref="AC52:AC59"/>
    <mergeCell ref="AG52:AG59"/>
    <mergeCell ref="AH52:AH59"/>
    <mergeCell ref="AI52:AI59"/>
    <mergeCell ref="W52:W59"/>
    <mergeCell ref="X52:X59"/>
    <mergeCell ref="Y52:Y59"/>
    <mergeCell ref="Z52:Z59"/>
    <mergeCell ref="R52:R59"/>
    <mergeCell ref="S52:S59"/>
    <mergeCell ref="T52:T55"/>
    <mergeCell ref="U52:U54"/>
    <mergeCell ref="V52:V54"/>
    <mergeCell ref="U57:U59"/>
    <mergeCell ref="V57:V59"/>
    <mergeCell ref="Q44:Q51"/>
    <mergeCell ref="R44:R51"/>
    <mergeCell ref="M52:M59"/>
    <mergeCell ref="N52:N59"/>
    <mergeCell ref="O52:O59"/>
    <mergeCell ref="P52:P59"/>
    <mergeCell ref="Q52:Q59"/>
    <mergeCell ref="E51:F51"/>
    <mergeCell ref="H51:I51"/>
    <mergeCell ref="H52:I52"/>
    <mergeCell ref="J52:J59"/>
    <mergeCell ref="K52:K59"/>
    <mergeCell ref="L52:L59"/>
    <mergeCell ref="AK44:AK51"/>
    <mergeCell ref="AL44:AL51"/>
    <mergeCell ref="AM44:AM51"/>
    <mergeCell ref="B45:C45"/>
    <mergeCell ref="E45:F45"/>
    <mergeCell ref="H45:I45"/>
    <mergeCell ref="T48:T51"/>
    <mergeCell ref="U48:U51"/>
    <mergeCell ref="V48:V51"/>
    <mergeCell ref="B50:C50"/>
    <mergeCell ref="E50:F50"/>
    <mergeCell ref="H50:I50"/>
    <mergeCell ref="B51:C51"/>
    <mergeCell ref="T44:T47"/>
    <mergeCell ref="U44:U47"/>
    <mergeCell ref="V44:V47"/>
    <mergeCell ref="H44:I44"/>
    <mergeCell ref="J44:J51"/>
    <mergeCell ref="K44:K51"/>
    <mergeCell ref="L44:L51"/>
    <mergeCell ref="M44:M51"/>
    <mergeCell ref="N44:N51"/>
    <mergeCell ref="O44:O51"/>
    <mergeCell ref="P44:P51"/>
    <mergeCell ref="AC44:AC51"/>
    <mergeCell ref="AD44:AD51"/>
    <mergeCell ref="X44:X51"/>
    <mergeCell ref="Y44:Y51"/>
    <mergeCell ref="Z44:Z51"/>
    <mergeCell ref="AA44:AA51"/>
    <mergeCell ref="AH44:AH51"/>
    <mergeCell ref="AI44:AI51"/>
    <mergeCell ref="AJ44:AJ51"/>
    <mergeCell ref="AE44:AE51"/>
    <mergeCell ref="AF44:AF51"/>
    <mergeCell ref="AG44:AG51"/>
    <mergeCell ref="S44:S51"/>
    <mergeCell ref="AB44:AB51"/>
    <mergeCell ref="Y36:Y43"/>
    <mergeCell ref="Z36:Z43"/>
    <mergeCell ref="AA36:AA43"/>
    <mergeCell ref="U36:U43"/>
    <mergeCell ref="W44:W51"/>
    <mergeCell ref="V36:V43"/>
    <mergeCell ref="W36:W43"/>
    <mergeCell ref="X36:X43"/>
    <mergeCell ref="AL36:AL43"/>
    <mergeCell ref="AM36:AM43"/>
    <mergeCell ref="B37:C37"/>
    <mergeCell ref="E37:F37"/>
    <mergeCell ref="H37:I37"/>
    <mergeCell ref="T38:T39"/>
    <mergeCell ref="T40:T41"/>
    <mergeCell ref="AH36:AH43"/>
    <mergeCell ref="AI36:AI43"/>
    <mergeCell ref="AJ36:AJ43"/>
    <mergeCell ref="AE36:AE43"/>
    <mergeCell ref="AF36:AF43"/>
    <mergeCell ref="AK36:AK43"/>
    <mergeCell ref="AG36:AG43"/>
    <mergeCell ref="AB36:AB43"/>
    <mergeCell ref="AC36:AC43"/>
    <mergeCell ref="AD36:AD43"/>
    <mergeCell ref="N36:N43"/>
    <mergeCell ref="O36:O43"/>
    <mergeCell ref="P36:P43"/>
    <mergeCell ref="Q36:Q43"/>
    <mergeCell ref="R36:R43"/>
    <mergeCell ref="S36:S43"/>
    <mergeCell ref="T42:T43"/>
    <mergeCell ref="H36:I36"/>
    <mergeCell ref="J36:J43"/>
    <mergeCell ref="K36:K43"/>
    <mergeCell ref="L36:L43"/>
    <mergeCell ref="M36:M43"/>
    <mergeCell ref="B42:C42"/>
    <mergeCell ref="E42:F42"/>
    <mergeCell ref="H42:I42"/>
    <mergeCell ref="B43:C43"/>
    <mergeCell ref="E43:F43"/>
    <mergeCell ref="H43:I43"/>
    <mergeCell ref="B34:C34"/>
    <mergeCell ref="E34:F34"/>
    <mergeCell ref="H34:I34"/>
    <mergeCell ref="B35:C35"/>
    <mergeCell ref="E35:F35"/>
    <mergeCell ref="H35:I35"/>
    <mergeCell ref="AL28:AL35"/>
    <mergeCell ref="AM28:AM35"/>
    <mergeCell ref="AK28:AK35"/>
    <mergeCell ref="B29:C29"/>
    <mergeCell ref="E29:F29"/>
    <mergeCell ref="H29:I29"/>
    <mergeCell ref="AB28:AB35"/>
    <mergeCell ref="AC28:AC35"/>
    <mergeCell ref="AD28:AD35"/>
    <mergeCell ref="T28:T31"/>
    <mergeCell ref="U28:U35"/>
    <mergeCell ref="V28:V35"/>
    <mergeCell ref="W28:W35"/>
    <mergeCell ref="N28:N35"/>
    <mergeCell ref="O28:O35"/>
    <mergeCell ref="P28:P35"/>
    <mergeCell ref="Q28:Q35"/>
    <mergeCell ref="R28:R35"/>
    <mergeCell ref="S28:S35"/>
    <mergeCell ref="T32:T35"/>
    <mergeCell ref="H28:I28"/>
    <mergeCell ref="J28:J35"/>
    <mergeCell ref="AH28:AH35"/>
    <mergeCell ref="AI28:AI35"/>
    <mergeCell ref="AJ28:AJ35"/>
    <mergeCell ref="X28:X35"/>
    <mergeCell ref="Y28:Y35"/>
    <mergeCell ref="Z28:Z35"/>
    <mergeCell ref="AA28:AA35"/>
    <mergeCell ref="AE28:AE35"/>
    <mergeCell ref="AF28:AF35"/>
    <mergeCell ref="AG28:AG35"/>
    <mergeCell ref="AL20:AL27"/>
    <mergeCell ref="AM20:AM27"/>
    <mergeCell ref="B21:C21"/>
    <mergeCell ref="E21:F21"/>
    <mergeCell ref="H21:I21"/>
    <mergeCell ref="AK20:AK27"/>
    <mergeCell ref="AI20:AI27"/>
    <mergeCell ref="AJ20:AJ27"/>
    <mergeCell ref="K28:K35"/>
    <mergeCell ref="L28:L35"/>
    <mergeCell ref="M28:M35"/>
    <mergeCell ref="B26:C26"/>
    <mergeCell ref="E26:F26"/>
    <mergeCell ref="H26:I26"/>
    <mergeCell ref="B27:C27"/>
    <mergeCell ref="E27:F27"/>
    <mergeCell ref="H27:I27"/>
    <mergeCell ref="P20:P27"/>
    <mergeCell ref="Q20:Q27"/>
    <mergeCell ref="R20:R27"/>
    <mergeCell ref="S20:S27"/>
    <mergeCell ref="T20:T23"/>
    <mergeCell ref="U20:U27"/>
    <mergeCell ref="T24:T27"/>
    <mergeCell ref="AH20:AH27"/>
    <mergeCell ref="Z20:Z27"/>
    <mergeCell ref="AA20:AA27"/>
    <mergeCell ref="AB20:AB27"/>
    <mergeCell ref="V20:V23"/>
    <mergeCell ref="W20:W27"/>
    <mergeCell ref="X20:X23"/>
    <mergeCell ref="Y20:Y27"/>
    <mergeCell ref="V24:V27"/>
    <mergeCell ref="X24:X27"/>
    <mergeCell ref="AC20:AC27"/>
    <mergeCell ref="AD20:AD27"/>
    <mergeCell ref="AE20:AE27"/>
    <mergeCell ref="AG20:AG27"/>
    <mergeCell ref="AF20:AF27"/>
    <mergeCell ref="B13:C13"/>
    <mergeCell ref="E13:F13"/>
    <mergeCell ref="H13:I13"/>
    <mergeCell ref="U16:U17"/>
    <mergeCell ref="V16:V17"/>
    <mergeCell ref="AK12:AK19"/>
    <mergeCell ref="AI12:AI19"/>
    <mergeCell ref="AJ12:AJ19"/>
    <mergeCell ref="AF12:AF19"/>
    <mergeCell ref="B18:C18"/>
    <mergeCell ref="E18:F18"/>
    <mergeCell ref="H18:I18"/>
    <mergeCell ref="B19:C19"/>
    <mergeCell ref="E19:F19"/>
    <mergeCell ref="H19:I19"/>
    <mergeCell ref="H11:K11"/>
    <mergeCell ref="H12:I12"/>
    <mergeCell ref="J12:J19"/>
    <mergeCell ref="K12:K19"/>
    <mergeCell ref="L12:L27"/>
    <mergeCell ref="M12:M19"/>
    <mergeCell ref="O12:O19"/>
    <mergeCell ref="P12:P19"/>
    <mergeCell ref="V7:V8"/>
    <mergeCell ref="H20:I20"/>
    <mergeCell ref="J20:J27"/>
    <mergeCell ref="K20:K27"/>
    <mergeCell ref="M20:M27"/>
    <mergeCell ref="O20:O27"/>
    <mergeCell ref="U7:U8"/>
    <mergeCell ref="AK7:AK8"/>
    <mergeCell ref="AL7:AL8"/>
    <mergeCell ref="AM7:AM8"/>
    <mergeCell ref="Q12:Q19"/>
    <mergeCell ref="R12:R19"/>
    <mergeCell ref="S12:S19"/>
    <mergeCell ref="T12:T19"/>
    <mergeCell ref="U12:U15"/>
    <mergeCell ref="V12:V15"/>
    <mergeCell ref="W7:W8"/>
    <mergeCell ref="Z12:Z19"/>
    <mergeCell ref="AA12:AA19"/>
    <mergeCell ref="AB12:AB19"/>
    <mergeCell ref="W12:W19"/>
    <mergeCell ref="X12:X19"/>
    <mergeCell ref="Y12:Y19"/>
    <mergeCell ref="AG12:AG19"/>
    <mergeCell ref="AH12:AH19"/>
    <mergeCell ref="AC12:AC19"/>
    <mergeCell ref="AD12:AD19"/>
    <mergeCell ref="AE12:AE19"/>
    <mergeCell ref="AL12:AL19"/>
    <mergeCell ref="AM12:AM19"/>
    <mergeCell ref="A1:AK4"/>
    <mergeCell ref="A5:M6"/>
    <mergeCell ref="N5:AM5"/>
    <mergeCell ref="Y6:AJ6"/>
    <mergeCell ref="J7:J8"/>
    <mergeCell ref="K7:K8"/>
    <mergeCell ref="L7:L8"/>
    <mergeCell ref="M7:M8"/>
    <mergeCell ref="N7:N8"/>
    <mergeCell ref="O7:O8"/>
    <mergeCell ref="A7:A8"/>
    <mergeCell ref="B7:C8"/>
    <mergeCell ref="D7:D8"/>
    <mergeCell ref="E7:F8"/>
    <mergeCell ref="G7:G8"/>
    <mergeCell ref="H7:I8"/>
    <mergeCell ref="X7:X8"/>
    <mergeCell ref="Y7:AD7"/>
    <mergeCell ref="AE7:AJ7"/>
    <mergeCell ref="P7:P8"/>
    <mergeCell ref="Q7:Q8"/>
    <mergeCell ref="R7:R8"/>
    <mergeCell ref="S7:S8"/>
    <mergeCell ref="T7:T8"/>
  </mergeCells>
  <pageMargins left="0.70866141732283472" right="0.70866141732283472" top="0.35433070866141736" bottom="0.35433070866141736" header="0.31496062992125984" footer="0.31496062992125984"/>
  <pageSetup paperSize="5" scale="4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4"/>
  <sheetViews>
    <sheetView showGridLines="0" topLeftCell="M1" zoomScale="60" zoomScaleNormal="60" workbookViewId="0">
      <selection activeCell="N6" sqref="A1:XFD6"/>
    </sheetView>
  </sheetViews>
  <sheetFormatPr baseColWidth="10" defaultColWidth="11.42578125" defaultRowHeight="12.75" x14ac:dyDescent="0.2"/>
  <cols>
    <col min="1" max="1" width="11" style="451" customWidth="1"/>
    <col min="2" max="2" width="4" style="451" customWidth="1"/>
    <col min="3" max="3" width="12.85546875" style="451" customWidth="1"/>
    <col min="4" max="4" width="12.7109375" style="451" customWidth="1"/>
    <col min="5" max="5" width="7" style="451" customWidth="1"/>
    <col min="6" max="6" width="8.140625" style="451" customWidth="1"/>
    <col min="7" max="7" width="10" style="451" customWidth="1"/>
    <col min="8" max="8" width="8.5703125" style="451" customWidth="1"/>
    <col min="9" max="9" width="13.28515625" style="451" customWidth="1"/>
    <col min="10" max="10" width="11.5703125" style="451" customWidth="1"/>
    <col min="11" max="11" width="33.85546875" style="616" customWidth="1"/>
    <col min="12" max="12" width="18.85546875" style="470" customWidth="1"/>
    <col min="13" max="13" width="10.28515625" style="470" customWidth="1"/>
    <col min="14" max="14" width="28.5703125" style="470" customWidth="1"/>
    <col min="15" max="15" width="14" style="465" customWidth="1"/>
    <col min="16" max="16" width="23" style="617" customWidth="1"/>
    <col min="17" max="17" width="11.85546875" style="618" customWidth="1"/>
    <col min="18" max="18" width="23.28515625" style="470" customWidth="1"/>
    <col min="19" max="19" width="27.5703125" style="470" customWidth="1"/>
    <col min="20" max="20" width="39.5703125" style="616" customWidth="1"/>
    <col min="21" max="21" width="30" style="616" customWidth="1"/>
    <col min="22" max="22" width="23.28515625" style="619" customWidth="1"/>
    <col min="23" max="23" width="10.5703125" style="624" bestFit="1" customWidth="1"/>
    <col min="24" max="24" width="22.5703125" style="619" customWidth="1"/>
    <col min="25" max="25" width="7.140625" style="451" bestFit="1" customWidth="1"/>
    <col min="26" max="26" width="8.28515625" style="451" customWidth="1"/>
    <col min="27" max="27" width="7.140625" style="451" bestFit="1" customWidth="1"/>
    <col min="28" max="28" width="7.7109375" style="451" customWidth="1"/>
    <col min="29" max="29" width="9.140625" style="451" bestFit="1" customWidth="1"/>
    <col min="30" max="30" width="7.85546875" style="451" customWidth="1"/>
    <col min="31" max="31" width="7.28515625" style="451" customWidth="1"/>
    <col min="32" max="32" width="8.140625" style="451" customWidth="1"/>
    <col min="33" max="33" width="7.28515625" style="465" customWidth="1"/>
    <col min="34" max="34" width="7.5703125" style="451" customWidth="1"/>
    <col min="35" max="35" width="8" style="465" customWidth="1"/>
    <col min="36" max="36" width="8.42578125" style="625" customWidth="1"/>
    <col min="37" max="37" width="15.7109375" style="621" customWidth="1"/>
    <col min="38" max="38" width="18.42578125" style="622" customWidth="1"/>
    <col min="39" max="39" width="23.7109375" style="623" customWidth="1"/>
    <col min="40" max="16384" width="11.42578125" style="451"/>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ht="45.75" customHeight="1" x14ac:dyDescent="0.2">
      <c r="A7" s="2179" t="s">
        <v>8</v>
      </c>
      <c r="B7" s="2174" t="s">
        <v>9</v>
      </c>
      <c r="C7" s="2177"/>
      <c r="D7" s="2177" t="s">
        <v>8</v>
      </c>
      <c r="E7" s="2174" t="s">
        <v>10</v>
      </c>
      <c r="F7" s="2177"/>
      <c r="G7" s="2177" t="s">
        <v>8</v>
      </c>
      <c r="H7" s="2174" t="s">
        <v>11</v>
      </c>
      <c r="I7" s="2177"/>
      <c r="J7" s="2177" t="s">
        <v>8</v>
      </c>
      <c r="K7" s="2174" t="s">
        <v>12</v>
      </c>
      <c r="L7" s="2179" t="s">
        <v>13</v>
      </c>
      <c r="M7" s="2174" t="s">
        <v>14</v>
      </c>
      <c r="N7" s="2181" t="s">
        <v>15</v>
      </c>
      <c r="O7" s="2179" t="s">
        <v>126</v>
      </c>
      <c r="P7" s="2179" t="s">
        <v>6</v>
      </c>
      <c r="Q7" s="2174" t="s">
        <v>17</v>
      </c>
      <c r="R7" s="2174" t="s">
        <v>18</v>
      </c>
      <c r="S7" s="2174" t="s">
        <v>19</v>
      </c>
      <c r="T7" s="2198" t="s">
        <v>20</v>
      </c>
      <c r="U7" s="2179" t="s">
        <v>21</v>
      </c>
      <c r="V7" s="2176" t="s">
        <v>18</v>
      </c>
      <c r="W7" s="2179" t="s">
        <v>8</v>
      </c>
      <c r="X7" s="2179" t="s">
        <v>22</v>
      </c>
      <c r="Y7" s="2203" t="s">
        <v>23</v>
      </c>
      <c r="Z7" s="2204"/>
      <c r="AA7" s="2204"/>
      <c r="AB7" s="2204"/>
      <c r="AC7" s="2204"/>
      <c r="AD7" s="2204"/>
      <c r="AE7" s="2203" t="s">
        <v>24</v>
      </c>
      <c r="AF7" s="2204"/>
      <c r="AG7" s="2204"/>
      <c r="AH7" s="2204"/>
      <c r="AI7" s="2204"/>
      <c r="AJ7" s="2204"/>
      <c r="AK7" s="2185" t="s">
        <v>25</v>
      </c>
      <c r="AL7" s="2185" t="s">
        <v>26</v>
      </c>
      <c r="AM7" s="1935" t="s">
        <v>27</v>
      </c>
    </row>
    <row r="8" spans="1:72" ht="42.75" customHeight="1" x14ac:dyDescent="0.2">
      <c r="A8" s="2180"/>
      <c r="B8" s="2175"/>
      <c r="C8" s="2178"/>
      <c r="D8" s="2178"/>
      <c r="E8" s="2175"/>
      <c r="F8" s="2178"/>
      <c r="G8" s="2178"/>
      <c r="H8" s="2175"/>
      <c r="I8" s="2178"/>
      <c r="J8" s="2178"/>
      <c r="K8" s="2175"/>
      <c r="L8" s="2180"/>
      <c r="M8" s="2175"/>
      <c r="N8" s="2182"/>
      <c r="O8" s="2180"/>
      <c r="P8" s="2180"/>
      <c r="Q8" s="2175"/>
      <c r="R8" s="2175"/>
      <c r="S8" s="2175"/>
      <c r="T8" s="2199"/>
      <c r="U8" s="2180"/>
      <c r="V8" s="2176"/>
      <c r="W8" s="2180"/>
      <c r="X8" s="2180"/>
      <c r="Y8" s="2176" t="s">
        <v>269</v>
      </c>
      <c r="Z8" s="2183" t="s">
        <v>29</v>
      </c>
      <c r="AA8" s="2174" t="s">
        <v>30</v>
      </c>
      <c r="AB8" s="2184" t="s">
        <v>31</v>
      </c>
      <c r="AC8" s="2174" t="s">
        <v>32</v>
      </c>
      <c r="AD8" s="2176" t="s">
        <v>33</v>
      </c>
      <c r="AE8" s="2176" t="s">
        <v>34</v>
      </c>
      <c r="AF8" s="2176" t="s">
        <v>35</v>
      </c>
      <c r="AG8" s="2176" t="s">
        <v>432</v>
      </c>
      <c r="AH8" s="2176" t="s">
        <v>37</v>
      </c>
      <c r="AI8" s="2176" t="s">
        <v>38</v>
      </c>
      <c r="AJ8" s="2176" t="s">
        <v>39</v>
      </c>
      <c r="AK8" s="2185"/>
      <c r="AL8" s="2185"/>
      <c r="AM8" s="1936"/>
    </row>
    <row r="9" spans="1:72" ht="21.75" customHeight="1" x14ac:dyDescent="0.2">
      <c r="A9" s="2180"/>
      <c r="B9" s="2175"/>
      <c r="C9" s="2178"/>
      <c r="D9" s="2178"/>
      <c r="E9" s="2175"/>
      <c r="F9" s="2178"/>
      <c r="G9" s="2178"/>
      <c r="H9" s="2175"/>
      <c r="I9" s="2178"/>
      <c r="J9" s="2178"/>
      <c r="K9" s="2175"/>
      <c r="L9" s="2180"/>
      <c r="M9" s="2175"/>
      <c r="N9" s="2182"/>
      <c r="O9" s="2180"/>
      <c r="P9" s="2180"/>
      <c r="Q9" s="2175"/>
      <c r="R9" s="2175"/>
      <c r="S9" s="2175"/>
      <c r="T9" s="2199"/>
      <c r="U9" s="2180"/>
      <c r="V9" s="2176"/>
      <c r="W9" s="2180"/>
      <c r="X9" s="2180"/>
      <c r="Y9" s="2176"/>
      <c r="Z9" s="2183"/>
      <c r="AA9" s="2175"/>
      <c r="AB9" s="2184"/>
      <c r="AC9" s="2175"/>
      <c r="AD9" s="2176"/>
      <c r="AE9" s="2176"/>
      <c r="AF9" s="2176"/>
      <c r="AG9" s="2176"/>
      <c r="AH9" s="2176"/>
      <c r="AI9" s="2176"/>
      <c r="AJ9" s="2176"/>
      <c r="AK9" s="2185"/>
      <c r="AL9" s="2185"/>
      <c r="AM9" s="1936"/>
    </row>
    <row r="10" spans="1:72" s="13" customFormat="1" ht="29.25" customHeight="1" x14ac:dyDescent="0.2">
      <c r="A10" s="2">
        <v>4</v>
      </c>
      <c r="B10" s="3" t="s">
        <v>433</v>
      </c>
      <c r="C10" s="3"/>
      <c r="D10" s="3"/>
      <c r="E10" s="3"/>
      <c r="F10" s="3"/>
      <c r="G10" s="3"/>
      <c r="H10" s="3"/>
      <c r="I10" s="3"/>
      <c r="J10" s="3"/>
      <c r="K10" s="452"/>
      <c r="L10" s="3"/>
      <c r="M10" s="3"/>
      <c r="N10" s="291"/>
      <c r="O10" s="3"/>
      <c r="P10" s="5"/>
      <c r="Q10" s="453"/>
      <c r="R10" s="100"/>
      <c r="S10" s="5"/>
      <c r="T10" s="452"/>
      <c r="U10" s="452"/>
      <c r="V10" s="101"/>
      <c r="W10" s="101"/>
      <c r="X10" s="10"/>
      <c r="Y10" s="3"/>
      <c r="Z10" s="3"/>
      <c r="AA10" s="3"/>
      <c r="AB10" s="3"/>
      <c r="AC10" s="3"/>
      <c r="AD10" s="3"/>
      <c r="AE10" s="3"/>
      <c r="AF10" s="3"/>
      <c r="AG10" s="3"/>
      <c r="AH10" s="3"/>
      <c r="AI10" s="3"/>
      <c r="AJ10" s="3"/>
      <c r="AK10" s="102"/>
      <c r="AL10" s="102"/>
      <c r="AM10" s="103"/>
    </row>
    <row r="11" spans="1:72" s="118" customFormat="1" ht="26.25" customHeight="1" x14ac:dyDescent="0.2">
      <c r="A11" s="454"/>
      <c r="B11" s="454"/>
      <c r="C11" s="455"/>
      <c r="D11" s="456">
        <v>23</v>
      </c>
      <c r="E11" s="109" t="s">
        <v>434</v>
      </c>
      <c r="F11" s="109"/>
      <c r="G11" s="109"/>
      <c r="H11" s="109"/>
      <c r="I11" s="109"/>
      <c r="J11" s="109"/>
      <c r="K11" s="457"/>
      <c r="L11" s="109"/>
      <c r="M11" s="109"/>
      <c r="N11" s="1590"/>
      <c r="O11" s="109"/>
      <c r="P11" s="110"/>
      <c r="Q11" s="458"/>
      <c r="R11" s="113"/>
      <c r="S11" s="110"/>
      <c r="T11" s="457"/>
      <c r="U11" s="457"/>
      <c r="V11" s="114"/>
      <c r="W11" s="114"/>
      <c r="X11" s="111"/>
      <c r="Y11" s="109"/>
      <c r="Z11" s="109"/>
      <c r="AA11" s="109"/>
      <c r="AB11" s="109"/>
      <c r="AC11" s="109"/>
      <c r="AD11" s="109"/>
      <c r="AE11" s="109"/>
      <c r="AF11" s="109"/>
      <c r="AG11" s="109"/>
      <c r="AH11" s="109"/>
      <c r="AI11" s="109"/>
      <c r="AJ11" s="109"/>
      <c r="AK11" s="116"/>
      <c r="AL11" s="116"/>
      <c r="AM11" s="117"/>
    </row>
    <row r="12" spans="1:72" s="118" customFormat="1" ht="25.5" customHeight="1" x14ac:dyDescent="0.2">
      <c r="A12" s="459"/>
      <c r="B12" s="459"/>
      <c r="C12" s="460"/>
      <c r="D12" s="2207"/>
      <c r="E12" s="2208"/>
      <c r="F12" s="2209"/>
      <c r="G12" s="144">
        <v>75</v>
      </c>
      <c r="H12" s="123" t="s">
        <v>435</v>
      </c>
      <c r="I12" s="123"/>
      <c r="J12" s="123"/>
      <c r="K12" s="146"/>
      <c r="L12" s="123"/>
      <c r="M12" s="123"/>
      <c r="N12" s="1591"/>
      <c r="O12" s="123"/>
      <c r="P12" s="123"/>
      <c r="Q12" s="461"/>
      <c r="R12" s="127"/>
      <c r="S12" s="124"/>
      <c r="T12" s="146"/>
      <c r="U12" s="146"/>
      <c r="V12" s="128"/>
      <c r="W12" s="128"/>
      <c r="X12" s="125"/>
      <c r="Y12" s="123"/>
      <c r="Z12" s="123"/>
      <c r="AA12" s="123"/>
      <c r="AB12" s="123"/>
      <c r="AC12" s="123"/>
      <c r="AD12" s="123"/>
      <c r="AE12" s="123"/>
      <c r="AF12" s="123"/>
      <c r="AG12" s="123"/>
      <c r="AH12" s="123"/>
      <c r="AI12" s="123"/>
      <c r="AJ12" s="123"/>
      <c r="AK12" s="130"/>
      <c r="AL12" s="130"/>
      <c r="AM12" s="131"/>
    </row>
    <row r="13" spans="1:72" s="465" customFormat="1" ht="37.5" customHeight="1" x14ac:dyDescent="0.2">
      <c r="A13" s="459"/>
      <c r="B13" s="459"/>
      <c r="C13" s="460"/>
      <c r="D13" s="2210"/>
      <c r="E13" s="2211"/>
      <c r="F13" s="2212"/>
      <c r="G13" s="2207"/>
      <c r="H13" s="2208"/>
      <c r="I13" s="2209"/>
      <c r="J13" s="2216">
        <v>214</v>
      </c>
      <c r="K13" s="2191" t="s">
        <v>436</v>
      </c>
      <c r="L13" s="2218" t="s">
        <v>16</v>
      </c>
      <c r="M13" s="2220">
        <v>2</v>
      </c>
      <c r="N13" s="2186"/>
      <c r="O13" s="2188" t="s">
        <v>437</v>
      </c>
      <c r="P13" s="2191" t="s">
        <v>438</v>
      </c>
      <c r="Q13" s="2194">
        <f>SUM(V13:V14)/$R$13</f>
        <v>8.7608514574178849E-3</v>
      </c>
      <c r="R13" s="2195">
        <f>SUM(V13:V40)</f>
        <v>9051631612</v>
      </c>
      <c r="S13" s="2191" t="s">
        <v>439</v>
      </c>
      <c r="T13" s="2237" t="s">
        <v>440</v>
      </c>
      <c r="U13" s="2231" t="s">
        <v>441</v>
      </c>
      <c r="V13" s="2240">
        <v>79300000</v>
      </c>
      <c r="W13" s="462"/>
      <c r="X13" s="463"/>
      <c r="Y13" s="2200">
        <v>64149</v>
      </c>
      <c r="Z13" s="2200">
        <v>72224</v>
      </c>
      <c r="AA13" s="2200">
        <v>27477</v>
      </c>
      <c r="AB13" s="2200">
        <v>86843</v>
      </c>
      <c r="AC13" s="2200">
        <v>236429</v>
      </c>
      <c r="AD13" s="2200">
        <v>81384</v>
      </c>
      <c r="AE13" s="2232">
        <v>12718</v>
      </c>
      <c r="AF13" s="2232">
        <v>2145</v>
      </c>
      <c r="AG13" s="464"/>
      <c r="AH13" s="2232">
        <v>491</v>
      </c>
      <c r="AI13" s="2232">
        <v>16892</v>
      </c>
      <c r="AJ13" s="2232">
        <v>81384</v>
      </c>
      <c r="AK13" s="2205">
        <v>42809</v>
      </c>
      <c r="AL13" s="2205">
        <v>42998</v>
      </c>
      <c r="AM13" s="2200" t="s">
        <v>442</v>
      </c>
    </row>
    <row r="14" spans="1:72" s="470" customFormat="1" ht="37.5" customHeight="1" x14ac:dyDescent="0.2">
      <c r="A14" s="459"/>
      <c r="B14" s="459"/>
      <c r="C14" s="460"/>
      <c r="D14" s="2210"/>
      <c r="E14" s="2211"/>
      <c r="F14" s="2212"/>
      <c r="G14" s="2210"/>
      <c r="H14" s="2211"/>
      <c r="I14" s="2212"/>
      <c r="J14" s="2217"/>
      <c r="K14" s="2192"/>
      <c r="L14" s="2219"/>
      <c r="M14" s="2221"/>
      <c r="N14" s="2187"/>
      <c r="O14" s="2189"/>
      <c r="P14" s="2192"/>
      <c r="Q14" s="2194">
        <f>R14/SUM(R11:R38)*100</f>
        <v>0</v>
      </c>
      <c r="R14" s="2196"/>
      <c r="S14" s="2192"/>
      <c r="T14" s="2238"/>
      <c r="U14" s="2231"/>
      <c r="V14" s="2241"/>
      <c r="W14" s="466"/>
      <c r="X14" s="467"/>
      <c r="Y14" s="2201"/>
      <c r="Z14" s="2201"/>
      <c r="AA14" s="2201"/>
      <c r="AB14" s="2201"/>
      <c r="AC14" s="2201"/>
      <c r="AD14" s="2201"/>
      <c r="AE14" s="2233"/>
      <c r="AF14" s="2233"/>
      <c r="AG14" s="468"/>
      <c r="AH14" s="2233"/>
      <c r="AI14" s="2233"/>
      <c r="AJ14" s="2233"/>
      <c r="AK14" s="2206"/>
      <c r="AL14" s="2206"/>
      <c r="AM14" s="2201"/>
    </row>
    <row r="15" spans="1:72" s="470" customFormat="1" ht="51" x14ac:dyDescent="0.2">
      <c r="A15" s="459"/>
      <c r="B15" s="459"/>
      <c r="C15" s="460"/>
      <c r="D15" s="2210"/>
      <c r="E15" s="2211"/>
      <c r="F15" s="2212"/>
      <c r="G15" s="2210"/>
      <c r="H15" s="2211"/>
      <c r="I15" s="2212"/>
      <c r="J15" s="471">
        <v>215</v>
      </c>
      <c r="K15" s="472" t="s">
        <v>443</v>
      </c>
      <c r="L15" s="473" t="s">
        <v>16</v>
      </c>
      <c r="M15" s="474">
        <v>3</v>
      </c>
      <c r="N15" s="2187"/>
      <c r="O15" s="2189"/>
      <c r="P15" s="2192"/>
      <c r="Q15" s="475">
        <f>SUM(V15)/R13</f>
        <v>1.1611166307372254E-2</v>
      </c>
      <c r="R15" s="2196"/>
      <c r="S15" s="2192"/>
      <c r="T15" s="2238"/>
      <c r="U15" s="476" t="s">
        <v>444</v>
      </c>
      <c r="V15" s="477">
        <v>105100000</v>
      </c>
      <c r="W15" s="466"/>
      <c r="X15" s="467"/>
      <c r="Y15" s="2201"/>
      <c r="Z15" s="2201"/>
      <c r="AA15" s="2201"/>
      <c r="AB15" s="2201"/>
      <c r="AC15" s="2201"/>
      <c r="AD15" s="2201"/>
      <c r="AE15" s="2233"/>
      <c r="AF15" s="2233"/>
      <c r="AG15" s="468"/>
      <c r="AH15" s="2233"/>
      <c r="AI15" s="2233"/>
      <c r="AJ15" s="2233"/>
      <c r="AK15" s="479">
        <v>42809</v>
      </c>
      <c r="AL15" s="479">
        <v>42941</v>
      </c>
      <c r="AM15" s="2201"/>
    </row>
    <row r="16" spans="1:72" s="470" customFormat="1" ht="51" x14ac:dyDescent="0.2">
      <c r="A16" s="459"/>
      <c r="B16" s="459"/>
      <c r="C16" s="460"/>
      <c r="D16" s="2210"/>
      <c r="E16" s="2211"/>
      <c r="F16" s="2212"/>
      <c r="G16" s="2210"/>
      <c r="H16" s="2211"/>
      <c r="I16" s="2212"/>
      <c r="J16" s="2216">
        <v>216</v>
      </c>
      <c r="K16" s="2191" t="s">
        <v>445</v>
      </c>
      <c r="L16" s="2218" t="s">
        <v>16</v>
      </c>
      <c r="M16" s="2224">
        <v>2</v>
      </c>
      <c r="N16" s="2187"/>
      <c r="O16" s="2189"/>
      <c r="P16" s="2192"/>
      <c r="Q16" s="2227">
        <f>SUM(V16:V19)/R13</f>
        <v>0.3112808961717608</v>
      </c>
      <c r="R16" s="2196"/>
      <c r="S16" s="2192"/>
      <c r="T16" s="2238"/>
      <c r="U16" s="480" t="s">
        <v>446</v>
      </c>
      <c r="V16" s="477">
        <v>100000000</v>
      </c>
      <c r="W16" s="466"/>
      <c r="X16" s="467"/>
      <c r="Y16" s="2201"/>
      <c r="Z16" s="2201"/>
      <c r="AA16" s="2201"/>
      <c r="AB16" s="2201"/>
      <c r="AC16" s="2201"/>
      <c r="AD16" s="2201"/>
      <c r="AE16" s="2233"/>
      <c r="AF16" s="2233"/>
      <c r="AG16" s="468"/>
      <c r="AH16" s="2233"/>
      <c r="AI16" s="2233"/>
      <c r="AJ16" s="2233"/>
      <c r="AK16" s="479">
        <v>42814</v>
      </c>
      <c r="AL16" s="479">
        <v>42931</v>
      </c>
      <c r="AM16" s="2201"/>
    </row>
    <row r="17" spans="1:39" s="470" customFormat="1" ht="25.5" x14ac:dyDescent="0.2">
      <c r="A17" s="459"/>
      <c r="B17" s="459"/>
      <c r="C17" s="460"/>
      <c r="D17" s="2210"/>
      <c r="E17" s="2211"/>
      <c r="F17" s="2212"/>
      <c r="G17" s="2210"/>
      <c r="H17" s="2211"/>
      <c r="I17" s="2212"/>
      <c r="J17" s="2222"/>
      <c r="K17" s="2192"/>
      <c r="L17" s="2219"/>
      <c r="M17" s="2225"/>
      <c r="N17" s="2187"/>
      <c r="O17" s="2189"/>
      <c r="P17" s="2192"/>
      <c r="Q17" s="2228"/>
      <c r="R17" s="2196"/>
      <c r="S17" s="2192"/>
      <c r="T17" s="2238"/>
      <c r="U17" s="480" t="s">
        <v>447</v>
      </c>
      <c r="V17" s="477">
        <v>1960000000</v>
      </c>
      <c r="W17" s="466"/>
      <c r="X17" s="467"/>
      <c r="Y17" s="2201"/>
      <c r="Z17" s="2201"/>
      <c r="AA17" s="2201"/>
      <c r="AB17" s="2201"/>
      <c r="AC17" s="2201"/>
      <c r="AD17" s="2201"/>
      <c r="AE17" s="2233"/>
      <c r="AF17" s="2233"/>
      <c r="AG17" s="468"/>
      <c r="AH17" s="2233"/>
      <c r="AI17" s="2233"/>
      <c r="AJ17" s="2233"/>
      <c r="AK17" s="479">
        <v>42870</v>
      </c>
      <c r="AL17" s="479">
        <v>43100</v>
      </c>
      <c r="AM17" s="2201"/>
    </row>
    <row r="18" spans="1:39" s="470" customFormat="1" ht="38.25" x14ac:dyDescent="0.2">
      <c r="A18" s="459"/>
      <c r="B18" s="459"/>
      <c r="C18" s="460"/>
      <c r="D18" s="2210"/>
      <c r="E18" s="2211"/>
      <c r="F18" s="2212"/>
      <c r="G18" s="2210"/>
      <c r="H18" s="2211"/>
      <c r="I18" s="2212"/>
      <c r="J18" s="2222"/>
      <c r="K18" s="2192"/>
      <c r="L18" s="2219"/>
      <c r="M18" s="2225"/>
      <c r="N18" s="2187"/>
      <c r="O18" s="2189"/>
      <c r="P18" s="2192"/>
      <c r="Q18" s="2228"/>
      <c r="R18" s="2196"/>
      <c r="S18" s="2192"/>
      <c r="T18" s="2238"/>
      <c r="U18" s="480" t="s">
        <v>448</v>
      </c>
      <c r="V18" s="477">
        <v>707600000</v>
      </c>
      <c r="W18" s="466"/>
      <c r="X18" s="467"/>
      <c r="Y18" s="2201"/>
      <c r="Z18" s="2201"/>
      <c r="AA18" s="2201"/>
      <c r="AB18" s="2201"/>
      <c r="AC18" s="2201"/>
      <c r="AD18" s="2201"/>
      <c r="AE18" s="2233"/>
      <c r="AF18" s="2233"/>
      <c r="AG18" s="468"/>
      <c r="AH18" s="2233"/>
      <c r="AI18" s="2233"/>
      <c r="AJ18" s="2233"/>
      <c r="AK18" s="479">
        <v>42898</v>
      </c>
      <c r="AL18" s="479">
        <v>43089</v>
      </c>
      <c r="AM18" s="2201"/>
    </row>
    <row r="19" spans="1:39" s="470" customFormat="1" ht="63.75" x14ac:dyDescent="0.2">
      <c r="A19" s="459"/>
      <c r="B19" s="459"/>
      <c r="C19" s="460"/>
      <c r="D19" s="2210"/>
      <c r="E19" s="2211"/>
      <c r="F19" s="2212"/>
      <c r="G19" s="2210"/>
      <c r="H19" s="2211"/>
      <c r="I19" s="2212"/>
      <c r="J19" s="2217"/>
      <c r="K19" s="2193"/>
      <c r="L19" s="2223"/>
      <c r="M19" s="2226"/>
      <c r="N19" s="2187"/>
      <c r="O19" s="2189"/>
      <c r="P19" s="2192"/>
      <c r="Q19" s="2229"/>
      <c r="R19" s="2196"/>
      <c r="S19" s="2192"/>
      <c r="T19" s="2238"/>
      <c r="U19" s="481" t="s">
        <v>449</v>
      </c>
      <c r="V19" s="482">
        <v>50000000</v>
      </c>
      <c r="W19" s="466"/>
      <c r="X19" s="467"/>
      <c r="Y19" s="2201"/>
      <c r="Z19" s="2201"/>
      <c r="AA19" s="2201"/>
      <c r="AB19" s="2201"/>
      <c r="AC19" s="2201"/>
      <c r="AD19" s="2201"/>
      <c r="AE19" s="2233"/>
      <c r="AF19" s="2233"/>
      <c r="AG19" s="468"/>
      <c r="AH19" s="2233"/>
      <c r="AI19" s="2233"/>
      <c r="AJ19" s="2233"/>
      <c r="AK19" s="479">
        <v>42835</v>
      </c>
      <c r="AL19" s="479">
        <v>43060</v>
      </c>
      <c r="AM19" s="2201"/>
    </row>
    <row r="20" spans="1:39" s="470" customFormat="1" ht="25.5" x14ac:dyDescent="0.2">
      <c r="A20" s="459"/>
      <c r="B20" s="459"/>
      <c r="C20" s="460"/>
      <c r="D20" s="2210"/>
      <c r="E20" s="2211"/>
      <c r="F20" s="2212"/>
      <c r="G20" s="2210"/>
      <c r="H20" s="2211"/>
      <c r="I20" s="2212"/>
      <c r="J20" s="2230">
        <v>217</v>
      </c>
      <c r="K20" s="2231" t="s">
        <v>450</v>
      </c>
      <c r="L20" s="2218" t="s">
        <v>16</v>
      </c>
      <c r="M20" s="2235">
        <v>5</v>
      </c>
      <c r="N20" s="523"/>
      <c r="O20" s="2189"/>
      <c r="P20" s="2192"/>
      <c r="Q20" s="2227">
        <f>SUM(V20:V35)/R13</f>
        <v>0.64012013086331954</v>
      </c>
      <c r="R20" s="2196"/>
      <c r="S20" s="2192"/>
      <c r="T20" s="2238"/>
      <c r="U20" s="484" t="s">
        <v>451</v>
      </c>
      <c r="V20" s="485">
        <v>4085000000</v>
      </c>
      <c r="W20" s="466"/>
      <c r="X20" s="467"/>
      <c r="Y20" s="2201"/>
      <c r="Z20" s="2201"/>
      <c r="AA20" s="2201"/>
      <c r="AB20" s="2201"/>
      <c r="AC20" s="2201"/>
      <c r="AD20" s="2201"/>
      <c r="AE20" s="2233"/>
      <c r="AF20" s="2233"/>
      <c r="AG20" s="468"/>
      <c r="AH20" s="2233"/>
      <c r="AI20" s="2233"/>
      <c r="AJ20" s="2233"/>
      <c r="AK20" s="479">
        <v>42776</v>
      </c>
      <c r="AL20" s="479">
        <v>43084</v>
      </c>
      <c r="AM20" s="2201"/>
    </row>
    <row r="21" spans="1:39" s="470" customFormat="1" ht="34.5" customHeight="1" x14ac:dyDescent="0.2">
      <c r="A21" s="459"/>
      <c r="B21" s="459"/>
      <c r="C21" s="460"/>
      <c r="D21" s="2210"/>
      <c r="E21" s="2211"/>
      <c r="F21" s="2212"/>
      <c r="G21" s="2210"/>
      <c r="H21" s="2211"/>
      <c r="I21" s="2212"/>
      <c r="J21" s="2230"/>
      <c r="K21" s="2231"/>
      <c r="L21" s="2219"/>
      <c r="M21" s="2235"/>
      <c r="N21" s="523"/>
      <c r="O21" s="2189"/>
      <c r="P21" s="2192"/>
      <c r="Q21" s="2228"/>
      <c r="R21" s="2196"/>
      <c r="S21" s="2192"/>
      <c r="T21" s="2238"/>
      <c r="U21" s="480" t="s">
        <v>452</v>
      </c>
      <c r="V21" s="485">
        <v>71231612</v>
      </c>
      <c r="W21" s="466"/>
      <c r="X21" s="467"/>
      <c r="Y21" s="2201"/>
      <c r="Z21" s="2201"/>
      <c r="AA21" s="2201"/>
      <c r="AB21" s="2201"/>
      <c r="AC21" s="2201"/>
      <c r="AD21" s="2201"/>
      <c r="AE21" s="2233"/>
      <c r="AF21" s="2233"/>
      <c r="AG21" s="468"/>
      <c r="AH21" s="2233"/>
      <c r="AI21" s="2233"/>
      <c r="AJ21" s="2233"/>
      <c r="AK21" s="479">
        <v>42804</v>
      </c>
      <c r="AL21" s="479">
        <v>43085</v>
      </c>
      <c r="AM21" s="2201"/>
    </row>
    <row r="22" spans="1:39" s="470" customFormat="1" ht="25.5" x14ac:dyDescent="0.2">
      <c r="A22" s="459"/>
      <c r="B22" s="459"/>
      <c r="C22" s="460"/>
      <c r="D22" s="2210"/>
      <c r="E22" s="2211"/>
      <c r="F22" s="2212"/>
      <c r="G22" s="2210"/>
      <c r="H22" s="2211"/>
      <c r="I22" s="2212"/>
      <c r="J22" s="2230"/>
      <c r="K22" s="2231"/>
      <c r="L22" s="2219"/>
      <c r="M22" s="2235"/>
      <c r="N22" s="523"/>
      <c r="O22" s="2189"/>
      <c r="P22" s="2192"/>
      <c r="Q22" s="2228"/>
      <c r="R22" s="2196"/>
      <c r="S22" s="2192"/>
      <c r="T22" s="2238"/>
      <c r="U22" s="480" t="s">
        <v>453</v>
      </c>
      <c r="V22" s="485">
        <v>5000000</v>
      </c>
      <c r="W22" s="466"/>
      <c r="X22" s="467"/>
      <c r="Y22" s="2201"/>
      <c r="Z22" s="2201"/>
      <c r="AA22" s="2201"/>
      <c r="AB22" s="2201"/>
      <c r="AC22" s="2201"/>
      <c r="AD22" s="2201"/>
      <c r="AE22" s="2233"/>
      <c r="AF22" s="2233"/>
      <c r="AG22" s="468"/>
      <c r="AH22" s="2233"/>
      <c r="AI22" s="2233"/>
      <c r="AJ22" s="2233"/>
      <c r="AK22" s="479">
        <v>42767</v>
      </c>
      <c r="AL22" s="479">
        <v>42536</v>
      </c>
      <c r="AM22" s="2201"/>
    </row>
    <row r="23" spans="1:39" s="470" customFormat="1" ht="25.5" x14ac:dyDescent="0.2">
      <c r="A23" s="459"/>
      <c r="B23" s="459"/>
      <c r="C23" s="460"/>
      <c r="D23" s="2210"/>
      <c r="E23" s="2211"/>
      <c r="F23" s="2212"/>
      <c r="G23" s="2210"/>
      <c r="H23" s="2211"/>
      <c r="I23" s="2212"/>
      <c r="J23" s="2230"/>
      <c r="K23" s="2231"/>
      <c r="L23" s="2219"/>
      <c r="M23" s="2235"/>
      <c r="N23" s="523"/>
      <c r="O23" s="2189"/>
      <c r="P23" s="2192"/>
      <c r="Q23" s="2228"/>
      <c r="R23" s="2196"/>
      <c r="S23" s="2192"/>
      <c r="T23" s="2238"/>
      <c r="U23" s="480" t="s">
        <v>454</v>
      </c>
      <c r="V23" s="485">
        <v>303000000</v>
      </c>
      <c r="W23" s="466"/>
      <c r="X23" s="467"/>
      <c r="Y23" s="2201"/>
      <c r="Z23" s="2201"/>
      <c r="AA23" s="2201"/>
      <c r="AB23" s="2201"/>
      <c r="AC23" s="2201"/>
      <c r="AD23" s="2201"/>
      <c r="AE23" s="2233"/>
      <c r="AF23" s="2233"/>
      <c r="AG23" s="468"/>
      <c r="AH23" s="2233"/>
      <c r="AI23" s="2233"/>
      <c r="AJ23" s="2233"/>
      <c r="AK23" s="479">
        <v>42786</v>
      </c>
      <c r="AL23" s="479">
        <v>42537</v>
      </c>
      <c r="AM23" s="2201"/>
    </row>
    <row r="24" spans="1:39" s="470" customFormat="1" ht="21" customHeight="1" x14ac:dyDescent="0.2">
      <c r="A24" s="459"/>
      <c r="B24" s="459"/>
      <c r="C24" s="460"/>
      <c r="D24" s="2210"/>
      <c r="E24" s="2211"/>
      <c r="F24" s="2212"/>
      <c r="G24" s="2210"/>
      <c r="H24" s="2211"/>
      <c r="I24" s="2212"/>
      <c r="J24" s="2230"/>
      <c r="K24" s="2231"/>
      <c r="L24" s="2219"/>
      <c r="M24" s="2235"/>
      <c r="N24" s="523"/>
      <c r="O24" s="2189"/>
      <c r="P24" s="2192"/>
      <c r="Q24" s="2228"/>
      <c r="R24" s="2196"/>
      <c r="S24" s="2192"/>
      <c r="T24" s="2238"/>
      <c r="U24" s="480" t="s">
        <v>455</v>
      </c>
      <c r="V24" s="485">
        <v>60000000</v>
      </c>
      <c r="W24" s="466"/>
      <c r="X24" s="467"/>
      <c r="Y24" s="2201"/>
      <c r="Z24" s="2201"/>
      <c r="AA24" s="2201"/>
      <c r="AB24" s="2201"/>
      <c r="AC24" s="2201"/>
      <c r="AD24" s="2201"/>
      <c r="AE24" s="2233"/>
      <c r="AF24" s="2233"/>
      <c r="AG24" s="468"/>
      <c r="AH24" s="2233"/>
      <c r="AI24" s="2233"/>
      <c r="AJ24" s="2233"/>
      <c r="AK24" s="479">
        <v>42804</v>
      </c>
      <c r="AL24" s="479">
        <v>43085</v>
      </c>
      <c r="AM24" s="2201"/>
    </row>
    <row r="25" spans="1:39" s="470" customFormat="1" ht="38.25" x14ac:dyDescent="0.2">
      <c r="A25" s="459"/>
      <c r="B25" s="459"/>
      <c r="C25" s="460"/>
      <c r="D25" s="2210"/>
      <c r="E25" s="2211"/>
      <c r="F25" s="2212"/>
      <c r="G25" s="2210"/>
      <c r="H25" s="2211"/>
      <c r="I25" s="2212"/>
      <c r="J25" s="2230"/>
      <c r="K25" s="2231"/>
      <c r="L25" s="2219"/>
      <c r="M25" s="2235"/>
      <c r="N25" s="523"/>
      <c r="O25" s="2189"/>
      <c r="P25" s="2192"/>
      <c r="Q25" s="2228"/>
      <c r="R25" s="2196"/>
      <c r="S25" s="2192"/>
      <c r="T25" s="2238"/>
      <c r="U25" s="480" t="s">
        <v>456</v>
      </c>
      <c r="V25" s="485">
        <v>3000000</v>
      </c>
      <c r="W25" s="486">
        <v>20</v>
      </c>
      <c r="X25" s="487" t="s">
        <v>51</v>
      </c>
      <c r="Y25" s="2201"/>
      <c r="Z25" s="2201"/>
      <c r="AA25" s="2201"/>
      <c r="AB25" s="2201"/>
      <c r="AC25" s="2201"/>
      <c r="AD25" s="2201"/>
      <c r="AE25" s="2233"/>
      <c r="AF25" s="2233"/>
      <c r="AG25" s="468"/>
      <c r="AH25" s="2233"/>
      <c r="AI25" s="2233"/>
      <c r="AJ25" s="2233"/>
      <c r="AK25" s="479">
        <v>42750</v>
      </c>
      <c r="AL25" s="479">
        <v>42916</v>
      </c>
      <c r="AM25" s="2201"/>
    </row>
    <row r="26" spans="1:39" s="470" customFormat="1" ht="25.5" x14ac:dyDescent="0.2">
      <c r="A26" s="459"/>
      <c r="B26" s="459"/>
      <c r="C26" s="460"/>
      <c r="D26" s="2210"/>
      <c r="E26" s="2211"/>
      <c r="F26" s="2212"/>
      <c r="G26" s="2210"/>
      <c r="H26" s="2211"/>
      <c r="I26" s="2212"/>
      <c r="J26" s="2230"/>
      <c r="K26" s="2231"/>
      <c r="L26" s="2219"/>
      <c r="M26" s="2235"/>
      <c r="N26" s="523"/>
      <c r="O26" s="2189"/>
      <c r="P26" s="2192"/>
      <c r="Q26" s="2228"/>
      <c r="R26" s="2196"/>
      <c r="S26" s="2192"/>
      <c r="T26" s="2238"/>
      <c r="U26" s="480" t="s">
        <v>457</v>
      </c>
      <c r="V26" s="485">
        <v>300000000</v>
      </c>
      <c r="W26" s="486">
        <v>88</v>
      </c>
      <c r="X26" s="487" t="s">
        <v>458</v>
      </c>
      <c r="Y26" s="2201"/>
      <c r="Z26" s="2201"/>
      <c r="AA26" s="2201"/>
      <c r="AB26" s="2201"/>
      <c r="AC26" s="2201"/>
      <c r="AD26" s="2201"/>
      <c r="AE26" s="2233"/>
      <c r="AF26" s="2233"/>
      <c r="AG26" s="468"/>
      <c r="AH26" s="2233"/>
      <c r="AI26" s="2233"/>
      <c r="AJ26" s="2233"/>
      <c r="AK26" s="479">
        <v>42804</v>
      </c>
      <c r="AL26" s="479">
        <v>43085</v>
      </c>
      <c r="AM26" s="2201"/>
    </row>
    <row r="27" spans="1:39" s="470" customFormat="1" ht="84" customHeight="1" x14ac:dyDescent="0.2">
      <c r="A27" s="459"/>
      <c r="B27" s="459"/>
      <c r="C27" s="460"/>
      <c r="D27" s="2210"/>
      <c r="E27" s="2211"/>
      <c r="F27" s="2212"/>
      <c r="G27" s="2210"/>
      <c r="H27" s="2211"/>
      <c r="I27" s="2212"/>
      <c r="J27" s="2230"/>
      <c r="K27" s="2231"/>
      <c r="L27" s="2219"/>
      <c r="M27" s="2235"/>
      <c r="N27" s="523" t="s">
        <v>459</v>
      </c>
      <c r="O27" s="2189"/>
      <c r="P27" s="2192"/>
      <c r="Q27" s="2228"/>
      <c r="R27" s="2196"/>
      <c r="S27" s="2192"/>
      <c r="T27" s="2238"/>
      <c r="U27" s="480" t="s">
        <v>460</v>
      </c>
      <c r="V27" s="485">
        <v>290000000</v>
      </c>
      <c r="W27" s="488">
        <v>42</v>
      </c>
      <c r="X27" s="467" t="s">
        <v>461</v>
      </c>
      <c r="Y27" s="2201"/>
      <c r="Z27" s="2201"/>
      <c r="AA27" s="2201"/>
      <c r="AB27" s="2201"/>
      <c r="AC27" s="2201"/>
      <c r="AD27" s="2201"/>
      <c r="AE27" s="2233"/>
      <c r="AF27" s="2233"/>
      <c r="AG27" s="468"/>
      <c r="AH27" s="2233"/>
      <c r="AI27" s="2233"/>
      <c r="AJ27" s="2233"/>
      <c r="AK27" s="479">
        <v>42804</v>
      </c>
      <c r="AL27" s="479">
        <v>43085</v>
      </c>
      <c r="AM27" s="2201"/>
    </row>
    <row r="28" spans="1:39" s="470" customFormat="1" ht="84" customHeight="1" x14ac:dyDescent="0.2">
      <c r="A28" s="459"/>
      <c r="B28" s="459"/>
      <c r="C28" s="460"/>
      <c r="D28" s="2210"/>
      <c r="E28" s="2211"/>
      <c r="F28" s="2212"/>
      <c r="G28" s="2210"/>
      <c r="H28" s="2211"/>
      <c r="I28" s="2212"/>
      <c r="J28" s="2230"/>
      <c r="K28" s="2231"/>
      <c r="L28" s="2219"/>
      <c r="M28" s="2235"/>
      <c r="N28" s="523" t="s">
        <v>462</v>
      </c>
      <c r="O28" s="2189"/>
      <c r="P28" s="2192"/>
      <c r="Q28" s="2228"/>
      <c r="R28" s="2196"/>
      <c r="S28" s="2192"/>
      <c r="T28" s="2238"/>
      <c r="U28" s="480" t="s">
        <v>463</v>
      </c>
      <c r="V28" s="485">
        <v>100000000</v>
      </c>
      <c r="W28" s="488">
        <v>92</v>
      </c>
      <c r="X28" s="467" t="s">
        <v>464</v>
      </c>
      <c r="Y28" s="2201"/>
      <c r="Z28" s="2201"/>
      <c r="AA28" s="2201"/>
      <c r="AB28" s="2201"/>
      <c r="AC28" s="2201"/>
      <c r="AD28" s="2201"/>
      <c r="AE28" s="2233"/>
      <c r="AF28" s="2233"/>
      <c r="AG28" s="468"/>
      <c r="AH28" s="2233"/>
      <c r="AI28" s="2233"/>
      <c r="AJ28" s="2233"/>
      <c r="AK28" s="479">
        <v>42901</v>
      </c>
      <c r="AL28" s="479">
        <v>43054</v>
      </c>
      <c r="AM28" s="2201"/>
    </row>
    <row r="29" spans="1:39" s="470" customFormat="1" ht="68.25" customHeight="1" x14ac:dyDescent="0.2">
      <c r="A29" s="459"/>
      <c r="B29" s="459"/>
      <c r="C29" s="460"/>
      <c r="D29" s="2210"/>
      <c r="E29" s="2211"/>
      <c r="F29" s="2212"/>
      <c r="G29" s="2210"/>
      <c r="H29" s="2211"/>
      <c r="I29" s="2212"/>
      <c r="J29" s="2230"/>
      <c r="K29" s="2231"/>
      <c r="L29" s="2219"/>
      <c r="M29" s="2235"/>
      <c r="N29" s="523" t="s">
        <v>465</v>
      </c>
      <c r="O29" s="2189"/>
      <c r="P29" s="2192"/>
      <c r="Q29" s="2228"/>
      <c r="R29" s="2196"/>
      <c r="S29" s="2192"/>
      <c r="T29" s="2238"/>
      <c r="U29" s="480" t="s">
        <v>466</v>
      </c>
      <c r="V29" s="485">
        <v>3000000</v>
      </c>
      <c r="W29" s="466"/>
      <c r="X29" s="467"/>
      <c r="Y29" s="2201"/>
      <c r="Z29" s="2201"/>
      <c r="AA29" s="2201"/>
      <c r="AB29" s="2201"/>
      <c r="AC29" s="2201"/>
      <c r="AD29" s="2201"/>
      <c r="AE29" s="2233"/>
      <c r="AF29" s="2233"/>
      <c r="AG29" s="468"/>
      <c r="AH29" s="2233"/>
      <c r="AI29" s="2233"/>
      <c r="AJ29" s="2233"/>
      <c r="AK29" s="479">
        <v>42781</v>
      </c>
      <c r="AL29" s="479">
        <v>42845</v>
      </c>
      <c r="AM29" s="2201"/>
    </row>
    <row r="30" spans="1:39" s="470" customFormat="1" ht="51" x14ac:dyDescent="0.2">
      <c r="A30" s="459"/>
      <c r="B30" s="459"/>
      <c r="C30" s="460"/>
      <c r="D30" s="2210"/>
      <c r="E30" s="2211"/>
      <c r="F30" s="2212"/>
      <c r="G30" s="2210"/>
      <c r="H30" s="2211"/>
      <c r="I30" s="2212"/>
      <c r="J30" s="2230"/>
      <c r="K30" s="2231"/>
      <c r="L30" s="2219"/>
      <c r="M30" s="2235"/>
      <c r="N30" s="523" t="s">
        <v>467</v>
      </c>
      <c r="O30" s="2189"/>
      <c r="P30" s="2192"/>
      <c r="Q30" s="2228"/>
      <c r="R30" s="2196"/>
      <c r="S30" s="2192"/>
      <c r="T30" s="2238"/>
      <c r="U30" s="489" t="s">
        <v>468</v>
      </c>
      <c r="V30" s="485">
        <v>301150000</v>
      </c>
      <c r="W30" s="466"/>
      <c r="X30" s="467"/>
      <c r="Y30" s="2201"/>
      <c r="Z30" s="2201"/>
      <c r="AA30" s="2201"/>
      <c r="AB30" s="2201"/>
      <c r="AC30" s="2201"/>
      <c r="AD30" s="2201"/>
      <c r="AE30" s="2233"/>
      <c r="AF30" s="2233"/>
      <c r="AG30" s="468"/>
      <c r="AH30" s="2233"/>
      <c r="AI30" s="2233"/>
      <c r="AJ30" s="2233"/>
      <c r="AK30" s="479">
        <v>42830</v>
      </c>
      <c r="AL30" s="479">
        <v>43100</v>
      </c>
      <c r="AM30" s="2201"/>
    </row>
    <row r="31" spans="1:39" s="470" customFormat="1" ht="89.25" x14ac:dyDescent="0.2">
      <c r="A31" s="459"/>
      <c r="B31" s="459"/>
      <c r="C31" s="460"/>
      <c r="D31" s="2210"/>
      <c r="E31" s="2211"/>
      <c r="F31" s="2212"/>
      <c r="G31" s="2210"/>
      <c r="H31" s="2211"/>
      <c r="I31" s="2212"/>
      <c r="J31" s="2230"/>
      <c r="K31" s="2231"/>
      <c r="L31" s="2219"/>
      <c r="M31" s="2235"/>
      <c r="N31" s="523"/>
      <c r="O31" s="2189"/>
      <c r="P31" s="2192"/>
      <c r="Q31" s="2228"/>
      <c r="R31" s="2196"/>
      <c r="S31" s="2192"/>
      <c r="T31" s="2238"/>
      <c r="U31" s="489" t="s">
        <v>469</v>
      </c>
      <c r="V31" s="485">
        <v>100000000</v>
      </c>
      <c r="W31" s="466"/>
      <c r="X31" s="467"/>
      <c r="Y31" s="2201"/>
      <c r="Z31" s="2201"/>
      <c r="AA31" s="2201"/>
      <c r="AB31" s="2201"/>
      <c r="AC31" s="2201"/>
      <c r="AD31" s="2201"/>
      <c r="AE31" s="2233"/>
      <c r="AF31" s="2233"/>
      <c r="AG31" s="468"/>
      <c r="AH31" s="2233"/>
      <c r="AI31" s="2233"/>
      <c r="AJ31" s="2233"/>
      <c r="AK31" s="479"/>
      <c r="AL31" s="479"/>
      <c r="AM31" s="2201"/>
    </row>
    <row r="32" spans="1:39" s="470" customFormat="1" ht="38.25" x14ac:dyDescent="0.2">
      <c r="A32" s="459"/>
      <c r="B32" s="459"/>
      <c r="C32" s="460"/>
      <c r="D32" s="2210"/>
      <c r="E32" s="2211"/>
      <c r="F32" s="2212"/>
      <c r="G32" s="2210"/>
      <c r="H32" s="2211"/>
      <c r="I32" s="2212"/>
      <c r="J32" s="2230"/>
      <c r="K32" s="2231"/>
      <c r="L32" s="2219"/>
      <c r="M32" s="2235"/>
      <c r="N32" s="523"/>
      <c r="O32" s="2189"/>
      <c r="P32" s="2192"/>
      <c r="Q32" s="2228"/>
      <c r="R32" s="2196"/>
      <c r="S32" s="2192"/>
      <c r="T32" s="2238"/>
      <c r="U32" s="185" t="s">
        <v>470</v>
      </c>
      <c r="V32" s="485">
        <v>59900000</v>
      </c>
      <c r="W32" s="466"/>
      <c r="X32" s="467"/>
      <c r="Y32" s="2201"/>
      <c r="Z32" s="2201"/>
      <c r="AA32" s="2201"/>
      <c r="AB32" s="2201"/>
      <c r="AC32" s="2201"/>
      <c r="AD32" s="2201"/>
      <c r="AE32" s="2233"/>
      <c r="AF32" s="2233"/>
      <c r="AG32" s="468"/>
      <c r="AH32" s="2233"/>
      <c r="AI32" s="2233"/>
      <c r="AJ32" s="2233"/>
      <c r="AK32" s="479">
        <v>42750</v>
      </c>
      <c r="AL32" s="479">
        <v>42916</v>
      </c>
      <c r="AM32" s="2201"/>
    </row>
    <row r="33" spans="1:39" s="470" customFormat="1" ht="38.25" x14ac:dyDescent="0.2">
      <c r="A33" s="459"/>
      <c r="B33" s="459"/>
      <c r="C33" s="460"/>
      <c r="D33" s="2210"/>
      <c r="E33" s="2211"/>
      <c r="F33" s="2212"/>
      <c r="G33" s="2210"/>
      <c r="H33" s="2211"/>
      <c r="I33" s="2212"/>
      <c r="J33" s="2230"/>
      <c r="K33" s="2231"/>
      <c r="L33" s="2219"/>
      <c r="M33" s="2235"/>
      <c r="N33" s="523"/>
      <c r="O33" s="2189"/>
      <c r="P33" s="2192"/>
      <c r="Q33" s="2228"/>
      <c r="R33" s="2196"/>
      <c r="S33" s="2192"/>
      <c r="T33" s="2238"/>
      <c r="U33" s="185" t="s">
        <v>471</v>
      </c>
      <c r="V33" s="485">
        <v>43550000</v>
      </c>
      <c r="W33" s="466"/>
      <c r="X33" s="467"/>
      <c r="Y33" s="2201"/>
      <c r="Z33" s="2201"/>
      <c r="AA33" s="2201"/>
      <c r="AB33" s="2201"/>
      <c r="AC33" s="2201"/>
      <c r="AD33" s="2201"/>
      <c r="AE33" s="2233"/>
      <c r="AF33" s="2233"/>
      <c r="AG33" s="468"/>
      <c r="AH33" s="2233"/>
      <c r="AI33" s="2233"/>
      <c r="AJ33" s="2233"/>
      <c r="AK33" s="479">
        <v>42750</v>
      </c>
      <c r="AL33" s="479">
        <v>42916</v>
      </c>
      <c r="AM33" s="2201"/>
    </row>
    <row r="34" spans="1:39" s="470" customFormat="1" ht="51" x14ac:dyDescent="0.2">
      <c r="A34" s="459"/>
      <c r="B34" s="459"/>
      <c r="C34" s="460"/>
      <c r="D34" s="2210"/>
      <c r="E34" s="2211"/>
      <c r="F34" s="2212"/>
      <c r="G34" s="2210"/>
      <c r="H34" s="2211"/>
      <c r="I34" s="2212"/>
      <c r="J34" s="2230"/>
      <c r="K34" s="2231"/>
      <c r="L34" s="2219"/>
      <c r="M34" s="2235"/>
      <c r="N34" s="523"/>
      <c r="O34" s="2189"/>
      <c r="P34" s="2192"/>
      <c r="Q34" s="2228"/>
      <c r="R34" s="2196"/>
      <c r="S34" s="2192"/>
      <c r="T34" s="2238"/>
      <c r="U34" s="153" t="s">
        <v>472</v>
      </c>
      <c r="V34" s="485">
        <v>27500000</v>
      </c>
      <c r="W34" s="466"/>
      <c r="X34" s="467"/>
      <c r="Y34" s="2201"/>
      <c r="Z34" s="2201"/>
      <c r="AA34" s="2201"/>
      <c r="AB34" s="2201"/>
      <c r="AC34" s="2201"/>
      <c r="AD34" s="2201"/>
      <c r="AE34" s="2233"/>
      <c r="AF34" s="2233"/>
      <c r="AG34" s="468"/>
      <c r="AH34" s="2233"/>
      <c r="AI34" s="2233"/>
      <c r="AJ34" s="2233"/>
      <c r="AK34" s="479">
        <v>42750</v>
      </c>
      <c r="AL34" s="479">
        <v>42916</v>
      </c>
      <c r="AM34" s="2201"/>
    </row>
    <row r="35" spans="1:39" s="470" customFormat="1" ht="51" x14ac:dyDescent="0.2">
      <c r="A35" s="459"/>
      <c r="B35" s="459"/>
      <c r="C35" s="460"/>
      <c r="D35" s="2210"/>
      <c r="E35" s="2211"/>
      <c r="F35" s="2212"/>
      <c r="G35" s="2210"/>
      <c r="H35" s="2211"/>
      <c r="I35" s="2212"/>
      <c r="J35" s="2230"/>
      <c r="K35" s="2231"/>
      <c r="L35" s="2223"/>
      <c r="M35" s="2235"/>
      <c r="N35" s="523"/>
      <c r="O35" s="2189"/>
      <c r="P35" s="2192"/>
      <c r="Q35" s="2229"/>
      <c r="R35" s="2196"/>
      <c r="S35" s="2192"/>
      <c r="T35" s="2238"/>
      <c r="U35" s="480" t="s">
        <v>473</v>
      </c>
      <c r="V35" s="485">
        <v>41800000</v>
      </c>
      <c r="W35" s="466"/>
      <c r="X35" s="467"/>
      <c r="Y35" s="2201"/>
      <c r="Z35" s="2201"/>
      <c r="AA35" s="2201"/>
      <c r="AB35" s="2201"/>
      <c r="AC35" s="2201"/>
      <c r="AD35" s="2201"/>
      <c r="AE35" s="2233"/>
      <c r="AF35" s="2233"/>
      <c r="AG35" s="468"/>
      <c r="AH35" s="2233"/>
      <c r="AI35" s="2233"/>
      <c r="AJ35" s="2233"/>
      <c r="AK35" s="479">
        <v>42750</v>
      </c>
      <c r="AL35" s="479">
        <v>42916</v>
      </c>
      <c r="AM35" s="2201"/>
    </row>
    <row r="36" spans="1:39" s="470" customFormat="1" ht="51" customHeight="1" x14ac:dyDescent="0.2">
      <c r="A36" s="459"/>
      <c r="B36" s="459"/>
      <c r="C36" s="460"/>
      <c r="D36" s="2210"/>
      <c r="E36" s="2211"/>
      <c r="F36" s="2212"/>
      <c r="G36" s="2210"/>
      <c r="H36" s="2211"/>
      <c r="I36" s="2212"/>
      <c r="J36" s="2230">
        <v>218</v>
      </c>
      <c r="K36" s="2231" t="s">
        <v>474</v>
      </c>
      <c r="L36" s="2236" t="s">
        <v>16</v>
      </c>
      <c r="M36" s="2235">
        <v>3</v>
      </c>
      <c r="N36" s="523"/>
      <c r="O36" s="2189"/>
      <c r="P36" s="2192"/>
      <c r="Q36" s="2227">
        <f>SUM(V36:V40)/R13</f>
        <v>2.8226955200129505E-2</v>
      </c>
      <c r="R36" s="2196"/>
      <c r="S36" s="2192"/>
      <c r="T36" s="2238"/>
      <c r="U36" s="490" t="s">
        <v>475</v>
      </c>
      <c r="V36" s="485">
        <v>50000000</v>
      </c>
      <c r="W36" s="466"/>
      <c r="X36" s="467"/>
      <c r="Y36" s="2201"/>
      <c r="Z36" s="2201"/>
      <c r="AA36" s="2201"/>
      <c r="AB36" s="2201"/>
      <c r="AC36" s="2201"/>
      <c r="AD36" s="2201"/>
      <c r="AE36" s="2233"/>
      <c r="AF36" s="2233"/>
      <c r="AG36" s="468"/>
      <c r="AH36" s="2233"/>
      <c r="AI36" s="2233"/>
      <c r="AJ36" s="2233"/>
      <c r="AK36" s="479">
        <v>42750</v>
      </c>
      <c r="AL36" s="479">
        <v>42916</v>
      </c>
      <c r="AM36" s="2201"/>
    </row>
    <row r="37" spans="1:39" s="470" customFormat="1" ht="25.5" x14ac:dyDescent="0.2">
      <c r="A37" s="459"/>
      <c r="B37" s="459"/>
      <c r="C37" s="460"/>
      <c r="D37" s="2210"/>
      <c r="E37" s="2211"/>
      <c r="F37" s="2212"/>
      <c r="G37" s="2210"/>
      <c r="H37" s="2211"/>
      <c r="I37" s="2212"/>
      <c r="J37" s="2230"/>
      <c r="K37" s="2231"/>
      <c r="L37" s="2236"/>
      <c r="M37" s="2235"/>
      <c r="N37" s="523"/>
      <c r="O37" s="2189"/>
      <c r="P37" s="2192"/>
      <c r="Q37" s="2228"/>
      <c r="R37" s="2196"/>
      <c r="S37" s="2192"/>
      <c r="T37" s="2238"/>
      <c r="U37" s="491" t="s">
        <v>476</v>
      </c>
      <c r="V37" s="492">
        <v>100000000</v>
      </c>
      <c r="W37" s="466"/>
      <c r="X37" s="467"/>
      <c r="Y37" s="2201"/>
      <c r="Z37" s="2201"/>
      <c r="AA37" s="2201"/>
      <c r="AB37" s="2201"/>
      <c r="AC37" s="2201"/>
      <c r="AD37" s="2201"/>
      <c r="AE37" s="2233"/>
      <c r="AF37" s="2233"/>
      <c r="AG37" s="468"/>
      <c r="AH37" s="2233"/>
      <c r="AI37" s="2233"/>
      <c r="AJ37" s="2233"/>
      <c r="AK37" s="479">
        <v>42809</v>
      </c>
      <c r="AL37" s="479">
        <v>43089</v>
      </c>
      <c r="AM37" s="2201"/>
    </row>
    <row r="38" spans="1:39" s="470" customFormat="1" ht="25.5" x14ac:dyDescent="0.2">
      <c r="A38" s="459"/>
      <c r="B38" s="459"/>
      <c r="C38" s="460"/>
      <c r="D38" s="2210"/>
      <c r="E38" s="2211"/>
      <c r="F38" s="2212"/>
      <c r="G38" s="2210"/>
      <c r="H38" s="2211"/>
      <c r="I38" s="2212"/>
      <c r="J38" s="2230"/>
      <c r="K38" s="2231"/>
      <c r="L38" s="2236"/>
      <c r="M38" s="2235"/>
      <c r="N38" s="523"/>
      <c r="O38" s="2189"/>
      <c r="P38" s="2192"/>
      <c r="Q38" s="2228"/>
      <c r="R38" s="2196"/>
      <c r="S38" s="2192"/>
      <c r="T38" s="2238"/>
      <c r="U38" s="484" t="s">
        <v>477</v>
      </c>
      <c r="V38" s="492">
        <v>30000000</v>
      </c>
      <c r="W38" s="466"/>
      <c r="X38" s="467"/>
      <c r="Y38" s="2201"/>
      <c r="Z38" s="2201"/>
      <c r="AA38" s="2201"/>
      <c r="AB38" s="2201"/>
      <c r="AC38" s="2201"/>
      <c r="AD38" s="2201"/>
      <c r="AE38" s="2233"/>
      <c r="AF38" s="2233"/>
      <c r="AG38" s="468"/>
      <c r="AH38" s="2233"/>
      <c r="AI38" s="2233"/>
      <c r="AJ38" s="2233"/>
      <c r="AK38" s="479">
        <v>42809</v>
      </c>
      <c r="AL38" s="479">
        <v>43089</v>
      </c>
      <c r="AM38" s="2201"/>
    </row>
    <row r="39" spans="1:39" s="470" customFormat="1" ht="25.5" x14ac:dyDescent="0.2">
      <c r="A39" s="459"/>
      <c r="B39" s="459"/>
      <c r="C39" s="460"/>
      <c r="D39" s="2210"/>
      <c r="E39" s="2211"/>
      <c r="F39" s="2212"/>
      <c r="G39" s="2210"/>
      <c r="H39" s="2211"/>
      <c r="I39" s="2212"/>
      <c r="J39" s="2230"/>
      <c r="K39" s="2231"/>
      <c r="L39" s="2236"/>
      <c r="M39" s="2235"/>
      <c r="N39" s="523"/>
      <c r="O39" s="2189"/>
      <c r="P39" s="2192"/>
      <c r="Q39" s="2228"/>
      <c r="R39" s="2196"/>
      <c r="S39" s="2192"/>
      <c r="T39" s="2238"/>
      <c r="U39" s="484" t="s">
        <v>478</v>
      </c>
      <c r="V39" s="492">
        <v>30000000</v>
      </c>
      <c r="W39" s="466"/>
      <c r="X39" s="467"/>
      <c r="Y39" s="2201"/>
      <c r="Z39" s="2201"/>
      <c r="AA39" s="2201"/>
      <c r="AB39" s="2201"/>
      <c r="AC39" s="2201"/>
      <c r="AD39" s="2201"/>
      <c r="AE39" s="2233"/>
      <c r="AF39" s="2233"/>
      <c r="AG39" s="468"/>
      <c r="AH39" s="2233"/>
      <c r="AI39" s="2233"/>
      <c r="AJ39" s="2233"/>
      <c r="AK39" s="479">
        <v>42906</v>
      </c>
      <c r="AL39" s="479">
        <v>43023</v>
      </c>
      <c r="AM39" s="2201"/>
    </row>
    <row r="40" spans="1:39" s="470" customFormat="1" ht="25.5" x14ac:dyDescent="0.2">
      <c r="A40" s="459"/>
      <c r="B40" s="459"/>
      <c r="C40" s="460"/>
      <c r="D40" s="2210"/>
      <c r="E40" s="2211"/>
      <c r="F40" s="2212"/>
      <c r="G40" s="2213"/>
      <c r="H40" s="2214"/>
      <c r="I40" s="2215"/>
      <c r="J40" s="2230"/>
      <c r="K40" s="2231"/>
      <c r="L40" s="2236"/>
      <c r="M40" s="2235"/>
      <c r="N40" s="1592"/>
      <c r="O40" s="2190"/>
      <c r="P40" s="2193"/>
      <c r="Q40" s="2229"/>
      <c r="R40" s="2197"/>
      <c r="S40" s="2193"/>
      <c r="T40" s="2239"/>
      <c r="U40" s="484" t="s">
        <v>479</v>
      </c>
      <c r="V40" s="482">
        <v>45500000</v>
      </c>
      <c r="W40" s="494"/>
      <c r="X40" s="495"/>
      <c r="Y40" s="2202"/>
      <c r="Z40" s="2202"/>
      <c r="AA40" s="2202"/>
      <c r="AB40" s="2202"/>
      <c r="AC40" s="2202"/>
      <c r="AD40" s="2202"/>
      <c r="AE40" s="2234"/>
      <c r="AF40" s="2234"/>
      <c r="AG40" s="496"/>
      <c r="AH40" s="2234"/>
      <c r="AI40" s="2234"/>
      <c r="AJ40" s="2234"/>
      <c r="AK40" s="479">
        <v>42799</v>
      </c>
      <c r="AL40" s="479">
        <v>43089</v>
      </c>
      <c r="AM40" s="2201"/>
    </row>
    <row r="41" spans="1:39" s="118" customFormat="1" ht="25.5" customHeight="1" x14ac:dyDescent="0.2">
      <c r="A41" s="459"/>
      <c r="B41" s="459"/>
      <c r="C41" s="460"/>
      <c r="D41" s="2210"/>
      <c r="E41" s="2211"/>
      <c r="F41" s="2212"/>
      <c r="G41" s="144">
        <v>76</v>
      </c>
      <c r="H41" s="123" t="s">
        <v>480</v>
      </c>
      <c r="I41" s="123"/>
      <c r="J41" s="123"/>
      <c r="K41" s="146"/>
      <c r="L41" s="123"/>
      <c r="M41" s="123"/>
      <c r="N41" s="1591"/>
      <c r="O41" s="123"/>
      <c r="P41" s="124"/>
      <c r="Q41" s="461"/>
      <c r="R41" s="127"/>
      <c r="S41" s="124"/>
      <c r="T41" s="146"/>
      <c r="U41" s="146"/>
      <c r="V41" s="128"/>
      <c r="W41" s="128"/>
      <c r="X41" s="497"/>
      <c r="Y41" s="123"/>
      <c r="Z41" s="123"/>
      <c r="AA41" s="123"/>
      <c r="AB41" s="123"/>
      <c r="AC41" s="123"/>
      <c r="AD41" s="123"/>
      <c r="AE41" s="123"/>
      <c r="AF41" s="123"/>
      <c r="AG41" s="123"/>
      <c r="AH41" s="123"/>
      <c r="AI41" s="123"/>
      <c r="AJ41" s="123"/>
      <c r="AK41" s="130"/>
      <c r="AL41" s="130"/>
      <c r="AM41" s="2200" t="s">
        <v>442</v>
      </c>
    </row>
    <row r="42" spans="1:39" s="470" customFormat="1" ht="38.25" x14ac:dyDescent="0.2">
      <c r="A42" s="459"/>
      <c r="B42" s="459"/>
      <c r="C42" s="460"/>
      <c r="D42" s="2210"/>
      <c r="E42" s="2211"/>
      <c r="F42" s="2212"/>
      <c r="G42" s="2242"/>
      <c r="H42" s="2245"/>
      <c r="I42" s="2246"/>
      <c r="J42" s="2251">
        <v>219</v>
      </c>
      <c r="K42" s="2191" t="s">
        <v>481</v>
      </c>
      <c r="L42" s="2253" t="s">
        <v>482</v>
      </c>
      <c r="M42" s="2255">
        <v>11</v>
      </c>
      <c r="N42" s="2187"/>
      <c r="O42" s="2188" t="s">
        <v>483</v>
      </c>
      <c r="P42" s="2191" t="s">
        <v>484</v>
      </c>
      <c r="Q42" s="2227">
        <f>SUM(V42:V43)/R42</f>
        <v>0.26698564593301438</v>
      </c>
      <c r="R42" s="2195">
        <f>SUM(V42:V54)</f>
        <v>418000000</v>
      </c>
      <c r="S42" s="2191" t="s">
        <v>485</v>
      </c>
      <c r="T42" s="2191" t="s">
        <v>486</v>
      </c>
      <c r="U42" s="484" t="s">
        <v>487</v>
      </c>
      <c r="V42" s="483">
        <v>101600000</v>
      </c>
      <c r="W42" s="2265"/>
      <c r="X42" s="2200"/>
      <c r="Y42" s="2298">
        <v>1195</v>
      </c>
      <c r="Z42" s="2200">
        <v>1324</v>
      </c>
      <c r="AA42" s="2200">
        <v>507</v>
      </c>
      <c r="AB42" s="2200">
        <v>1598</v>
      </c>
      <c r="AC42" s="2200">
        <v>4203</v>
      </c>
      <c r="AD42" s="2200">
        <v>1421</v>
      </c>
      <c r="AE42" s="2270"/>
      <c r="AF42" s="2273"/>
      <c r="AG42" s="498"/>
      <c r="AH42" s="2273"/>
      <c r="AI42" s="498"/>
      <c r="AJ42" s="498"/>
      <c r="AK42" s="479">
        <v>42750</v>
      </c>
      <c r="AL42" s="479">
        <v>43018</v>
      </c>
      <c r="AM42" s="2201"/>
    </row>
    <row r="43" spans="1:39" s="470" customFormat="1" ht="25.5" x14ac:dyDescent="0.2">
      <c r="A43" s="459"/>
      <c r="B43" s="459"/>
      <c r="C43" s="460"/>
      <c r="D43" s="2210"/>
      <c r="E43" s="2211"/>
      <c r="F43" s="2212"/>
      <c r="G43" s="2243"/>
      <c r="H43" s="2247"/>
      <c r="I43" s="2248"/>
      <c r="J43" s="2252"/>
      <c r="K43" s="2193"/>
      <c r="L43" s="2254"/>
      <c r="M43" s="2256"/>
      <c r="N43" s="2187"/>
      <c r="O43" s="2189"/>
      <c r="P43" s="2192"/>
      <c r="Q43" s="2229"/>
      <c r="R43" s="2196"/>
      <c r="S43" s="2192"/>
      <c r="T43" s="2192"/>
      <c r="U43" s="484" t="s">
        <v>488</v>
      </c>
      <c r="V43" s="483">
        <v>10000000</v>
      </c>
      <c r="W43" s="2266"/>
      <c r="X43" s="2201"/>
      <c r="Y43" s="2299"/>
      <c r="Z43" s="2201"/>
      <c r="AA43" s="2201"/>
      <c r="AB43" s="2201"/>
      <c r="AC43" s="2201"/>
      <c r="AD43" s="2201"/>
      <c r="AE43" s="2271"/>
      <c r="AF43" s="2274"/>
      <c r="AG43" s="499"/>
      <c r="AH43" s="2274"/>
      <c r="AI43" s="499"/>
      <c r="AJ43" s="499"/>
      <c r="AK43" s="479">
        <v>42814</v>
      </c>
      <c r="AL43" s="479">
        <v>42962</v>
      </c>
      <c r="AM43" s="2201"/>
    </row>
    <row r="44" spans="1:39" s="470" customFormat="1" x14ac:dyDescent="0.2">
      <c r="A44" s="459"/>
      <c r="B44" s="459"/>
      <c r="C44" s="460"/>
      <c r="D44" s="2210"/>
      <c r="E44" s="2211"/>
      <c r="F44" s="2212"/>
      <c r="G44" s="2243"/>
      <c r="H44" s="2247"/>
      <c r="I44" s="2248"/>
      <c r="J44" s="2251">
        <v>220</v>
      </c>
      <c r="K44" s="2191" t="s">
        <v>489</v>
      </c>
      <c r="L44" s="2253" t="s">
        <v>16</v>
      </c>
      <c r="M44" s="2262">
        <v>9</v>
      </c>
      <c r="N44" s="2192" t="s">
        <v>490</v>
      </c>
      <c r="O44" s="2189"/>
      <c r="P44" s="2192"/>
      <c r="Q44" s="2227">
        <f>SUM(V44:V49)/R42</f>
        <v>0.62583732057416264</v>
      </c>
      <c r="R44" s="2196"/>
      <c r="S44" s="2192"/>
      <c r="T44" s="2192"/>
      <c r="U44" s="2267" t="s">
        <v>491</v>
      </c>
      <c r="V44" s="2240">
        <v>80000000</v>
      </c>
      <c r="W44" s="2266"/>
      <c r="X44" s="500"/>
      <c r="Y44" s="2299"/>
      <c r="Z44" s="2201"/>
      <c r="AA44" s="2201"/>
      <c r="AB44" s="2201"/>
      <c r="AC44" s="2201"/>
      <c r="AD44" s="2201"/>
      <c r="AE44" s="2271"/>
      <c r="AF44" s="2274"/>
      <c r="AG44" s="499"/>
      <c r="AH44" s="2274"/>
      <c r="AI44" s="499"/>
      <c r="AJ44" s="499"/>
      <c r="AK44" s="2269">
        <v>42750</v>
      </c>
      <c r="AL44" s="2269">
        <v>42962</v>
      </c>
      <c r="AM44" s="2201"/>
    </row>
    <row r="45" spans="1:39" s="470" customFormat="1" x14ac:dyDescent="0.2">
      <c r="A45" s="459"/>
      <c r="B45" s="459"/>
      <c r="C45" s="460"/>
      <c r="D45" s="2210"/>
      <c r="E45" s="2211"/>
      <c r="F45" s="2212"/>
      <c r="G45" s="2243"/>
      <c r="H45" s="2247"/>
      <c r="I45" s="2248"/>
      <c r="J45" s="2259"/>
      <c r="K45" s="2192"/>
      <c r="L45" s="2260"/>
      <c r="M45" s="2263"/>
      <c r="N45" s="2192"/>
      <c r="O45" s="2189"/>
      <c r="P45" s="2192"/>
      <c r="Q45" s="2228"/>
      <c r="R45" s="2196"/>
      <c r="S45" s="2192"/>
      <c r="T45" s="2192"/>
      <c r="U45" s="2268"/>
      <c r="V45" s="2241"/>
      <c r="W45" s="2266"/>
      <c r="X45" s="501"/>
      <c r="Y45" s="2299"/>
      <c r="Z45" s="2201"/>
      <c r="AA45" s="2201"/>
      <c r="AB45" s="2201"/>
      <c r="AC45" s="2201"/>
      <c r="AD45" s="2201"/>
      <c r="AE45" s="2271"/>
      <c r="AF45" s="2274"/>
      <c r="AG45" s="499"/>
      <c r="AH45" s="2274"/>
      <c r="AI45" s="499"/>
      <c r="AJ45" s="499"/>
      <c r="AK45" s="2269"/>
      <c r="AL45" s="2269"/>
      <c r="AM45" s="2201"/>
    </row>
    <row r="46" spans="1:39" s="470" customFormat="1" ht="38.25" x14ac:dyDescent="0.2">
      <c r="A46" s="459"/>
      <c r="B46" s="459"/>
      <c r="C46" s="460"/>
      <c r="D46" s="2210"/>
      <c r="E46" s="2211"/>
      <c r="F46" s="2212"/>
      <c r="G46" s="2243"/>
      <c r="H46" s="2247"/>
      <c r="I46" s="2248"/>
      <c r="J46" s="2259"/>
      <c r="K46" s="2192"/>
      <c r="L46" s="2260"/>
      <c r="M46" s="2263"/>
      <c r="N46" s="2192"/>
      <c r="O46" s="2189"/>
      <c r="P46" s="2192"/>
      <c r="Q46" s="2228"/>
      <c r="R46" s="2196"/>
      <c r="S46" s="2192"/>
      <c r="T46" s="2192"/>
      <c r="U46" s="484" t="s">
        <v>492</v>
      </c>
      <c r="V46" s="502">
        <v>5000000</v>
      </c>
      <c r="W46" s="2266"/>
      <c r="X46" s="503"/>
      <c r="Y46" s="2299"/>
      <c r="Z46" s="2201"/>
      <c r="AA46" s="2201"/>
      <c r="AB46" s="2201"/>
      <c r="AC46" s="2201"/>
      <c r="AD46" s="2201"/>
      <c r="AE46" s="2271"/>
      <c r="AF46" s="2274"/>
      <c r="AG46" s="499"/>
      <c r="AH46" s="2274"/>
      <c r="AI46" s="499"/>
      <c r="AJ46" s="499"/>
      <c r="AK46" s="479">
        <v>42791</v>
      </c>
      <c r="AL46" s="479">
        <v>43023</v>
      </c>
      <c r="AM46" s="2201"/>
    </row>
    <row r="47" spans="1:39" s="470" customFormat="1" ht="51" x14ac:dyDescent="0.2">
      <c r="A47" s="459"/>
      <c r="B47" s="459"/>
      <c r="C47" s="460"/>
      <c r="D47" s="2210"/>
      <c r="E47" s="2211"/>
      <c r="F47" s="2212"/>
      <c r="G47" s="2243"/>
      <c r="H47" s="2247"/>
      <c r="I47" s="2248"/>
      <c r="J47" s="2259"/>
      <c r="K47" s="2192"/>
      <c r="L47" s="2260"/>
      <c r="M47" s="2263"/>
      <c r="N47" s="2192"/>
      <c r="O47" s="2189"/>
      <c r="P47" s="2192"/>
      <c r="Q47" s="2228"/>
      <c r="R47" s="2196"/>
      <c r="S47" s="2192"/>
      <c r="T47" s="2192"/>
      <c r="U47" s="484" t="s">
        <v>493</v>
      </c>
      <c r="V47" s="502">
        <v>95000000</v>
      </c>
      <c r="W47" s="504">
        <v>20</v>
      </c>
      <c r="X47" s="503" t="s">
        <v>494</v>
      </c>
      <c r="Y47" s="2299"/>
      <c r="Z47" s="2201"/>
      <c r="AA47" s="2201"/>
      <c r="AB47" s="2201"/>
      <c r="AC47" s="2201"/>
      <c r="AD47" s="2201"/>
      <c r="AE47" s="2271"/>
      <c r="AF47" s="2274"/>
      <c r="AG47" s="499"/>
      <c r="AH47" s="2274"/>
      <c r="AI47" s="499"/>
      <c r="AJ47" s="499"/>
      <c r="AK47" s="479">
        <v>42809</v>
      </c>
      <c r="AL47" s="479">
        <v>43084</v>
      </c>
      <c r="AM47" s="2201"/>
    </row>
    <row r="48" spans="1:39" s="470" customFormat="1" ht="38.25" x14ac:dyDescent="0.2">
      <c r="A48" s="459"/>
      <c r="B48" s="459"/>
      <c r="C48" s="460"/>
      <c r="D48" s="2210"/>
      <c r="E48" s="2211"/>
      <c r="F48" s="2212"/>
      <c r="G48" s="2243"/>
      <c r="H48" s="2247"/>
      <c r="I48" s="2248"/>
      <c r="J48" s="2259"/>
      <c r="K48" s="2192"/>
      <c r="L48" s="2260"/>
      <c r="M48" s="2263"/>
      <c r="N48" s="2192"/>
      <c r="O48" s="2189"/>
      <c r="P48" s="2192"/>
      <c r="Q48" s="2228"/>
      <c r="R48" s="2196"/>
      <c r="S48" s="2192"/>
      <c r="T48" s="2192"/>
      <c r="U48" s="484" t="s">
        <v>495</v>
      </c>
      <c r="V48" s="502">
        <v>40000000</v>
      </c>
      <c r="W48" s="504">
        <v>42</v>
      </c>
      <c r="X48" s="501" t="s">
        <v>496</v>
      </c>
      <c r="Y48" s="2299"/>
      <c r="Z48" s="2201"/>
      <c r="AA48" s="2201"/>
      <c r="AB48" s="2201"/>
      <c r="AC48" s="2201"/>
      <c r="AD48" s="2201"/>
      <c r="AE48" s="2271"/>
      <c r="AF48" s="2274"/>
      <c r="AG48" s="499"/>
      <c r="AH48" s="2274"/>
      <c r="AI48" s="499"/>
      <c r="AJ48" s="499"/>
      <c r="AK48" s="479">
        <v>42750</v>
      </c>
      <c r="AL48" s="479">
        <v>42962</v>
      </c>
      <c r="AM48" s="2201"/>
    </row>
    <row r="49" spans="1:39" s="470" customFormat="1" ht="25.5" x14ac:dyDescent="0.2">
      <c r="A49" s="459"/>
      <c r="B49" s="459"/>
      <c r="C49" s="460"/>
      <c r="D49" s="2210"/>
      <c r="E49" s="2211"/>
      <c r="F49" s="2212"/>
      <c r="G49" s="2243"/>
      <c r="H49" s="2247"/>
      <c r="I49" s="2248"/>
      <c r="J49" s="2252"/>
      <c r="K49" s="2193"/>
      <c r="L49" s="2254"/>
      <c r="M49" s="2264"/>
      <c r="N49" s="2192"/>
      <c r="O49" s="2189"/>
      <c r="P49" s="2192"/>
      <c r="Q49" s="2229"/>
      <c r="R49" s="2196"/>
      <c r="S49" s="2192"/>
      <c r="T49" s="2192"/>
      <c r="U49" s="484" t="s">
        <v>488</v>
      </c>
      <c r="V49" s="483">
        <v>41600000</v>
      </c>
      <c r="W49" s="504"/>
      <c r="X49" s="501"/>
      <c r="Y49" s="2299"/>
      <c r="Z49" s="2201"/>
      <c r="AA49" s="2201"/>
      <c r="AB49" s="2201"/>
      <c r="AC49" s="2201"/>
      <c r="AD49" s="2201"/>
      <c r="AE49" s="2271"/>
      <c r="AF49" s="2274"/>
      <c r="AG49" s="499"/>
      <c r="AH49" s="2274"/>
      <c r="AI49" s="499"/>
      <c r="AJ49" s="499"/>
      <c r="AK49" s="479">
        <v>42814</v>
      </c>
      <c r="AL49" s="479">
        <v>42962</v>
      </c>
      <c r="AM49" s="2201"/>
    </row>
    <row r="50" spans="1:39" x14ac:dyDescent="0.2">
      <c r="A50" s="459"/>
      <c r="B50" s="459"/>
      <c r="C50" s="460"/>
      <c r="D50" s="2210"/>
      <c r="E50" s="2211"/>
      <c r="F50" s="2212"/>
      <c r="G50" s="2243"/>
      <c r="H50" s="2247"/>
      <c r="I50" s="2248"/>
      <c r="J50" s="2251">
        <v>221</v>
      </c>
      <c r="K50" s="2191" t="s">
        <v>497</v>
      </c>
      <c r="L50" s="2253" t="s">
        <v>16</v>
      </c>
      <c r="M50" s="2255">
        <v>1</v>
      </c>
      <c r="N50" s="523"/>
      <c r="O50" s="2189"/>
      <c r="P50" s="2192"/>
      <c r="Q50" s="2227">
        <f>SUM(V50:V53)/R42</f>
        <v>6.4114832535885166E-2</v>
      </c>
      <c r="R50" s="2196"/>
      <c r="S50" s="2192"/>
      <c r="T50" s="2192"/>
      <c r="U50" s="2267" t="s">
        <v>498</v>
      </c>
      <c r="V50" s="2240">
        <v>20000000</v>
      </c>
      <c r="W50" s="2276"/>
      <c r="X50" s="501"/>
      <c r="Y50" s="2299"/>
      <c r="Z50" s="2201"/>
      <c r="AA50" s="2201"/>
      <c r="AB50" s="2201"/>
      <c r="AC50" s="2201"/>
      <c r="AD50" s="2201"/>
      <c r="AE50" s="2271"/>
      <c r="AF50" s="2274"/>
      <c r="AG50" s="499"/>
      <c r="AH50" s="2274"/>
      <c r="AI50" s="499"/>
      <c r="AJ50" s="499"/>
      <c r="AK50" s="2269">
        <v>42750</v>
      </c>
      <c r="AL50" s="2269">
        <v>42916</v>
      </c>
      <c r="AM50" s="2201"/>
    </row>
    <row r="51" spans="1:39" x14ac:dyDescent="0.2">
      <c r="A51" s="459"/>
      <c r="B51" s="459"/>
      <c r="C51" s="460"/>
      <c r="D51" s="2210"/>
      <c r="E51" s="2211"/>
      <c r="F51" s="2212"/>
      <c r="G51" s="2243"/>
      <c r="H51" s="2247"/>
      <c r="I51" s="2248"/>
      <c r="J51" s="2259"/>
      <c r="K51" s="2192"/>
      <c r="L51" s="2260"/>
      <c r="M51" s="2261"/>
      <c r="N51" s="523"/>
      <c r="O51" s="2189"/>
      <c r="P51" s="2192"/>
      <c r="Q51" s="2228"/>
      <c r="R51" s="2196"/>
      <c r="S51" s="2192"/>
      <c r="T51" s="2192"/>
      <c r="U51" s="2268"/>
      <c r="V51" s="2241"/>
      <c r="W51" s="2233"/>
      <c r="X51" s="501"/>
      <c r="Y51" s="2299"/>
      <c r="Z51" s="2201"/>
      <c r="AA51" s="2201"/>
      <c r="AB51" s="2201"/>
      <c r="AC51" s="2201"/>
      <c r="AD51" s="2201"/>
      <c r="AE51" s="2271"/>
      <c r="AF51" s="2274"/>
      <c r="AG51" s="499"/>
      <c r="AH51" s="2274"/>
      <c r="AI51" s="499"/>
      <c r="AJ51" s="499"/>
      <c r="AK51" s="2269"/>
      <c r="AL51" s="2269"/>
      <c r="AM51" s="2201"/>
    </row>
    <row r="52" spans="1:39" x14ac:dyDescent="0.2">
      <c r="A52" s="459"/>
      <c r="B52" s="459"/>
      <c r="C52" s="460"/>
      <c r="D52" s="2210"/>
      <c r="E52" s="2211"/>
      <c r="F52" s="2212"/>
      <c r="G52" s="2243"/>
      <c r="H52" s="2247"/>
      <c r="I52" s="2248"/>
      <c r="J52" s="2259"/>
      <c r="K52" s="2192"/>
      <c r="L52" s="2260"/>
      <c r="M52" s="2261"/>
      <c r="N52" s="523"/>
      <c r="O52" s="2189"/>
      <c r="P52" s="2192"/>
      <c r="Q52" s="2228"/>
      <c r="R52" s="2196"/>
      <c r="S52" s="2192"/>
      <c r="T52" s="2192"/>
      <c r="U52" s="2267" t="s">
        <v>488</v>
      </c>
      <c r="V52" s="2240">
        <v>6800000</v>
      </c>
      <c r="W52" s="2233"/>
      <c r="X52" s="501"/>
      <c r="Y52" s="2299"/>
      <c r="Z52" s="2201"/>
      <c r="AA52" s="2201"/>
      <c r="AB52" s="2201"/>
      <c r="AC52" s="2201"/>
      <c r="AD52" s="2201"/>
      <c r="AE52" s="2271"/>
      <c r="AF52" s="2274"/>
      <c r="AG52" s="499"/>
      <c r="AH52" s="2274"/>
      <c r="AI52" s="499"/>
      <c r="AJ52" s="499"/>
      <c r="AK52" s="2269">
        <v>42809</v>
      </c>
      <c r="AL52" s="2269">
        <v>42957</v>
      </c>
      <c r="AM52" s="2201"/>
    </row>
    <row r="53" spans="1:39" x14ac:dyDescent="0.2">
      <c r="A53" s="459"/>
      <c r="B53" s="459"/>
      <c r="C53" s="460"/>
      <c r="D53" s="2210"/>
      <c r="E53" s="2211"/>
      <c r="F53" s="2212"/>
      <c r="G53" s="2243"/>
      <c r="H53" s="2247"/>
      <c r="I53" s="2248"/>
      <c r="J53" s="2252"/>
      <c r="K53" s="2193"/>
      <c r="L53" s="2254"/>
      <c r="M53" s="2256"/>
      <c r="N53" s="523"/>
      <c r="O53" s="2257"/>
      <c r="P53" s="2192"/>
      <c r="Q53" s="2229"/>
      <c r="R53" s="2196"/>
      <c r="S53" s="2192"/>
      <c r="T53" s="2192"/>
      <c r="U53" s="2268"/>
      <c r="V53" s="2241"/>
      <c r="W53" s="2233"/>
      <c r="X53" s="501"/>
      <c r="Y53" s="2299"/>
      <c r="Z53" s="2201"/>
      <c r="AA53" s="2201"/>
      <c r="AB53" s="2201"/>
      <c r="AC53" s="2201"/>
      <c r="AD53" s="2201"/>
      <c r="AE53" s="2271"/>
      <c r="AF53" s="2274"/>
      <c r="AG53" s="499"/>
      <c r="AH53" s="2274"/>
      <c r="AI53" s="499"/>
      <c r="AJ53" s="499"/>
      <c r="AK53" s="2269"/>
      <c r="AL53" s="2269"/>
      <c r="AM53" s="2201"/>
    </row>
    <row r="54" spans="1:39" ht="38.25" x14ac:dyDescent="0.2">
      <c r="A54" s="459"/>
      <c r="B54" s="459"/>
      <c r="C54" s="460"/>
      <c r="D54" s="2213"/>
      <c r="E54" s="2214"/>
      <c r="F54" s="2215"/>
      <c r="G54" s="2244"/>
      <c r="H54" s="2249"/>
      <c r="I54" s="2250"/>
      <c r="J54" s="505">
        <v>222</v>
      </c>
      <c r="K54" s="506" t="s">
        <v>499</v>
      </c>
      <c r="L54" s="507" t="s">
        <v>16</v>
      </c>
      <c r="M54" s="508">
        <v>1</v>
      </c>
      <c r="N54" s="1592"/>
      <c r="O54" s="2258"/>
      <c r="P54" s="2193"/>
      <c r="Q54" s="509">
        <f>SUM(V54)/R42</f>
        <v>4.3062200956937802E-2</v>
      </c>
      <c r="R54" s="2197"/>
      <c r="S54" s="2193"/>
      <c r="T54" s="2193"/>
      <c r="U54" s="490" t="s">
        <v>500</v>
      </c>
      <c r="V54" s="510">
        <v>18000000</v>
      </c>
      <c r="W54" s="2233"/>
      <c r="X54" s="511"/>
      <c r="Y54" s="2300"/>
      <c r="Z54" s="2202"/>
      <c r="AA54" s="2202"/>
      <c r="AB54" s="2202"/>
      <c r="AC54" s="2202"/>
      <c r="AD54" s="2202"/>
      <c r="AE54" s="2272"/>
      <c r="AF54" s="2275"/>
      <c r="AG54" s="512"/>
      <c r="AH54" s="2275"/>
      <c r="AI54" s="512"/>
      <c r="AJ54" s="512"/>
      <c r="AK54" s="479">
        <v>42750</v>
      </c>
      <c r="AL54" s="479">
        <v>42977</v>
      </c>
      <c r="AM54" s="2202"/>
    </row>
    <row r="55" spans="1:39" s="118" customFormat="1" ht="26.25" customHeight="1" x14ac:dyDescent="0.2">
      <c r="A55" s="459"/>
      <c r="B55" s="459"/>
      <c r="C55" s="460"/>
      <c r="D55" s="456">
        <v>24</v>
      </c>
      <c r="E55" s="109" t="s">
        <v>501</v>
      </c>
      <c r="F55" s="109"/>
      <c r="G55" s="109"/>
      <c r="H55" s="109"/>
      <c r="I55" s="109"/>
      <c r="J55" s="109"/>
      <c r="K55" s="457"/>
      <c r="L55" s="109"/>
      <c r="M55" s="109"/>
      <c r="N55" s="1590"/>
      <c r="O55" s="109"/>
      <c r="P55" s="110"/>
      <c r="Q55" s="458"/>
      <c r="R55" s="113"/>
      <c r="S55" s="110"/>
      <c r="T55" s="457"/>
      <c r="U55" s="457"/>
      <c r="V55" s="114"/>
      <c r="W55" s="114"/>
      <c r="X55" s="114"/>
      <c r="Y55" s="114"/>
      <c r="Z55" s="114"/>
      <c r="AA55" s="114"/>
      <c r="AB55" s="114"/>
      <c r="AC55" s="114"/>
      <c r="AD55" s="114"/>
      <c r="AE55" s="114"/>
      <c r="AF55" s="114"/>
      <c r="AG55" s="114"/>
      <c r="AH55" s="114"/>
      <c r="AI55" s="114"/>
      <c r="AJ55" s="114"/>
      <c r="AK55" s="114"/>
      <c r="AL55" s="116"/>
      <c r="AM55" s="164"/>
    </row>
    <row r="56" spans="1:39" s="118" customFormat="1" ht="25.5" customHeight="1" x14ac:dyDescent="0.2">
      <c r="A56" s="459"/>
      <c r="B56" s="459"/>
      <c r="C56" s="460"/>
      <c r="D56" s="513"/>
      <c r="E56" s="514"/>
      <c r="F56" s="515"/>
      <c r="G56" s="144">
        <v>78</v>
      </c>
      <c r="H56" s="123" t="s">
        <v>502</v>
      </c>
      <c r="I56" s="123"/>
      <c r="J56" s="123"/>
      <c r="K56" s="146"/>
      <c r="L56" s="123"/>
      <c r="M56" s="123"/>
      <c r="N56" s="1593"/>
      <c r="O56" s="516"/>
      <c r="P56" s="124"/>
      <c r="Q56" s="461"/>
      <c r="R56" s="127"/>
      <c r="S56" s="124"/>
      <c r="T56" s="146"/>
      <c r="U56" s="146"/>
      <c r="V56" s="128"/>
      <c r="W56" s="128"/>
      <c r="X56" s="128"/>
      <c r="Y56" s="128"/>
      <c r="Z56" s="128"/>
      <c r="AA56" s="128"/>
      <c r="AB56" s="128"/>
      <c r="AC56" s="128"/>
      <c r="AD56" s="128"/>
      <c r="AE56" s="128"/>
      <c r="AF56" s="128"/>
      <c r="AG56" s="128"/>
      <c r="AH56" s="128"/>
      <c r="AI56" s="128"/>
      <c r="AJ56" s="128"/>
      <c r="AK56" s="128"/>
      <c r="AL56" s="128"/>
      <c r="AM56" s="517"/>
    </row>
    <row r="57" spans="1:39" ht="51" x14ac:dyDescent="0.2">
      <c r="A57" s="459"/>
      <c r="B57" s="459"/>
      <c r="C57" s="460"/>
      <c r="D57" s="2242"/>
      <c r="E57" s="2280"/>
      <c r="F57" s="2281"/>
      <c r="G57" s="2242"/>
      <c r="H57" s="2286"/>
      <c r="I57" s="2287"/>
      <c r="J57" s="2251">
        <v>226</v>
      </c>
      <c r="K57" s="2292" t="s">
        <v>503</v>
      </c>
      <c r="L57" s="2219" t="s">
        <v>16</v>
      </c>
      <c r="M57" s="2295">
        <v>12</v>
      </c>
      <c r="N57" s="2191" t="s">
        <v>504</v>
      </c>
      <c r="O57" s="2188" t="s">
        <v>505</v>
      </c>
      <c r="P57" s="2191" t="s">
        <v>506</v>
      </c>
      <c r="Q57" s="2277">
        <f>SUM(V57:V63)/R57</f>
        <v>0.43382611822285638</v>
      </c>
      <c r="R57" s="2195">
        <f>SUM(V57:V76)</f>
        <v>577189776</v>
      </c>
      <c r="S57" s="2191" t="s">
        <v>507</v>
      </c>
      <c r="T57" s="2237" t="s">
        <v>508</v>
      </c>
      <c r="U57" s="484" t="s">
        <v>509</v>
      </c>
      <c r="V57" s="482">
        <v>10000000</v>
      </c>
      <c r="W57" s="466"/>
      <c r="X57" s="518"/>
      <c r="Y57" s="2307">
        <v>363</v>
      </c>
      <c r="Z57" s="2301">
        <v>705</v>
      </c>
      <c r="AA57" s="2301">
        <v>553</v>
      </c>
      <c r="AB57" s="2301">
        <v>835</v>
      </c>
      <c r="AC57" s="2301">
        <v>1717</v>
      </c>
      <c r="AD57" s="2301">
        <v>282</v>
      </c>
      <c r="AE57" s="2301">
        <v>141</v>
      </c>
      <c r="AF57" s="2301">
        <v>113</v>
      </c>
      <c r="AG57" s="519"/>
      <c r="AH57" s="2301">
        <v>5833</v>
      </c>
      <c r="AI57" s="519"/>
      <c r="AJ57" s="519"/>
      <c r="AK57" s="479">
        <v>42750</v>
      </c>
      <c r="AL57" s="520">
        <v>42916</v>
      </c>
      <c r="AM57" s="2200" t="s">
        <v>510</v>
      </c>
    </row>
    <row r="58" spans="1:39" ht="51" x14ac:dyDescent="0.2">
      <c r="A58" s="459"/>
      <c r="B58" s="459"/>
      <c r="C58" s="460"/>
      <c r="D58" s="2243"/>
      <c r="E58" s="2282"/>
      <c r="F58" s="2283"/>
      <c r="G58" s="2243"/>
      <c r="H58" s="2288"/>
      <c r="I58" s="2289"/>
      <c r="J58" s="2259"/>
      <c r="K58" s="2293"/>
      <c r="L58" s="2219"/>
      <c r="M58" s="2296"/>
      <c r="N58" s="2192"/>
      <c r="O58" s="2189"/>
      <c r="P58" s="2192"/>
      <c r="Q58" s="2278"/>
      <c r="R58" s="2196"/>
      <c r="S58" s="2192"/>
      <c r="T58" s="2238"/>
      <c r="U58" s="484" t="s">
        <v>511</v>
      </c>
      <c r="V58" s="482">
        <v>20000000</v>
      </c>
      <c r="W58" s="466"/>
      <c r="X58" s="521"/>
      <c r="Y58" s="2308"/>
      <c r="Z58" s="2302"/>
      <c r="AA58" s="2302"/>
      <c r="AB58" s="2302"/>
      <c r="AC58" s="2302"/>
      <c r="AD58" s="2302"/>
      <c r="AE58" s="2302"/>
      <c r="AF58" s="2302"/>
      <c r="AG58" s="522"/>
      <c r="AH58" s="2302"/>
      <c r="AI58" s="522"/>
      <c r="AJ58" s="522"/>
      <c r="AK58" s="479">
        <v>42751</v>
      </c>
      <c r="AL58" s="520">
        <v>42931</v>
      </c>
      <c r="AM58" s="2201"/>
    </row>
    <row r="59" spans="1:39" ht="89.25" customHeight="1" x14ac:dyDescent="0.2">
      <c r="A59" s="459"/>
      <c r="B59" s="459"/>
      <c r="C59" s="460"/>
      <c r="D59" s="2243"/>
      <c r="E59" s="2282"/>
      <c r="F59" s="2283"/>
      <c r="G59" s="2243"/>
      <c r="H59" s="2288"/>
      <c r="I59" s="2289"/>
      <c r="J59" s="2259"/>
      <c r="K59" s="2293"/>
      <c r="L59" s="2219"/>
      <c r="M59" s="2296"/>
      <c r="N59" s="2192"/>
      <c r="O59" s="2189"/>
      <c r="P59" s="2192"/>
      <c r="Q59" s="2278"/>
      <c r="R59" s="2196"/>
      <c r="S59" s="2192"/>
      <c r="T59" s="2238"/>
      <c r="U59" s="484" t="s">
        <v>512</v>
      </c>
      <c r="V59" s="482">
        <v>20000000</v>
      </c>
      <c r="W59" s="466"/>
      <c r="X59" s="521"/>
      <c r="Y59" s="2308"/>
      <c r="Z59" s="2302"/>
      <c r="AA59" s="2302"/>
      <c r="AB59" s="2302"/>
      <c r="AC59" s="2302"/>
      <c r="AD59" s="2302"/>
      <c r="AE59" s="2302"/>
      <c r="AF59" s="2302"/>
      <c r="AG59" s="522"/>
      <c r="AH59" s="2302"/>
      <c r="AI59" s="522"/>
      <c r="AJ59" s="522"/>
      <c r="AK59" s="479">
        <v>42751</v>
      </c>
      <c r="AL59" s="520">
        <v>42931</v>
      </c>
      <c r="AM59" s="2201"/>
    </row>
    <row r="60" spans="1:39" ht="63.75" x14ac:dyDescent="0.2">
      <c r="A60" s="459"/>
      <c r="B60" s="459"/>
      <c r="C60" s="460"/>
      <c r="D60" s="2243"/>
      <c r="E60" s="2282"/>
      <c r="F60" s="2283"/>
      <c r="G60" s="2243"/>
      <c r="H60" s="2288"/>
      <c r="I60" s="2289"/>
      <c r="J60" s="2259"/>
      <c r="K60" s="2293"/>
      <c r="L60" s="2219"/>
      <c r="M60" s="2296"/>
      <c r="N60" s="2192"/>
      <c r="O60" s="2189"/>
      <c r="P60" s="2192"/>
      <c r="Q60" s="2278"/>
      <c r="R60" s="2196"/>
      <c r="S60" s="2192"/>
      <c r="T60" s="2238"/>
      <c r="U60" s="484" t="s">
        <v>513</v>
      </c>
      <c r="V60" s="482">
        <v>10000000</v>
      </c>
      <c r="W60" s="466"/>
      <c r="X60" s="521"/>
      <c r="Y60" s="2308"/>
      <c r="Z60" s="2302"/>
      <c r="AA60" s="2302"/>
      <c r="AB60" s="2302"/>
      <c r="AC60" s="2302"/>
      <c r="AD60" s="2302"/>
      <c r="AE60" s="2302"/>
      <c r="AF60" s="2302"/>
      <c r="AG60" s="522"/>
      <c r="AH60" s="2302"/>
      <c r="AI60" s="522"/>
      <c r="AJ60" s="522"/>
      <c r="AK60" s="479">
        <v>42750</v>
      </c>
      <c r="AL60" s="520">
        <v>42916</v>
      </c>
      <c r="AM60" s="2201"/>
    </row>
    <row r="61" spans="1:39" ht="76.5" x14ac:dyDescent="0.2">
      <c r="A61" s="459"/>
      <c r="B61" s="459"/>
      <c r="C61" s="460"/>
      <c r="D61" s="2243"/>
      <c r="E61" s="2282"/>
      <c r="F61" s="2283"/>
      <c r="G61" s="2243"/>
      <c r="H61" s="2288"/>
      <c r="I61" s="2289"/>
      <c r="J61" s="2259"/>
      <c r="K61" s="2293"/>
      <c r="L61" s="2219"/>
      <c r="M61" s="2296"/>
      <c r="N61" s="2192"/>
      <c r="O61" s="2189"/>
      <c r="P61" s="2192"/>
      <c r="Q61" s="2278"/>
      <c r="R61" s="2196"/>
      <c r="S61" s="2192"/>
      <c r="T61" s="2238"/>
      <c r="U61" s="484" t="s">
        <v>514</v>
      </c>
      <c r="V61" s="482">
        <v>15000000</v>
      </c>
      <c r="W61" s="466"/>
      <c r="X61" s="521"/>
      <c r="Y61" s="2308"/>
      <c r="Z61" s="2302"/>
      <c r="AA61" s="2302"/>
      <c r="AB61" s="2302"/>
      <c r="AC61" s="2302"/>
      <c r="AD61" s="2302"/>
      <c r="AE61" s="2302"/>
      <c r="AF61" s="2302"/>
      <c r="AG61" s="522"/>
      <c r="AH61" s="2302"/>
      <c r="AI61" s="522"/>
      <c r="AJ61" s="522"/>
      <c r="AK61" s="479">
        <v>42750</v>
      </c>
      <c r="AL61" s="520">
        <v>42916</v>
      </c>
      <c r="AM61" s="2201"/>
    </row>
    <row r="62" spans="1:39" ht="25.5" x14ac:dyDescent="0.2">
      <c r="A62" s="459"/>
      <c r="B62" s="459"/>
      <c r="C62" s="460"/>
      <c r="D62" s="2243"/>
      <c r="E62" s="2282"/>
      <c r="F62" s="2283"/>
      <c r="G62" s="2243"/>
      <c r="H62" s="2288"/>
      <c r="I62" s="2289"/>
      <c r="J62" s="2259"/>
      <c r="K62" s="2293"/>
      <c r="L62" s="2219"/>
      <c r="M62" s="2296"/>
      <c r="N62" s="2192"/>
      <c r="O62" s="2189"/>
      <c r="P62" s="2192"/>
      <c r="Q62" s="2278"/>
      <c r="R62" s="2196"/>
      <c r="S62" s="2192"/>
      <c r="T62" s="2238"/>
      <c r="U62" s="480" t="s">
        <v>515</v>
      </c>
      <c r="V62" s="477">
        <v>150400000</v>
      </c>
      <c r="W62" s="466"/>
      <c r="X62" s="521"/>
      <c r="Y62" s="2308"/>
      <c r="Z62" s="2302"/>
      <c r="AA62" s="2302"/>
      <c r="AB62" s="2302"/>
      <c r="AC62" s="2302"/>
      <c r="AD62" s="2302"/>
      <c r="AE62" s="2302"/>
      <c r="AF62" s="2302"/>
      <c r="AG62" s="522"/>
      <c r="AH62" s="2302"/>
      <c r="AI62" s="522"/>
      <c r="AJ62" s="522"/>
      <c r="AK62" s="2205">
        <v>42814</v>
      </c>
      <c r="AL62" s="2205">
        <v>43089</v>
      </c>
      <c r="AM62" s="2201"/>
    </row>
    <row r="63" spans="1:39" x14ac:dyDescent="0.2">
      <c r="A63" s="459"/>
      <c r="B63" s="459"/>
      <c r="C63" s="460"/>
      <c r="D63" s="2243"/>
      <c r="E63" s="2282"/>
      <c r="F63" s="2283"/>
      <c r="G63" s="2243"/>
      <c r="H63" s="2288"/>
      <c r="I63" s="2289"/>
      <c r="J63" s="2252"/>
      <c r="K63" s="2294"/>
      <c r="L63" s="2223"/>
      <c r="M63" s="2297"/>
      <c r="N63" s="2192"/>
      <c r="O63" s="2189"/>
      <c r="P63" s="2192"/>
      <c r="Q63" s="2279"/>
      <c r="R63" s="2196"/>
      <c r="S63" s="2192"/>
      <c r="T63" s="2238"/>
      <c r="U63" s="480" t="s">
        <v>516</v>
      </c>
      <c r="V63" s="477">
        <v>25000000</v>
      </c>
      <c r="W63" s="466"/>
      <c r="X63" s="521"/>
      <c r="Y63" s="2308"/>
      <c r="Z63" s="2302"/>
      <c r="AA63" s="2302"/>
      <c r="AB63" s="2302"/>
      <c r="AC63" s="2302"/>
      <c r="AD63" s="2302"/>
      <c r="AE63" s="2302"/>
      <c r="AF63" s="2302"/>
      <c r="AG63" s="522"/>
      <c r="AH63" s="2302"/>
      <c r="AI63" s="522"/>
      <c r="AJ63" s="522"/>
      <c r="AK63" s="2206"/>
      <c r="AL63" s="2206"/>
      <c r="AM63" s="2201"/>
    </row>
    <row r="64" spans="1:39" ht="51" x14ac:dyDescent="0.2">
      <c r="A64" s="459"/>
      <c r="B64" s="459"/>
      <c r="C64" s="460"/>
      <c r="D64" s="2243"/>
      <c r="E64" s="2282"/>
      <c r="F64" s="2283"/>
      <c r="G64" s="2243"/>
      <c r="H64" s="2288"/>
      <c r="I64" s="2289"/>
      <c r="J64" s="2200">
        <v>227</v>
      </c>
      <c r="K64" s="2191" t="s">
        <v>517</v>
      </c>
      <c r="L64" s="2218" t="s">
        <v>16</v>
      </c>
      <c r="M64" s="2295">
        <v>12</v>
      </c>
      <c r="N64" s="2192"/>
      <c r="O64" s="2189"/>
      <c r="P64" s="2192"/>
      <c r="Q64" s="2277">
        <f>SUM(V64:V65)/R57</f>
        <v>0.35742143845597152</v>
      </c>
      <c r="R64" s="2196"/>
      <c r="S64" s="2192"/>
      <c r="T64" s="2238"/>
      <c r="U64" s="480" t="s">
        <v>518</v>
      </c>
      <c r="V64" s="477">
        <v>85000000</v>
      </c>
      <c r="W64" s="466"/>
      <c r="X64" s="521"/>
      <c r="Y64" s="2308"/>
      <c r="Z64" s="2302"/>
      <c r="AA64" s="2302"/>
      <c r="AB64" s="2302"/>
      <c r="AC64" s="2302"/>
      <c r="AD64" s="2302"/>
      <c r="AE64" s="2302"/>
      <c r="AF64" s="2302"/>
      <c r="AG64" s="522"/>
      <c r="AH64" s="2302"/>
      <c r="AI64" s="522"/>
      <c r="AJ64" s="522"/>
      <c r="AK64" s="479">
        <v>42786</v>
      </c>
      <c r="AL64" s="520">
        <v>43089</v>
      </c>
      <c r="AM64" s="2201"/>
    </row>
    <row r="65" spans="1:39" ht="89.25" x14ac:dyDescent="0.2">
      <c r="A65" s="459"/>
      <c r="B65" s="459"/>
      <c r="C65" s="460"/>
      <c r="D65" s="2243"/>
      <c r="E65" s="2282"/>
      <c r="F65" s="2283"/>
      <c r="G65" s="2243"/>
      <c r="H65" s="2288"/>
      <c r="I65" s="2289"/>
      <c r="J65" s="2202"/>
      <c r="K65" s="2193"/>
      <c r="L65" s="2223"/>
      <c r="M65" s="2297"/>
      <c r="N65" s="2192"/>
      <c r="O65" s="2189"/>
      <c r="P65" s="2192"/>
      <c r="Q65" s="2279"/>
      <c r="R65" s="2196"/>
      <c r="S65" s="2192"/>
      <c r="T65" s="2238"/>
      <c r="U65" s="480" t="s">
        <v>519</v>
      </c>
      <c r="V65" s="477">
        <v>121300000</v>
      </c>
      <c r="W65" s="469">
        <v>20</v>
      </c>
      <c r="X65" s="521" t="s">
        <v>494</v>
      </c>
      <c r="Y65" s="2308"/>
      <c r="Z65" s="2302"/>
      <c r="AA65" s="2302"/>
      <c r="AB65" s="2302"/>
      <c r="AC65" s="2302"/>
      <c r="AD65" s="2302"/>
      <c r="AE65" s="2302"/>
      <c r="AF65" s="2302"/>
      <c r="AG65" s="522"/>
      <c r="AH65" s="2302"/>
      <c r="AI65" s="522"/>
      <c r="AJ65" s="522"/>
      <c r="AK65" s="479">
        <v>42819</v>
      </c>
      <c r="AL65" s="520">
        <v>43089</v>
      </c>
      <c r="AM65" s="2201"/>
    </row>
    <row r="66" spans="1:39" ht="25.5" x14ac:dyDescent="0.2">
      <c r="A66" s="459"/>
      <c r="B66" s="459"/>
      <c r="C66" s="460"/>
      <c r="D66" s="2243"/>
      <c r="E66" s="2282"/>
      <c r="F66" s="2283"/>
      <c r="G66" s="2243"/>
      <c r="H66" s="2288"/>
      <c r="I66" s="2289"/>
      <c r="J66" s="2200">
        <v>228</v>
      </c>
      <c r="K66" s="2304" t="s">
        <v>520</v>
      </c>
      <c r="L66" s="2218" t="s">
        <v>16</v>
      </c>
      <c r="M66" s="2295">
        <v>2</v>
      </c>
      <c r="N66" s="2192"/>
      <c r="O66" s="2189"/>
      <c r="P66" s="2192"/>
      <c r="Q66" s="2277">
        <f>SUM(V66:V69)/R57</f>
        <v>4.3486563767546706E-2</v>
      </c>
      <c r="R66" s="2196"/>
      <c r="S66" s="2192"/>
      <c r="T66" s="2238"/>
      <c r="U66" s="484" t="s">
        <v>521</v>
      </c>
      <c r="V66" s="482">
        <v>6400000</v>
      </c>
      <c r="W66" s="469">
        <v>88</v>
      </c>
      <c r="X66" s="523" t="s">
        <v>522</v>
      </c>
      <c r="Y66" s="2308"/>
      <c r="Z66" s="2302"/>
      <c r="AA66" s="2302"/>
      <c r="AB66" s="2302"/>
      <c r="AC66" s="2302"/>
      <c r="AD66" s="2302"/>
      <c r="AE66" s="2302"/>
      <c r="AF66" s="2302"/>
      <c r="AG66" s="522"/>
      <c r="AH66" s="2302"/>
      <c r="AI66" s="522"/>
      <c r="AJ66" s="522"/>
      <c r="AK66" s="479">
        <v>42755</v>
      </c>
      <c r="AL66" s="520">
        <v>42756</v>
      </c>
      <c r="AM66" s="2201"/>
    </row>
    <row r="67" spans="1:39" ht="25.5" x14ac:dyDescent="0.2">
      <c r="A67" s="459"/>
      <c r="B67" s="459"/>
      <c r="C67" s="460"/>
      <c r="D67" s="2243"/>
      <c r="E67" s="2282"/>
      <c r="F67" s="2283"/>
      <c r="G67" s="2243"/>
      <c r="H67" s="2288"/>
      <c r="I67" s="2289"/>
      <c r="J67" s="2201"/>
      <c r="K67" s="2305"/>
      <c r="L67" s="2219"/>
      <c r="M67" s="2296"/>
      <c r="N67" s="2192"/>
      <c r="O67" s="2189"/>
      <c r="P67" s="2192"/>
      <c r="Q67" s="2278"/>
      <c r="R67" s="2196"/>
      <c r="S67" s="2192"/>
      <c r="T67" s="2238"/>
      <c r="U67" s="484" t="s">
        <v>523</v>
      </c>
      <c r="V67" s="482">
        <v>9600000</v>
      </c>
      <c r="W67" s="466"/>
      <c r="X67" s="521"/>
      <c r="Y67" s="2308"/>
      <c r="Z67" s="2302"/>
      <c r="AA67" s="2302"/>
      <c r="AB67" s="2302"/>
      <c r="AC67" s="2302"/>
      <c r="AD67" s="2302"/>
      <c r="AE67" s="2302"/>
      <c r="AF67" s="2302"/>
      <c r="AG67" s="522"/>
      <c r="AH67" s="2302"/>
      <c r="AI67" s="522"/>
      <c r="AJ67" s="522"/>
      <c r="AK67" s="479">
        <v>42840</v>
      </c>
      <c r="AL67" s="520">
        <v>42841</v>
      </c>
      <c r="AM67" s="2201"/>
    </row>
    <row r="68" spans="1:39" x14ac:dyDescent="0.2">
      <c r="A68" s="459"/>
      <c r="B68" s="459"/>
      <c r="C68" s="460"/>
      <c r="D68" s="2243"/>
      <c r="E68" s="2282"/>
      <c r="F68" s="2283"/>
      <c r="G68" s="2243"/>
      <c r="H68" s="2288"/>
      <c r="I68" s="2289"/>
      <c r="J68" s="2201"/>
      <c r="K68" s="2305"/>
      <c r="L68" s="2219"/>
      <c r="M68" s="2296"/>
      <c r="N68" s="2192"/>
      <c r="O68" s="2189"/>
      <c r="P68" s="2192"/>
      <c r="Q68" s="2278"/>
      <c r="R68" s="2196"/>
      <c r="S68" s="2192"/>
      <c r="T68" s="2238"/>
      <c r="U68" s="484" t="s">
        <v>516</v>
      </c>
      <c r="V68" s="482">
        <v>4100000</v>
      </c>
      <c r="W68" s="466"/>
      <c r="X68" s="521"/>
      <c r="Y68" s="2308"/>
      <c r="Z68" s="2302"/>
      <c r="AA68" s="2302"/>
      <c r="AB68" s="2302"/>
      <c r="AC68" s="2302"/>
      <c r="AD68" s="2302"/>
      <c r="AE68" s="2302"/>
      <c r="AF68" s="2302"/>
      <c r="AG68" s="522"/>
      <c r="AH68" s="2302"/>
      <c r="AI68" s="522"/>
      <c r="AJ68" s="522"/>
      <c r="AK68" s="2205">
        <v>42755</v>
      </c>
      <c r="AL68" s="2205">
        <v>42977</v>
      </c>
      <c r="AM68" s="2201"/>
    </row>
    <row r="69" spans="1:39" ht="25.5" x14ac:dyDescent="0.2">
      <c r="A69" s="459"/>
      <c r="B69" s="459"/>
      <c r="C69" s="460"/>
      <c r="D69" s="2243"/>
      <c r="E69" s="2282"/>
      <c r="F69" s="2283"/>
      <c r="G69" s="2243"/>
      <c r="H69" s="2288"/>
      <c r="I69" s="2289"/>
      <c r="J69" s="2202"/>
      <c r="K69" s="2306"/>
      <c r="L69" s="2223"/>
      <c r="M69" s="2297"/>
      <c r="N69" s="2192"/>
      <c r="O69" s="2189"/>
      <c r="P69" s="2192"/>
      <c r="Q69" s="2279"/>
      <c r="R69" s="2196"/>
      <c r="S69" s="2192"/>
      <c r="T69" s="2238"/>
      <c r="U69" s="484" t="s">
        <v>524</v>
      </c>
      <c r="V69" s="482">
        <v>5000000</v>
      </c>
      <c r="W69" s="466"/>
      <c r="X69" s="521"/>
      <c r="Y69" s="2308"/>
      <c r="Z69" s="2302"/>
      <c r="AA69" s="2302"/>
      <c r="AB69" s="2302"/>
      <c r="AC69" s="2302"/>
      <c r="AD69" s="2302"/>
      <c r="AE69" s="2302"/>
      <c r="AF69" s="2302"/>
      <c r="AG69" s="522"/>
      <c r="AH69" s="2302"/>
      <c r="AI69" s="522"/>
      <c r="AJ69" s="522"/>
      <c r="AK69" s="2206"/>
      <c r="AL69" s="2206"/>
      <c r="AM69" s="2201"/>
    </row>
    <row r="70" spans="1:39" ht="63.75" x14ac:dyDescent="0.2">
      <c r="A70" s="459"/>
      <c r="B70" s="459"/>
      <c r="C70" s="460"/>
      <c r="D70" s="2243"/>
      <c r="E70" s="2282"/>
      <c r="F70" s="2283"/>
      <c r="G70" s="2243"/>
      <c r="H70" s="2288"/>
      <c r="I70" s="2289"/>
      <c r="J70" s="2200">
        <v>229</v>
      </c>
      <c r="K70" s="2191" t="s">
        <v>525</v>
      </c>
      <c r="L70" s="2218" t="s">
        <v>16</v>
      </c>
      <c r="M70" s="2295">
        <v>13</v>
      </c>
      <c r="N70" s="2192"/>
      <c r="O70" s="2189"/>
      <c r="P70" s="2192"/>
      <c r="Q70" s="2277">
        <f>SUM(V70:V71)/R57</f>
        <v>8.2035410135192693E-2</v>
      </c>
      <c r="R70" s="2196"/>
      <c r="S70" s="2192"/>
      <c r="T70" s="2238"/>
      <c r="U70" s="484" t="s">
        <v>526</v>
      </c>
      <c r="V70" s="482">
        <v>23675000</v>
      </c>
      <c r="W70" s="466"/>
      <c r="X70" s="521"/>
      <c r="Y70" s="2308"/>
      <c r="Z70" s="2302"/>
      <c r="AA70" s="2302"/>
      <c r="AB70" s="2302"/>
      <c r="AC70" s="2302"/>
      <c r="AD70" s="2302"/>
      <c r="AE70" s="2302"/>
      <c r="AF70" s="2302"/>
      <c r="AG70" s="522"/>
      <c r="AH70" s="2302"/>
      <c r="AI70" s="522"/>
      <c r="AJ70" s="522"/>
      <c r="AK70" s="479">
        <v>42755</v>
      </c>
      <c r="AL70" s="520">
        <v>42974</v>
      </c>
      <c r="AM70" s="2201"/>
    </row>
    <row r="71" spans="1:39" ht="51" customHeight="1" x14ac:dyDescent="0.2">
      <c r="A71" s="459"/>
      <c r="B71" s="459"/>
      <c r="C71" s="460"/>
      <c r="D71" s="2243"/>
      <c r="E71" s="2282"/>
      <c r="F71" s="2283"/>
      <c r="G71" s="2243"/>
      <c r="H71" s="2288"/>
      <c r="I71" s="2289"/>
      <c r="J71" s="2202"/>
      <c r="K71" s="2193"/>
      <c r="L71" s="2223"/>
      <c r="M71" s="2297"/>
      <c r="N71" s="2192"/>
      <c r="O71" s="2189"/>
      <c r="P71" s="2192"/>
      <c r="Q71" s="2279"/>
      <c r="R71" s="2196"/>
      <c r="S71" s="2192"/>
      <c r="T71" s="2238"/>
      <c r="U71" s="484" t="s">
        <v>527</v>
      </c>
      <c r="V71" s="482">
        <v>23675000</v>
      </c>
      <c r="W71" s="466"/>
      <c r="X71" s="521"/>
      <c r="Y71" s="2308"/>
      <c r="Z71" s="2302"/>
      <c r="AA71" s="2302"/>
      <c r="AB71" s="2302"/>
      <c r="AC71" s="2302"/>
      <c r="AD71" s="2302"/>
      <c r="AE71" s="2302"/>
      <c r="AF71" s="2302"/>
      <c r="AG71" s="522"/>
      <c r="AH71" s="2302"/>
      <c r="AI71" s="522"/>
      <c r="AJ71" s="522"/>
      <c r="AK71" s="479">
        <v>42755</v>
      </c>
      <c r="AL71" s="520">
        <v>42974</v>
      </c>
      <c r="AM71" s="2201"/>
    </row>
    <row r="72" spans="1:39" ht="42.75" customHeight="1" x14ac:dyDescent="0.2">
      <c r="A72" s="459"/>
      <c r="B72" s="459"/>
      <c r="C72" s="460"/>
      <c r="D72" s="2243"/>
      <c r="E72" s="2282"/>
      <c r="F72" s="2283"/>
      <c r="G72" s="2243"/>
      <c r="H72" s="2288"/>
      <c r="I72" s="2289"/>
      <c r="J72" s="2200">
        <v>230</v>
      </c>
      <c r="K72" s="2304" t="s">
        <v>528</v>
      </c>
      <c r="L72" s="2218" t="s">
        <v>482</v>
      </c>
      <c r="M72" s="2255">
        <v>1</v>
      </c>
      <c r="N72" s="2192"/>
      <c r="O72" s="2189"/>
      <c r="P72" s="2192"/>
      <c r="Q72" s="2277">
        <f>SUM(V72:V76)/R57</f>
        <v>8.3230469418432665E-2</v>
      </c>
      <c r="R72" s="2196"/>
      <c r="S72" s="2192"/>
      <c r="T72" s="2238"/>
      <c r="U72" s="484" t="s">
        <v>529</v>
      </c>
      <c r="V72" s="483">
        <v>4000000</v>
      </c>
      <c r="W72" s="466"/>
      <c r="X72" s="521"/>
      <c r="Y72" s="2308"/>
      <c r="Z72" s="2302"/>
      <c r="AA72" s="2302"/>
      <c r="AB72" s="2302"/>
      <c r="AC72" s="2302"/>
      <c r="AD72" s="2302"/>
      <c r="AE72" s="2302"/>
      <c r="AF72" s="2302"/>
      <c r="AG72" s="522"/>
      <c r="AH72" s="2302"/>
      <c r="AI72" s="522"/>
      <c r="AJ72" s="522"/>
      <c r="AK72" s="479">
        <v>42755</v>
      </c>
      <c r="AL72" s="520">
        <v>42875</v>
      </c>
      <c r="AM72" s="2201"/>
    </row>
    <row r="73" spans="1:39" ht="51" x14ac:dyDescent="0.2">
      <c r="A73" s="459"/>
      <c r="B73" s="459"/>
      <c r="C73" s="460"/>
      <c r="D73" s="2243"/>
      <c r="E73" s="2282"/>
      <c r="F73" s="2283"/>
      <c r="G73" s="2243"/>
      <c r="H73" s="2288"/>
      <c r="I73" s="2289"/>
      <c r="J73" s="2201"/>
      <c r="K73" s="2305"/>
      <c r="L73" s="2219"/>
      <c r="M73" s="2261"/>
      <c r="N73" s="2192"/>
      <c r="O73" s="2189"/>
      <c r="P73" s="2192"/>
      <c r="Q73" s="2278"/>
      <c r="R73" s="2196"/>
      <c r="S73" s="2192"/>
      <c r="T73" s="2238"/>
      <c r="U73" s="484" t="s">
        <v>530</v>
      </c>
      <c r="V73" s="483">
        <v>3000000</v>
      </c>
      <c r="W73" s="466"/>
      <c r="X73" s="521"/>
      <c r="Y73" s="2308"/>
      <c r="Z73" s="2302"/>
      <c r="AA73" s="2302"/>
      <c r="AB73" s="2302"/>
      <c r="AC73" s="2302"/>
      <c r="AD73" s="2302"/>
      <c r="AE73" s="2302"/>
      <c r="AF73" s="2302"/>
      <c r="AG73" s="522"/>
      <c r="AH73" s="2302"/>
      <c r="AI73" s="522"/>
      <c r="AJ73" s="522"/>
      <c r="AK73" s="479">
        <v>42755</v>
      </c>
      <c r="AL73" s="520">
        <v>42875</v>
      </c>
      <c r="AM73" s="2201"/>
    </row>
    <row r="74" spans="1:39" ht="63.75" customHeight="1" x14ac:dyDescent="0.2">
      <c r="A74" s="459"/>
      <c r="B74" s="459"/>
      <c r="C74" s="460"/>
      <c r="D74" s="2243"/>
      <c r="E74" s="2282"/>
      <c r="F74" s="2283"/>
      <c r="G74" s="2243"/>
      <c r="H74" s="2288"/>
      <c r="I74" s="2289"/>
      <c r="J74" s="2201"/>
      <c r="K74" s="2305"/>
      <c r="L74" s="2219"/>
      <c r="M74" s="2261"/>
      <c r="N74" s="2192"/>
      <c r="O74" s="2189"/>
      <c r="P74" s="2192"/>
      <c r="Q74" s="2278"/>
      <c r="R74" s="2196"/>
      <c r="S74" s="2192"/>
      <c r="T74" s="2238"/>
      <c r="U74" s="480" t="s">
        <v>531</v>
      </c>
      <c r="V74" s="478">
        <v>25000000</v>
      </c>
      <c r="W74" s="466"/>
      <c r="X74" s="521"/>
      <c r="Y74" s="2308"/>
      <c r="Z74" s="2302"/>
      <c r="AA74" s="2302"/>
      <c r="AB74" s="2302"/>
      <c r="AC74" s="2302"/>
      <c r="AD74" s="2302"/>
      <c r="AE74" s="2302"/>
      <c r="AF74" s="2302"/>
      <c r="AG74" s="522"/>
      <c r="AH74" s="2302"/>
      <c r="AI74" s="522"/>
      <c r="AJ74" s="522"/>
      <c r="AK74" s="479">
        <v>42840</v>
      </c>
      <c r="AL74" s="520" t="s">
        <v>532</v>
      </c>
      <c r="AM74" s="2201"/>
    </row>
    <row r="75" spans="1:39" ht="25.5" x14ac:dyDescent="0.2">
      <c r="A75" s="459"/>
      <c r="B75" s="459"/>
      <c r="C75" s="460"/>
      <c r="D75" s="2243"/>
      <c r="E75" s="2282"/>
      <c r="F75" s="2283"/>
      <c r="G75" s="2243"/>
      <c r="H75" s="2288"/>
      <c r="I75" s="2289"/>
      <c r="J75" s="2201"/>
      <c r="K75" s="2305"/>
      <c r="L75" s="2219"/>
      <c r="M75" s="2261"/>
      <c r="N75" s="2192"/>
      <c r="O75" s="2189"/>
      <c r="P75" s="2192"/>
      <c r="Q75" s="2278"/>
      <c r="R75" s="2196"/>
      <c r="S75" s="2192"/>
      <c r="T75" s="2238"/>
      <c r="U75" s="484" t="s">
        <v>533</v>
      </c>
      <c r="V75" s="483">
        <v>7039776</v>
      </c>
      <c r="W75" s="466"/>
      <c r="X75" s="521"/>
      <c r="Y75" s="2308"/>
      <c r="Z75" s="2302"/>
      <c r="AA75" s="2302"/>
      <c r="AB75" s="2302"/>
      <c r="AC75" s="2302"/>
      <c r="AD75" s="2302"/>
      <c r="AE75" s="2302"/>
      <c r="AF75" s="2302"/>
      <c r="AG75" s="522"/>
      <c r="AH75" s="2302"/>
      <c r="AI75" s="522"/>
      <c r="AJ75" s="522"/>
      <c r="AK75" s="479">
        <v>42755</v>
      </c>
      <c r="AL75" s="520">
        <v>42875</v>
      </c>
      <c r="AM75" s="2201"/>
    </row>
    <row r="76" spans="1:39" x14ac:dyDescent="0.2">
      <c r="A76" s="459"/>
      <c r="B76" s="459"/>
      <c r="C76" s="460"/>
      <c r="D76" s="2243"/>
      <c r="E76" s="2282"/>
      <c r="F76" s="2283"/>
      <c r="G76" s="2244"/>
      <c r="H76" s="2290"/>
      <c r="I76" s="2291"/>
      <c r="J76" s="2202"/>
      <c r="K76" s="2305"/>
      <c r="L76" s="2219"/>
      <c r="M76" s="2256"/>
      <c r="N76" s="2193"/>
      <c r="O76" s="2190"/>
      <c r="P76" s="2193"/>
      <c r="Q76" s="2278"/>
      <c r="R76" s="2197"/>
      <c r="S76" s="2193"/>
      <c r="T76" s="2239"/>
      <c r="U76" s="484" t="s">
        <v>516</v>
      </c>
      <c r="V76" s="483">
        <v>9000000</v>
      </c>
      <c r="W76" s="494"/>
      <c r="X76" s="524"/>
      <c r="Y76" s="2309"/>
      <c r="Z76" s="2303"/>
      <c r="AA76" s="2303"/>
      <c r="AB76" s="2303"/>
      <c r="AC76" s="2303"/>
      <c r="AD76" s="2303"/>
      <c r="AE76" s="2303"/>
      <c r="AF76" s="2303"/>
      <c r="AG76" s="525"/>
      <c r="AH76" s="2303"/>
      <c r="AI76" s="525"/>
      <c r="AJ76" s="525"/>
      <c r="AK76" s="479">
        <v>42814</v>
      </c>
      <c r="AL76" s="520">
        <v>42962</v>
      </c>
      <c r="AM76" s="2201"/>
    </row>
    <row r="77" spans="1:39" s="118" customFormat="1" ht="25.5" customHeight="1" x14ac:dyDescent="0.2">
      <c r="A77" s="459"/>
      <c r="B77" s="459"/>
      <c r="C77" s="460"/>
      <c r="D77" s="2243"/>
      <c r="E77" s="2282"/>
      <c r="F77" s="2283"/>
      <c r="G77" s="144">
        <v>79</v>
      </c>
      <c r="H77" s="123" t="s">
        <v>534</v>
      </c>
      <c r="I77" s="123"/>
      <c r="J77" s="123"/>
      <c r="K77" s="146"/>
      <c r="L77" s="123"/>
      <c r="M77" s="123"/>
      <c r="N77" s="1591"/>
      <c r="O77" s="123"/>
      <c r="P77" s="124"/>
      <c r="Q77" s="461"/>
      <c r="R77" s="127"/>
      <c r="S77" s="124"/>
      <c r="T77" s="146"/>
      <c r="U77" s="146"/>
      <c r="V77" s="128"/>
      <c r="W77" s="128"/>
      <c r="X77" s="128"/>
      <c r="Y77" s="128"/>
      <c r="Z77" s="128"/>
      <c r="AA77" s="128"/>
      <c r="AB77" s="128"/>
      <c r="AC77" s="128"/>
      <c r="AD77" s="128"/>
      <c r="AE77" s="128"/>
      <c r="AF77" s="128"/>
      <c r="AG77" s="128"/>
      <c r="AH77" s="128"/>
      <c r="AI77" s="128"/>
      <c r="AJ77" s="128"/>
      <c r="AK77" s="128"/>
      <c r="AL77" s="128"/>
      <c r="AM77" s="2202"/>
    </row>
    <row r="78" spans="1:39" ht="38.25" customHeight="1" x14ac:dyDescent="0.2">
      <c r="A78" s="459"/>
      <c r="B78" s="459"/>
      <c r="C78" s="460"/>
      <c r="D78" s="2243"/>
      <c r="E78" s="2282"/>
      <c r="F78" s="2283"/>
      <c r="G78" s="2295"/>
      <c r="H78" s="2322"/>
      <c r="I78" s="2323"/>
      <c r="J78" s="2251">
        <v>231</v>
      </c>
      <c r="K78" s="2304" t="s">
        <v>535</v>
      </c>
      <c r="L78" s="2328" t="s">
        <v>16</v>
      </c>
      <c r="M78" s="2220">
        <v>1</v>
      </c>
      <c r="N78" s="2341" t="s">
        <v>536</v>
      </c>
      <c r="O78" s="2343" t="s">
        <v>537</v>
      </c>
      <c r="P78" s="2191" t="s">
        <v>538</v>
      </c>
      <c r="Q78" s="2310">
        <f>SUM(V78:V79)/R78</f>
        <v>8.3333333333333329E-2</v>
      </c>
      <c r="R78" s="2346">
        <f>SUM(V78:V89)</f>
        <v>37080000</v>
      </c>
      <c r="S78" s="2316" t="s">
        <v>539</v>
      </c>
      <c r="T78" s="2191" t="s">
        <v>540</v>
      </c>
      <c r="U78" s="484" t="s">
        <v>541</v>
      </c>
      <c r="V78" s="526">
        <v>1545000</v>
      </c>
      <c r="W78" s="2224">
        <v>20</v>
      </c>
      <c r="X78" s="2253" t="s">
        <v>494</v>
      </c>
      <c r="Y78" s="2319">
        <v>367</v>
      </c>
      <c r="Z78" s="2313">
        <v>414</v>
      </c>
      <c r="AA78" s="2313">
        <v>157</v>
      </c>
      <c r="AB78" s="2313">
        <v>497</v>
      </c>
      <c r="AC78" s="2313">
        <v>1355</v>
      </c>
      <c r="AD78" s="2319"/>
      <c r="AE78" s="2224">
        <v>12718</v>
      </c>
      <c r="AF78" s="2338">
        <v>466</v>
      </c>
      <c r="AG78" s="527"/>
      <c r="AH78" s="2332"/>
      <c r="AI78" s="2224"/>
      <c r="AJ78" s="2335"/>
      <c r="AK78" s="479">
        <v>42755</v>
      </c>
      <c r="AL78" s="479">
        <v>42875</v>
      </c>
      <c r="AM78" s="2200" t="s">
        <v>510</v>
      </c>
    </row>
    <row r="79" spans="1:39" ht="51" x14ac:dyDescent="0.2">
      <c r="A79" s="459"/>
      <c r="B79" s="459"/>
      <c r="C79" s="460"/>
      <c r="D79" s="2243"/>
      <c r="E79" s="2282"/>
      <c r="F79" s="2283"/>
      <c r="G79" s="2296"/>
      <c r="H79" s="2324"/>
      <c r="I79" s="2325"/>
      <c r="J79" s="2252"/>
      <c r="K79" s="2306"/>
      <c r="L79" s="2329"/>
      <c r="M79" s="2330"/>
      <c r="N79" s="2341"/>
      <c r="O79" s="2344"/>
      <c r="P79" s="2192"/>
      <c r="Q79" s="2312"/>
      <c r="R79" s="2347"/>
      <c r="S79" s="2317"/>
      <c r="T79" s="2192"/>
      <c r="U79" s="484" t="s">
        <v>542</v>
      </c>
      <c r="V79" s="526">
        <v>1545000</v>
      </c>
      <c r="W79" s="2225"/>
      <c r="X79" s="2260"/>
      <c r="Y79" s="2320"/>
      <c r="Z79" s="2314"/>
      <c r="AA79" s="2314"/>
      <c r="AB79" s="2314"/>
      <c r="AC79" s="2314"/>
      <c r="AD79" s="2320"/>
      <c r="AE79" s="2225"/>
      <c r="AF79" s="2339"/>
      <c r="AG79" s="529"/>
      <c r="AH79" s="2333"/>
      <c r="AI79" s="2225"/>
      <c r="AJ79" s="2336"/>
      <c r="AK79" s="479">
        <v>42755</v>
      </c>
      <c r="AL79" s="479">
        <v>42875</v>
      </c>
      <c r="AM79" s="2201"/>
    </row>
    <row r="80" spans="1:39" x14ac:dyDescent="0.2">
      <c r="A80" s="459"/>
      <c r="B80" s="459"/>
      <c r="C80" s="460"/>
      <c r="D80" s="2243"/>
      <c r="E80" s="2282"/>
      <c r="F80" s="2283"/>
      <c r="G80" s="2296"/>
      <c r="H80" s="2324"/>
      <c r="I80" s="2325"/>
      <c r="J80" s="2251">
        <v>232</v>
      </c>
      <c r="K80" s="2304" t="s">
        <v>543</v>
      </c>
      <c r="L80" s="2328" t="s">
        <v>16</v>
      </c>
      <c r="M80" s="2220">
        <v>12</v>
      </c>
      <c r="N80" s="2341"/>
      <c r="O80" s="2344"/>
      <c r="P80" s="2192"/>
      <c r="Q80" s="2310">
        <f>SUM(V80:V83)/R78</f>
        <v>0.51111111111111107</v>
      </c>
      <c r="R80" s="2347"/>
      <c r="S80" s="2317"/>
      <c r="T80" s="2192"/>
      <c r="U80" s="484" t="s">
        <v>544</v>
      </c>
      <c r="V80" s="526">
        <v>10000000</v>
      </c>
      <c r="W80" s="2225"/>
      <c r="X80" s="2260"/>
      <c r="Y80" s="2320"/>
      <c r="Z80" s="2314"/>
      <c r="AA80" s="2314"/>
      <c r="AB80" s="2314"/>
      <c r="AC80" s="2314"/>
      <c r="AD80" s="2320"/>
      <c r="AE80" s="2225"/>
      <c r="AF80" s="2339"/>
      <c r="AG80" s="529"/>
      <c r="AH80" s="2333"/>
      <c r="AI80" s="2225"/>
      <c r="AJ80" s="2336"/>
      <c r="AK80" s="479">
        <v>42906</v>
      </c>
      <c r="AL80" s="479">
        <v>43059</v>
      </c>
      <c r="AM80" s="2201"/>
    </row>
    <row r="81" spans="1:39" ht="76.5" x14ac:dyDescent="0.2">
      <c r="A81" s="459"/>
      <c r="B81" s="459"/>
      <c r="C81" s="460"/>
      <c r="D81" s="2243"/>
      <c r="E81" s="2282"/>
      <c r="F81" s="2283"/>
      <c r="G81" s="2296"/>
      <c r="H81" s="2324"/>
      <c r="I81" s="2325"/>
      <c r="J81" s="2259"/>
      <c r="K81" s="2305"/>
      <c r="L81" s="2331"/>
      <c r="M81" s="2221"/>
      <c r="N81" s="2341"/>
      <c r="O81" s="2344"/>
      <c r="P81" s="2192"/>
      <c r="Q81" s="2311"/>
      <c r="R81" s="2347"/>
      <c r="S81" s="2317"/>
      <c r="T81" s="2192"/>
      <c r="U81" s="484" t="s">
        <v>545</v>
      </c>
      <c r="V81" s="526">
        <v>4214000</v>
      </c>
      <c r="W81" s="2225"/>
      <c r="X81" s="2260"/>
      <c r="Y81" s="2320"/>
      <c r="Z81" s="2314"/>
      <c r="AA81" s="2314"/>
      <c r="AB81" s="2314"/>
      <c r="AC81" s="2314"/>
      <c r="AD81" s="2320"/>
      <c r="AE81" s="2225"/>
      <c r="AF81" s="2339"/>
      <c r="AG81" s="529"/>
      <c r="AH81" s="2333"/>
      <c r="AI81" s="2225"/>
      <c r="AJ81" s="2336"/>
      <c r="AK81" s="479">
        <v>42755</v>
      </c>
      <c r="AL81" s="479">
        <v>42875</v>
      </c>
      <c r="AM81" s="2201"/>
    </row>
    <row r="82" spans="1:39" x14ac:dyDescent="0.2">
      <c r="A82" s="459"/>
      <c r="B82" s="459"/>
      <c r="C82" s="460"/>
      <c r="D82" s="2243"/>
      <c r="E82" s="2282"/>
      <c r="F82" s="2283"/>
      <c r="G82" s="2296"/>
      <c r="H82" s="2324"/>
      <c r="I82" s="2325"/>
      <c r="J82" s="2259"/>
      <c r="K82" s="2305"/>
      <c r="L82" s="2331"/>
      <c r="M82" s="2221"/>
      <c r="N82" s="2341"/>
      <c r="O82" s="2344"/>
      <c r="P82" s="2192"/>
      <c r="Q82" s="2311"/>
      <c r="R82" s="2347"/>
      <c r="S82" s="2317"/>
      <c r="T82" s="2192"/>
      <c r="U82" s="484" t="s">
        <v>516</v>
      </c>
      <c r="V82" s="526">
        <v>3000000</v>
      </c>
      <c r="W82" s="2225"/>
      <c r="X82" s="2260"/>
      <c r="Y82" s="2320"/>
      <c r="Z82" s="2314"/>
      <c r="AA82" s="2314"/>
      <c r="AB82" s="2314"/>
      <c r="AC82" s="2314"/>
      <c r="AD82" s="2320"/>
      <c r="AE82" s="2225"/>
      <c r="AF82" s="2339"/>
      <c r="AG82" s="529"/>
      <c r="AH82" s="2333"/>
      <c r="AI82" s="2225"/>
      <c r="AJ82" s="2336"/>
      <c r="AK82" s="479">
        <v>42814</v>
      </c>
      <c r="AL82" s="479">
        <v>42962</v>
      </c>
      <c r="AM82" s="2201"/>
    </row>
    <row r="83" spans="1:39" ht="51" x14ac:dyDescent="0.2">
      <c r="A83" s="459"/>
      <c r="B83" s="459"/>
      <c r="C83" s="460"/>
      <c r="D83" s="2243"/>
      <c r="E83" s="2282"/>
      <c r="F83" s="2283"/>
      <c r="G83" s="2296"/>
      <c r="H83" s="2324"/>
      <c r="I83" s="2325"/>
      <c r="J83" s="2252"/>
      <c r="K83" s="2306"/>
      <c r="L83" s="2329"/>
      <c r="M83" s="2330"/>
      <c r="N83" s="2341"/>
      <c r="O83" s="2344"/>
      <c r="P83" s="2192"/>
      <c r="Q83" s="2312"/>
      <c r="R83" s="2347"/>
      <c r="S83" s="2317"/>
      <c r="T83" s="2192"/>
      <c r="U83" s="484" t="s">
        <v>546</v>
      </c>
      <c r="V83" s="526">
        <v>1738000</v>
      </c>
      <c r="W83" s="2225"/>
      <c r="X83" s="2260"/>
      <c r="Y83" s="2320"/>
      <c r="Z83" s="2314"/>
      <c r="AA83" s="2314"/>
      <c r="AB83" s="2314"/>
      <c r="AC83" s="2314"/>
      <c r="AD83" s="2320"/>
      <c r="AE83" s="2225"/>
      <c r="AF83" s="2339"/>
      <c r="AG83" s="529"/>
      <c r="AH83" s="2333"/>
      <c r="AI83" s="2225"/>
      <c r="AJ83" s="2336"/>
      <c r="AK83" s="479">
        <v>42814</v>
      </c>
      <c r="AL83" s="479">
        <v>42875</v>
      </c>
      <c r="AM83" s="2201"/>
    </row>
    <row r="84" spans="1:39" ht="51" customHeight="1" x14ac:dyDescent="0.2">
      <c r="A84" s="459"/>
      <c r="B84" s="459"/>
      <c r="C84" s="460"/>
      <c r="D84" s="2243"/>
      <c r="E84" s="2282"/>
      <c r="F84" s="2283"/>
      <c r="G84" s="2296"/>
      <c r="H84" s="2324"/>
      <c r="I84" s="2325"/>
      <c r="J84" s="2251">
        <v>233</v>
      </c>
      <c r="K84" s="2304" t="s">
        <v>547</v>
      </c>
      <c r="L84" s="2218" t="s">
        <v>16</v>
      </c>
      <c r="M84" s="2220">
        <v>1</v>
      </c>
      <c r="N84" s="2341"/>
      <c r="O84" s="2344"/>
      <c r="P84" s="2192"/>
      <c r="Q84" s="2310">
        <f>SUM(V84:V89)/R78</f>
        <v>0.40555555555555556</v>
      </c>
      <c r="R84" s="2347"/>
      <c r="S84" s="2317"/>
      <c r="T84" s="2192"/>
      <c r="U84" s="484" t="s">
        <v>548</v>
      </c>
      <c r="V84" s="526">
        <v>2006000</v>
      </c>
      <c r="W84" s="2225"/>
      <c r="X84" s="2260"/>
      <c r="Y84" s="2320"/>
      <c r="Z84" s="2314"/>
      <c r="AA84" s="2314"/>
      <c r="AB84" s="2314"/>
      <c r="AC84" s="2314"/>
      <c r="AD84" s="2320"/>
      <c r="AE84" s="2225"/>
      <c r="AF84" s="2339"/>
      <c r="AG84" s="529"/>
      <c r="AH84" s="2333"/>
      <c r="AI84" s="2225"/>
      <c r="AJ84" s="2336"/>
      <c r="AK84" s="531">
        <v>42755</v>
      </c>
      <c r="AL84" s="532">
        <v>42870</v>
      </c>
      <c r="AM84" s="2201"/>
    </row>
    <row r="85" spans="1:39" ht="38.25" x14ac:dyDescent="0.2">
      <c r="A85" s="459"/>
      <c r="B85" s="459"/>
      <c r="C85" s="460"/>
      <c r="D85" s="2243"/>
      <c r="E85" s="2282"/>
      <c r="F85" s="2283"/>
      <c r="G85" s="2296"/>
      <c r="H85" s="2324"/>
      <c r="I85" s="2325"/>
      <c r="J85" s="2259"/>
      <c r="K85" s="2305"/>
      <c r="L85" s="2219"/>
      <c r="M85" s="2221"/>
      <c r="N85" s="2341"/>
      <c r="O85" s="2344"/>
      <c r="P85" s="2192"/>
      <c r="Q85" s="2311"/>
      <c r="R85" s="2347"/>
      <c r="S85" s="2317"/>
      <c r="T85" s="2192"/>
      <c r="U85" s="484" t="s">
        <v>549</v>
      </c>
      <c r="V85" s="526">
        <v>2506000</v>
      </c>
      <c r="W85" s="2225"/>
      <c r="X85" s="2260"/>
      <c r="Y85" s="2320"/>
      <c r="Z85" s="2314"/>
      <c r="AA85" s="2314"/>
      <c r="AB85" s="2314"/>
      <c r="AC85" s="2314"/>
      <c r="AD85" s="2320"/>
      <c r="AE85" s="2225"/>
      <c r="AF85" s="2339"/>
      <c r="AG85" s="529"/>
      <c r="AH85" s="2333"/>
      <c r="AI85" s="2225"/>
      <c r="AJ85" s="2336"/>
      <c r="AK85" s="531">
        <v>42755</v>
      </c>
      <c r="AL85" s="532">
        <v>42870</v>
      </c>
      <c r="AM85" s="2201"/>
    </row>
    <row r="86" spans="1:39" ht="51" x14ac:dyDescent="0.2">
      <c r="A86" s="459"/>
      <c r="B86" s="459"/>
      <c r="C86" s="460"/>
      <c r="D86" s="2243"/>
      <c r="E86" s="2282"/>
      <c r="F86" s="2283"/>
      <c r="G86" s="2296"/>
      <c r="H86" s="2324"/>
      <c r="I86" s="2325"/>
      <c r="J86" s="2259"/>
      <c r="K86" s="2305"/>
      <c r="L86" s="2219"/>
      <c r="M86" s="2221"/>
      <c r="N86" s="2341"/>
      <c r="O86" s="2344"/>
      <c r="P86" s="2192"/>
      <c r="Q86" s="2311"/>
      <c r="R86" s="2347"/>
      <c r="S86" s="2317"/>
      <c r="T86" s="2192"/>
      <c r="U86" s="484" t="s">
        <v>550</v>
      </c>
      <c r="V86" s="526">
        <v>2506000</v>
      </c>
      <c r="W86" s="2225"/>
      <c r="X86" s="2260"/>
      <c r="Y86" s="2320"/>
      <c r="Z86" s="2314"/>
      <c r="AA86" s="2314"/>
      <c r="AB86" s="2314"/>
      <c r="AC86" s="2314"/>
      <c r="AD86" s="2320"/>
      <c r="AE86" s="2225"/>
      <c r="AF86" s="2339"/>
      <c r="AG86" s="529"/>
      <c r="AH86" s="2333"/>
      <c r="AI86" s="2225"/>
      <c r="AJ86" s="2336"/>
      <c r="AK86" s="531">
        <v>42755</v>
      </c>
      <c r="AL86" s="532">
        <v>42870</v>
      </c>
      <c r="AM86" s="2201"/>
    </row>
    <row r="87" spans="1:39" ht="102" x14ac:dyDescent="0.2">
      <c r="A87" s="459"/>
      <c r="B87" s="459"/>
      <c r="C87" s="460"/>
      <c r="D87" s="2243"/>
      <c r="E87" s="2282"/>
      <c r="F87" s="2283"/>
      <c r="G87" s="2296"/>
      <c r="H87" s="2324"/>
      <c r="I87" s="2325"/>
      <c r="J87" s="2259"/>
      <c r="K87" s="2305"/>
      <c r="L87" s="2219"/>
      <c r="M87" s="2221"/>
      <c r="N87" s="2341"/>
      <c r="O87" s="2344"/>
      <c r="P87" s="2192"/>
      <c r="Q87" s="2311"/>
      <c r="R87" s="2347"/>
      <c r="S87" s="2317"/>
      <c r="T87" s="2192"/>
      <c r="U87" s="484" t="s">
        <v>551</v>
      </c>
      <c r="V87" s="526">
        <v>2512000</v>
      </c>
      <c r="W87" s="2225"/>
      <c r="X87" s="2260"/>
      <c r="Y87" s="2320"/>
      <c r="Z87" s="2314"/>
      <c r="AA87" s="2314"/>
      <c r="AB87" s="2314"/>
      <c r="AC87" s="2314"/>
      <c r="AD87" s="2320"/>
      <c r="AE87" s="2225"/>
      <c r="AF87" s="2339"/>
      <c r="AG87" s="529"/>
      <c r="AH87" s="2333"/>
      <c r="AI87" s="2225"/>
      <c r="AJ87" s="2336"/>
      <c r="AK87" s="531">
        <v>42755</v>
      </c>
      <c r="AL87" s="532">
        <v>42870</v>
      </c>
      <c r="AM87" s="2201"/>
    </row>
    <row r="88" spans="1:39" ht="51" x14ac:dyDescent="0.2">
      <c r="A88" s="459"/>
      <c r="B88" s="459"/>
      <c r="C88" s="460"/>
      <c r="D88" s="2243"/>
      <c r="E88" s="2282"/>
      <c r="F88" s="2283"/>
      <c r="G88" s="2296"/>
      <c r="H88" s="2324"/>
      <c r="I88" s="2325"/>
      <c r="J88" s="2259"/>
      <c r="K88" s="2305"/>
      <c r="L88" s="2219"/>
      <c r="M88" s="2221"/>
      <c r="N88" s="2341"/>
      <c r="O88" s="2344"/>
      <c r="P88" s="2192"/>
      <c r="Q88" s="2311"/>
      <c r="R88" s="2347"/>
      <c r="S88" s="2317"/>
      <c r="T88" s="2192"/>
      <c r="U88" s="484" t="s">
        <v>552</v>
      </c>
      <c r="V88" s="526">
        <v>2508000</v>
      </c>
      <c r="W88" s="2225"/>
      <c r="X88" s="2260"/>
      <c r="Y88" s="2320"/>
      <c r="Z88" s="2314"/>
      <c r="AA88" s="2314"/>
      <c r="AB88" s="2314"/>
      <c r="AC88" s="2314"/>
      <c r="AD88" s="2320"/>
      <c r="AE88" s="2225"/>
      <c r="AF88" s="2339"/>
      <c r="AG88" s="529"/>
      <c r="AH88" s="2333"/>
      <c r="AI88" s="2225"/>
      <c r="AJ88" s="2336"/>
      <c r="AK88" s="531">
        <v>42755</v>
      </c>
      <c r="AL88" s="532">
        <v>42870</v>
      </c>
      <c r="AM88" s="2201"/>
    </row>
    <row r="89" spans="1:39" x14ac:dyDescent="0.2">
      <c r="A89" s="459"/>
      <c r="B89" s="459"/>
      <c r="C89" s="460"/>
      <c r="D89" s="2243"/>
      <c r="E89" s="2282"/>
      <c r="F89" s="2283"/>
      <c r="G89" s="2297"/>
      <c r="H89" s="2326"/>
      <c r="I89" s="2327"/>
      <c r="J89" s="2252"/>
      <c r="K89" s="2305"/>
      <c r="L89" s="2219"/>
      <c r="M89" s="2330"/>
      <c r="N89" s="2342"/>
      <c r="O89" s="2345"/>
      <c r="P89" s="2193"/>
      <c r="Q89" s="2312"/>
      <c r="R89" s="2348"/>
      <c r="S89" s="2318"/>
      <c r="T89" s="2193"/>
      <c r="U89" s="484" t="s">
        <v>516</v>
      </c>
      <c r="V89" s="526">
        <v>3000000</v>
      </c>
      <c r="W89" s="2226"/>
      <c r="X89" s="2254"/>
      <c r="Y89" s="2321"/>
      <c r="Z89" s="2315"/>
      <c r="AA89" s="2315"/>
      <c r="AB89" s="2315"/>
      <c r="AC89" s="2315"/>
      <c r="AD89" s="2321"/>
      <c r="AE89" s="2226"/>
      <c r="AF89" s="2340"/>
      <c r="AG89" s="533"/>
      <c r="AH89" s="2334"/>
      <c r="AI89" s="2226"/>
      <c r="AJ89" s="2337"/>
      <c r="AK89" s="531">
        <v>42755</v>
      </c>
      <c r="AL89" s="532">
        <v>42870</v>
      </c>
      <c r="AM89" s="2202"/>
    </row>
    <row r="90" spans="1:39" s="118" customFormat="1" ht="25.5" customHeight="1" x14ac:dyDescent="0.2">
      <c r="A90" s="459"/>
      <c r="B90" s="459"/>
      <c r="C90" s="460"/>
      <c r="D90" s="2243"/>
      <c r="E90" s="2282"/>
      <c r="F90" s="2283"/>
      <c r="G90" s="144">
        <v>80</v>
      </c>
      <c r="H90" s="123" t="s">
        <v>553</v>
      </c>
      <c r="I90" s="123"/>
      <c r="J90" s="123"/>
      <c r="K90" s="146"/>
      <c r="L90" s="123"/>
      <c r="M90" s="123"/>
      <c r="N90" s="1591"/>
      <c r="O90" s="123"/>
      <c r="P90" s="124"/>
      <c r="Q90" s="461"/>
      <c r="R90" s="127"/>
      <c r="S90" s="124"/>
      <c r="T90" s="146"/>
      <c r="U90" s="146"/>
      <c r="V90" s="128"/>
      <c r="W90" s="128"/>
      <c r="X90" s="128"/>
      <c r="Y90" s="123"/>
      <c r="Z90" s="123"/>
      <c r="AA90" s="123"/>
      <c r="AB90" s="123"/>
      <c r="AC90" s="123"/>
      <c r="AD90" s="123"/>
      <c r="AE90" s="123"/>
      <c r="AF90" s="123"/>
      <c r="AG90" s="123"/>
      <c r="AH90" s="123"/>
      <c r="AI90" s="123"/>
      <c r="AJ90" s="123"/>
      <c r="AK90" s="130"/>
      <c r="AL90" s="130"/>
      <c r="AM90" s="2232" t="s">
        <v>510</v>
      </c>
    </row>
    <row r="91" spans="1:39" ht="25.5" customHeight="1" x14ac:dyDescent="0.2">
      <c r="A91" s="459"/>
      <c r="B91" s="459"/>
      <c r="C91" s="460"/>
      <c r="D91" s="2243"/>
      <c r="E91" s="2282"/>
      <c r="F91" s="2283"/>
      <c r="G91" s="2295"/>
      <c r="H91" s="2349"/>
      <c r="I91" s="2350"/>
      <c r="J91" s="2220">
        <v>234</v>
      </c>
      <c r="K91" s="2355" t="s">
        <v>554</v>
      </c>
      <c r="L91" s="2356" t="s">
        <v>16</v>
      </c>
      <c r="M91" s="2313">
        <v>7</v>
      </c>
      <c r="N91" s="2357" t="s">
        <v>555</v>
      </c>
      <c r="O91" s="2343" t="s">
        <v>556</v>
      </c>
      <c r="P91" s="2191" t="s">
        <v>557</v>
      </c>
      <c r="Q91" s="2310">
        <f>SUM(V91:V92)/R91</f>
        <v>0.3611111111111111</v>
      </c>
      <c r="R91" s="2346">
        <f>SUM(V91:V97)</f>
        <v>37080000</v>
      </c>
      <c r="S91" s="2191" t="s">
        <v>558</v>
      </c>
      <c r="T91" s="2237" t="s">
        <v>559</v>
      </c>
      <c r="U91" s="484" t="s">
        <v>560</v>
      </c>
      <c r="V91" s="535">
        <v>10000000</v>
      </c>
      <c r="W91" s="2262">
        <v>20</v>
      </c>
      <c r="X91" s="2368" t="s">
        <v>494</v>
      </c>
      <c r="Y91" s="2319">
        <v>272</v>
      </c>
      <c r="Z91" s="2313">
        <v>306</v>
      </c>
      <c r="AA91" s="2313">
        <v>117</v>
      </c>
      <c r="AB91" s="2313">
        <v>368</v>
      </c>
      <c r="AC91" s="2313">
        <v>1003</v>
      </c>
      <c r="AD91" s="2313">
        <v>346</v>
      </c>
      <c r="AE91" s="2220"/>
      <c r="AF91" s="2220"/>
      <c r="AG91" s="528"/>
      <c r="AH91" s="2220"/>
      <c r="AI91" s="528"/>
      <c r="AJ91" s="2224"/>
      <c r="AK91" s="531">
        <v>42755</v>
      </c>
      <c r="AL91" s="536" t="s">
        <v>561</v>
      </c>
      <c r="AM91" s="2233"/>
    </row>
    <row r="92" spans="1:39" x14ac:dyDescent="0.2">
      <c r="A92" s="459"/>
      <c r="B92" s="459"/>
      <c r="C92" s="460"/>
      <c r="D92" s="2243"/>
      <c r="E92" s="2282"/>
      <c r="F92" s="2283"/>
      <c r="G92" s="2296"/>
      <c r="H92" s="2351"/>
      <c r="I92" s="2352"/>
      <c r="J92" s="2330"/>
      <c r="K92" s="2355"/>
      <c r="L92" s="2356"/>
      <c r="M92" s="2315"/>
      <c r="N92" s="2341"/>
      <c r="O92" s="2344"/>
      <c r="P92" s="2192"/>
      <c r="Q92" s="2312"/>
      <c r="R92" s="2347"/>
      <c r="S92" s="2192"/>
      <c r="T92" s="2238"/>
      <c r="U92" s="484" t="s">
        <v>562</v>
      </c>
      <c r="V92" s="535">
        <v>3390000</v>
      </c>
      <c r="W92" s="2263"/>
      <c r="X92" s="2366"/>
      <c r="Y92" s="2320"/>
      <c r="Z92" s="2314"/>
      <c r="AA92" s="2314"/>
      <c r="AB92" s="2314"/>
      <c r="AC92" s="2314"/>
      <c r="AD92" s="2314"/>
      <c r="AE92" s="2221"/>
      <c r="AF92" s="2221"/>
      <c r="AG92" s="530"/>
      <c r="AH92" s="2221"/>
      <c r="AI92" s="530"/>
      <c r="AJ92" s="2225"/>
      <c r="AK92" s="531">
        <v>42755</v>
      </c>
      <c r="AL92" s="536">
        <v>42870</v>
      </c>
      <c r="AM92" s="2233"/>
    </row>
    <row r="93" spans="1:39" ht="38.25" x14ac:dyDescent="0.2">
      <c r="A93" s="459"/>
      <c r="B93" s="459"/>
      <c r="C93" s="460"/>
      <c r="D93" s="2243"/>
      <c r="E93" s="2282"/>
      <c r="F93" s="2283"/>
      <c r="G93" s="2296"/>
      <c r="H93" s="2351"/>
      <c r="I93" s="2352"/>
      <c r="J93" s="2220">
        <v>235</v>
      </c>
      <c r="K93" s="2292" t="s">
        <v>563</v>
      </c>
      <c r="L93" s="2218" t="s">
        <v>16</v>
      </c>
      <c r="M93" s="2313">
        <v>7</v>
      </c>
      <c r="N93" s="2341"/>
      <c r="O93" s="2344"/>
      <c r="P93" s="2192"/>
      <c r="Q93" s="2310">
        <f>SUM(V93:V97)/R91</f>
        <v>0.63888888888888884</v>
      </c>
      <c r="R93" s="2347"/>
      <c r="S93" s="2192"/>
      <c r="T93" s="2238"/>
      <c r="U93" s="472" t="s">
        <v>564</v>
      </c>
      <c r="V93" s="535">
        <v>3000000</v>
      </c>
      <c r="W93" s="2263"/>
      <c r="X93" s="2366"/>
      <c r="Y93" s="2320"/>
      <c r="Z93" s="2314"/>
      <c r="AA93" s="2314"/>
      <c r="AB93" s="2314"/>
      <c r="AC93" s="2314"/>
      <c r="AD93" s="2314"/>
      <c r="AE93" s="2221"/>
      <c r="AF93" s="2221"/>
      <c r="AG93" s="530"/>
      <c r="AH93" s="2221"/>
      <c r="AI93" s="530"/>
      <c r="AJ93" s="2225"/>
      <c r="AK93" s="531">
        <v>42755</v>
      </c>
      <c r="AL93" s="536">
        <v>42870</v>
      </c>
      <c r="AM93" s="2233"/>
    </row>
    <row r="94" spans="1:39" x14ac:dyDescent="0.2">
      <c r="A94" s="459"/>
      <c r="B94" s="459"/>
      <c r="C94" s="460"/>
      <c r="D94" s="2243"/>
      <c r="E94" s="2282"/>
      <c r="F94" s="2283"/>
      <c r="G94" s="2296"/>
      <c r="H94" s="2351"/>
      <c r="I94" s="2352"/>
      <c r="J94" s="2221"/>
      <c r="K94" s="2293"/>
      <c r="L94" s="2219"/>
      <c r="M94" s="2314"/>
      <c r="N94" s="2341"/>
      <c r="O94" s="2344"/>
      <c r="P94" s="2192"/>
      <c r="Q94" s="2311"/>
      <c r="R94" s="2347"/>
      <c r="S94" s="2192"/>
      <c r="T94" s="2238"/>
      <c r="U94" s="472" t="s">
        <v>565</v>
      </c>
      <c r="V94" s="535">
        <v>10000000</v>
      </c>
      <c r="W94" s="2263"/>
      <c r="X94" s="2366"/>
      <c r="Y94" s="2320"/>
      <c r="Z94" s="2314"/>
      <c r="AA94" s="2314"/>
      <c r="AB94" s="2314"/>
      <c r="AC94" s="2314"/>
      <c r="AD94" s="2314"/>
      <c r="AE94" s="2221"/>
      <c r="AF94" s="2221"/>
      <c r="AG94" s="530"/>
      <c r="AH94" s="2221"/>
      <c r="AI94" s="530"/>
      <c r="AJ94" s="2225"/>
      <c r="AK94" s="479">
        <v>42906</v>
      </c>
      <c r="AL94" s="520">
        <v>43059</v>
      </c>
      <c r="AM94" s="2233"/>
    </row>
    <row r="95" spans="1:39" ht="25.5" x14ac:dyDescent="0.2">
      <c r="A95" s="459"/>
      <c r="B95" s="459"/>
      <c r="C95" s="460"/>
      <c r="D95" s="2243"/>
      <c r="E95" s="2282"/>
      <c r="F95" s="2283"/>
      <c r="G95" s="2296"/>
      <c r="H95" s="2351"/>
      <c r="I95" s="2352"/>
      <c r="J95" s="2221"/>
      <c r="K95" s="2293"/>
      <c r="L95" s="2219"/>
      <c r="M95" s="2314"/>
      <c r="N95" s="2341"/>
      <c r="O95" s="2344"/>
      <c r="P95" s="2192"/>
      <c r="Q95" s="2311"/>
      <c r="R95" s="2347"/>
      <c r="S95" s="2192"/>
      <c r="T95" s="2238"/>
      <c r="U95" s="472" t="s">
        <v>566</v>
      </c>
      <c r="V95" s="535">
        <v>3000000</v>
      </c>
      <c r="W95" s="2263"/>
      <c r="X95" s="2366"/>
      <c r="Y95" s="2320"/>
      <c r="Z95" s="2314"/>
      <c r="AA95" s="2314"/>
      <c r="AB95" s="2314"/>
      <c r="AC95" s="2314"/>
      <c r="AD95" s="2314"/>
      <c r="AE95" s="2221"/>
      <c r="AF95" s="2221"/>
      <c r="AG95" s="530"/>
      <c r="AH95" s="2221"/>
      <c r="AI95" s="530"/>
      <c r="AJ95" s="2225"/>
      <c r="AK95" s="531">
        <v>42957</v>
      </c>
      <c r="AL95" s="536">
        <v>43059</v>
      </c>
      <c r="AM95" s="2233"/>
    </row>
    <row r="96" spans="1:39" x14ac:dyDescent="0.2">
      <c r="A96" s="459"/>
      <c r="B96" s="459"/>
      <c r="C96" s="460"/>
      <c r="D96" s="2243"/>
      <c r="E96" s="2282"/>
      <c r="F96" s="2283"/>
      <c r="G96" s="2296"/>
      <c r="H96" s="2351"/>
      <c r="I96" s="2352"/>
      <c r="J96" s="2221"/>
      <c r="K96" s="2293"/>
      <c r="L96" s="2219"/>
      <c r="M96" s="2314"/>
      <c r="N96" s="2341"/>
      <c r="O96" s="2344"/>
      <c r="P96" s="2192"/>
      <c r="Q96" s="2311"/>
      <c r="R96" s="2347"/>
      <c r="S96" s="2192"/>
      <c r="T96" s="2238"/>
      <c r="U96" s="472" t="s">
        <v>516</v>
      </c>
      <c r="V96" s="535">
        <v>2690000</v>
      </c>
      <c r="W96" s="2263"/>
      <c r="X96" s="2366"/>
      <c r="Y96" s="2320"/>
      <c r="Z96" s="2314"/>
      <c r="AA96" s="2314"/>
      <c r="AB96" s="2314"/>
      <c r="AC96" s="2314"/>
      <c r="AD96" s="2314"/>
      <c r="AE96" s="2221"/>
      <c r="AF96" s="2221"/>
      <c r="AG96" s="530"/>
      <c r="AH96" s="2221"/>
      <c r="AI96" s="530"/>
      <c r="AJ96" s="2225"/>
      <c r="AK96" s="531">
        <v>42804</v>
      </c>
      <c r="AL96" s="536">
        <v>42870</v>
      </c>
      <c r="AM96" s="2233"/>
    </row>
    <row r="97" spans="1:39" ht="25.5" x14ac:dyDescent="0.2">
      <c r="A97" s="459"/>
      <c r="B97" s="459"/>
      <c r="C97" s="460"/>
      <c r="D97" s="2244"/>
      <c r="E97" s="2284"/>
      <c r="F97" s="2285"/>
      <c r="G97" s="2297"/>
      <c r="H97" s="2353"/>
      <c r="I97" s="2354"/>
      <c r="J97" s="2330"/>
      <c r="K97" s="2294"/>
      <c r="L97" s="2223"/>
      <c r="M97" s="2315"/>
      <c r="N97" s="2342"/>
      <c r="O97" s="2345"/>
      <c r="P97" s="2193"/>
      <c r="Q97" s="2312"/>
      <c r="R97" s="2348"/>
      <c r="S97" s="2193"/>
      <c r="T97" s="2239"/>
      <c r="U97" s="472" t="s">
        <v>567</v>
      </c>
      <c r="V97" s="535">
        <v>5000000</v>
      </c>
      <c r="W97" s="2264"/>
      <c r="X97" s="2367"/>
      <c r="Y97" s="2321"/>
      <c r="Z97" s="2315"/>
      <c r="AA97" s="2315"/>
      <c r="AB97" s="2315"/>
      <c r="AC97" s="2315"/>
      <c r="AD97" s="2315"/>
      <c r="AE97" s="2330"/>
      <c r="AF97" s="2330"/>
      <c r="AG97" s="534"/>
      <c r="AH97" s="2330"/>
      <c r="AI97" s="534"/>
      <c r="AJ97" s="2226"/>
      <c r="AK97" s="531">
        <v>42776</v>
      </c>
      <c r="AL97" s="536">
        <v>42946</v>
      </c>
      <c r="AM97" s="2234"/>
    </row>
    <row r="98" spans="1:39" s="118" customFormat="1" ht="26.25" customHeight="1" x14ac:dyDescent="0.2">
      <c r="A98" s="459"/>
      <c r="B98" s="459"/>
      <c r="C98" s="460"/>
      <c r="D98" s="456">
        <v>25</v>
      </c>
      <c r="E98" s="109" t="s">
        <v>568</v>
      </c>
      <c r="F98" s="109"/>
      <c r="G98" s="109"/>
      <c r="H98" s="109"/>
      <c r="I98" s="109"/>
      <c r="J98" s="109"/>
      <c r="K98" s="457"/>
      <c r="L98" s="109"/>
      <c r="M98" s="109"/>
      <c r="N98" s="1590"/>
      <c r="O98" s="109"/>
      <c r="P98" s="110"/>
      <c r="Q98" s="458"/>
      <c r="R98" s="113"/>
      <c r="S98" s="110"/>
      <c r="T98" s="457"/>
      <c r="U98" s="457"/>
      <c r="V98" s="114"/>
      <c r="W98" s="114"/>
      <c r="X98" s="114"/>
      <c r="Y98" s="109"/>
      <c r="Z98" s="109"/>
      <c r="AA98" s="109"/>
      <c r="AB98" s="109"/>
      <c r="AC98" s="109"/>
      <c r="AD98" s="109"/>
      <c r="AE98" s="109"/>
      <c r="AF98" s="109"/>
      <c r="AG98" s="109"/>
      <c r="AH98" s="109"/>
      <c r="AI98" s="109"/>
      <c r="AJ98" s="109"/>
      <c r="AK98" s="109"/>
      <c r="AL98" s="116"/>
      <c r="AM98" s="117"/>
    </row>
    <row r="99" spans="1:39" s="118" customFormat="1" ht="25.5" customHeight="1" x14ac:dyDescent="0.2">
      <c r="A99" s="459"/>
      <c r="B99" s="459"/>
      <c r="C99" s="460"/>
      <c r="D99" s="513"/>
      <c r="E99" s="514"/>
      <c r="F99" s="515"/>
      <c r="G99" s="144">
        <v>81</v>
      </c>
      <c r="H99" s="123" t="s">
        <v>569</v>
      </c>
      <c r="I99" s="123"/>
      <c r="J99" s="123"/>
      <c r="K99" s="146"/>
      <c r="L99" s="123"/>
      <c r="M99" s="123"/>
      <c r="N99" s="1593"/>
      <c r="O99" s="516"/>
      <c r="P99" s="124"/>
      <c r="Q99" s="461"/>
      <c r="R99" s="127"/>
      <c r="S99" s="124"/>
      <c r="T99" s="146"/>
      <c r="U99" s="146"/>
      <c r="V99" s="128"/>
      <c r="W99" s="128"/>
      <c r="X99" s="128"/>
      <c r="Y99" s="128"/>
      <c r="Z99" s="128"/>
      <c r="AA99" s="128"/>
      <c r="AB99" s="128"/>
      <c r="AC99" s="128"/>
      <c r="AD99" s="128"/>
      <c r="AE99" s="128"/>
      <c r="AF99" s="128"/>
      <c r="AG99" s="128"/>
      <c r="AH99" s="128"/>
      <c r="AI99" s="128"/>
      <c r="AJ99" s="128"/>
      <c r="AK99" s="130"/>
      <c r="AL99" s="130"/>
      <c r="AM99" s="131"/>
    </row>
    <row r="100" spans="1:39" ht="38.25" x14ac:dyDescent="0.2">
      <c r="A100" s="459"/>
      <c r="B100" s="459"/>
      <c r="C100" s="460"/>
      <c r="D100" s="2295"/>
      <c r="E100" s="2358"/>
      <c r="F100" s="2359"/>
      <c r="G100" s="2295"/>
      <c r="H100" s="2322"/>
      <c r="I100" s="2323"/>
      <c r="J100" s="2220">
        <v>236</v>
      </c>
      <c r="K100" s="2292" t="s">
        <v>570</v>
      </c>
      <c r="L100" s="2218" t="s">
        <v>16</v>
      </c>
      <c r="M100" s="2224">
        <v>7</v>
      </c>
      <c r="N100" s="2191" t="s">
        <v>571</v>
      </c>
      <c r="O100" s="2343" t="s">
        <v>572</v>
      </c>
      <c r="P100" s="2191" t="s">
        <v>573</v>
      </c>
      <c r="Q100" s="2386">
        <f>SUM(V100:V101)/R100</f>
        <v>0.11330049261083744</v>
      </c>
      <c r="R100" s="2346">
        <f>SUM(V100:V119)</f>
        <v>507500000</v>
      </c>
      <c r="S100" s="2191" t="s">
        <v>574</v>
      </c>
      <c r="T100" s="2237" t="s">
        <v>575</v>
      </c>
      <c r="U100" s="484" t="s">
        <v>576</v>
      </c>
      <c r="V100" s="493">
        <v>49500000</v>
      </c>
      <c r="W100" s="2364" t="s">
        <v>146</v>
      </c>
      <c r="X100" s="2365" t="s">
        <v>577</v>
      </c>
      <c r="Y100" s="2381">
        <v>2019</v>
      </c>
      <c r="Z100" s="2378">
        <v>2274</v>
      </c>
      <c r="AA100" s="2378">
        <v>865</v>
      </c>
      <c r="AB100" s="2378">
        <v>2734</v>
      </c>
      <c r="AC100" s="2378">
        <v>7443</v>
      </c>
      <c r="AD100" s="2378">
        <v>2562</v>
      </c>
      <c r="AE100" s="2375"/>
      <c r="AF100" s="2375"/>
      <c r="AG100" s="537"/>
      <c r="AH100" s="2375"/>
      <c r="AI100" s="537"/>
      <c r="AJ100" s="537"/>
      <c r="AK100" s="531">
        <v>42781</v>
      </c>
      <c r="AL100" s="536">
        <v>43084</v>
      </c>
      <c r="AM100" s="2369" t="s">
        <v>578</v>
      </c>
    </row>
    <row r="101" spans="1:39" x14ac:dyDescent="0.2">
      <c r="A101" s="459"/>
      <c r="B101" s="459"/>
      <c r="C101" s="460"/>
      <c r="D101" s="2296"/>
      <c r="E101" s="2360"/>
      <c r="F101" s="2361"/>
      <c r="G101" s="2296"/>
      <c r="H101" s="2324"/>
      <c r="I101" s="2325"/>
      <c r="J101" s="2330"/>
      <c r="K101" s="2294"/>
      <c r="L101" s="2223"/>
      <c r="M101" s="2226"/>
      <c r="N101" s="2341"/>
      <c r="O101" s="2344"/>
      <c r="P101" s="2192"/>
      <c r="Q101" s="2387"/>
      <c r="R101" s="2347"/>
      <c r="S101" s="2192"/>
      <c r="T101" s="2238"/>
      <c r="U101" s="484" t="s">
        <v>579</v>
      </c>
      <c r="V101" s="493">
        <v>8000000</v>
      </c>
      <c r="W101" s="2263"/>
      <c r="X101" s="2366"/>
      <c r="Y101" s="2382"/>
      <c r="Z101" s="2379"/>
      <c r="AA101" s="2379"/>
      <c r="AB101" s="2379"/>
      <c r="AC101" s="2379"/>
      <c r="AD101" s="2379"/>
      <c r="AE101" s="2376"/>
      <c r="AF101" s="2376"/>
      <c r="AG101" s="538"/>
      <c r="AH101" s="2376"/>
      <c r="AI101" s="538"/>
      <c r="AJ101" s="538"/>
      <c r="AK101" s="531">
        <v>42808</v>
      </c>
      <c r="AL101" s="536">
        <v>42967</v>
      </c>
      <c r="AM101" s="2370"/>
    </row>
    <row r="102" spans="1:39" ht="39" customHeight="1" x14ac:dyDescent="0.2">
      <c r="A102" s="459"/>
      <c r="B102" s="459"/>
      <c r="C102" s="460"/>
      <c r="D102" s="2296"/>
      <c r="E102" s="2360"/>
      <c r="F102" s="2361"/>
      <c r="G102" s="2296"/>
      <c r="H102" s="2324"/>
      <c r="I102" s="2325"/>
      <c r="J102" s="2220">
        <v>237</v>
      </c>
      <c r="K102" s="2292" t="s">
        <v>580</v>
      </c>
      <c r="L102" s="2218" t="s">
        <v>16</v>
      </c>
      <c r="M102" s="2224">
        <v>70</v>
      </c>
      <c r="N102" s="2341"/>
      <c r="O102" s="2344"/>
      <c r="P102" s="2192"/>
      <c r="Q102" s="2372">
        <f>SUM(V102:V104)/R100</f>
        <v>0.12650246305418719</v>
      </c>
      <c r="R102" s="2347"/>
      <c r="S102" s="2192"/>
      <c r="T102" s="2238"/>
      <c r="U102" s="490" t="s">
        <v>581</v>
      </c>
      <c r="V102" s="493">
        <v>25000000</v>
      </c>
      <c r="W102" s="2263"/>
      <c r="X102" s="2366"/>
      <c r="Y102" s="2382"/>
      <c r="Z102" s="2379"/>
      <c r="AA102" s="2379"/>
      <c r="AB102" s="2379"/>
      <c r="AC102" s="2379"/>
      <c r="AD102" s="2379"/>
      <c r="AE102" s="2376"/>
      <c r="AF102" s="2376"/>
      <c r="AG102" s="538"/>
      <c r="AH102" s="2376"/>
      <c r="AI102" s="538"/>
      <c r="AJ102" s="538"/>
      <c r="AK102" s="531">
        <v>42750</v>
      </c>
      <c r="AL102" s="536">
        <v>42931</v>
      </c>
      <c r="AM102" s="2370"/>
    </row>
    <row r="103" spans="1:39" ht="25.5" x14ac:dyDescent="0.2">
      <c r="A103" s="459"/>
      <c r="B103" s="459"/>
      <c r="C103" s="460"/>
      <c r="D103" s="2296"/>
      <c r="E103" s="2360"/>
      <c r="F103" s="2361"/>
      <c r="G103" s="2296"/>
      <c r="H103" s="2324"/>
      <c r="I103" s="2325"/>
      <c r="J103" s="2221"/>
      <c r="K103" s="2293"/>
      <c r="L103" s="2219"/>
      <c r="M103" s="2225"/>
      <c r="N103" s="2341"/>
      <c r="O103" s="2344"/>
      <c r="P103" s="2192"/>
      <c r="Q103" s="2373"/>
      <c r="R103" s="2347"/>
      <c r="S103" s="2192"/>
      <c r="T103" s="2238"/>
      <c r="U103" s="472" t="s">
        <v>582</v>
      </c>
      <c r="V103" s="493">
        <v>30000000</v>
      </c>
      <c r="W103" s="2263"/>
      <c r="X103" s="2366"/>
      <c r="Y103" s="2382"/>
      <c r="Z103" s="2379"/>
      <c r="AA103" s="2379"/>
      <c r="AB103" s="2379"/>
      <c r="AC103" s="2379"/>
      <c r="AD103" s="2379"/>
      <c r="AE103" s="2376"/>
      <c r="AF103" s="2376"/>
      <c r="AG103" s="538"/>
      <c r="AH103" s="2376"/>
      <c r="AI103" s="538"/>
      <c r="AJ103" s="538"/>
      <c r="AK103" s="531">
        <v>42750</v>
      </c>
      <c r="AL103" s="536">
        <v>42962</v>
      </c>
      <c r="AM103" s="2370"/>
    </row>
    <row r="104" spans="1:39" x14ac:dyDescent="0.2">
      <c r="A104" s="459"/>
      <c r="B104" s="459"/>
      <c r="C104" s="460"/>
      <c r="D104" s="2296"/>
      <c r="E104" s="2360"/>
      <c r="F104" s="2361"/>
      <c r="G104" s="2296"/>
      <c r="H104" s="2324"/>
      <c r="I104" s="2325"/>
      <c r="J104" s="2330"/>
      <c r="K104" s="2294"/>
      <c r="L104" s="2223"/>
      <c r="M104" s="2226"/>
      <c r="N104" s="2341"/>
      <c r="O104" s="2344"/>
      <c r="P104" s="2192"/>
      <c r="Q104" s="2374"/>
      <c r="R104" s="2347"/>
      <c r="S104" s="2192"/>
      <c r="T104" s="2238"/>
      <c r="U104" s="472" t="s">
        <v>583</v>
      </c>
      <c r="V104" s="493">
        <v>9200000</v>
      </c>
      <c r="W104" s="2263"/>
      <c r="X104" s="2366"/>
      <c r="Y104" s="2382"/>
      <c r="Z104" s="2379"/>
      <c r="AA104" s="2379"/>
      <c r="AB104" s="2379"/>
      <c r="AC104" s="2379"/>
      <c r="AD104" s="2379"/>
      <c r="AE104" s="2376"/>
      <c r="AF104" s="2376"/>
      <c r="AG104" s="538"/>
      <c r="AH104" s="2376"/>
      <c r="AI104" s="538"/>
      <c r="AJ104" s="538"/>
      <c r="AK104" s="531">
        <v>42781</v>
      </c>
      <c r="AL104" s="536">
        <v>42962</v>
      </c>
      <c r="AM104" s="2370"/>
    </row>
    <row r="105" spans="1:39" ht="25.5" x14ac:dyDescent="0.2">
      <c r="A105" s="459"/>
      <c r="B105" s="459"/>
      <c r="C105" s="460"/>
      <c r="D105" s="2296"/>
      <c r="E105" s="2360"/>
      <c r="F105" s="2361"/>
      <c r="G105" s="2296"/>
      <c r="H105" s="2324"/>
      <c r="I105" s="2325"/>
      <c r="J105" s="2220">
        <v>238</v>
      </c>
      <c r="K105" s="2292" t="s">
        <v>584</v>
      </c>
      <c r="L105" s="2218" t="s">
        <v>16</v>
      </c>
      <c r="M105" s="2220">
        <v>12</v>
      </c>
      <c r="N105" s="2341"/>
      <c r="O105" s="2344"/>
      <c r="P105" s="2192"/>
      <c r="Q105" s="2310">
        <f>SUM(V105:V110)/R100</f>
        <v>0.1923152709359606</v>
      </c>
      <c r="R105" s="2347"/>
      <c r="S105" s="2192"/>
      <c r="T105" s="2238"/>
      <c r="U105" s="480" t="s">
        <v>585</v>
      </c>
      <c r="V105" s="539">
        <v>34200000</v>
      </c>
      <c r="W105" s="2263"/>
      <c r="X105" s="2366"/>
      <c r="Y105" s="2382"/>
      <c r="Z105" s="2379"/>
      <c r="AA105" s="2379"/>
      <c r="AB105" s="2379"/>
      <c r="AC105" s="2379"/>
      <c r="AD105" s="2379"/>
      <c r="AE105" s="2376"/>
      <c r="AF105" s="2376"/>
      <c r="AG105" s="538"/>
      <c r="AH105" s="2376"/>
      <c r="AI105" s="538"/>
      <c r="AJ105" s="538"/>
      <c r="AK105" s="531">
        <v>42750</v>
      </c>
      <c r="AL105" s="536">
        <v>42993</v>
      </c>
      <c r="AM105" s="2370"/>
    </row>
    <row r="106" spans="1:39" ht="25.5" x14ac:dyDescent="0.2">
      <c r="A106" s="459"/>
      <c r="B106" s="459"/>
      <c r="C106" s="460"/>
      <c r="D106" s="2296"/>
      <c r="E106" s="2360"/>
      <c r="F106" s="2361"/>
      <c r="G106" s="2296"/>
      <c r="H106" s="2324"/>
      <c r="I106" s="2325"/>
      <c r="J106" s="2221"/>
      <c r="K106" s="2293"/>
      <c r="L106" s="2219"/>
      <c r="M106" s="2221"/>
      <c r="N106" s="2341"/>
      <c r="O106" s="2344"/>
      <c r="P106" s="2192"/>
      <c r="Q106" s="2311"/>
      <c r="R106" s="2347"/>
      <c r="S106" s="2192"/>
      <c r="T106" s="2238"/>
      <c r="U106" s="484" t="s">
        <v>586</v>
      </c>
      <c r="V106" s="540">
        <v>30000000</v>
      </c>
      <c r="W106" s="2263"/>
      <c r="X106" s="2366"/>
      <c r="Y106" s="2382"/>
      <c r="Z106" s="2379"/>
      <c r="AA106" s="2379"/>
      <c r="AB106" s="2379"/>
      <c r="AC106" s="2379"/>
      <c r="AD106" s="2379"/>
      <c r="AE106" s="2376"/>
      <c r="AF106" s="2376"/>
      <c r="AG106" s="538"/>
      <c r="AH106" s="2376"/>
      <c r="AI106" s="538"/>
      <c r="AJ106" s="538"/>
      <c r="AK106" s="531">
        <v>42750</v>
      </c>
      <c r="AL106" s="536">
        <v>42993</v>
      </c>
      <c r="AM106" s="2370"/>
    </row>
    <row r="107" spans="1:39" x14ac:dyDescent="0.2">
      <c r="A107" s="459"/>
      <c r="B107" s="459"/>
      <c r="C107" s="460"/>
      <c r="D107" s="2296"/>
      <c r="E107" s="2360"/>
      <c r="F107" s="2361"/>
      <c r="G107" s="2296"/>
      <c r="H107" s="2324"/>
      <c r="I107" s="2325"/>
      <c r="J107" s="2221"/>
      <c r="K107" s="2293"/>
      <c r="L107" s="2219"/>
      <c r="M107" s="2221"/>
      <c r="N107" s="2341"/>
      <c r="O107" s="2344"/>
      <c r="P107" s="2192"/>
      <c r="Q107" s="2311"/>
      <c r="R107" s="2347"/>
      <c r="S107" s="2192"/>
      <c r="T107" s="2238"/>
      <c r="U107" s="484" t="s">
        <v>587</v>
      </c>
      <c r="V107" s="540">
        <v>10000000</v>
      </c>
      <c r="W107" s="2263"/>
      <c r="X107" s="2366"/>
      <c r="Y107" s="2382"/>
      <c r="Z107" s="2379"/>
      <c r="AA107" s="2379"/>
      <c r="AB107" s="2379"/>
      <c r="AC107" s="2379"/>
      <c r="AD107" s="2379"/>
      <c r="AE107" s="2376"/>
      <c r="AF107" s="2376"/>
      <c r="AG107" s="538"/>
      <c r="AH107" s="2376"/>
      <c r="AI107" s="538"/>
      <c r="AJ107" s="538"/>
      <c r="AK107" s="531">
        <v>42814</v>
      </c>
      <c r="AL107" s="536">
        <v>42845</v>
      </c>
      <c r="AM107" s="2370"/>
    </row>
    <row r="108" spans="1:39" x14ac:dyDescent="0.2">
      <c r="A108" s="459"/>
      <c r="B108" s="459"/>
      <c r="C108" s="460"/>
      <c r="D108" s="2296"/>
      <c r="E108" s="2360"/>
      <c r="F108" s="2361"/>
      <c r="G108" s="2296"/>
      <c r="H108" s="2324"/>
      <c r="I108" s="2325"/>
      <c r="J108" s="2221"/>
      <c r="K108" s="2293"/>
      <c r="L108" s="2219"/>
      <c r="M108" s="2221"/>
      <c r="N108" s="2341"/>
      <c r="O108" s="2344"/>
      <c r="P108" s="2192"/>
      <c r="Q108" s="2311"/>
      <c r="R108" s="2347"/>
      <c r="S108" s="2192"/>
      <c r="T108" s="2238"/>
      <c r="U108" s="484" t="s">
        <v>588</v>
      </c>
      <c r="V108" s="540">
        <v>10000000</v>
      </c>
      <c r="W108" s="2263"/>
      <c r="X108" s="2366"/>
      <c r="Y108" s="2382"/>
      <c r="Z108" s="2379"/>
      <c r="AA108" s="2379"/>
      <c r="AB108" s="2379"/>
      <c r="AC108" s="2379"/>
      <c r="AD108" s="2379"/>
      <c r="AE108" s="2376"/>
      <c r="AF108" s="2376"/>
      <c r="AG108" s="538"/>
      <c r="AH108" s="2376"/>
      <c r="AI108" s="538"/>
      <c r="AJ108" s="538"/>
      <c r="AK108" s="531">
        <v>42814</v>
      </c>
      <c r="AL108" s="536">
        <v>42845</v>
      </c>
      <c r="AM108" s="2370"/>
    </row>
    <row r="109" spans="1:39" x14ac:dyDescent="0.2">
      <c r="A109" s="459"/>
      <c r="B109" s="459"/>
      <c r="C109" s="460"/>
      <c r="D109" s="2296"/>
      <c r="E109" s="2360"/>
      <c r="F109" s="2361"/>
      <c r="G109" s="2296"/>
      <c r="H109" s="2324"/>
      <c r="I109" s="2325"/>
      <c r="J109" s="2221"/>
      <c r="K109" s="2293"/>
      <c r="L109" s="2219"/>
      <c r="M109" s="2221"/>
      <c r="N109" s="2341"/>
      <c r="O109" s="2344"/>
      <c r="P109" s="2192"/>
      <c r="Q109" s="2311"/>
      <c r="R109" s="2347"/>
      <c r="S109" s="2192"/>
      <c r="T109" s="2238"/>
      <c r="U109" s="484" t="s">
        <v>589</v>
      </c>
      <c r="V109" s="540">
        <v>4000000</v>
      </c>
      <c r="W109" s="2263"/>
      <c r="X109" s="2366"/>
      <c r="Y109" s="2382"/>
      <c r="Z109" s="2379"/>
      <c r="AA109" s="2379"/>
      <c r="AB109" s="2379"/>
      <c r="AC109" s="2379"/>
      <c r="AD109" s="2379"/>
      <c r="AE109" s="2376"/>
      <c r="AF109" s="2376"/>
      <c r="AG109" s="538"/>
      <c r="AH109" s="2376"/>
      <c r="AI109" s="538"/>
      <c r="AJ109" s="538"/>
      <c r="AK109" s="531">
        <v>42906</v>
      </c>
      <c r="AL109" s="536">
        <v>42936</v>
      </c>
      <c r="AM109" s="2370"/>
    </row>
    <row r="110" spans="1:39" ht="25.5" x14ac:dyDescent="0.2">
      <c r="A110" s="459"/>
      <c r="B110" s="459"/>
      <c r="C110" s="460"/>
      <c r="D110" s="2296"/>
      <c r="E110" s="2360"/>
      <c r="F110" s="2361"/>
      <c r="G110" s="2296"/>
      <c r="H110" s="2324"/>
      <c r="I110" s="2325"/>
      <c r="J110" s="2330"/>
      <c r="K110" s="2294"/>
      <c r="L110" s="2223"/>
      <c r="M110" s="2330"/>
      <c r="N110" s="2341"/>
      <c r="O110" s="2344"/>
      <c r="P110" s="2192"/>
      <c r="Q110" s="2312"/>
      <c r="R110" s="2347"/>
      <c r="S110" s="2192"/>
      <c r="T110" s="2238"/>
      <c r="U110" s="484" t="s">
        <v>590</v>
      </c>
      <c r="V110" s="540">
        <v>9400000</v>
      </c>
      <c r="W110" s="2263"/>
      <c r="X110" s="2366"/>
      <c r="Y110" s="2382"/>
      <c r="Z110" s="2379"/>
      <c r="AA110" s="2379"/>
      <c r="AB110" s="2379"/>
      <c r="AC110" s="2379"/>
      <c r="AD110" s="2379"/>
      <c r="AE110" s="2376"/>
      <c r="AF110" s="2376"/>
      <c r="AG110" s="538"/>
      <c r="AH110" s="2376"/>
      <c r="AI110" s="538"/>
      <c r="AJ110" s="538"/>
      <c r="AK110" s="531">
        <v>42786</v>
      </c>
      <c r="AL110" s="536">
        <v>42936</v>
      </c>
      <c r="AM110" s="2370"/>
    </row>
    <row r="111" spans="1:39" ht="38.25" x14ac:dyDescent="0.2">
      <c r="A111" s="459"/>
      <c r="B111" s="459"/>
      <c r="C111" s="460"/>
      <c r="D111" s="2296"/>
      <c r="E111" s="2360"/>
      <c r="F111" s="2361"/>
      <c r="G111" s="2296"/>
      <c r="H111" s="2324"/>
      <c r="I111" s="2325"/>
      <c r="J111" s="2220">
        <v>239</v>
      </c>
      <c r="K111" s="2292" t="s">
        <v>591</v>
      </c>
      <c r="L111" s="2328" t="s">
        <v>16</v>
      </c>
      <c r="M111" s="2220">
        <v>6</v>
      </c>
      <c r="N111" s="2341"/>
      <c r="O111" s="2344"/>
      <c r="P111" s="2192"/>
      <c r="Q111" s="2310">
        <f>SUM(V111:V112)/R100</f>
        <v>0.11828177339901477</v>
      </c>
      <c r="R111" s="2347"/>
      <c r="S111" s="2192"/>
      <c r="T111" s="2238"/>
      <c r="U111" s="480" t="s">
        <v>592</v>
      </c>
      <c r="V111" s="540">
        <v>25000000</v>
      </c>
      <c r="W111" s="2263"/>
      <c r="X111" s="2366"/>
      <c r="Y111" s="2382"/>
      <c r="Z111" s="2379"/>
      <c r="AA111" s="2379"/>
      <c r="AB111" s="2379"/>
      <c r="AC111" s="2379"/>
      <c r="AD111" s="2379"/>
      <c r="AE111" s="2376"/>
      <c r="AF111" s="2376"/>
      <c r="AG111" s="538"/>
      <c r="AH111" s="2376"/>
      <c r="AI111" s="538"/>
      <c r="AJ111" s="538"/>
      <c r="AK111" s="531">
        <v>42750</v>
      </c>
      <c r="AL111" s="536">
        <v>42993</v>
      </c>
      <c r="AM111" s="2370"/>
    </row>
    <row r="112" spans="1:39" ht="25.5" customHeight="1" x14ac:dyDescent="0.2">
      <c r="A112" s="459"/>
      <c r="B112" s="459"/>
      <c r="C112" s="460"/>
      <c r="D112" s="2296"/>
      <c r="E112" s="2360"/>
      <c r="F112" s="2361"/>
      <c r="G112" s="2296"/>
      <c r="H112" s="2324"/>
      <c r="I112" s="2325"/>
      <c r="J112" s="2330"/>
      <c r="K112" s="2294"/>
      <c r="L112" s="2329"/>
      <c r="M112" s="2330"/>
      <c r="N112" s="2341"/>
      <c r="O112" s="2344"/>
      <c r="P112" s="2192"/>
      <c r="Q112" s="2312"/>
      <c r="R112" s="2347"/>
      <c r="S112" s="2192"/>
      <c r="T112" s="2238"/>
      <c r="U112" s="484" t="s">
        <v>593</v>
      </c>
      <c r="V112" s="540">
        <v>35028000</v>
      </c>
      <c r="W112" s="2263"/>
      <c r="X112" s="2366"/>
      <c r="Y112" s="2382"/>
      <c r="Z112" s="2379"/>
      <c r="AA112" s="2379"/>
      <c r="AB112" s="2379"/>
      <c r="AC112" s="2379"/>
      <c r="AD112" s="2379"/>
      <c r="AE112" s="2376"/>
      <c r="AF112" s="2376"/>
      <c r="AG112" s="538"/>
      <c r="AH112" s="2376"/>
      <c r="AI112" s="538"/>
      <c r="AJ112" s="538"/>
      <c r="AK112" s="531">
        <v>42814</v>
      </c>
      <c r="AL112" s="536">
        <v>43089</v>
      </c>
      <c r="AM112" s="2370"/>
    </row>
    <row r="113" spans="1:39" ht="25.5" x14ac:dyDescent="0.2">
      <c r="A113" s="459"/>
      <c r="B113" s="459"/>
      <c r="C113" s="460"/>
      <c r="D113" s="2296"/>
      <c r="E113" s="2360"/>
      <c r="F113" s="2361"/>
      <c r="G113" s="2296"/>
      <c r="H113" s="2324"/>
      <c r="I113" s="2325"/>
      <c r="J113" s="2220">
        <v>240</v>
      </c>
      <c r="K113" s="2292" t="s">
        <v>594</v>
      </c>
      <c r="L113" s="2384" t="s">
        <v>16</v>
      </c>
      <c r="M113" s="2220">
        <v>1</v>
      </c>
      <c r="N113" s="2341"/>
      <c r="O113" s="2344"/>
      <c r="P113" s="2192"/>
      <c r="Q113" s="2310">
        <f>SUM(V113:V119)/R100</f>
        <v>0.4496</v>
      </c>
      <c r="R113" s="2347"/>
      <c r="S113" s="2192"/>
      <c r="T113" s="2238"/>
      <c r="U113" s="484" t="s">
        <v>595</v>
      </c>
      <c r="V113" s="493">
        <v>6900000</v>
      </c>
      <c r="W113" s="2263"/>
      <c r="X113" s="2366"/>
      <c r="Y113" s="2382"/>
      <c r="Z113" s="2379"/>
      <c r="AA113" s="2379"/>
      <c r="AB113" s="2379"/>
      <c r="AC113" s="2379"/>
      <c r="AD113" s="2379"/>
      <c r="AE113" s="2376"/>
      <c r="AF113" s="2376"/>
      <c r="AG113" s="538"/>
      <c r="AH113" s="2376"/>
      <c r="AI113" s="538"/>
      <c r="AJ113" s="538"/>
      <c r="AK113" s="531">
        <v>42814</v>
      </c>
      <c r="AL113" s="536">
        <v>42870</v>
      </c>
      <c r="AM113" s="2370"/>
    </row>
    <row r="114" spans="1:39" ht="38.25" x14ac:dyDescent="0.2">
      <c r="A114" s="459"/>
      <c r="B114" s="459"/>
      <c r="C114" s="460"/>
      <c r="D114" s="2296"/>
      <c r="E114" s="2360"/>
      <c r="F114" s="2361"/>
      <c r="G114" s="2296"/>
      <c r="H114" s="2324"/>
      <c r="I114" s="2325"/>
      <c r="J114" s="2221"/>
      <c r="K114" s="2293"/>
      <c r="L114" s="2385"/>
      <c r="M114" s="2221"/>
      <c r="N114" s="2341"/>
      <c r="O114" s="2344"/>
      <c r="P114" s="2192"/>
      <c r="Q114" s="2311"/>
      <c r="R114" s="2347"/>
      <c r="S114" s="2192"/>
      <c r="T114" s="2238"/>
      <c r="U114" s="480" t="s">
        <v>596</v>
      </c>
      <c r="V114" s="493">
        <v>26672000</v>
      </c>
      <c r="W114" s="2263"/>
      <c r="X114" s="2366"/>
      <c r="Y114" s="2382"/>
      <c r="Z114" s="2379"/>
      <c r="AA114" s="2379"/>
      <c r="AB114" s="2379"/>
      <c r="AC114" s="2379"/>
      <c r="AD114" s="2379"/>
      <c r="AE114" s="2376"/>
      <c r="AF114" s="2376"/>
      <c r="AG114" s="538"/>
      <c r="AH114" s="2376"/>
      <c r="AI114" s="538"/>
      <c r="AJ114" s="538"/>
      <c r="AK114" s="531">
        <v>42750</v>
      </c>
      <c r="AL114" s="536">
        <v>42993</v>
      </c>
      <c r="AM114" s="2370"/>
    </row>
    <row r="115" spans="1:39" ht="25.5" x14ac:dyDescent="0.2">
      <c r="A115" s="459"/>
      <c r="B115" s="459"/>
      <c r="C115" s="460"/>
      <c r="D115" s="2296"/>
      <c r="E115" s="2360"/>
      <c r="F115" s="2361"/>
      <c r="G115" s="2296"/>
      <c r="H115" s="2324"/>
      <c r="I115" s="2325"/>
      <c r="J115" s="2221"/>
      <c r="K115" s="2293"/>
      <c r="L115" s="2385"/>
      <c r="M115" s="2221"/>
      <c r="N115" s="2341"/>
      <c r="O115" s="2344"/>
      <c r="P115" s="2192"/>
      <c r="Q115" s="2311"/>
      <c r="R115" s="2347"/>
      <c r="S115" s="2192"/>
      <c r="T115" s="2238"/>
      <c r="U115" s="480" t="s">
        <v>597</v>
      </c>
      <c r="V115" s="493">
        <v>25000000</v>
      </c>
      <c r="W115" s="2263"/>
      <c r="X115" s="2366"/>
      <c r="Y115" s="2382"/>
      <c r="Z115" s="2379"/>
      <c r="AA115" s="2379"/>
      <c r="AB115" s="2379"/>
      <c r="AC115" s="2379"/>
      <c r="AD115" s="2379"/>
      <c r="AE115" s="2376"/>
      <c r="AF115" s="2376"/>
      <c r="AG115" s="538"/>
      <c r="AH115" s="2376"/>
      <c r="AI115" s="538"/>
      <c r="AJ115" s="538"/>
      <c r="AK115" s="531">
        <v>42750</v>
      </c>
      <c r="AL115" s="536">
        <v>42993</v>
      </c>
      <c r="AM115" s="2370"/>
    </row>
    <row r="116" spans="1:39" ht="25.5" x14ac:dyDescent="0.2">
      <c r="A116" s="459"/>
      <c r="B116" s="459"/>
      <c r="C116" s="460"/>
      <c r="D116" s="2296"/>
      <c r="E116" s="2360"/>
      <c r="F116" s="2361"/>
      <c r="G116" s="2296"/>
      <c r="H116" s="2324"/>
      <c r="I116" s="2325"/>
      <c r="J116" s="2221"/>
      <c r="K116" s="2293"/>
      <c r="L116" s="2385"/>
      <c r="M116" s="2221"/>
      <c r="N116" s="2341"/>
      <c r="O116" s="2344"/>
      <c r="P116" s="2192"/>
      <c r="Q116" s="2311"/>
      <c r="R116" s="2347"/>
      <c r="S116" s="2192"/>
      <c r="T116" s="2238"/>
      <c r="U116" s="480" t="s">
        <v>598</v>
      </c>
      <c r="V116" s="493">
        <v>12100000</v>
      </c>
      <c r="W116" s="2263"/>
      <c r="X116" s="2366"/>
      <c r="Y116" s="2382"/>
      <c r="Z116" s="2379"/>
      <c r="AA116" s="2379"/>
      <c r="AB116" s="2379"/>
      <c r="AC116" s="2379"/>
      <c r="AD116" s="2379"/>
      <c r="AE116" s="2376"/>
      <c r="AF116" s="2376"/>
      <c r="AG116" s="538"/>
      <c r="AH116" s="2376"/>
      <c r="AI116" s="538"/>
      <c r="AJ116" s="538"/>
      <c r="AK116" s="531">
        <v>42750</v>
      </c>
      <c r="AL116" s="536">
        <v>42993</v>
      </c>
      <c r="AM116" s="2370"/>
    </row>
    <row r="117" spans="1:39" ht="25.5" x14ac:dyDescent="0.2">
      <c r="A117" s="459"/>
      <c r="B117" s="459"/>
      <c r="C117" s="460"/>
      <c r="D117" s="2296"/>
      <c r="E117" s="2360"/>
      <c r="F117" s="2361"/>
      <c r="G117" s="2296"/>
      <c r="H117" s="2324"/>
      <c r="I117" s="2325"/>
      <c r="J117" s="2221"/>
      <c r="K117" s="2293"/>
      <c r="L117" s="2385"/>
      <c r="M117" s="2221"/>
      <c r="N117" s="2341"/>
      <c r="O117" s="2344"/>
      <c r="P117" s="2192"/>
      <c r="Q117" s="2311"/>
      <c r="R117" s="2347"/>
      <c r="S117" s="2192"/>
      <c r="T117" s="2238"/>
      <c r="U117" s="480" t="s">
        <v>599</v>
      </c>
      <c r="V117" s="493">
        <v>25000000</v>
      </c>
      <c r="W117" s="2263"/>
      <c r="X117" s="2366"/>
      <c r="Y117" s="2382"/>
      <c r="Z117" s="2379"/>
      <c r="AA117" s="2379"/>
      <c r="AB117" s="2379"/>
      <c r="AC117" s="2379"/>
      <c r="AD117" s="2379"/>
      <c r="AE117" s="2376"/>
      <c r="AF117" s="2376"/>
      <c r="AG117" s="538"/>
      <c r="AH117" s="2376"/>
      <c r="AI117" s="538"/>
      <c r="AJ117" s="538"/>
      <c r="AK117" s="531">
        <v>42750</v>
      </c>
      <c r="AL117" s="536">
        <v>42993</v>
      </c>
      <c r="AM117" s="2370"/>
    </row>
    <row r="118" spans="1:39" ht="25.5" x14ac:dyDescent="0.2">
      <c r="A118" s="459"/>
      <c r="B118" s="459"/>
      <c r="C118" s="460"/>
      <c r="D118" s="2296"/>
      <c r="E118" s="2360"/>
      <c r="F118" s="2361"/>
      <c r="G118" s="2296"/>
      <c r="H118" s="2324"/>
      <c r="I118" s="2325"/>
      <c r="J118" s="2221"/>
      <c r="K118" s="2293"/>
      <c r="L118" s="2385"/>
      <c r="M118" s="2221"/>
      <c r="N118" s="2341"/>
      <c r="O118" s="2344"/>
      <c r="P118" s="2192"/>
      <c r="Q118" s="2311"/>
      <c r="R118" s="2347"/>
      <c r="S118" s="2192"/>
      <c r="T118" s="2238"/>
      <c r="U118" s="480" t="s">
        <v>600</v>
      </c>
      <c r="V118" s="493">
        <v>25000000</v>
      </c>
      <c r="W118" s="2263"/>
      <c r="X118" s="2366"/>
      <c r="Y118" s="2382"/>
      <c r="Z118" s="2379"/>
      <c r="AA118" s="2379"/>
      <c r="AB118" s="2379"/>
      <c r="AC118" s="2379"/>
      <c r="AD118" s="2379"/>
      <c r="AE118" s="2376"/>
      <c r="AF118" s="2376"/>
      <c r="AG118" s="538"/>
      <c r="AH118" s="2376"/>
      <c r="AI118" s="538"/>
      <c r="AJ118" s="538"/>
      <c r="AK118" s="531">
        <v>42750</v>
      </c>
      <c r="AL118" s="536">
        <v>42993</v>
      </c>
      <c r="AM118" s="2370"/>
    </row>
    <row r="119" spans="1:39" x14ac:dyDescent="0.2">
      <c r="A119" s="459"/>
      <c r="B119" s="459"/>
      <c r="C119" s="460"/>
      <c r="D119" s="2296"/>
      <c r="E119" s="2360"/>
      <c r="F119" s="2361"/>
      <c r="G119" s="2296"/>
      <c r="H119" s="2324"/>
      <c r="I119" s="2325"/>
      <c r="J119" s="2330"/>
      <c r="K119" s="2294"/>
      <c r="L119" s="2385"/>
      <c r="M119" s="2330"/>
      <c r="N119" s="2342"/>
      <c r="O119" s="2345"/>
      <c r="P119" s="2193"/>
      <c r="Q119" s="2312"/>
      <c r="R119" s="2348"/>
      <c r="S119" s="2193"/>
      <c r="T119" s="2239"/>
      <c r="U119" s="541" t="s">
        <v>601</v>
      </c>
      <c r="V119" s="542">
        <v>107500000</v>
      </c>
      <c r="W119" s="2264"/>
      <c r="X119" s="2367"/>
      <c r="Y119" s="2383"/>
      <c r="Z119" s="2380"/>
      <c r="AA119" s="2380"/>
      <c r="AB119" s="2380"/>
      <c r="AC119" s="2380"/>
      <c r="AD119" s="2380"/>
      <c r="AE119" s="2377"/>
      <c r="AF119" s="2377"/>
      <c r="AG119" s="543"/>
      <c r="AH119" s="2377"/>
      <c r="AI119" s="543"/>
      <c r="AJ119" s="543"/>
      <c r="AK119" s="544">
        <v>42931</v>
      </c>
      <c r="AL119" s="544">
        <v>43099</v>
      </c>
      <c r="AM119" s="2371"/>
    </row>
    <row r="120" spans="1:39" s="118" customFormat="1" ht="25.5" customHeight="1" x14ac:dyDescent="0.2">
      <c r="A120" s="459"/>
      <c r="B120" s="459"/>
      <c r="C120" s="460"/>
      <c r="D120" s="2296"/>
      <c r="E120" s="2360"/>
      <c r="F120" s="2361"/>
      <c r="G120" s="144">
        <v>82</v>
      </c>
      <c r="H120" s="123" t="s">
        <v>602</v>
      </c>
      <c r="I120" s="123"/>
      <c r="J120" s="123"/>
      <c r="K120" s="146"/>
      <c r="L120" s="123"/>
      <c r="M120" s="123"/>
      <c r="N120" s="1593"/>
      <c r="O120" s="123"/>
      <c r="P120" s="123"/>
      <c r="Q120" s="461"/>
      <c r="R120" s="127"/>
      <c r="S120" s="124"/>
      <c r="T120" s="146"/>
      <c r="U120" s="146"/>
      <c r="V120" s="128"/>
      <c r="W120" s="128"/>
      <c r="X120" s="128"/>
      <c r="Y120" s="128"/>
      <c r="Z120" s="128"/>
      <c r="AA120" s="128"/>
      <c r="AB120" s="128"/>
      <c r="AC120" s="128"/>
      <c r="AD120" s="128"/>
      <c r="AE120" s="128"/>
      <c r="AF120" s="128"/>
      <c r="AG120" s="128"/>
      <c r="AH120" s="128"/>
      <c r="AI120" s="128"/>
      <c r="AJ120" s="128"/>
      <c r="AK120" s="128"/>
      <c r="AL120" s="128"/>
      <c r="AM120" s="131"/>
    </row>
    <row r="121" spans="1:39" ht="25.5" x14ac:dyDescent="0.2">
      <c r="A121" s="459"/>
      <c r="B121" s="459"/>
      <c r="C121" s="460"/>
      <c r="D121" s="2296"/>
      <c r="E121" s="2360"/>
      <c r="F121" s="2361"/>
      <c r="G121" s="2295"/>
      <c r="H121" s="2388"/>
      <c r="I121" s="2389"/>
      <c r="J121" s="2220">
        <v>241</v>
      </c>
      <c r="K121" s="2292" t="s">
        <v>603</v>
      </c>
      <c r="L121" s="2218" t="s">
        <v>16</v>
      </c>
      <c r="M121" s="2313">
        <v>1</v>
      </c>
      <c r="N121" s="2357" t="s">
        <v>604</v>
      </c>
      <c r="O121" s="2343" t="s">
        <v>605</v>
      </c>
      <c r="P121" s="2191" t="s">
        <v>606</v>
      </c>
      <c r="Q121" s="2372">
        <f>SUM(V121:V123)/R121</f>
        <v>0.5625</v>
      </c>
      <c r="R121" s="2346">
        <f>SUM(V121:V124)</f>
        <v>90000000</v>
      </c>
      <c r="S121" s="2191" t="s">
        <v>574</v>
      </c>
      <c r="T121" s="2237" t="s">
        <v>607</v>
      </c>
      <c r="U121" s="545" t="s">
        <v>608</v>
      </c>
      <c r="V121" s="493">
        <v>33525000</v>
      </c>
      <c r="W121" s="2262">
        <v>20</v>
      </c>
      <c r="X121" s="2368" t="s">
        <v>494</v>
      </c>
      <c r="Y121" s="2319">
        <v>1058</v>
      </c>
      <c r="Z121" s="2313">
        <v>1191</v>
      </c>
      <c r="AA121" s="2313">
        <v>453</v>
      </c>
      <c r="AB121" s="2313">
        <v>1432</v>
      </c>
      <c r="AC121" s="2313">
        <v>3899</v>
      </c>
      <c r="AD121" s="2313">
        <v>1342</v>
      </c>
      <c r="AE121" s="2313"/>
      <c r="AF121" s="2220"/>
      <c r="AG121" s="528"/>
      <c r="AH121" s="2220"/>
      <c r="AI121" s="528"/>
      <c r="AJ121" s="2224"/>
      <c r="AK121" s="531">
        <v>42814</v>
      </c>
      <c r="AL121" s="536">
        <v>42885</v>
      </c>
      <c r="AM121" s="2369" t="s">
        <v>578</v>
      </c>
    </row>
    <row r="122" spans="1:39" x14ac:dyDescent="0.2">
      <c r="A122" s="459"/>
      <c r="B122" s="459"/>
      <c r="C122" s="460"/>
      <c r="D122" s="2296"/>
      <c r="E122" s="2360"/>
      <c r="F122" s="2361"/>
      <c r="G122" s="2296"/>
      <c r="H122" s="2390"/>
      <c r="I122" s="2391"/>
      <c r="J122" s="2221"/>
      <c r="K122" s="2293"/>
      <c r="L122" s="2219"/>
      <c r="M122" s="2314"/>
      <c r="N122" s="2341"/>
      <c r="O122" s="2344"/>
      <c r="P122" s="2192"/>
      <c r="Q122" s="2373"/>
      <c r="R122" s="2347"/>
      <c r="S122" s="2192"/>
      <c r="T122" s="2238"/>
      <c r="U122" s="545" t="s">
        <v>609</v>
      </c>
      <c r="V122" s="493">
        <v>5000000</v>
      </c>
      <c r="W122" s="2263"/>
      <c r="X122" s="2366"/>
      <c r="Y122" s="2320"/>
      <c r="Z122" s="2314"/>
      <c r="AA122" s="2314"/>
      <c r="AB122" s="2314"/>
      <c r="AC122" s="2314"/>
      <c r="AD122" s="2314"/>
      <c r="AE122" s="2314"/>
      <c r="AF122" s="2221"/>
      <c r="AG122" s="530"/>
      <c r="AH122" s="2221"/>
      <c r="AI122" s="530"/>
      <c r="AJ122" s="2225"/>
      <c r="AK122" s="531">
        <v>42814</v>
      </c>
      <c r="AL122" s="536">
        <v>42885</v>
      </c>
      <c r="AM122" s="2370"/>
    </row>
    <row r="123" spans="1:39" ht="25.5" x14ac:dyDescent="0.2">
      <c r="A123" s="459"/>
      <c r="B123" s="459"/>
      <c r="C123" s="460"/>
      <c r="D123" s="2296"/>
      <c r="E123" s="2360"/>
      <c r="F123" s="2361"/>
      <c r="G123" s="2296"/>
      <c r="H123" s="2390"/>
      <c r="I123" s="2391"/>
      <c r="J123" s="2330"/>
      <c r="K123" s="2294"/>
      <c r="L123" s="2223"/>
      <c r="M123" s="2315"/>
      <c r="N123" s="2341"/>
      <c r="O123" s="2344"/>
      <c r="P123" s="2192"/>
      <c r="Q123" s="2374"/>
      <c r="R123" s="2347"/>
      <c r="S123" s="2192"/>
      <c r="T123" s="2238"/>
      <c r="U123" s="546" t="s">
        <v>610</v>
      </c>
      <c r="V123" s="493">
        <v>12100000</v>
      </c>
      <c r="W123" s="2263"/>
      <c r="X123" s="2366"/>
      <c r="Y123" s="2320"/>
      <c r="Z123" s="2314"/>
      <c r="AA123" s="2314"/>
      <c r="AB123" s="2314"/>
      <c r="AC123" s="2314"/>
      <c r="AD123" s="2314"/>
      <c r="AE123" s="2314"/>
      <c r="AF123" s="2221"/>
      <c r="AG123" s="530"/>
      <c r="AH123" s="2221"/>
      <c r="AI123" s="530"/>
      <c r="AJ123" s="2225"/>
      <c r="AK123" s="531">
        <v>42750</v>
      </c>
      <c r="AL123" s="536">
        <v>42993</v>
      </c>
      <c r="AM123" s="2370"/>
    </row>
    <row r="124" spans="1:39" ht="51" x14ac:dyDescent="0.2">
      <c r="A124" s="459"/>
      <c r="B124" s="459"/>
      <c r="C124" s="460"/>
      <c r="D124" s="2297"/>
      <c r="E124" s="2362"/>
      <c r="F124" s="2363"/>
      <c r="G124" s="2297"/>
      <c r="H124" s="2390"/>
      <c r="I124" s="2391"/>
      <c r="J124" s="547">
        <v>242</v>
      </c>
      <c r="K124" s="548" t="s">
        <v>611</v>
      </c>
      <c r="L124" s="549" t="s">
        <v>482</v>
      </c>
      <c r="M124" s="474">
        <v>1</v>
      </c>
      <c r="N124" s="2342"/>
      <c r="O124" s="2345"/>
      <c r="P124" s="2193"/>
      <c r="Q124" s="550">
        <f>SUM(V124)/R121</f>
        <v>0.4375</v>
      </c>
      <c r="R124" s="2348"/>
      <c r="S124" s="2193"/>
      <c r="T124" s="2193"/>
      <c r="U124" s="472" t="s">
        <v>612</v>
      </c>
      <c r="V124" s="493">
        <v>39375000</v>
      </c>
      <c r="W124" s="2264"/>
      <c r="X124" s="2367"/>
      <c r="Y124" s="2321"/>
      <c r="Z124" s="2315"/>
      <c r="AA124" s="2315"/>
      <c r="AB124" s="2315"/>
      <c r="AC124" s="2315"/>
      <c r="AD124" s="2315"/>
      <c r="AE124" s="2315"/>
      <c r="AF124" s="2330"/>
      <c r="AG124" s="534"/>
      <c r="AH124" s="2330"/>
      <c r="AI124" s="534"/>
      <c r="AJ124" s="2226"/>
      <c r="AK124" s="531">
        <v>42809</v>
      </c>
      <c r="AL124" s="536">
        <v>43089</v>
      </c>
      <c r="AM124" s="2371"/>
    </row>
    <row r="125" spans="1:39" s="118" customFormat="1" ht="26.25" customHeight="1" x14ac:dyDescent="0.2">
      <c r="A125" s="459"/>
      <c r="B125" s="459"/>
      <c r="C125" s="460"/>
      <c r="D125" s="155">
        <v>27</v>
      </c>
      <c r="E125" s="162" t="s">
        <v>613</v>
      </c>
      <c r="F125" s="162"/>
      <c r="G125" s="162"/>
      <c r="H125" s="162"/>
      <c r="I125" s="156"/>
      <c r="J125" s="156"/>
      <c r="K125" s="161"/>
      <c r="L125" s="156"/>
      <c r="M125" s="156"/>
      <c r="N125" s="1594"/>
      <c r="O125" s="156"/>
      <c r="P125" s="157"/>
      <c r="Q125" s="551"/>
      <c r="R125" s="160"/>
      <c r="S125" s="157"/>
      <c r="T125" s="161"/>
      <c r="U125" s="161"/>
      <c r="V125" s="552"/>
      <c r="W125" s="157"/>
      <c r="X125" s="157"/>
      <c r="Y125" s="157"/>
      <c r="Z125" s="157"/>
      <c r="AA125" s="157"/>
      <c r="AB125" s="157"/>
      <c r="AC125" s="157"/>
      <c r="AD125" s="157"/>
      <c r="AE125" s="157"/>
      <c r="AF125" s="157"/>
      <c r="AG125" s="157"/>
      <c r="AH125" s="157"/>
      <c r="AI125" s="157"/>
      <c r="AJ125" s="157"/>
      <c r="AK125" s="157"/>
      <c r="AL125" s="157"/>
      <c r="AM125" s="164"/>
    </row>
    <row r="126" spans="1:39" s="118" customFormat="1" ht="25.5" customHeight="1" x14ac:dyDescent="0.2">
      <c r="A126" s="459"/>
      <c r="B126" s="459"/>
      <c r="C126" s="460"/>
      <c r="D126" s="2295"/>
      <c r="E126" s="2393"/>
      <c r="F126" s="2394"/>
      <c r="G126" s="165">
        <v>85</v>
      </c>
      <c r="H126" s="166" t="s">
        <v>614</v>
      </c>
      <c r="I126" s="166"/>
      <c r="J126" s="166"/>
      <c r="K126" s="171"/>
      <c r="L126" s="166"/>
      <c r="M126" s="166"/>
      <c r="N126" s="1595"/>
      <c r="O126" s="166"/>
      <c r="P126" s="166"/>
      <c r="Q126" s="553"/>
      <c r="R126" s="170"/>
      <c r="S126" s="167"/>
      <c r="T126" s="171"/>
      <c r="U126" s="171"/>
      <c r="V126" s="172"/>
      <c r="W126" s="172"/>
      <c r="X126" s="172"/>
      <c r="Y126" s="172"/>
      <c r="Z126" s="172"/>
      <c r="AA126" s="172"/>
      <c r="AB126" s="172"/>
      <c r="AC126" s="172"/>
      <c r="AD126" s="172"/>
      <c r="AE126" s="172"/>
      <c r="AF126" s="172"/>
      <c r="AG126" s="172"/>
      <c r="AH126" s="172"/>
      <c r="AI126" s="172"/>
      <c r="AJ126" s="172"/>
      <c r="AK126" s="172"/>
      <c r="AL126" s="172"/>
      <c r="AM126" s="554"/>
    </row>
    <row r="127" spans="1:39" ht="25.5" customHeight="1" x14ac:dyDescent="0.2">
      <c r="A127" s="459"/>
      <c r="B127" s="459"/>
      <c r="C127" s="460"/>
      <c r="D127" s="2296"/>
      <c r="E127" s="2395"/>
      <c r="F127" s="2396"/>
      <c r="G127" s="2295"/>
      <c r="H127" s="2322"/>
      <c r="I127" s="2323"/>
      <c r="J127" s="2313">
        <v>250</v>
      </c>
      <c r="K127" s="2191" t="s">
        <v>615</v>
      </c>
      <c r="L127" s="2401" t="s">
        <v>16</v>
      </c>
      <c r="M127" s="2313">
        <v>3</v>
      </c>
      <c r="N127" s="2191" t="s">
        <v>616</v>
      </c>
      <c r="O127" s="2343" t="s">
        <v>617</v>
      </c>
      <c r="P127" s="2191" t="s">
        <v>618</v>
      </c>
      <c r="Q127" s="2310">
        <f>SUM(V127:V131)/R127</f>
        <v>0.54306930693069311</v>
      </c>
      <c r="R127" s="2346">
        <f>SUM(V127:V141)</f>
        <v>505000000</v>
      </c>
      <c r="S127" s="2191" t="s">
        <v>619</v>
      </c>
      <c r="T127" s="2237" t="s">
        <v>620</v>
      </c>
      <c r="U127" s="472" t="s">
        <v>621</v>
      </c>
      <c r="V127" s="493">
        <v>20000000</v>
      </c>
      <c r="W127" s="555"/>
      <c r="X127" s="556"/>
      <c r="Y127" s="2319">
        <v>31154</v>
      </c>
      <c r="Z127" s="2313">
        <v>35075</v>
      </c>
      <c r="AA127" s="2313">
        <v>13344</v>
      </c>
      <c r="AB127" s="2313">
        <v>42174</v>
      </c>
      <c r="AC127" s="2313">
        <v>114821</v>
      </c>
      <c r="AD127" s="2313">
        <v>39524</v>
      </c>
      <c r="AE127" s="2418"/>
      <c r="AF127" s="2418"/>
      <c r="AG127" s="557"/>
      <c r="AH127" s="2418"/>
      <c r="AI127" s="557"/>
      <c r="AJ127" s="2415"/>
      <c r="AK127" s="531">
        <v>42750</v>
      </c>
      <c r="AL127" s="536">
        <v>42993</v>
      </c>
      <c r="AM127" s="2369" t="s">
        <v>622</v>
      </c>
    </row>
    <row r="128" spans="1:39" ht="25.5" x14ac:dyDescent="0.2">
      <c r="A128" s="459"/>
      <c r="B128" s="459"/>
      <c r="C128" s="460"/>
      <c r="D128" s="2296"/>
      <c r="E128" s="2395"/>
      <c r="F128" s="2396"/>
      <c r="G128" s="2296"/>
      <c r="H128" s="2324"/>
      <c r="I128" s="2325"/>
      <c r="J128" s="2314"/>
      <c r="K128" s="2192"/>
      <c r="L128" s="2402"/>
      <c r="M128" s="2314"/>
      <c r="N128" s="2341"/>
      <c r="O128" s="2344"/>
      <c r="P128" s="2192"/>
      <c r="Q128" s="2311"/>
      <c r="R128" s="2347"/>
      <c r="S128" s="2192"/>
      <c r="T128" s="2238"/>
      <c r="U128" s="472" t="s">
        <v>623</v>
      </c>
      <c r="V128" s="493">
        <v>35250000</v>
      </c>
      <c r="W128" s="558"/>
      <c r="X128" s="559"/>
      <c r="Y128" s="2320"/>
      <c r="Z128" s="2314"/>
      <c r="AA128" s="2314"/>
      <c r="AB128" s="2314"/>
      <c r="AC128" s="2314"/>
      <c r="AD128" s="2314"/>
      <c r="AE128" s="2419"/>
      <c r="AF128" s="2419"/>
      <c r="AG128" s="560"/>
      <c r="AH128" s="2419"/>
      <c r="AI128" s="560"/>
      <c r="AJ128" s="2416"/>
      <c r="AK128" s="531">
        <v>42845</v>
      </c>
      <c r="AL128" s="561">
        <v>42855</v>
      </c>
      <c r="AM128" s="2370"/>
    </row>
    <row r="129" spans="1:39" ht="15" customHeight="1" x14ac:dyDescent="0.2">
      <c r="A129" s="459"/>
      <c r="B129" s="459"/>
      <c r="C129" s="460"/>
      <c r="D129" s="2296"/>
      <c r="E129" s="2395"/>
      <c r="F129" s="2396"/>
      <c r="G129" s="2296"/>
      <c r="H129" s="2324"/>
      <c r="I129" s="2325"/>
      <c r="J129" s="2314"/>
      <c r="K129" s="2192"/>
      <c r="L129" s="2402"/>
      <c r="M129" s="2314"/>
      <c r="N129" s="2341"/>
      <c r="O129" s="2344"/>
      <c r="P129" s="2192"/>
      <c r="Q129" s="2311"/>
      <c r="R129" s="2347"/>
      <c r="S129" s="2192"/>
      <c r="T129" s="2238"/>
      <c r="U129" s="484" t="s">
        <v>624</v>
      </c>
      <c r="V129" s="493">
        <v>2000000</v>
      </c>
      <c r="W129" s="558"/>
      <c r="X129" s="559"/>
      <c r="Y129" s="2320"/>
      <c r="Z129" s="2314"/>
      <c r="AA129" s="2314"/>
      <c r="AB129" s="2314"/>
      <c r="AC129" s="2314"/>
      <c r="AD129" s="2314"/>
      <c r="AE129" s="2419"/>
      <c r="AF129" s="2419"/>
      <c r="AG129" s="560"/>
      <c r="AH129" s="2419"/>
      <c r="AI129" s="560"/>
      <c r="AJ129" s="2416"/>
      <c r="AK129" s="531">
        <v>42804</v>
      </c>
      <c r="AL129" s="536">
        <v>42906</v>
      </c>
      <c r="AM129" s="2370"/>
    </row>
    <row r="130" spans="1:39" ht="25.5" x14ac:dyDescent="0.2">
      <c r="A130" s="459"/>
      <c r="B130" s="459"/>
      <c r="C130" s="460"/>
      <c r="D130" s="2296"/>
      <c r="E130" s="2395"/>
      <c r="F130" s="2396"/>
      <c r="G130" s="2296"/>
      <c r="H130" s="2324"/>
      <c r="I130" s="2325"/>
      <c r="J130" s="2314"/>
      <c r="K130" s="2192"/>
      <c r="L130" s="2402"/>
      <c r="M130" s="2314"/>
      <c r="N130" s="2341"/>
      <c r="O130" s="2344"/>
      <c r="P130" s="2192"/>
      <c r="Q130" s="2311"/>
      <c r="R130" s="2347"/>
      <c r="S130" s="2192"/>
      <c r="T130" s="2238"/>
      <c r="U130" s="472" t="s">
        <v>625</v>
      </c>
      <c r="V130" s="493">
        <v>2000000</v>
      </c>
      <c r="W130" s="558"/>
      <c r="X130" s="559"/>
      <c r="Y130" s="2320"/>
      <c r="Z130" s="2314"/>
      <c r="AA130" s="2314"/>
      <c r="AB130" s="2314"/>
      <c r="AC130" s="2314"/>
      <c r="AD130" s="2314"/>
      <c r="AE130" s="2419"/>
      <c r="AF130" s="2419"/>
      <c r="AG130" s="560"/>
      <c r="AH130" s="2419"/>
      <c r="AI130" s="560"/>
      <c r="AJ130" s="2416"/>
      <c r="AK130" s="531">
        <v>42804</v>
      </c>
      <c r="AL130" s="536">
        <v>42906</v>
      </c>
      <c r="AM130" s="2370"/>
    </row>
    <row r="131" spans="1:39" ht="51" x14ac:dyDescent="0.2">
      <c r="A131" s="459"/>
      <c r="B131" s="459"/>
      <c r="C131" s="460"/>
      <c r="D131" s="2296"/>
      <c r="E131" s="2395"/>
      <c r="F131" s="2396"/>
      <c r="G131" s="2296"/>
      <c r="H131" s="2324"/>
      <c r="I131" s="2325"/>
      <c r="J131" s="2315"/>
      <c r="K131" s="2192"/>
      <c r="L131" s="2403"/>
      <c r="M131" s="2315"/>
      <c r="N131" s="2341"/>
      <c r="O131" s="2344"/>
      <c r="P131" s="2192"/>
      <c r="Q131" s="2312"/>
      <c r="R131" s="2347"/>
      <c r="S131" s="2192"/>
      <c r="T131" s="2238"/>
      <c r="U131" s="472" t="s">
        <v>626</v>
      </c>
      <c r="V131" s="493">
        <v>215000000</v>
      </c>
      <c r="W131" s="558"/>
      <c r="X131" s="559"/>
      <c r="Y131" s="2320"/>
      <c r="Z131" s="2314"/>
      <c r="AA131" s="2314"/>
      <c r="AB131" s="2314"/>
      <c r="AC131" s="2314"/>
      <c r="AD131" s="2314"/>
      <c r="AE131" s="2419"/>
      <c r="AF131" s="2419"/>
      <c r="AG131" s="560"/>
      <c r="AH131" s="2419"/>
      <c r="AI131" s="560"/>
      <c r="AJ131" s="2416"/>
      <c r="AK131" s="531">
        <v>42750</v>
      </c>
      <c r="AL131" s="536">
        <v>42993</v>
      </c>
      <c r="AM131" s="2370"/>
    </row>
    <row r="132" spans="1:39" ht="51" x14ac:dyDescent="0.2">
      <c r="A132" s="459"/>
      <c r="B132" s="459"/>
      <c r="C132" s="460"/>
      <c r="D132" s="2296"/>
      <c r="E132" s="2395"/>
      <c r="F132" s="2396"/>
      <c r="G132" s="2296"/>
      <c r="H132" s="2324"/>
      <c r="I132" s="2325"/>
      <c r="J132" s="2313">
        <v>251</v>
      </c>
      <c r="K132" s="2191" t="s">
        <v>627</v>
      </c>
      <c r="L132" s="2186" t="s">
        <v>482</v>
      </c>
      <c r="M132" s="2313">
        <v>1</v>
      </c>
      <c r="N132" s="2341"/>
      <c r="O132" s="2344"/>
      <c r="P132" s="2192"/>
      <c r="Q132" s="2310">
        <f>SUM(V132:V138)/R127</f>
        <v>0.4074257425742574</v>
      </c>
      <c r="R132" s="2347"/>
      <c r="S132" s="2192"/>
      <c r="T132" s="2238"/>
      <c r="U132" s="153" t="s">
        <v>628</v>
      </c>
      <c r="V132" s="493">
        <v>25000000</v>
      </c>
      <c r="W132" s="558"/>
      <c r="X132" s="559"/>
      <c r="Y132" s="2320"/>
      <c r="Z132" s="2314"/>
      <c r="AA132" s="2314"/>
      <c r="AB132" s="2314"/>
      <c r="AC132" s="2314"/>
      <c r="AD132" s="2314"/>
      <c r="AE132" s="2419"/>
      <c r="AF132" s="2419"/>
      <c r="AG132" s="560"/>
      <c r="AH132" s="2419"/>
      <c r="AI132" s="560"/>
      <c r="AJ132" s="2416"/>
      <c r="AK132" s="531">
        <v>42750</v>
      </c>
      <c r="AL132" s="536">
        <v>42993</v>
      </c>
      <c r="AM132" s="2370"/>
    </row>
    <row r="133" spans="1:39" ht="25.5" x14ac:dyDescent="0.2">
      <c r="A133" s="459"/>
      <c r="B133" s="459"/>
      <c r="C133" s="460"/>
      <c r="D133" s="2296"/>
      <c r="E133" s="2395"/>
      <c r="F133" s="2396"/>
      <c r="G133" s="2296"/>
      <c r="H133" s="2324"/>
      <c r="I133" s="2325"/>
      <c r="J133" s="2314"/>
      <c r="K133" s="2192"/>
      <c r="L133" s="2187"/>
      <c r="M133" s="2314"/>
      <c r="N133" s="2341"/>
      <c r="O133" s="2344"/>
      <c r="P133" s="2192"/>
      <c r="Q133" s="2311"/>
      <c r="R133" s="2347"/>
      <c r="S133" s="2192"/>
      <c r="T133" s="2238"/>
      <c r="U133" s="153" t="s">
        <v>629</v>
      </c>
      <c r="V133" s="493">
        <v>19500000</v>
      </c>
      <c r="W133" s="486">
        <v>20</v>
      </c>
      <c r="X133" s="562" t="s">
        <v>51</v>
      </c>
      <c r="Y133" s="2320"/>
      <c r="Z133" s="2314"/>
      <c r="AA133" s="2314"/>
      <c r="AB133" s="2314"/>
      <c r="AC133" s="2314"/>
      <c r="AD133" s="2314"/>
      <c r="AE133" s="2419"/>
      <c r="AF133" s="2419"/>
      <c r="AG133" s="560"/>
      <c r="AH133" s="2419"/>
      <c r="AI133" s="560"/>
      <c r="AJ133" s="2416"/>
      <c r="AK133" s="531">
        <v>42750</v>
      </c>
      <c r="AL133" s="536">
        <v>42993</v>
      </c>
      <c r="AM133" s="2370"/>
    </row>
    <row r="134" spans="1:39" ht="25.5" x14ac:dyDescent="0.2">
      <c r="A134" s="459"/>
      <c r="B134" s="459"/>
      <c r="C134" s="460"/>
      <c r="D134" s="2296"/>
      <c r="E134" s="2395"/>
      <c r="F134" s="2396"/>
      <c r="G134" s="2296"/>
      <c r="H134" s="2324"/>
      <c r="I134" s="2325"/>
      <c r="J134" s="2314"/>
      <c r="K134" s="2192"/>
      <c r="L134" s="2187"/>
      <c r="M134" s="2314"/>
      <c r="N134" s="2341"/>
      <c r="O134" s="2344"/>
      <c r="P134" s="2192"/>
      <c r="Q134" s="2311"/>
      <c r="R134" s="2347"/>
      <c r="S134" s="2192"/>
      <c r="T134" s="2238"/>
      <c r="U134" s="153" t="s">
        <v>630</v>
      </c>
      <c r="V134" s="493">
        <v>80000000</v>
      </c>
      <c r="W134" s="486"/>
      <c r="X134" s="562"/>
      <c r="Y134" s="2320"/>
      <c r="Z134" s="2314"/>
      <c r="AA134" s="2314"/>
      <c r="AB134" s="2314"/>
      <c r="AC134" s="2314"/>
      <c r="AD134" s="2314"/>
      <c r="AE134" s="2419"/>
      <c r="AF134" s="2419"/>
      <c r="AG134" s="560"/>
      <c r="AH134" s="2419"/>
      <c r="AI134" s="560"/>
      <c r="AJ134" s="2416"/>
      <c r="AK134" s="531">
        <v>42750</v>
      </c>
      <c r="AL134" s="536">
        <v>42993</v>
      </c>
      <c r="AM134" s="2370"/>
    </row>
    <row r="135" spans="1:39" ht="46.5" customHeight="1" x14ac:dyDescent="0.2">
      <c r="A135" s="459"/>
      <c r="B135" s="459"/>
      <c r="C135" s="460"/>
      <c r="D135" s="2296"/>
      <c r="E135" s="2395"/>
      <c r="F135" s="2396"/>
      <c r="G135" s="2296"/>
      <c r="H135" s="2324"/>
      <c r="I135" s="2325"/>
      <c r="J135" s="2314"/>
      <c r="K135" s="2192"/>
      <c r="L135" s="2187"/>
      <c r="M135" s="2314"/>
      <c r="N135" s="2341"/>
      <c r="O135" s="2344"/>
      <c r="P135" s="2192"/>
      <c r="Q135" s="2311"/>
      <c r="R135" s="2347"/>
      <c r="S135" s="2192"/>
      <c r="T135" s="2238"/>
      <c r="U135" s="484" t="s">
        <v>631</v>
      </c>
      <c r="V135" s="493">
        <v>8000000</v>
      </c>
      <c r="W135" s="558"/>
      <c r="X135" s="559"/>
      <c r="Y135" s="2320"/>
      <c r="Z135" s="2314"/>
      <c r="AA135" s="2314"/>
      <c r="AB135" s="2314"/>
      <c r="AC135" s="2314"/>
      <c r="AD135" s="2314"/>
      <c r="AE135" s="2419"/>
      <c r="AF135" s="2419"/>
      <c r="AG135" s="560"/>
      <c r="AH135" s="2419"/>
      <c r="AI135" s="560"/>
      <c r="AJ135" s="2416"/>
      <c r="AK135" s="531">
        <v>42804</v>
      </c>
      <c r="AL135" s="536">
        <v>42906</v>
      </c>
      <c r="AM135" s="2370"/>
    </row>
    <row r="136" spans="1:39" ht="25.5" x14ac:dyDescent="0.2">
      <c r="A136" s="459"/>
      <c r="B136" s="459"/>
      <c r="C136" s="460"/>
      <c r="D136" s="2296"/>
      <c r="E136" s="2395"/>
      <c r="F136" s="2396"/>
      <c r="G136" s="2296"/>
      <c r="H136" s="2324"/>
      <c r="I136" s="2325"/>
      <c r="J136" s="2314"/>
      <c r="K136" s="2192"/>
      <c r="L136" s="2187"/>
      <c r="M136" s="2314"/>
      <c r="N136" s="2341"/>
      <c r="O136" s="2344"/>
      <c r="P136" s="2192"/>
      <c r="Q136" s="2311"/>
      <c r="R136" s="2347"/>
      <c r="S136" s="2192"/>
      <c r="T136" s="2238"/>
      <c r="U136" s="484" t="s">
        <v>632</v>
      </c>
      <c r="V136" s="493">
        <v>60250000</v>
      </c>
      <c r="W136" s="558"/>
      <c r="X136" s="559"/>
      <c r="Y136" s="2320"/>
      <c r="Z136" s="2314"/>
      <c r="AA136" s="2314"/>
      <c r="AB136" s="2314"/>
      <c r="AC136" s="2314"/>
      <c r="AD136" s="2314"/>
      <c r="AE136" s="2419"/>
      <c r="AF136" s="2419"/>
      <c r="AG136" s="560"/>
      <c r="AH136" s="2419"/>
      <c r="AI136" s="560"/>
      <c r="AJ136" s="2416"/>
      <c r="AK136" s="531">
        <v>42750</v>
      </c>
      <c r="AL136" s="536">
        <v>42993</v>
      </c>
      <c r="AM136" s="2370"/>
    </row>
    <row r="137" spans="1:39" ht="25.5" x14ac:dyDescent="0.2">
      <c r="A137" s="459"/>
      <c r="B137" s="459"/>
      <c r="C137" s="460"/>
      <c r="D137" s="2296"/>
      <c r="E137" s="2395"/>
      <c r="F137" s="2396"/>
      <c r="G137" s="2296"/>
      <c r="H137" s="2324"/>
      <c r="I137" s="2325"/>
      <c r="J137" s="2314"/>
      <c r="K137" s="2192"/>
      <c r="L137" s="2187"/>
      <c r="M137" s="2314"/>
      <c r="N137" s="2341"/>
      <c r="O137" s="2344"/>
      <c r="P137" s="2192"/>
      <c r="Q137" s="2311"/>
      <c r="R137" s="2347"/>
      <c r="S137" s="2192"/>
      <c r="T137" s="2238"/>
      <c r="U137" s="484" t="s">
        <v>633</v>
      </c>
      <c r="V137" s="493">
        <v>5000000</v>
      </c>
      <c r="W137" s="558"/>
      <c r="X137" s="559"/>
      <c r="Y137" s="2320"/>
      <c r="Z137" s="2314"/>
      <c r="AA137" s="2314"/>
      <c r="AB137" s="2314"/>
      <c r="AC137" s="2314"/>
      <c r="AD137" s="2314"/>
      <c r="AE137" s="2419"/>
      <c r="AF137" s="2419"/>
      <c r="AG137" s="560"/>
      <c r="AH137" s="2419"/>
      <c r="AI137" s="560"/>
      <c r="AJ137" s="2416"/>
      <c r="AK137" s="531">
        <v>42750</v>
      </c>
      <c r="AL137" s="536">
        <v>42993</v>
      </c>
      <c r="AM137" s="2370"/>
    </row>
    <row r="138" spans="1:39" ht="15" customHeight="1" x14ac:dyDescent="0.2">
      <c r="A138" s="459"/>
      <c r="B138" s="459"/>
      <c r="C138" s="460"/>
      <c r="D138" s="2296"/>
      <c r="E138" s="2395"/>
      <c r="F138" s="2396"/>
      <c r="G138" s="2296"/>
      <c r="H138" s="2324"/>
      <c r="I138" s="2325"/>
      <c r="J138" s="2315"/>
      <c r="K138" s="2192"/>
      <c r="L138" s="2412"/>
      <c r="M138" s="2315"/>
      <c r="N138" s="2341"/>
      <c r="O138" s="2344"/>
      <c r="P138" s="2192"/>
      <c r="Q138" s="2312"/>
      <c r="R138" s="2347"/>
      <c r="S138" s="2192"/>
      <c r="T138" s="2238"/>
      <c r="U138" s="484" t="s">
        <v>624</v>
      </c>
      <c r="V138" s="493">
        <v>8000000</v>
      </c>
      <c r="W138" s="558"/>
      <c r="X138" s="559"/>
      <c r="Y138" s="2320"/>
      <c r="Z138" s="2314"/>
      <c r="AA138" s="2314"/>
      <c r="AB138" s="2314"/>
      <c r="AC138" s="2314"/>
      <c r="AD138" s="2314"/>
      <c r="AE138" s="2419"/>
      <c r="AF138" s="2419"/>
      <c r="AG138" s="560"/>
      <c r="AH138" s="2419"/>
      <c r="AI138" s="560"/>
      <c r="AJ138" s="2416"/>
      <c r="AK138" s="531">
        <v>42804</v>
      </c>
      <c r="AL138" s="536">
        <v>42967</v>
      </c>
      <c r="AM138" s="2370"/>
    </row>
    <row r="139" spans="1:39" ht="38.25" x14ac:dyDescent="0.2">
      <c r="A139" s="459"/>
      <c r="B139" s="459"/>
      <c r="C139" s="460"/>
      <c r="D139" s="2296"/>
      <c r="E139" s="2395"/>
      <c r="F139" s="2396"/>
      <c r="G139" s="2296"/>
      <c r="H139" s="2324"/>
      <c r="I139" s="2325"/>
      <c r="J139" s="2313">
        <v>254</v>
      </c>
      <c r="K139" s="2231" t="s">
        <v>634</v>
      </c>
      <c r="L139" s="2253" t="s">
        <v>16</v>
      </c>
      <c r="M139" s="2313">
        <v>1</v>
      </c>
      <c r="N139" s="2341"/>
      <c r="O139" s="2344"/>
      <c r="P139" s="2192"/>
      <c r="Q139" s="2310">
        <f>SUM(V139:V141)/R127</f>
        <v>4.9504950495049507E-2</v>
      </c>
      <c r="R139" s="2347"/>
      <c r="S139" s="2192"/>
      <c r="T139" s="2238"/>
      <c r="U139" s="480" t="s">
        <v>635</v>
      </c>
      <c r="V139" s="540">
        <v>15000000</v>
      </c>
      <c r="W139" s="558"/>
      <c r="X139" s="559"/>
      <c r="Y139" s="2320"/>
      <c r="Z139" s="2314"/>
      <c r="AA139" s="2314"/>
      <c r="AB139" s="2314"/>
      <c r="AC139" s="2314"/>
      <c r="AD139" s="2314"/>
      <c r="AE139" s="2419"/>
      <c r="AF139" s="2419"/>
      <c r="AG139" s="560"/>
      <c r="AH139" s="2419"/>
      <c r="AI139" s="560"/>
      <c r="AJ139" s="2416"/>
      <c r="AK139" s="531">
        <v>42750</v>
      </c>
      <c r="AL139" s="536">
        <v>42993</v>
      </c>
      <c r="AM139" s="2370"/>
    </row>
    <row r="140" spans="1:39" ht="25.5" x14ac:dyDescent="0.2">
      <c r="A140" s="459"/>
      <c r="B140" s="459"/>
      <c r="C140" s="460"/>
      <c r="D140" s="2296"/>
      <c r="E140" s="2395"/>
      <c r="F140" s="2396"/>
      <c r="G140" s="2296"/>
      <c r="H140" s="2324"/>
      <c r="I140" s="2325"/>
      <c r="J140" s="2314"/>
      <c r="K140" s="2231"/>
      <c r="L140" s="2260"/>
      <c r="M140" s="2314"/>
      <c r="N140" s="2341"/>
      <c r="O140" s="2344"/>
      <c r="P140" s="2192"/>
      <c r="Q140" s="2311"/>
      <c r="R140" s="2347"/>
      <c r="S140" s="2192"/>
      <c r="T140" s="2238"/>
      <c r="U140" s="484" t="s">
        <v>636</v>
      </c>
      <c r="V140" s="540">
        <v>5000000</v>
      </c>
      <c r="W140" s="558"/>
      <c r="X140" s="559"/>
      <c r="Y140" s="2320"/>
      <c r="Z140" s="2314"/>
      <c r="AA140" s="2314"/>
      <c r="AB140" s="2314"/>
      <c r="AC140" s="2314"/>
      <c r="AD140" s="2314"/>
      <c r="AE140" s="2419"/>
      <c r="AF140" s="2419"/>
      <c r="AG140" s="560"/>
      <c r="AH140" s="2419"/>
      <c r="AI140" s="560"/>
      <c r="AJ140" s="2416"/>
      <c r="AK140" s="531">
        <v>42804</v>
      </c>
      <c r="AL140" s="536">
        <v>42906</v>
      </c>
      <c r="AM140" s="2370"/>
    </row>
    <row r="141" spans="1:39" ht="15.75" customHeight="1" thickBot="1" x14ac:dyDescent="0.25">
      <c r="A141" s="563"/>
      <c r="B141" s="563"/>
      <c r="C141" s="564"/>
      <c r="D141" s="2392"/>
      <c r="E141" s="2397"/>
      <c r="F141" s="2398"/>
      <c r="G141" s="2392"/>
      <c r="H141" s="2399"/>
      <c r="I141" s="2400"/>
      <c r="J141" s="2408"/>
      <c r="K141" s="2413"/>
      <c r="L141" s="2414"/>
      <c r="M141" s="2408"/>
      <c r="N141" s="2409"/>
      <c r="O141" s="2410"/>
      <c r="P141" s="2405"/>
      <c r="Q141" s="2411"/>
      <c r="R141" s="2404"/>
      <c r="S141" s="2405"/>
      <c r="T141" s="2406"/>
      <c r="U141" s="565" t="s">
        <v>624</v>
      </c>
      <c r="V141" s="566">
        <v>5000000</v>
      </c>
      <c r="W141" s="567"/>
      <c r="X141" s="568"/>
      <c r="Y141" s="2407"/>
      <c r="Z141" s="2408"/>
      <c r="AA141" s="2408"/>
      <c r="AB141" s="2408"/>
      <c r="AC141" s="2408"/>
      <c r="AD141" s="2408"/>
      <c r="AE141" s="2420"/>
      <c r="AF141" s="2420"/>
      <c r="AG141" s="569"/>
      <c r="AH141" s="2420"/>
      <c r="AI141" s="569"/>
      <c r="AJ141" s="2417"/>
      <c r="AK141" s="570">
        <v>42804</v>
      </c>
      <c r="AL141" s="571">
        <v>42906</v>
      </c>
      <c r="AM141" s="2371"/>
    </row>
    <row r="142" spans="1:39" s="118" customFormat="1" ht="25.5" customHeight="1" x14ac:dyDescent="0.2">
      <c r="A142" s="459"/>
      <c r="B142" s="459"/>
      <c r="C142" s="460"/>
      <c r="D142" s="572"/>
      <c r="E142" s="573"/>
      <c r="F142" s="574"/>
      <c r="G142" s="144">
        <v>86</v>
      </c>
      <c r="H142" s="123" t="s">
        <v>637</v>
      </c>
      <c r="I142" s="123"/>
      <c r="J142" s="123"/>
      <c r="K142" s="146"/>
      <c r="L142" s="123"/>
      <c r="M142" s="123"/>
      <c r="N142" s="1591"/>
      <c r="O142" s="123"/>
      <c r="P142" s="124"/>
      <c r="Q142" s="461"/>
      <c r="R142" s="127"/>
      <c r="S142" s="124"/>
      <c r="T142" s="146"/>
      <c r="U142" s="146"/>
      <c r="V142" s="128"/>
      <c r="W142" s="128"/>
      <c r="X142" s="128"/>
      <c r="Y142" s="128"/>
      <c r="Z142" s="128"/>
      <c r="AA142" s="128"/>
      <c r="AB142" s="128"/>
      <c r="AC142" s="128"/>
      <c r="AD142" s="128"/>
      <c r="AE142" s="128"/>
      <c r="AF142" s="128"/>
      <c r="AG142" s="128"/>
      <c r="AH142" s="128"/>
      <c r="AI142" s="128"/>
      <c r="AJ142" s="128"/>
      <c r="AK142" s="128"/>
      <c r="AL142" s="128"/>
      <c r="AM142" s="517"/>
    </row>
    <row r="143" spans="1:39" ht="38.25" customHeight="1" x14ac:dyDescent="0.2">
      <c r="A143" s="459"/>
      <c r="B143" s="459"/>
      <c r="C143" s="460"/>
      <c r="D143" s="2295"/>
      <c r="E143" s="575"/>
      <c r="F143" s="576"/>
      <c r="G143" s="2295"/>
      <c r="H143" s="2322"/>
      <c r="I143" s="2323"/>
      <c r="J143" s="2313">
        <v>255</v>
      </c>
      <c r="K143" s="2191" t="s">
        <v>638</v>
      </c>
      <c r="L143" s="2186" t="s">
        <v>16</v>
      </c>
      <c r="M143" s="2313">
        <v>12</v>
      </c>
      <c r="N143" s="2191" t="s">
        <v>639</v>
      </c>
      <c r="O143" s="2343" t="s">
        <v>640</v>
      </c>
      <c r="P143" s="2191" t="s">
        <v>641</v>
      </c>
      <c r="Q143" s="2430">
        <v>1</v>
      </c>
      <c r="R143" s="2346">
        <f>SUM(V143:V147)</f>
        <v>100500000</v>
      </c>
      <c r="S143" s="2191" t="s">
        <v>642</v>
      </c>
      <c r="T143" s="2237" t="s">
        <v>643</v>
      </c>
      <c r="U143" s="577" t="s">
        <v>644</v>
      </c>
      <c r="V143" s="493">
        <v>40000000</v>
      </c>
      <c r="W143" s="2428" t="s">
        <v>146</v>
      </c>
      <c r="X143" s="2365" t="s">
        <v>147</v>
      </c>
      <c r="Y143" s="2432"/>
      <c r="Z143" s="2421"/>
      <c r="AA143" s="2421"/>
      <c r="AB143" s="2421"/>
      <c r="AC143" s="2220">
        <v>4200</v>
      </c>
      <c r="AD143" s="2421"/>
      <c r="AE143" s="2421"/>
      <c r="AF143" s="2421"/>
      <c r="AG143" s="578"/>
      <c r="AH143" s="2421"/>
      <c r="AI143" s="578"/>
      <c r="AJ143" s="2425"/>
      <c r="AK143" s="531">
        <v>42750</v>
      </c>
      <c r="AL143" s="536">
        <v>42993</v>
      </c>
      <c r="AM143" s="2369" t="s">
        <v>622</v>
      </c>
    </row>
    <row r="144" spans="1:39" x14ac:dyDescent="0.2">
      <c r="A144" s="459"/>
      <c r="B144" s="459"/>
      <c r="C144" s="460"/>
      <c r="D144" s="2296"/>
      <c r="E144" s="579"/>
      <c r="F144" s="580"/>
      <c r="G144" s="2296"/>
      <c r="H144" s="2324"/>
      <c r="I144" s="2325"/>
      <c r="J144" s="2314"/>
      <c r="K144" s="2192"/>
      <c r="L144" s="2187"/>
      <c r="M144" s="2314"/>
      <c r="N144" s="2341"/>
      <c r="O144" s="2344"/>
      <c r="P144" s="2192"/>
      <c r="Q144" s="2431"/>
      <c r="R144" s="2347"/>
      <c r="S144" s="2192"/>
      <c r="T144" s="2238"/>
      <c r="U144" s="581" t="s">
        <v>645</v>
      </c>
      <c r="V144" s="493">
        <v>13500000</v>
      </c>
      <c r="W144" s="2429"/>
      <c r="X144" s="2366"/>
      <c r="Y144" s="2433"/>
      <c r="Z144" s="2422"/>
      <c r="AA144" s="2422"/>
      <c r="AB144" s="2422"/>
      <c r="AC144" s="2221"/>
      <c r="AD144" s="2422"/>
      <c r="AE144" s="2422"/>
      <c r="AF144" s="2422"/>
      <c r="AG144" s="582"/>
      <c r="AH144" s="2422"/>
      <c r="AI144" s="582"/>
      <c r="AJ144" s="2426"/>
      <c r="AK144" s="531">
        <v>42993</v>
      </c>
      <c r="AL144" s="561">
        <v>43085</v>
      </c>
      <c r="AM144" s="2370"/>
    </row>
    <row r="145" spans="1:39" ht="38.25" x14ac:dyDescent="0.2">
      <c r="A145" s="459"/>
      <c r="B145" s="459"/>
      <c r="C145" s="460"/>
      <c r="D145" s="2296"/>
      <c r="E145" s="579"/>
      <c r="F145" s="580"/>
      <c r="G145" s="2296"/>
      <c r="H145" s="2324"/>
      <c r="I145" s="2325"/>
      <c r="J145" s="2314"/>
      <c r="K145" s="2192"/>
      <c r="L145" s="2187"/>
      <c r="M145" s="2314"/>
      <c r="N145" s="2341"/>
      <c r="O145" s="2344"/>
      <c r="P145" s="2192"/>
      <c r="Q145" s="2431"/>
      <c r="R145" s="2347"/>
      <c r="S145" s="2192"/>
      <c r="T145" s="2238"/>
      <c r="U145" s="583" t="s">
        <v>646</v>
      </c>
      <c r="V145" s="493">
        <v>25000000</v>
      </c>
      <c r="W145" s="2429"/>
      <c r="X145" s="2366"/>
      <c r="Y145" s="2433"/>
      <c r="Z145" s="2422"/>
      <c r="AA145" s="2422"/>
      <c r="AB145" s="2422"/>
      <c r="AC145" s="2221"/>
      <c r="AD145" s="2422"/>
      <c r="AE145" s="2422"/>
      <c r="AF145" s="2422"/>
      <c r="AG145" s="582"/>
      <c r="AH145" s="2422"/>
      <c r="AI145" s="582"/>
      <c r="AJ145" s="2426"/>
      <c r="AK145" s="531">
        <v>42809</v>
      </c>
      <c r="AL145" s="536">
        <v>42967</v>
      </c>
      <c r="AM145" s="2370"/>
    </row>
    <row r="146" spans="1:39" ht="25.5" x14ac:dyDescent="0.2">
      <c r="A146" s="459"/>
      <c r="B146" s="459"/>
      <c r="C146" s="460"/>
      <c r="D146" s="2296"/>
      <c r="E146" s="579"/>
      <c r="F146" s="580"/>
      <c r="G146" s="2296"/>
      <c r="H146" s="2324"/>
      <c r="I146" s="2325"/>
      <c r="J146" s="2314"/>
      <c r="K146" s="2192"/>
      <c r="L146" s="2187"/>
      <c r="M146" s="2314"/>
      <c r="N146" s="2341"/>
      <c r="O146" s="2344"/>
      <c r="P146" s="2192"/>
      <c r="Q146" s="2431"/>
      <c r="R146" s="2347"/>
      <c r="S146" s="2192"/>
      <c r="T146" s="2238"/>
      <c r="U146" s="472" t="s">
        <v>647</v>
      </c>
      <c r="V146" s="493">
        <v>5000000</v>
      </c>
      <c r="W146" s="2429"/>
      <c r="X146" s="2366"/>
      <c r="Y146" s="2433"/>
      <c r="Z146" s="2422"/>
      <c r="AA146" s="2422"/>
      <c r="AB146" s="2422"/>
      <c r="AC146" s="2221"/>
      <c r="AD146" s="2422"/>
      <c r="AE146" s="2422"/>
      <c r="AF146" s="2422"/>
      <c r="AG146" s="582"/>
      <c r="AH146" s="2422"/>
      <c r="AI146" s="582"/>
      <c r="AJ146" s="2426"/>
      <c r="AK146" s="531">
        <v>42750</v>
      </c>
      <c r="AL146" s="536">
        <v>42993</v>
      </c>
      <c r="AM146" s="2370"/>
    </row>
    <row r="147" spans="1:39" ht="38.25" x14ac:dyDescent="0.2">
      <c r="A147" s="459"/>
      <c r="B147" s="459"/>
      <c r="C147" s="460"/>
      <c r="D147" s="2296"/>
      <c r="E147" s="579"/>
      <c r="F147" s="580"/>
      <c r="G147" s="2296"/>
      <c r="H147" s="2324"/>
      <c r="I147" s="2325"/>
      <c r="J147" s="2314"/>
      <c r="K147" s="2192"/>
      <c r="L147" s="2187"/>
      <c r="M147" s="2314"/>
      <c r="N147" s="2341"/>
      <c r="O147" s="2344"/>
      <c r="P147" s="2192"/>
      <c r="Q147" s="2431"/>
      <c r="R147" s="2347"/>
      <c r="S147" s="2192"/>
      <c r="T147" s="2238"/>
      <c r="U147" s="584" t="s">
        <v>648</v>
      </c>
      <c r="V147" s="540">
        <v>17000000</v>
      </c>
      <c r="W147" s="2429"/>
      <c r="X147" s="2366"/>
      <c r="Y147" s="2433"/>
      <c r="Z147" s="2422"/>
      <c r="AA147" s="2422"/>
      <c r="AB147" s="2422"/>
      <c r="AC147" s="2221"/>
      <c r="AD147" s="2422"/>
      <c r="AE147" s="2422"/>
      <c r="AF147" s="2422"/>
      <c r="AG147" s="582"/>
      <c r="AH147" s="2422"/>
      <c r="AI147" s="582"/>
      <c r="AJ147" s="2427"/>
      <c r="AK147" s="585">
        <v>42750</v>
      </c>
      <c r="AL147" s="586">
        <v>42993</v>
      </c>
      <c r="AM147" s="2371"/>
    </row>
    <row r="148" spans="1:39" s="13" customFormat="1" ht="29.25" customHeight="1" x14ac:dyDescent="0.2">
      <c r="A148" s="2">
        <v>5</v>
      </c>
      <c r="B148" s="3" t="s">
        <v>42</v>
      </c>
      <c r="C148" s="3"/>
      <c r="D148" s="3"/>
      <c r="E148" s="3"/>
      <c r="F148" s="3"/>
      <c r="G148" s="3"/>
      <c r="H148" s="3"/>
      <c r="I148" s="3"/>
      <c r="J148" s="3"/>
      <c r="K148" s="452"/>
      <c r="L148" s="3"/>
      <c r="M148" s="3"/>
      <c r="N148" s="291"/>
      <c r="O148" s="3"/>
      <c r="P148" s="5"/>
      <c r="Q148" s="453"/>
      <c r="R148" s="100"/>
      <c r="S148" s="5"/>
      <c r="T148" s="452"/>
      <c r="U148" s="452"/>
      <c r="V148" s="101"/>
      <c r="W148" s="101"/>
      <c r="X148" s="101"/>
      <c r="Y148" s="101"/>
      <c r="Z148" s="101"/>
      <c r="AA148" s="101"/>
      <c r="AB148" s="101"/>
      <c r="AC148" s="101"/>
      <c r="AD148" s="101"/>
      <c r="AE148" s="101"/>
      <c r="AF148" s="101"/>
      <c r="AG148" s="101"/>
      <c r="AH148" s="101"/>
      <c r="AI148" s="101"/>
      <c r="AJ148" s="101"/>
      <c r="AK148" s="101"/>
      <c r="AL148" s="101"/>
      <c r="AM148" s="587"/>
    </row>
    <row r="149" spans="1:39" s="118" customFormat="1" ht="26.25" customHeight="1" x14ac:dyDescent="0.2">
      <c r="A149" s="2208"/>
      <c r="B149" s="2208"/>
      <c r="C149" s="2209"/>
      <c r="D149" s="456">
        <v>26</v>
      </c>
      <c r="E149" s="109" t="s">
        <v>649</v>
      </c>
      <c r="F149" s="109"/>
      <c r="G149" s="109"/>
      <c r="H149" s="109"/>
      <c r="I149" s="109"/>
      <c r="J149" s="109"/>
      <c r="K149" s="457"/>
      <c r="L149" s="109"/>
      <c r="M149" s="109"/>
      <c r="N149" s="1590"/>
      <c r="O149" s="109"/>
      <c r="P149" s="110"/>
      <c r="Q149" s="458"/>
      <c r="R149" s="113"/>
      <c r="S149" s="110"/>
      <c r="T149" s="457"/>
      <c r="U149" s="457"/>
      <c r="V149" s="114"/>
      <c r="W149" s="114"/>
      <c r="X149" s="114"/>
      <c r="Y149" s="114"/>
      <c r="Z149" s="114"/>
      <c r="AA149" s="114"/>
      <c r="AB149" s="114"/>
      <c r="AC149" s="114"/>
      <c r="AD149" s="114"/>
      <c r="AE149" s="114"/>
      <c r="AF149" s="114"/>
      <c r="AG149" s="114"/>
      <c r="AH149" s="114"/>
      <c r="AI149" s="114"/>
      <c r="AJ149" s="114"/>
      <c r="AK149" s="114"/>
      <c r="AL149" s="114"/>
      <c r="AM149" s="117"/>
    </row>
    <row r="150" spans="1:39" s="118" customFormat="1" ht="25.5" customHeight="1" x14ac:dyDescent="0.2">
      <c r="A150" s="2211"/>
      <c r="B150" s="2211"/>
      <c r="C150" s="2212"/>
      <c r="D150" s="572"/>
      <c r="E150" s="573"/>
      <c r="F150" s="574"/>
      <c r="G150" s="144">
        <v>84</v>
      </c>
      <c r="H150" s="123" t="s">
        <v>650</v>
      </c>
      <c r="I150" s="123"/>
      <c r="J150" s="123"/>
      <c r="K150" s="146"/>
      <c r="L150" s="123"/>
      <c r="M150" s="123"/>
      <c r="N150" s="1591"/>
      <c r="O150" s="123"/>
      <c r="P150" s="123"/>
      <c r="Q150" s="461"/>
      <c r="R150" s="127"/>
      <c r="S150" s="124"/>
      <c r="T150" s="146"/>
      <c r="U150" s="146"/>
      <c r="V150" s="128"/>
      <c r="W150" s="128"/>
      <c r="X150" s="128"/>
      <c r="Y150" s="128"/>
      <c r="Z150" s="128"/>
      <c r="AA150" s="128"/>
      <c r="AB150" s="128"/>
      <c r="AC150" s="128"/>
      <c r="AD150" s="128"/>
      <c r="AE150" s="128"/>
      <c r="AF150" s="128"/>
      <c r="AG150" s="128"/>
      <c r="AH150" s="128"/>
      <c r="AI150" s="128"/>
      <c r="AJ150" s="128"/>
      <c r="AK150" s="128"/>
      <c r="AL150" s="128"/>
      <c r="AM150" s="517"/>
    </row>
    <row r="151" spans="1:39" ht="38.25" customHeight="1" x14ac:dyDescent="0.2">
      <c r="A151" s="2211"/>
      <c r="B151" s="2211"/>
      <c r="C151" s="2212"/>
      <c r="D151" s="2423"/>
      <c r="E151" s="2424"/>
      <c r="F151" s="2424"/>
      <c r="G151" s="2295"/>
      <c r="H151" s="2322"/>
      <c r="I151" s="2323"/>
      <c r="J151" s="2220">
        <v>247</v>
      </c>
      <c r="K151" s="2191" t="s">
        <v>651</v>
      </c>
      <c r="L151" s="2186" t="s">
        <v>652</v>
      </c>
      <c r="M151" s="2313">
        <v>1</v>
      </c>
      <c r="N151" s="2357" t="s">
        <v>653</v>
      </c>
      <c r="O151" s="2343" t="s">
        <v>654</v>
      </c>
      <c r="P151" s="2191" t="s">
        <v>655</v>
      </c>
      <c r="Q151" s="2430">
        <v>1</v>
      </c>
      <c r="R151" s="2346">
        <f>SUM(V151:V155)</f>
        <v>40000000</v>
      </c>
      <c r="S151" s="2316" t="s">
        <v>656</v>
      </c>
      <c r="T151" s="2237" t="s">
        <v>657</v>
      </c>
      <c r="U151" s="490" t="s">
        <v>658</v>
      </c>
      <c r="V151" s="493">
        <v>27000000</v>
      </c>
      <c r="W151" s="555"/>
      <c r="X151" s="556"/>
      <c r="Y151" s="2432"/>
      <c r="Z151" s="2421"/>
      <c r="AA151" s="2421"/>
      <c r="AB151" s="2421"/>
      <c r="AC151" s="2220">
        <v>700</v>
      </c>
      <c r="AD151" s="2421"/>
      <c r="AE151" s="2421"/>
      <c r="AF151" s="2421"/>
      <c r="AG151" s="578"/>
      <c r="AH151" s="2421"/>
      <c r="AI151" s="578"/>
      <c r="AJ151" s="2425"/>
      <c r="AK151" s="531">
        <v>42750</v>
      </c>
      <c r="AL151" s="536">
        <v>42993</v>
      </c>
      <c r="AM151" s="2369" t="s">
        <v>622</v>
      </c>
    </row>
    <row r="152" spans="1:39" ht="25.5" x14ac:dyDescent="0.2">
      <c r="A152" s="2211"/>
      <c r="B152" s="2211"/>
      <c r="C152" s="2212"/>
      <c r="D152" s="2423"/>
      <c r="E152" s="2424"/>
      <c r="F152" s="2424"/>
      <c r="G152" s="2296"/>
      <c r="H152" s="2324"/>
      <c r="I152" s="2325"/>
      <c r="J152" s="2221"/>
      <c r="K152" s="2192"/>
      <c r="L152" s="2187"/>
      <c r="M152" s="2314"/>
      <c r="N152" s="2341"/>
      <c r="O152" s="2344"/>
      <c r="P152" s="2192"/>
      <c r="Q152" s="2431"/>
      <c r="R152" s="2347"/>
      <c r="S152" s="2317"/>
      <c r="T152" s="2238"/>
      <c r="U152" s="484" t="s">
        <v>659</v>
      </c>
      <c r="V152" s="493">
        <v>6000000</v>
      </c>
      <c r="W152" s="558"/>
      <c r="X152" s="559"/>
      <c r="Y152" s="2433"/>
      <c r="Z152" s="2422"/>
      <c r="AA152" s="2422"/>
      <c r="AB152" s="2422"/>
      <c r="AC152" s="2221"/>
      <c r="AD152" s="2422"/>
      <c r="AE152" s="2422"/>
      <c r="AF152" s="2422"/>
      <c r="AG152" s="582"/>
      <c r="AH152" s="2422"/>
      <c r="AI152" s="582"/>
      <c r="AJ152" s="2426"/>
      <c r="AK152" s="531">
        <v>42809</v>
      </c>
      <c r="AL152" s="536">
        <v>42967</v>
      </c>
      <c r="AM152" s="2370"/>
    </row>
    <row r="153" spans="1:39" ht="63.75" x14ac:dyDescent="0.2">
      <c r="A153" s="2211"/>
      <c r="B153" s="2211"/>
      <c r="C153" s="2212"/>
      <c r="D153" s="2423"/>
      <c r="E153" s="2424"/>
      <c r="F153" s="2424"/>
      <c r="G153" s="2296"/>
      <c r="H153" s="2324"/>
      <c r="I153" s="2325"/>
      <c r="J153" s="2221"/>
      <c r="K153" s="2192"/>
      <c r="L153" s="2187"/>
      <c r="M153" s="2314"/>
      <c r="N153" s="2341"/>
      <c r="O153" s="2344"/>
      <c r="P153" s="2192"/>
      <c r="Q153" s="2431"/>
      <c r="R153" s="2347"/>
      <c r="S153" s="2317"/>
      <c r="T153" s="2238"/>
      <c r="U153" s="484" t="s">
        <v>660</v>
      </c>
      <c r="V153" s="493">
        <v>3000000</v>
      </c>
      <c r="W153" s="486">
        <v>20</v>
      </c>
      <c r="X153" s="562" t="s">
        <v>51</v>
      </c>
      <c r="Y153" s="2433"/>
      <c r="Z153" s="2422"/>
      <c r="AA153" s="2422"/>
      <c r="AB153" s="2422"/>
      <c r="AC153" s="2221"/>
      <c r="AD153" s="2422"/>
      <c r="AE153" s="2422"/>
      <c r="AF153" s="2422"/>
      <c r="AG153" s="582"/>
      <c r="AH153" s="2422"/>
      <c r="AI153" s="582"/>
      <c r="AJ153" s="2426"/>
      <c r="AK153" s="531">
        <v>42809</v>
      </c>
      <c r="AL153" s="536">
        <v>42967</v>
      </c>
      <c r="AM153" s="2370"/>
    </row>
    <row r="154" spans="1:39" ht="63.75" x14ac:dyDescent="0.2">
      <c r="A154" s="2211"/>
      <c r="B154" s="2211"/>
      <c r="C154" s="2212"/>
      <c r="D154" s="2423"/>
      <c r="E154" s="2424"/>
      <c r="F154" s="2424"/>
      <c r="G154" s="2296"/>
      <c r="H154" s="2324"/>
      <c r="I154" s="2325"/>
      <c r="J154" s="2221"/>
      <c r="K154" s="2192"/>
      <c r="L154" s="2187"/>
      <c r="M154" s="2314"/>
      <c r="N154" s="2341"/>
      <c r="O154" s="2344"/>
      <c r="P154" s="2192"/>
      <c r="Q154" s="2431"/>
      <c r="R154" s="2347"/>
      <c r="S154" s="2317"/>
      <c r="T154" s="2238"/>
      <c r="U154" s="484" t="s">
        <v>661</v>
      </c>
      <c r="V154" s="493">
        <v>3000000</v>
      </c>
      <c r="W154" s="486"/>
      <c r="X154" s="562"/>
      <c r="Y154" s="2433"/>
      <c r="Z154" s="2422"/>
      <c r="AA154" s="2422"/>
      <c r="AB154" s="2422"/>
      <c r="AC154" s="2221"/>
      <c r="AD154" s="2422"/>
      <c r="AE154" s="2422"/>
      <c r="AF154" s="2422"/>
      <c r="AG154" s="582"/>
      <c r="AH154" s="2422"/>
      <c r="AI154" s="582"/>
      <c r="AJ154" s="2426"/>
      <c r="AK154" s="531">
        <v>42809</v>
      </c>
      <c r="AL154" s="536">
        <v>42967</v>
      </c>
      <c r="AM154" s="2370"/>
    </row>
    <row r="155" spans="1:39" ht="26.25" thickBot="1" x14ac:dyDescent="0.25">
      <c r="A155" s="2214"/>
      <c r="B155" s="2214"/>
      <c r="C155" s="2215"/>
      <c r="D155" s="2423"/>
      <c r="E155" s="2424"/>
      <c r="F155" s="2424"/>
      <c r="G155" s="2297"/>
      <c r="H155" s="2326"/>
      <c r="I155" s="2327"/>
      <c r="J155" s="2221"/>
      <c r="K155" s="2192"/>
      <c r="L155" s="2187"/>
      <c r="M155" s="2314"/>
      <c r="N155" s="2341"/>
      <c r="O155" s="2344"/>
      <c r="P155" s="2192"/>
      <c r="Q155" s="2431"/>
      <c r="R155" s="2347"/>
      <c r="S155" s="2317"/>
      <c r="T155" s="2238"/>
      <c r="U155" s="584" t="s">
        <v>662</v>
      </c>
      <c r="V155" s="540">
        <v>1000000</v>
      </c>
      <c r="W155" s="558"/>
      <c r="X155" s="559"/>
      <c r="Y155" s="2433"/>
      <c r="Z155" s="2422"/>
      <c r="AA155" s="2422"/>
      <c r="AB155" s="2422"/>
      <c r="AC155" s="2221"/>
      <c r="AD155" s="2422"/>
      <c r="AE155" s="2422"/>
      <c r="AF155" s="2422"/>
      <c r="AG155" s="582"/>
      <c r="AH155" s="2422"/>
      <c r="AI155" s="582"/>
      <c r="AJ155" s="2426"/>
      <c r="AK155" s="585">
        <v>42750</v>
      </c>
      <c r="AL155" s="586">
        <v>42993</v>
      </c>
      <c r="AM155" s="2370"/>
    </row>
    <row r="156" spans="1:39" ht="13.5" thickBot="1" x14ac:dyDescent="0.25">
      <c r="A156" s="588"/>
      <c r="B156" s="588"/>
      <c r="C156" s="588"/>
      <c r="D156" s="588"/>
      <c r="E156" s="588"/>
      <c r="F156" s="588"/>
      <c r="G156" s="588"/>
      <c r="H156" s="588"/>
      <c r="I156" s="588"/>
      <c r="J156" s="589"/>
      <c r="K156" s="590"/>
      <c r="L156" s="591"/>
      <c r="M156" s="591"/>
      <c r="N156" s="591"/>
      <c r="O156" s="592"/>
      <c r="P156" s="593" t="s">
        <v>663</v>
      </c>
      <c r="Q156" s="594"/>
      <c r="R156" s="595">
        <f>SUM(R13:R155)</f>
        <v>11363981388</v>
      </c>
      <c r="S156" s="596"/>
      <c r="T156" s="597"/>
      <c r="U156" s="598"/>
      <c r="V156" s="595">
        <f>SUM(V13:V155)</f>
        <v>11363981388</v>
      </c>
      <c r="W156" s="599"/>
      <c r="X156" s="600"/>
      <c r="Y156" s="601"/>
      <c r="Z156" s="601"/>
      <c r="AA156" s="601"/>
      <c r="AB156" s="601"/>
      <c r="AC156" s="601"/>
      <c r="AD156" s="601"/>
      <c r="AE156" s="601"/>
      <c r="AF156" s="601"/>
      <c r="AG156" s="592"/>
      <c r="AH156" s="601"/>
      <c r="AI156" s="592"/>
      <c r="AJ156" s="592"/>
      <c r="AK156" s="602"/>
      <c r="AL156" s="603"/>
      <c r="AM156" s="604"/>
    </row>
    <row r="157" spans="1:39" x14ac:dyDescent="0.2">
      <c r="A157" s="588"/>
      <c r="B157" s="588"/>
      <c r="C157" s="588"/>
      <c r="D157" s="588"/>
      <c r="E157" s="588"/>
      <c r="F157" s="588"/>
      <c r="G157" s="588"/>
      <c r="H157" s="588"/>
      <c r="I157" s="588"/>
      <c r="J157" s="588"/>
      <c r="K157" s="605"/>
      <c r="L157" s="606"/>
      <c r="M157" s="606"/>
      <c r="N157" s="606"/>
      <c r="O157" s="607"/>
      <c r="P157" s="608"/>
      <c r="Q157" s="609"/>
      <c r="R157" s="606"/>
      <c r="S157" s="606"/>
      <c r="T157" s="605"/>
      <c r="U157" s="605"/>
      <c r="V157" s="610"/>
      <c r="W157" s="611"/>
      <c r="X157" s="610"/>
      <c r="Y157" s="588"/>
      <c r="Z157" s="588"/>
      <c r="AA157" s="588"/>
      <c r="AB157" s="588"/>
      <c r="AC157" s="588"/>
      <c r="AD157" s="588"/>
      <c r="AE157" s="588"/>
      <c r="AF157" s="588"/>
      <c r="AG157" s="607"/>
      <c r="AH157" s="588"/>
      <c r="AI157" s="607"/>
      <c r="AJ157" s="607"/>
      <c r="AK157" s="612"/>
      <c r="AL157" s="613"/>
      <c r="AM157" s="614"/>
    </row>
    <row r="158" spans="1:39" x14ac:dyDescent="0.2">
      <c r="A158" s="588"/>
      <c r="B158" s="588"/>
      <c r="C158" s="588"/>
      <c r="D158" s="588"/>
      <c r="E158" s="588"/>
      <c r="F158" s="588"/>
      <c r="G158" s="588"/>
      <c r="H158" s="588"/>
      <c r="I158" s="588"/>
      <c r="J158" s="588"/>
      <c r="K158" s="605"/>
      <c r="L158" s="606"/>
      <c r="M158" s="606"/>
      <c r="N158" s="606"/>
      <c r="O158" s="607"/>
      <c r="P158" s="608"/>
      <c r="Q158" s="609"/>
      <c r="R158" s="606"/>
      <c r="S158" s="606"/>
      <c r="T158" s="605"/>
      <c r="U158" s="605"/>
      <c r="V158" s="610"/>
      <c r="W158" s="611"/>
      <c r="X158" s="610"/>
      <c r="Y158" s="588"/>
      <c r="Z158" s="588"/>
      <c r="AA158" s="588"/>
      <c r="AB158" s="588"/>
      <c r="AC158" s="588"/>
      <c r="AD158" s="588"/>
      <c r="AE158" s="588"/>
      <c r="AF158" s="588"/>
      <c r="AG158" s="607"/>
      <c r="AH158" s="588"/>
      <c r="AI158" s="607"/>
      <c r="AJ158" s="607"/>
      <c r="AK158" s="612"/>
      <c r="AL158" s="613"/>
      <c r="AM158" s="614"/>
    </row>
    <row r="159" spans="1:39" x14ac:dyDescent="0.2">
      <c r="A159" s="588"/>
      <c r="B159" s="588"/>
      <c r="C159" s="588"/>
      <c r="D159" s="588"/>
      <c r="E159" s="588"/>
      <c r="F159" s="588"/>
      <c r="G159" s="588"/>
      <c r="H159" s="588"/>
      <c r="I159" s="588"/>
      <c r="J159" s="588"/>
      <c r="K159" s="615"/>
      <c r="L159" s="606"/>
      <c r="M159" s="606"/>
      <c r="N159" s="606"/>
      <c r="O159" s="607"/>
      <c r="P159" s="608"/>
      <c r="Q159" s="609"/>
      <c r="R159" s="606"/>
      <c r="S159" s="606"/>
      <c r="T159" s="605"/>
      <c r="U159" s="605"/>
      <c r="V159" s="610"/>
      <c r="W159" s="611"/>
      <c r="X159" s="610"/>
      <c r="Y159" s="588"/>
      <c r="Z159" s="588"/>
      <c r="AA159" s="588"/>
      <c r="AB159" s="588"/>
      <c r="AC159" s="588"/>
      <c r="AD159" s="588"/>
      <c r="AE159" s="588"/>
      <c r="AF159" s="588"/>
      <c r="AG159" s="607"/>
      <c r="AH159" s="588"/>
      <c r="AI159" s="607"/>
      <c r="AJ159" s="607"/>
      <c r="AK159" s="612"/>
      <c r="AL159" s="613"/>
      <c r="AM159" s="614"/>
    </row>
    <row r="160" spans="1:39" x14ac:dyDescent="0.2">
      <c r="A160" s="588"/>
      <c r="B160" s="588"/>
      <c r="C160" s="588"/>
      <c r="D160" s="588"/>
      <c r="E160" s="588"/>
      <c r="F160" s="588"/>
      <c r="G160" s="588"/>
      <c r="H160" s="588"/>
      <c r="I160" s="588"/>
      <c r="J160" s="588"/>
      <c r="K160" s="605"/>
      <c r="L160" s="606"/>
      <c r="M160" s="606"/>
      <c r="N160" s="606"/>
      <c r="O160" s="607"/>
      <c r="P160" s="608"/>
      <c r="Q160" s="609"/>
      <c r="R160" s="606"/>
      <c r="S160" s="606"/>
      <c r="T160" s="605"/>
      <c r="U160" s="605"/>
      <c r="V160" s="610"/>
      <c r="W160" s="611"/>
      <c r="X160" s="610"/>
      <c r="Y160" s="588"/>
      <c r="Z160" s="588"/>
      <c r="AA160" s="588"/>
      <c r="AB160" s="588"/>
      <c r="AC160" s="588"/>
      <c r="AD160" s="588"/>
      <c r="AE160" s="588"/>
      <c r="AF160" s="588"/>
      <c r="AG160" s="607"/>
      <c r="AH160" s="588"/>
      <c r="AI160" s="607"/>
      <c r="AJ160" s="607"/>
      <c r="AK160" s="612"/>
      <c r="AL160" s="613"/>
      <c r="AM160" s="614"/>
    </row>
    <row r="161" spans="1:39" x14ac:dyDescent="0.2">
      <c r="W161" s="620"/>
      <c r="AJ161" s="465"/>
    </row>
    <row r="162" spans="1:39" s="621" customFormat="1" x14ac:dyDescent="0.2">
      <c r="A162" s="451"/>
      <c r="B162" s="451"/>
      <c r="C162" s="451"/>
      <c r="D162" s="451"/>
      <c r="E162" s="451"/>
      <c r="F162" s="451"/>
      <c r="G162" s="451"/>
      <c r="H162" s="451"/>
      <c r="I162" s="451"/>
      <c r="J162" s="451"/>
      <c r="K162" s="616"/>
      <c r="L162" s="470"/>
      <c r="M162" s="470"/>
      <c r="N162" s="470"/>
      <c r="O162" s="465"/>
      <c r="P162" s="617"/>
      <c r="Q162" s="618"/>
      <c r="R162" s="470"/>
      <c r="S162" s="470"/>
      <c r="T162" s="616"/>
      <c r="U162" s="616"/>
      <c r="V162" s="619"/>
      <c r="W162" s="624"/>
      <c r="X162" s="619"/>
      <c r="Y162" s="451"/>
      <c r="Z162" s="451"/>
      <c r="AA162" s="451"/>
      <c r="AB162" s="451"/>
      <c r="AC162" s="451"/>
      <c r="AD162" s="451"/>
      <c r="AE162" s="451"/>
      <c r="AF162" s="451"/>
      <c r="AG162" s="465"/>
      <c r="AH162" s="451"/>
      <c r="AI162" s="465"/>
      <c r="AJ162" s="465"/>
      <c r="AL162" s="622"/>
      <c r="AM162" s="623"/>
    </row>
    <row r="163" spans="1:39" s="621" customFormat="1" x14ac:dyDescent="0.2">
      <c r="A163" s="451"/>
      <c r="B163" s="451"/>
      <c r="C163" s="451"/>
      <c r="D163" s="451"/>
      <c r="E163" s="451"/>
      <c r="F163" s="451"/>
      <c r="G163" s="451"/>
      <c r="H163" s="451"/>
      <c r="I163" s="451"/>
      <c r="J163" s="451"/>
      <c r="K163" s="616"/>
      <c r="L163" s="470"/>
      <c r="M163" s="470"/>
      <c r="N163" s="470"/>
      <c r="O163" s="465"/>
      <c r="P163" s="617"/>
      <c r="Q163" s="618"/>
      <c r="R163" s="470"/>
      <c r="S163" s="470"/>
      <c r="T163" s="616"/>
      <c r="U163" s="616"/>
      <c r="V163" s="619"/>
      <c r="W163" s="624"/>
      <c r="X163" s="619"/>
      <c r="Y163" s="451"/>
      <c r="Z163" s="451"/>
      <c r="AA163" s="451"/>
      <c r="AB163" s="451"/>
      <c r="AC163" s="451"/>
      <c r="AD163" s="451"/>
      <c r="AE163" s="451"/>
      <c r="AF163" s="451"/>
      <c r="AG163" s="465"/>
      <c r="AH163" s="451"/>
      <c r="AI163" s="465"/>
      <c r="AJ163" s="465"/>
      <c r="AL163" s="622"/>
      <c r="AM163" s="623"/>
    </row>
    <row r="164" spans="1:39" s="621" customFormat="1" x14ac:dyDescent="0.2">
      <c r="A164" s="451"/>
      <c r="B164" s="451"/>
      <c r="C164" s="451"/>
      <c r="D164" s="451"/>
      <c r="E164" s="451"/>
      <c r="F164" s="451"/>
      <c r="G164" s="451"/>
      <c r="H164" s="451"/>
      <c r="I164" s="451"/>
      <c r="J164" s="451"/>
      <c r="K164" s="616"/>
      <c r="L164" s="470"/>
      <c r="M164" s="470"/>
      <c r="N164" s="470"/>
      <c r="O164" s="465"/>
      <c r="P164" s="617"/>
      <c r="Q164" s="618"/>
      <c r="R164" s="470"/>
      <c r="S164" s="470"/>
      <c r="T164" s="616"/>
      <c r="U164" s="616"/>
      <c r="V164" s="619"/>
      <c r="W164" s="624"/>
      <c r="X164" s="619"/>
      <c r="Y164" s="451"/>
      <c r="Z164" s="451"/>
      <c r="AA164" s="451"/>
      <c r="AB164" s="451"/>
      <c r="AC164" s="451"/>
      <c r="AD164" s="451"/>
      <c r="AE164" s="451"/>
      <c r="AF164" s="451"/>
      <c r="AG164" s="465"/>
      <c r="AH164" s="451"/>
      <c r="AI164" s="465"/>
      <c r="AJ164" s="465"/>
      <c r="AL164" s="622"/>
      <c r="AM164" s="623"/>
    </row>
    <row r="165" spans="1:39" s="621" customFormat="1" x14ac:dyDescent="0.2">
      <c r="A165" s="451"/>
      <c r="B165" s="451"/>
      <c r="C165" s="451"/>
      <c r="D165" s="451"/>
      <c r="E165" s="451"/>
      <c r="F165" s="451"/>
      <c r="G165" s="451"/>
      <c r="H165" s="451"/>
      <c r="I165" s="451"/>
      <c r="J165" s="451"/>
      <c r="K165" s="616"/>
      <c r="L165" s="470"/>
      <c r="M165" s="470"/>
      <c r="N165" s="470"/>
      <c r="O165" s="465"/>
      <c r="P165" s="617"/>
      <c r="Q165" s="618"/>
      <c r="R165" s="470"/>
      <c r="S165" s="470"/>
      <c r="T165" s="616"/>
      <c r="U165" s="616"/>
      <c r="V165" s="619"/>
      <c r="W165" s="624"/>
      <c r="X165" s="619"/>
      <c r="Y165" s="451"/>
      <c r="Z165" s="451"/>
      <c r="AA165" s="451"/>
      <c r="AB165" s="451"/>
      <c r="AC165" s="451"/>
      <c r="AD165" s="451"/>
      <c r="AE165" s="451"/>
      <c r="AF165" s="451"/>
      <c r="AG165" s="465"/>
      <c r="AH165" s="451"/>
      <c r="AI165" s="465"/>
      <c r="AJ165" s="465"/>
      <c r="AL165" s="622"/>
      <c r="AM165" s="623"/>
    </row>
    <row r="166" spans="1:39" s="621" customFormat="1" x14ac:dyDescent="0.2">
      <c r="A166" s="451"/>
      <c r="B166" s="451"/>
      <c r="C166" s="451"/>
      <c r="D166" s="451"/>
      <c r="E166" s="451"/>
      <c r="F166" s="451"/>
      <c r="G166" s="451"/>
      <c r="H166" s="451"/>
      <c r="I166" s="451"/>
      <c r="J166" s="451"/>
      <c r="K166" s="616"/>
      <c r="L166" s="470"/>
      <c r="M166" s="470"/>
      <c r="N166" s="470"/>
      <c r="O166" s="465"/>
      <c r="P166" s="617"/>
      <c r="Q166" s="618"/>
      <c r="R166" s="470"/>
      <c r="S166" s="470"/>
      <c r="T166" s="616"/>
      <c r="U166" s="616"/>
      <c r="V166" s="619"/>
      <c r="W166" s="624"/>
      <c r="X166" s="619"/>
      <c r="Y166" s="451"/>
      <c r="Z166" s="451"/>
      <c r="AA166" s="451"/>
      <c r="AB166" s="451"/>
      <c r="AC166" s="451"/>
      <c r="AD166" s="451"/>
      <c r="AE166" s="451"/>
      <c r="AF166" s="451"/>
      <c r="AG166" s="465"/>
      <c r="AH166" s="451"/>
      <c r="AI166" s="465"/>
      <c r="AJ166" s="465"/>
      <c r="AL166" s="622"/>
      <c r="AM166" s="623"/>
    </row>
    <row r="167" spans="1:39" s="621" customFormat="1" x14ac:dyDescent="0.2">
      <c r="A167" s="451"/>
      <c r="B167" s="451"/>
      <c r="C167" s="451"/>
      <c r="D167" s="451"/>
      <c r="E167" s="451"/>
      <c r="F167" s="451"/>
      <c r="G167" s="451"/>
      <c r="H167" s="451"/>
      <c r="I167" s="451"/>
      <c r="J167" s="451"/>
      <c r="K167" s="616"/>
      <c r="L167" s="470"/>
      <c r="M167" s="470"/>
      <c r="N167" s="470"/>
      <c r="O167" s="465"/>
      <c r="P167" s="617"/>
      <c r="Q167" s="618"/>
      <c r="R167" s="470"/>
      <c r="S167" s="470"/>
      <c r="T167" s="616"/>
      <c r="U167" s="616"/>
      <c r="V167" s="619"/>
      <c r="W167" s="624"/>
      <c r="X167" s="619"/>
      <c r="Y167" s="451"/>
      <c r="Z167" s="451"/>
      <c r="AA167" s="451"/>
      <c r="AB167" s="451"/>
      <c r="AC167" s="451"/>
      <c r="AD167" s="451"/>
      <c r="AE167" s="451"/>
      <c r="AF167" s="451"/>
      <c r="AG167" s="465"/>
      <c r="AH167" s="451"/>
      <c r="AI167" s="465"/>
      <c r="AJ167" s="465"/>
      <c r="AL167" s="622"/>
      <c r="AM167" s="623"/>
    </row>
    <row r="168" spans="1:39" s="621" customFormat="1" x14ac:dyDescent="0.2">
      <c r="A168" s="451"/>
      <c r="B168" s="451"/>
      <c r="C168" s="451"/>
      <c r="D168" s="451"/>
      <c r="E168" s="451"/>
      <c r="F168" s="451"/>
      <c r="G168" s="451"/>
      <c r="H168" s="451"/>
      <c r="I168" s="451"/>
      <c r="J168" s="451"/>
      <c r="K168" s="616"/>
      <c r="L168" s="470"/>
      <c r="M168" s="470"/>
      <c r="N168" s="470"/>
      <c r="O168" s="465"/>
      <c r="P168" s="617"/>
      <c r="Q168" s="618"/>
      <c r="R168" s="470"/>
      <c r="S168" s="470"/>
      <c r="T168" s="616"/>
      <c r="U168" s="616"/>
      <c r="V168" s="619"/>
      <c r="W168" s="624"/>
      <c r="X168" s="619"/>
      <c r="Y168" s="451"/>
      <c r="Z168" s="451"/>
      <c r="AA168" s="451"/>
      <c r="AB168" s="451"/>
      <c r="AC168" s="451"/>
      <c r="AD168" s="451"/>
      <c r="AE168" s="451"/>
      <c r="AF168" s="451"/>
      <c r="AG168" s="465"/>
      <c r="AH168" s="451"/>
      <c r="AI168" s="465"/>
      <c r="AJ168" s="465"/>
      <c r="AL168" s="622"/>
      <c r="AM168" s="623"/>
    </row>
    <row r="169" spans="1:39" s="621" customFormat="1" x14ac:dyDescent="0.2">
      <c r="A169" s="451"/>
      <c r="B169" s="451"/>
      <c r="C169" s="451"/>
      <c r="D169" s="451"/>
      <c r="E169" s="451"/>
      <c r="F169" s="451"/>
      <c r="G169" s="451"/>
      <c r="H169" s="451"/>
      <c r="I169" s="451"/>
      <c r="J169" s="451"/>
      <c r="K169" s="616"/>
      <c r="L169" s="470"/>
      <c r="M169" s="470"/>
      <c r="N169" s="470"/>
      <c r="O169" s="465"/>
      <c r="P169" s="617"/>
      <c r="Q169" s="618"/>
      <c r="R169" s="470"/>
      <c r="S169" s="470"/>
      <c r="T169" s="616"/>
      <c r="U169" s="616"/>
      <c r="V169" s="619"/>
      <c r="W169" s="624"/>
      <c r="X169" s="619"/>
      <c r="Y169" s="451"/>
      <c r="Z169" s="451"/>
      <c r="AA169" s="451"/>
      <c r="AB169" s="451"/>
      <c r="AC169" s="451"/>
      <c r="AD169" s="451"/>
      <c r="AE169" s="451"/>
      <c r="AF169" s="451"/>
      <c r="AG169" s="465"/>
      <c r="AH169" s="451"/>
      <c r="AI169" s="465"/>
      <c r="AJ169" s="465"/>
      <c r="AL169" s="622"/>
      <c r="AM169" s="623"/>
    </row>
    <row r="170" spans="1:39" s="621" customFormat="1" x14ac:dyDescent="0.2">
      <c r="A170" s="451"/>
      <c r="B170" s="451"/>
      <c r="C170" s="451"/>
      <c r="D170" s="451"/>
      <c r="E170" s="451"/>
      <c r="F170" s="451"/>
      <c r="G170" s="451"/>
      <c r="H170" s="451"/>
      <c r="I170" s="451"/>
      <c r="J170" s="451"/>
      <c r="K170" s="616"/>
      <c r="L170" s="470"/>
      <c r="M170" s="470"/>
      <c r="N170" s="470"/>
      <c r="O170" s="465"/>
      <c r="P170" s="617"/>
      <c r="Q170" s="618"/>
      <c r="R170" s="470"/>
      <c r="S170" s="470"/>
      <c r="T170" s="616"/>
      <c r="U170" s="616"/>
      <c r="V170" s="619"/>
      <c r="W170" s="624"/>
      <c r="X170" s="619"/>
      <c r="Y170" s="451"/>
      <c r="Z170" s="451"/>
      <c r="AA170" s="451"/>
      <c r="AB170" s="451"/>
      <c r="AC170" s="451"/>
      <c r="AD170" s="451"/>
      <c r="AE170" s="451"/>
      <c r="AF170" s="451"/>
      <c r="AG170" s="465"/>
      <c r="AH170" s="451"/>
      <c r="AI170" s="465"/>
      <c r="AJ170" s="465"/>
      <c r="AL170" s="622"/>
      <c r="AM170" s="623"/>
    </row>
    <row r="171" spans="1:39" s="621" customFormat="1" x14ac:dyDescent="0.2">
      <c r="A171" s="451"/>
      <c r="B171" s="451"/>
      <c r="C171" s="451"/>
      <c r="D171" s="451"/>
      <c r="E171" s="451"/>
      <c r="F171" s="451"/>
      <c r="G171" s="451"/>
      <c r="H171" s="451"/>
      <c r="I171" s="451"/>
      <c r="J171" s="451"/>
      <c r="K171" s="616"/>
      <c r="L171" s="470"/>
      <c r="M171" s="470"/>
      <c r="N171" s="470"/>
      <c r="O171" s="465"/>
      <c r="P171" s="617"/>
      <c r="Q171" s="618"/>
      <c r="R171" s="470"/>
      <c r="S171" s="470"/>
      <c r="T171" s="616"/>
      <c r="U171" s="616"/>
      <c r="V171" s="619"/>
      <c r="W171" s="624"/>
      <c r="X171" s="619"/>
      <c r="Y171" s="451"/>
      <c r="Z171" s="451"/>
      <c r="AA171" s="451"/>
      <c r="AB171" s="451"/>
      <c r="AC171" s="451"/>
      <c r="AD171" s="451"/>
      <c r="AE171" s="451"/>
      <c r="AF171" s="451"/>
      <c r="AG171" s="465"/>
      <c r="AH171" s="451"/>
      <c r="AI171" s="465"/>
      <c r="AJ171" s="465"/>
      <c r="AL171" s="622"/>
      <c r="AM171" s="623"/>
    </row>
    <row r="172" spans="1:39" s="621" customFormat="1" x14ac:dyDescent="0.2">
      <c r="A172" s="451"/>
      <c r="B172" s="451"/>
      <c r="C172" s="451"/>
      <c r="D172" s="451"/>
      <c r="E172" s="451"/>
      <c r="F172" s="451"/>
      <c r="G172" s="451"/>
      <c r="H172" s="451"/>
      <c r="I172" s="451"/>
      <c r="J172" s="451"/>
      <c r="K172" s="616"/>
      <c r="L172" s="470"/>
      <c r="M172" s="470"/>
      <c r="N172" s="470"/>
      <c r="O172" s="465"/>
      <c r="P172" s="617"/>
      <c r="Q172" s="618"/>
      <c r="R172" s="470"/>
      <c r="S172" s="470"/>
      <c r="T172" s="616"/>
      <c r="U172" s="616"/>
      <c r="V172" s="619"/>
      <c r="W172" s="624"/>
      <c r="X172" s="619"/>
      <c r="Y172" s="451"/>
      <c r="Z172" s="451"/>
      <c r="AA172" s="451"/>
      <c r="AB172" s="451"/>
      <c r="AC172" s="451"/>
      <c r="AD172" s="451"/>
      <c r="AE172" s="451"/>
      <c r="AF172" s="451"/>
      <c r="AG172" s="465"/>
      <c r="AH172" s="451"/>
      <c r="AI172" s="465"/>
      <c r="AJ172" s="465"/>
      <c r="AL172" s="622"/>
      <c r="AM172" s="623"/>
    </row>
    <row r="173" spans="1:39" s="621" customFormat="1" x14ac:dyDescent="0.2">
      <c r="A173" s="451"/>
      <c r="B173" s="451"/>
      <c r="C173" s="451"/>
      <c r="D173" s="451"/>
      <c r="E173" s="451"/>
      <c r="F173" s="451"/>
      <c r="G173" s="451"/>
      <c r="H173" s="451"/>
      <c r="I173" s="451"/>
      <c r="J173" s="451"/>
      <c r="K173" s="616"/>
      <c r="L173" s="470"/>
      <c r="M173" s="470"/>
      <c r="N173" s="470"/>
      <c r="O173" s="465"/>
      <c r="P173" s="617"/>
      <c r="Q173" s="618"/>
      <c r="R173" s="470"/>
      <c r="S173" s="470"/>
      <c r="T173" s="616"/>
      <c r="U173" s="616"/>
      <c r="V173" s="619"/>
      <c r="W173" s="624"/>
      <c r="X173" s="619"/>
      <c r="Y173" s="451"/>
      <c r="Z173" s="451"/>
      <c r="AA173" s="451"/>
      <c r="AB173" s="451"/>
      <c r="AC173" s="451"/>
      <c r="AD173" s="451"/>
      <c r="AE173" s="451"/>
      <c r="AF173" s="451"/>
      <c r="AG173" s="465"/>
      <c r="AH173" s="451"/>
      <c r="AI173" s="465"/>
      <c r="AJ173" s="465"/>
      <c r="AL173" s="622"/>
      <c r="AM173" s="623"/>
    </row>
    <row r="174" spans="1:39" s="621" customFormat="1" x14ac:dyDescent="0.2">
      <c r="A174" s="451"/>
      <c r="B174" s="451"/>
      <c r="C174" s="451"/>
      <c r="D174" s="451"/>
      <c r="E174" s="451"/>
      <c r="F174" s="451"/>
      <c r="G174" s="451"/>
      <c r="H174" s="451"/>
      <c r="I174" s="451"/>
      <c r="J174" s="451"/>
      <c r="K174" s="616"/>
      <c r="L174" s="470"/>
      <c r="M174" s="470"/>
      <c r="N174" s="470"/>
      <c r="O174" s="465"/>
      <c r="P174" s="617"/>
      <c r="Q174" s="618"/>
      <c r="R174" s="470"/>
      <c r="S174" s="470"/>
      <c r="T174" s="616"/>
      <c r="U174" s="616"/>
      <c r="V174" s="619"/>
      <c r="W174" s="624"/>
      <c r="X174" s="619"/>
      <c r="Y174" s="451"/>
      <c r="Z174" s="451"/>
      <c r="AA174" s="451"/>
      <c r="AB174" s="451"/>
      <c r="AC174" s="451"/>
      <c r="AD174" s="451"/>
      <c r="AE174" s="451"/>
      <c r="AF174" s="451"/>
      <c r="AG174" s="465"/>
      <c r="AH174" s="451"/>
      <c r="AI174" s="465"/>
      <c r="AJ174" s="465"/>
      <c r="AL174" s="622"/>
      <c r="AM174" s="623"/>
    </row>
    <row r="175" spans="1:39" s="621" customFormat="1" x14ac:dyDescent="0.2">
      <c r="A175" s="451"/>
      <c r="B175" s="451"/>
      <c r="C175" s="451"/>
      <c r="D175" s="451"/>
      <c r="E175" s="451"/>
      <c r="F175" s="451"/>
      <c r="G175" s="451"/>
      <c r="H175" s="451"/>
      <c r="I175" s="451"/>
      <c r="J175" s="451"/>
      <c r="K175" s="616"/>
      <c r="L175" s="470"/>
      <c r="M175" s="470"/>
      <c r="N175" s="470"/>
      <c r="O175" s="465"/>
      <c r="P175" s="617"/>
      <c r="Q175" s="618"/>
      <c r="R175" s="470"/>
      <c r="S175" s="470"/>
      <c r="T175" s="616"/>
      <c r="U175" s="616"/>
      <c r="V175" s="619"/>
      <c r="W175" s="624"/>
      <c r="X175" s="619"/>
      <c r="Y175" s="451"/>
      <c r="Z175" s="451"/>
      <c r="AA175" s="451"/>
      <c r="AB175" s="451"/>
      <c r="AC175" s="451"/>
      <c r="AD175" s="451"/>
      <c r="AE175" s="451"/>
      <c r="AF175" s="451"/>
      <c r="AG175" s="465"/>
      <c r="AH175" s="451"/>
      <c r="AI175" s="465"/>
      <c r="AJ175" s="465"/>
      <c r="AL175" s="622"/>
      <c r="AM175" s="623"/>
    </row>
    <row r="176" spans="1:39" s="621" customFormat="1" x14ac:dyDescent="0.2">
      <c r="A176" s="451"/>
      <c r="B176" s="451"/>
      <c r="C176" s="451"/>
      <c r="D176" s="451"/>
      <c r="E176" s="451"/>
      <c r="F176" s="451"/>
      <c r="G176" s="451"/>
      <c r="H176" s="451"/>
      <c r="I176" s="451"/>
      <c r="J176" s="451"/>
      <c r="K176" s="616"/>
      <c r="L176" s="470"/>
      <c r="M176" s="470"/>
      <c r="N176" s="470"/>
      <c r="O176" s="465"/>
      <c r="P176" s="617"/>
      <c r="Q176" s="618"/>
      <c r="R176" s="470"/>
      <c r="S176" s="470"/>
      <c r="T176" s="616"/>
      <c r="U176" s="616"/>
      <c r="V176" s="619"/>
      <c r="W176" s="624"/>
      <c r="X176" s="619"/>
      <c r="Y176" s="451"/>
      <c r="Z176" s="451"/>
      <c r="AA176" s="451"/>
      <c r="AB176" s="451"/>
      <c r="AC176" s="451"/>
      <c r="AD176" s="451"/>
      <c r="AE176" s="451"/>
      <c r="AF176" s="451"/>
      <c r="AG176" s="465"/>
      <c r="AH176" s="451"/>
      <c r="AI176" s="465"/>
      <c r="AJ176" s="465"/>
      <c r="AL176" s="622"/>
      <c r="AM176" s="623"/>
    </row>
    <row r="177" spans="1:39" s="621" customFormat="1" x14ac:dyDescent="0.2">
      <c r="A177" s="451"/>
      <c r="B177" s="451"/>
      <c r="C177" s="451"/>
      <c r="D177" s="451"/>
      <c r="E177" s="451"/>
      <c r="F177" s="451"/>
      <c r="G177" s="451"/>
      <c r="H177" s="451"/>
      <c r="I177" s="451"/>
      <c r="J177" s="451"/>
      <c r="K177" s="616"/>
      <c r="L177" s="470"/>
      <c r="M177" s="470"/>
      <c r="N177" s="470"/>
      <c r="O177" s="465"/>
      <c r="P177" s="617"/>
      <c r="Q177" s="618"/>
      <c r="R177" s="470"/>
      <c r="S177" s="470"/>
      <c r="T177" s="616"/>
      <c r="U177" s="616"/>
      <c r="V177" s="619"/>
      <c r="W177" s="624"/>
      <c r="X177" s="619"/>
      <c r="Y177" s="451"/>
      <c r="Z177" s="451"/>
      <c r="AA177" s="451"/>
      <c r="AB177" s="451"/>
      <c r="AC177" s="451"/>
      <c r="AD177" s="451"/>
      <c r="AE177" s="451"/>
      <c r="AF177" s="451"/>
      <c r="AG177" s="465"/>
      <c r="AH177" s="451"/>
      <c r="AI177" s="465"/>
      <c r="AJ177" s="465"/>
      <c r="AL177" s="622"/>
      <c r="AM177" s="623"/>
    </row>
    <row r="178" spans="1:39" s="621" customFormat="1" x14ac:dyDescent="0.2">
      <c r="A178" s="451"/>
      <c r="B178" s="451"/>
      <c r="C178" s="451"/>
      <c r="D178" s="451"/>
      <c r="E178" s="451"/>
      <c r="F178" s="451"/>
      <c r="G178" s="451"/>
      <c r="H178" s="451"/>
      <c r="I178" s="451"/>
      <c r="J178" s="451"/>
      <c r="K178" s="616"/>
      <c r="L178" s="470"/>
      <c r="M178" s="470"/>
      <c r="N178" s="470"/>
      <c r="O178" s="465"/>
      <c r="P178" s="617"/>
      <c r="Q178" s="618"/>
      <c r="R178" s="470"/>
      <c r="S178" s="470"/>
      <c r="T178" s="616"/>
      <c r="U178" s="616"/>
      <c r="V178" s="619"/>
      <c r="W178" s="624"/>
      <c r="X178" s="619"/>
      <c r="Y178" s="451"/>
      <c r="Z178" s="451"/>
      <c r="AA178" s="451"/>
      <c r="AB178" s="451"/>
      <c r="AC178" s="451"/>
      <c r="AD178" s="451"/>
      <c r="AE178" s="451"/>
      <c r="AF178" s="451"/>
      <c r="AG178" s="465"/>
      <c r="AH178" s="451"/>
      <c r="AI178" s="465"/>
      <c r="AJ178" s="465"/>
      <c r="AL178" s="622"/>
      <c r="AM178" s="623"/>
    </row>
    <row r="179" spans="1:39" s="621" customFormat="1" x14ac:dyDescent="0.2">
      <c r="A179" s="451"/>
      <c r="B179" s="451"/>
      <c r="C179" s="451"/>
      <c r="D179" s="451"/>
      <c r="E179" s="451"/>
      <c r="F179" s="451"/>
      <c r="G179" s="451"/>
      <c r="H179" s="451"/>
      <c r="I179" s="451"/>
      <c r="J179" s="451"/>
      <c r="K179" s="616"/>
      <c r="L179" s="470"/>
      <c r="M179" s="470"/>
      <c r="N179" s="470"/>
      <c r="O179" s="465"/>
      <c r="P179" s="617"/>
      <c r="Q179" s="618"/>
      <c r="R179" s="470"/>
      <c r="S179" s="470"/>
      <c r="T179" s="616"/>
      <c r="U179" s="616"/>
      <c r="V179" s="619"/>
      <c r="W179" s="624"/>
      <c r="X179" s="619"/>
      <c r="Y179" s="451"/>
      <c r="Z179" s="451"/>
      <c r="AA179" s="451"/>
      <c r="AB179" s="451"/>
      <c r="AC179" s="451"/>
      <c r="AD179" s="451"/>
      <c r="AE179" s="451"/>
      <c r="AF179" s="451"/>
      <c r="AG179" s="465"/>
      <c r="AH179" s="451"/>
      <c r="AI179" s="465"/>
      <c r="AJ179" s="465"/>
      <c r="AL179" s="622"/>
      <c r="AM179" s="623"/>
    </row>
    <row r="180" spans="1:39" s="621" customFormat="1" x14ac:dyDescent="0.2">
      <c r="A180" s="451"/>
      <c r="B180" s="451"/>
      <c r="C180" s="451"/>
      <c r="D180" s="451"/>
      <c r="E180" s="451"/>
      <c r="F180" s="451"/>
      <c r="G180" s="451"/>
      <c r="H180" s="451"/>
      <c r="I180" s="451"/>
      <c r="J180" s="451"/>
      <c r="K180" s="616"/>
      <c r="L180" s="470"/>
      <c r="M180" s="470"/>
      <c r="N180" s="470"/>
      <c r="O180" s="465"/>
      <c r="P180" s="617"/>
      <c r="Q180" s="618"/>
      <c r="R180" s="470"/>
      <c r="S180" s="470"/>
      <c r="T180" s="616"/>
      <c r="U180" s="616"/>
      <c r="V180" s="619"/>
      <c r="W180" s="624"/>
      <c r="X180" s="619"/>
      <c r="Y180" s="451"/>
      <c r="Z180" s="451"/>
      <c r="AA180" s="451"/>
      <c r="AB180" s="451"/>
      <c r="AC180" s="451"/>
      <c r="AD180" s="451"/>
      <c r="AE180" s="451"/>
      <c r="AF180" s="451"/>
      <c r="AG180" s="465"/>
      <c r="AH180" s="451"/>
      <c r="AI180" s="465"/>
      <c r="AJ180" s="465"/>
      <c r="AL180" s="622"/>
      <c r="AM180" s="623"/>
    </row>
    <row r="181" spans="1:39" s="621" customFormat="1" x14ac:dyDescent="0.2">
      <c r="A181" s="451"/>
      <c r="B181" s="451"/>
      <c r="C181" s="451"/>
      <c r="D181" s="451"/>
      <c r="E181" s="451"/>
      <c r="F181" s="451"/>
      <c r="G181" s="451"/>
      <c r="H181" s="451"/>
      <c r="I181" s="451"/>
      <c r="J181" s="451"/>
      <c r="K181" s="616"/>
      <c r="L181" s="470"/>
      <c r="M181" s="470"/>
      <c r="N181" s="470"/>
      <c r="O181" s="465"/>
      <c r="P181" s="617"/>
      <c r="Q181" s="618"/>
      <c r="R181" s="470"/>
      <c r="S181" s="470"/>
      <c r="T181" s="616"/>
      <c r="U181" s="616"/>
      <c r="V181" s="619"/>
      <c r="W181" s="624"/>
      <c r="X181" s="619"/>
      <c r="Y181" s="451"/>
      <c r="Z181" s="451"/>
      <c r="AA181" s="451"/>
      <c r="AB181" s="451"/>
      <c r="AC181" s="451"/>
      <c r="AD181" s="451"/>
      <c r="AE181" s="451"/>
      <c r="AF181" s="451"/>
      <c r="AG181" s="465"/>
      <c r="AH181" s="451"/>
      <c r="AI181" s="465"/>
      <c r="AJ181" s="465"/>
      <c r="AL181" s="622"/>
      <c r="AM181" s="623"/>
    </row>
    <row r="182" spans="1:39" s="621" customFormat="1" x14ac:dyDescent="0.2">
      <c r="A182" s="451"/>
      <c r="B182" s="451"/>
      <c r="C182" s="451"/>
      <c r="D182" s="451"/>
      <c r="E182" s="451"/>
      <c r="F182" s="451"/>
      <c r="G182" s="451"/>
      <c r="H182" s="451"/>
      <c r="I182" s="451"/>
      <c r="J182" s="451"/>
      <c r="K182" s="616"/>
      <c r="L182" s="470"/>
      <c r="M182" s="470"/>
      <c r="N182" s="470"/>
      <c r="O182" s="465"/>
      <c r="P182" s="617"/>
      <c r="Q182" s="618"/>
      <c r="R182" s="470"/>
      <c r="S182" s="470"/>
      <c r="T182" s="616"/>
      <c r="U182" s="616"/>
      <c r="V182" s="619"/>
      <c r="W182" s="624"/>
      <c r="X182" s="619"/>
      <c r="Y182" s="451"/>
      <c r="Z182" s="451"/>
      <c r="AA182" s="451"/>
      <c r="AB182" s="451"/>
      <c r="AC182" s="451"/>
      <c r="AD182" s="451"/>
      <c r="AE182" s="451"/>
      <c r="AF182" s="451"/>
      <c r="AG182" s="465"/>
      <c r="AH182" s="451"/>
      <c r="AI182" s="465"/>
      <c r="AJ182" s="465"/>
      <c r="AL182" s="622"/>
      <c r="AM182" s="623"/>
    </row>
    <row r="183" spans="1:39" s="621" customFormat="1" x14ac:dyDescent="0.2">
      <c r="A183" s="451"/>
      <c r="B183" s="451"/>
      <c r="C183" s="451"/>
      <c r="D183" s="451"/>
      <c r="E183" s="451"/>
      <c r="F183" s="451"/>
      <c r="G183" s="451"/>
      <c r="H183" s="451"/>
      <c r="I183" s="451"/>
      <c r="J183" s="451"/>
      <c r="K183" s="616"/>
      <c r="L183" s="470"/>
      <c r="M183" s="470"/>
      <c r="N183" s="470"/>
      <c r="O183" s="465"/>
      <c r="P183" s="617"/>
      <c r="Q183" s="618"/>
      <c r="R183" s="470"/>
      <c r="S183" s="470"/>
      <c r="T183" s="616"/>
      <c r="U183" s="616"/>
      <c r="V183" s="619"/>
      <c r="W183" s="624"/>
      <c r="X183" s="619"/>
      <c r="Y183" s="451"/>
      <c r="Z183" s="451"/>
      <c r="AA183" s="451"/>
      <c r="AB183" s="451"/>
      <c r="AC183" s="451"/>
      <c r="AD183" s="451"/>
      <c r="AE183" s="451"/>
      <c r="AF183" s="451"/>
      <c r="AG183" s="465"/>
      <c r="AH183" s="451"/>
      <c r="AI183" s="465"/>
      <c r="AJ183" s="465"/>
      <c r="AL183" s="622"/>
      <c r="AM183" s="623"/>
    </row>
    <row r="184" spans="1:39" s="621" customFormat="1" x14ac:dyDescent="0.2">
      <c r="A184" s="451"/>
      <c r="B184" s="451"/>
      <c r="C184" s="451"/>
      <c r="D184" s="451"/>
      <c r="E184" s="451"/>
      <c r="F184" s="451"/>
      <c r="G184" s="451"/>
      <c r="H184" s="451"/>
      <c r="I184" s="451"/>
      <c r="J184" s="451"/>
      <c r="K184" s="616"/>
      <c r="L184" s="470"/>
      <c r="M184" s="470"/>
      <c r="N184" s="470"/>
      <c r="O184" s="465"/>
      <c r="P184" s="617"/>
      <c r="Q184" s="618"/>
      <c r="R184" s="470"/>
      <c r="S184" s="470"/>
      <c r="T184" s="616"/>
      <c r="U184" s="616"/>
      <c r="V184" s="619"/>
      <c r="W184" s="624"/>
      <c r="X184" s="619"/>
      <c r="Y184" s="451"/>
      <c r="Z184" s="451"/>
      <c r="AA184" s="451"/>
      <c r="AB184" s="451"/>
      <c r="AC184" s="451"/>
      <c r="AD184" s="451"/>
      <c r="AE184" s="451"/>
      <c r="AF184" s="451"/>
      <c r="AG184" s="465"/>
      <c r="AH184" s="451"/>
      <c r="AI184" s="465"/>
      <c r="AJ184" s="465"/>
      <c r="AL184" s="622"/>
      <c r="AM184" s="623"/>
    </row>
    <row r="185" spans="1:39" s="621" customFormat="1" x14ac:dyDescent="0.2">
      <c r="A185" s="451"/>
      <c r="B185" s="451"/>
      <c r="C185" s="451"/>
      <c r="D185" s="451"/>
      <c r="E185" s="451"/>
      <c r="F185" s="451"/>
      <c r="G185" s="451"/>
      <c r="H185" s="451"/>
      <c r="I185" s="451"/>
      <c r="J185" s="451"/>
      <c r="K185" s="616"/>
      <c r="L185" s="470"/>
      <c r="M185" s="470"/>
      <c r="N185" s="470"/>
      <c r="O185" s="465"/>
      <c r="P185" s="617"/>
      <c r="Q185" s="618"/>
      <c r="R185" s="470"/>
      <c r="S185" s="470"/>
      <c r="T185" s="616"/>
      <c r="U185" s="616"/>
      <c r="V185" s="619"/>
      <c r="W185" s="624"/>
      <c r="X185" s="619"/>
      <c r="Y185" s="451"/>
      <c r="Z185" s="451"/>
      <c r="AA185" s="451"/>
      <c r="AB185" s="451"/>
      <c r="AC185" s="451"/>
      <c r="AD185" s="451"/>
      <c r="AE185" s="451"/>
      <c r="AF185" s="451"/>
      <c r="AG185" s="465"/>
      <c r="AH185" s="451"/>
      <c r="AI185" s="465"/>
      <c r="AJ185" s="465"/>
      <c r="AL185" s="622"/>
      <c r="AM185" s="623"/>
    </row>
    <row r="186" spans="1:39" s="621" customFormat="1" x14ac:dyDescent="0.2">
      <c r="A186" s="451"/>
      <c r="B186" s="451"/>
      <c r="C186" s="451"/>
      <c r="D186" s="451"/>
      <c r="E186" s="451"/>
      <c r="F186" s="451"/>
      <c r="G186" s="451"/>
      <c r="H186" s="451"/>
      <c r="I186" s="451"/>
      <c r="J186" s="451"/>
      <c r="K186" s="616"/>
      <c r="L186" s="470"/>
      <c r="M186" s="470"/>
      <c r="N186" s="470"/>
      <c r="O186" s="465"/>
      <c r="P186" s="617"/>
      <c r="Q186" s="618"/>
      <c r="R186" s="470"/>
      <c r="S186" s="470"/>
      <c r="T186" s="616"/>
      <c r="U186" s="616"/>
      <c r="V186" s="619"/>
      <c r="W186" s="624"/>
      <c r="X186" s="619"/>
      <c r="Y186" s="451"/>
      <c r="Z186" s="451"/>
      <c r="AA186" s="451"/>
      <c r="AB186" s="451"/>
      <c r="AC186" s="451"/>
      <c r="AD186" s="451"/>
      <c r="AE186" s="451"/>
      <c r="AF186" s="451"/>
      <c r="AG186" s="465"/>
      <c r="AH186" s="451"/>
      <c r="AI186" s="465"/>
      <c r="AJ186" s="465"/>
      <c r="AL186" s="622"/>
      <c r="AM186" s="623"/>
    </row>
    <row r="187" spans="1:39" s="621" customFormat="1" x14ac:dyDescent="0.2">
      <c r="A187" s="451"/>
      <c r="B187" s="451"/>
      <c r="C187" s="451"/>
      <c r="D187" s="451"/>
      <c r="E187" s="451"/>
      <c r="F187" s="451"/>
      <c r="G187" s="451"/>
      <c r="H187" s="451"/>
      <c r="I187" s="451"/>
      <c r="J187" s="451"/>
      <c r="K187" s="616"/>
      <c r="L187" s="470"/>
      <c r="M187" s="470"/>
      <c r="N187" s="470"/>
      <c r="O187" s="465"/>
      <c r="P187" s="617"/>
      <c r="Q187" s="618"/>
      <c r="R187" s="470"/>
      <c r="S187" s="470"/>
      <c r="T187" s="616"/>
      <c r="U187" s="616"/>
      <c r="V187" s="619"/>
      <c r="W187" s="624"/>
      <c r="X187" s="619"/>
      <c r="Y187" s="451"/>
      <c r="Z187" s="451"/>
      <c r="AA187" s="451"/>
      <c r="AB187" s="451"/>
      <c r="AC187" s="451"/>
      <c r="AD187" s="451"/>
      <c r="AE187" s="451"/>
      <c r="AF187" s="451"/>
      <c r="AG187" s="465"/>
      <c r="AH187" s="451"/>
      <c r="AI187" s="465"/>
      <c r="AJ187" s="465"/>
      <c r="AL187" s="622"/>
      <c r="AM187" s="623"/>
    </row>
    <row r="188" spans="1:39" s="621" customFormat="1" x14ac:dyDescent="0.2">
      <c r="A188" s="451"/>
      <c r="B188" s="451"/>
      <c r="C188" s="451"/>
      <c r="D188" s="451"/>
      <c r="E188" s="451"/>
      <c r="F188" s="451"/>
      <c r="G188" s="451"/>
      <c r="H188" s="451"/>
      <c r="I188" s="451"/>
      <c r="J188" s="451"/>
      <c r="K188" s="616"/>
      <c r="L188" s="470"/>
      <c r="M188" s="470"/>
      <c r="N188" s="470"/>
      <c r="O188" s="465"/>
      <c r="P188" s="617"/>
      <c r="Q188" s="618"/>
      <c r="R188" s="470"/>
      <c r="S188" s="470"/>
      <c r="T188" s="616"/>
      <c r="U188" s="616"/>
      <c r="V188" s="619"/>
      <c r="W188" s="624"/>
      <c r="X188" s="619"/>
      <c r="Y188" s="451"/>
      <c r="Z188" s="451"/>
      <c r="AA188" s="451"/>
      <c r="AB188" s="451"/>
      <c r="AC188" s="451"/>
      <c r="AD188" s="451"/>
      <c r="AE188" s="451"/>
      <c r="AF188" s="451"/>
      <c r="AG188" s="465"/>
      <c r="AH188" s="451"/>
      <c r="AI188" s="465"/>
      <c r="AJ188" s="465"/>
      <c r="AL188" s="622"/>
      <c r="AM188" s="623"/>
    </row>
    <row r="189" spans="1:39" s="621" customFormat="1" x14ac:dyDescent="0.2">
      <c r="A189" s="451"/>
      <c r="B189" s="451"/>
      <c r="C189" s="451"/>
      <c r="D189" s="451"/>
      <c r="E189" s="451"/>
      <c r="F189" s="451"/>
      <c r="G189" s="451"/>
      <c r="H189" s="451"/>
      <c r="I189" s="451"/>
      <c r="J189" s="451"/>
      <c r="K189" s="616"/>
      <c r="L189" s="470"/>
      <c r="M189" s="470"/>
      <c r="N189" s="470"/>
      <c r="O189" s="465"/>
      <c r="P189" s="617"/>
      <c r="Q189" s="618"/>
      <c r="R189" s="470"/>
      <c r="S189" s="470"/>
      <c r="T189" s="616"/>
      <c r="U189" s="616"/>
      <c r="V189" s="619"/>
      <c r="W189" s="624"/>
      <c r="X189" s="619"/>
      <c r="Y189" s="451"/>
      <c r="Z189" s="451"/>
      <c r="AA189" s="451"/>
      <c r="AB189" s="451"/>
      <c r="AC189" s="451"/>
      <c r="AD189" s="451"/>
      <c r="AE189" s="451"/>
      <c r="AF189" s="451"/>
      <c r="AG189" s="465"/>
      <c r="AH189" s="451"/>
      <c r="AI189" s="465"/>
      <c r="AJ189" s="465"/>
      <c r="AL189" s="622"/>
      <c r="AM189" s="623"/>
    </row>
    <row r="190" spans="1:39" s="621" customFormat="1" x14ac:dyDescent="0.2">
      <c r="A190" s="451"/>
      <c r="B190" s="451"/>
      <c r="C190" s="451"/>
      <c r="D190" s="451"/>
      <c r="E190" s="451"/>
      <c r="F190" s="451"/>
      <c r="G190" s="451"/>
      <c r="H190" s="451"/>
      <c r="I190" s="451"/>
      <c r="J190" s="451"/>
      <c r="K190" s="616"/>
      <c r="L190" s="470"/>
      <c r="M190" s="470"/>
      <c r="N190" s="470"/>
      <c r="O190" s="465"/>
      <c r="P190" s="617"/>
      <c r="Q190" s="618"/>
      <c r="R190" s="470"/>
      <c r="S190" s="470"/>
      <c r="T190" s="616"/>
      <c r="U190" s="616"/>
      <c r="V190" s="619"/>
      <c r="W190" s="624"/>
      <c r="X190" s="619"/>
      <c r="Y190" s="451"/>
      <c r="Z190" s="451"/>
      <c r="AA190" s="451"/>
      <c r="AB190" s="451"/>
      <c r="AC190" s="451"/>
      <c r="AD190" s="451"/>
      <c r="AE190" s="451"/>
      <c r="AF190" s="451"/>
      <c r="AG190" s="465"/>
      <c r="AH190" s="451"/>
      <c r="AI190" s="465"/>
      <c r="AJ190" s="465"/>
      <c r="AL190" s="622"/>
      <c r="AM190" s="623"/>
    </row>
    <row r="191" spans="1:39" s="621" customFormat="1" x14ac:dyDescent="0.2">
      <c r="A191" s="451"/>
      <c r="B191" s="451"/>
      <c r="C191" s="451"/>
      <c r="D191" s="451"/>
      <c r="E191" s="451"/>
      <c r="F191" s="451"/>
      <c r="G191" s="451"/>
      <c r="H191" s="451"/>
      <c r="I191" s="451"/>
      <c r="J191" s="451"/>
      <c r="K191" s="616"/>
      <c r="L191" s="470"/>
      <c r="M191" s="470"/>
      <c r="N191" s="470"/>
      <c r="O191" s="465"/>
      <c r="P191" s="617"/>
      <c r="Q191" s="618"/>
      <c r="R191" s="470"/>
      <c r="S191" s="470"/>
      <c r="T191" s="616"/>
      <c r="U191" s="616"/>
      <c r="V191" s="619"/>
      <c r="W191" s="624"/>
      <c r="X191" s="619"/>
      <c r="Y191" s="451"/>
      <c r="Z191" s="451"/>
      <c r="AA191" s="451"/>
      <c r="AB191" s="451"/>
      <c r="AC191" s="451"/>
      <c r="AD191" s="451"/>
      <c r="AE191" s="451"/>
      <c r="AF191" s="451"/>
      <c r="AG191" s="465"/>
      <c r="AH191" s="451"/>
      <c r="AI191" s="465"/>
      <c r="AJ191" s="465"/>
      <c r="AL191" s="622"/>
      <c r="AM191" s="623"/>
    </row>
    <row r="192" spans="1:39" s="621" customFormat="1" x14ac:dyDescent="0.2">
      <c r="A192" s="451"/>
      <c r="B192" s="451"/>
      <c r="C192" s="451"/>
      <c r="D192" s="451"/>
      <c r="E192" s="451"/>
      <c r="F192" s="451"/>
      <c r="G192" s="451"/>
      <c r="H192" s="451"/>
      <c r="I192" s="451"/>
      <c r="J192" s="451"/>
      <c r="K192" s="616"/>
      <c r="L192" s="470"/>
      <c r="M192" s="470"/>
      <c r="N192" s="470"/>
      <c r="O192" s="465"/>
      <c r="P192" s="617"/>
      <c r="Q192" s="618"/>
      <c r="R192" s="470"/>
      <c r="S192" s="470"/>
      <c r="T192" s="616"/>
      <c r="U192" s="616"/>
      <c r="V192" s="619"/>
      <c r="W192" s="624"/>
      <c r="X192" s="619"/>
      <c r="Y192" s="451"/>
      <c r="Z192" s="451"/>
      <c r="AA192" s="451"/>
      <c r="AB192" s="451"/>
      <c r="AC192" s="451"/>
      <c r="AD192" s="451"/>
      <c r="AE192" s="451"/>
      <c r="AF192" s="451"/>
      <c r="AG192" s="465"/>
      <c r="AH192" s="451"/>
      <c r="AI192" s="465"/>
      <c r="AJ192" s="465"/>
      <c r="AL192" s="622"/>
      <c r="AM192" s="623"/>
    </row>
    <row r="193" spans="1:39" s="621" customFormat="1" x14ac:dyDescent="0.2">
      <c r="A193" s="451"/>
      <c r="B193" s="451"/>
      <c r="C193" s="451"/>
      <c r="D193" s="451"/>
      <c r="E193" s="451"/>
      <c r="F193" s="451"/>
      <c r="G193" s="451"/>
      <c r="H193" s="451"/>
      <c r="I193" s="451"/>
      <c r="J193" s="451"/>
      <c r="K193" s="616"/>
      <c r="L193" s="470"/>
      <c r="M193" s="470"/>
      <c r="N193" s="470"/>
      <c r="O193" s="465"/>
      <c r="P193" s="617"/>
      <c r="Q193" s="618"/>
      <c r="R193" s="470"/>
      <c r="S193" s="470"/>
      <c r="T193" s="616"/>
      <c r="U193" s="616"/>
      <c r="V193" s="619"/>
      <c r="W193" s="624"/>
      <c r="X193" s="619"/>
      <c r="Y193" s="451"/>
      <c r="Z193" s="451"/>
      <c r="AA193" s="451"/>
      <c r="AB193" s="451"/>
      <c r="AC193" s="451"/>
      <c r="AD193" s="451"/>
      <c r="AE193" s="451"/>
      <c r="AF193" s="451"/>
      <c r="AG193" s="465"/>
      <c r="AH193" s="451"/>
      <c r="AI193" s="465"/>
      <c r="AJ193" s="465"/>
      <c r="AL193" s="622"/>
      <c r="AM193" s="623"/>
    </row>
    <row r="194" spans="1:39" s="621" customFormat="1" x14ac:dyDescent="0.2">
      <c r="A194" s="451"/>
      <c r="B194" s="451"/>
      <c r="C194" s="451"/>
      <c r="D194" s="451"/>
      <c r="E194" s="451"/>
      <c r="F194" s="451"/>
      <c r="G194" s="451"/>
      <c r="H194" s="451"/>
      <c r="I194" s="451"/>
      <c r="J194" s="451"/>
      <c r="K194" s="616"/>
      <c r="L194" s="470"/>
      <c r="M194" s="470"/>
      <c r="N194" s="470"/>
      <c r="O194" s="465"/>
      <c r="P194" s="617"/>
      <c r="Q194" s="618"/>
      <c r="R194" s="470"/>
      <c r="S194" s="470"/>
      <c r="T194" s="616"/>
      <c r="U194" s="616"/>
      <c r="V194" s="619"/>
      <c r="W194" s="624"/>
      <c r="X194" s="619"/>
      <c r="Y194" s="451"/>
      <c r="Z194" s="451"/>
      <c r="AA194" s="451"/>
      <c r="AB194" s="451"/>
      <c r="AC194" s="451"/>
      <c r="AD194" s="451"/>
      <c r="AE194" s="451"/>
      <c r="AF194" s="451"/>
      <c r="AG194" s="465"/>
      <c r="AH194" s="451"/>
      <c r="AI194" s="465"/>
      <c r="AJ194" s="465"/>
      <c r="AL194" s="622"/>
      <c r="AM194" s="623"/>
    </row>
    <row r="195" spans="1:39" s="621" customFormat="1" x14ac:dyDescent="0.2">
      <c r="A195" s="451"/>
      <c r="B195" s="451"/>
      <c r="C195" s="451"/>
      <c r="D195" s="451"/>
      <c r="E195" s="451"/>
      <c r="F195" s="451"/>
      <c r="G195" s="451"/>
      <c r="H195" s="451"/>
      <c r="I195" s="451"/>
      <c r="J195" s="451"/>
      <c r="K195" s="616"/>
      <c r="L195" s="470"/>
      <c r="M195" s="470"/>
      <c r="N195" s="470"/>
      <c r="O195" s="465"/>
      <c r="P195" s="617"/>
      <c r="Q195" s="618"/>
      <c r="R195" s="470"/>
      <c r="S195" s="470"/>
      <c r="T195" s="616"/>
      <c r="U195" s="616"/>
      <c r="V195" s="619"/>
      <c r="W195" s="624"/>
      <c r="X195" s="619"/>
      <c r="Y195" s="451"/>
      <c r="Z195" s="451"/>
      <c r="AA195" s="451"/>
      <c r="AB195" s="451"/>
      <c r="AC195" s="451"/>
      <c r="AD195" s="451"/>
      <c r="AE195" s="451"/>
      <c r="AF195" s="451"/>
      <c r="AG195" s="465"/>
      <c r="AH195" s="451"/>
      <c r="AI195" s="465"/>
      <c r="AJ195" s="465"/>
      <c r="AL195" s="622"/>
      <c r="AM195" s="623"/>
    </row>
    <row r="196" spans="1:39" s="621" customFormat="1" x14ac:dyDescent="0.2">
      <c r="A196" s="451"/>
      <c r="B196" s="451"/>
      <c r="C196" s="451"/>
      <c r="D196" s="451"/>
      <c r="E196" s="451"/>
      <c r="F196" s="451"/>
      <c r="G196" s="451"/>
      <c r="H196" s="451"/>
      <c r="I196" s="451"/>
      <c r="J196" s="451"/>
      <c r="K196" s="616"/>
      <c r="L196" s="470"/>
      <c r="M196" s="470"/>
      <c r="N196" s="470"/>
      <c r="O196" s="465"/>
      <c r="P196" s="617"/>
      <c r="Q196" s="618"/>
      <c r="R196" s="470"/>
      <c r="S196" s="470"/>
      <c r="T196" s="616"/>
      <c r="U196" s="616"/>
      <c r="V196" s="619"/>
      <c r="W196" s="624"/>
      <c r="X196" s="619"/>
      <c r="Y196" s="451"/>
      <c r="Z196" s="451"/>
      <c r="AA196" s="451"/>
      <c r="AB196" s="451"/>
      <c r="AC196" s="451"/>
      <c r="AD196" s="451"/>
      <c r="AE196" s="451"/>
      <c r="AF196" s="451"/>
      <c r="AG196" s="465"/>
      <c r="AH196" s="451"/>
      <c r="AI196" s="465"/>
      <c r="AJ196" s="465"/>
      <c r="AL196" s="622"/>
      <c r="AM196" s="623"/>
    </row>
    <row r="197" spans="1:39" s="621" customFormat="1" x14ac:dyDescent="0.2">
      <c r="A197" s="451"/>
      <c r="B197" s="451"/>
      <c r="C197" s="451"/>
      <c r="D197" s="451"/>
      <c r="E197" s="451"/>
      <c r="F197" s="451"/>
      <c r="G197" s="451"/>
      <c r="H197" s="451"/>
      <c r="I197" s="451"/>
      <c r="J197" s="451"/>
      <c r="K197" s="616"/>
      <c r="L197" s="470"/>
      <c r="M197" s="470"/>
      <c r="N197" s="470"/>
      <c r="O197" s="465"/>
      <c r="P197" s="617"/>
      <c r="Q197" s="618"/>
      <c r="R197" s="470"/>
      <c r="S197" s="470"/>
      <c r="T197" s="616"/>
      <c r="U197" s="616"/>
      <c r="V197" s="619"/>
      <c r="W197" s="624"/>
      <c r="X197" s="619"/>
      <c r="Y197" s="451"/>
      <c r="Z197" s="451"/>
      <c r="AA197" s="451"/>
      <c r="AB197" s="451"/>
      <c r="AC197" s="451"/>
      <c r="AD197" s="451"/>
      <c r="AE197" s="451"/>
      <c r="AF197" s="451"/>
      <c r="AG197" s="465"/>
      <c r="AH197" s="451"/>
      <c r="AI197" s="465"/>
      <c r="AJ197" s="465"/>
      <c r="AL197" s="622"/>
      <c r="AM197" s="623"/>
    </row>
    <row r="198" spans="1:39" s="621" customFormat="1" x14ac:dyDescent="0.2">
      <c r="A198" s="451"/>
      <c r="B198" s="451"/>
      <c r="C198" s="451"/>
      <c r="D198" s="451"/>
      <c r="E198" s="451"/>
      <c r="F198" s="451"/>
      <c r="G198" s="451"/>
      <c r="H198" s="451"/>
      <c r="I198" s="451"/>
      <c r="J198" s="451"/>
      <c r="K198" s="616"/>
      <c r="L198" s="470"/>
      <c r="M198" s="470"/>
      <c r="N198" s="470"/>
      <c r="O198" s="465"/>
      <c r="P198" s="617"/>
      <c r="Q198" s="618"/>
      <c r="R198" s="470"/>
      <c r="S198" s="470"/>
      <c r="T198" s="616"/>
      <c r="U198" s="616"/>
      <c r="V198" s="619"/>
      <c r="W198" s="624"/>
      <c r="X198" s="619"/>
      <c r="Y198" s="451"/>
      <c r="Z198" s="451"/>
      <c r="AA198" s="451"/>
      <c r="AB198" s="451"/>
      <c r="AC198" s="451"/>
      <c r="AD198" s="451"/>
      <c r="AE198" s="451"/>
      <c r="AF198" s="451"/>
      <c r="AG198" s="465"/>
      <c r="AH198" s="451"/>
      <c r="AI198" s="465"/>
      <c r="AJ198" s="465"/>
      <c r="AL198" s="622"/>
      <c r="AM198" s="623"/>
    </row>
    <row r="199" spans="1:39" s="621" customFormat="1" x14ac:dyDescent="0.2">
      <c r="A199" s="451"/>
      <c r="B199" s="451"/>
      <c r="C199" s="451"/>
      <c r="D199" s="451"/>
      <c r="E199" s="451"/>
      <c r="F199" s="451"/>
      <c r="G199" s="451"/>
      <c r="H199" s="451"/>
      <c r="I199" s="451"/>
      <c r="J199" s="451"/>
      <c r="K199" s="616"/>
      <c r="L199" s="470"/>
      <c r="M199" s="470"/>
      <c r="N199" s="470"/>
      <c r="O199" s="465"/>
      <c r="P199" s="617"/>
      <c r="Q199" s="618"/>
      <c r="R199" s="470"/>
      <c r="S199" s="470"/>
      <c r="T199" s="616"/>
      <c r="U199" s="616"/>
      <c r="V199" s="619"/>
      <c r="W199" s="624"/>
      <c r="X199" s="619"/>
      <c r="Y199" s="451"/>
      <c r="Z199" s="451"/>
      <c r="AA199" s="451"/>
      <c r="AB199" s="451"/>
      <c r="AC199" s="451"/>
      <c r="AD199" s="451"/>
      <c r="AE199" s="451"/>
      <c r="AF199" s="451"/>
      <c r="AG199" s="465"/>
      <c r="AH199" s="451"/>
      <c r="AI199" s="465"/>
      <c r="AJ199" s="465"/>
      <c r="AL199" s="622"/>
      <c r="AM199" s="623"/>
    </row>
    <row r="200" spans="1:39" s="621" customFormat="1" x14ac:dyDescent="0.2">
      <c r="A200" s="451"/>
      <c r="B200" s="451"/>
      <c r="C200" s="451"/>
      <c r="D200" s="451"/>
      <c r="E200" s="451"/>
      <c r="F200" s="451"/>
      <c r="G200" s="451"/>
      <c r="H200" s="451"/>
      <c r="I200" s="451"/>
      <c r="J200" s="451"/>
      <c r="K200" s="616"/>
      <c r="L200" s="470"/>
      <c r="M200" s="470"/>
      <c r="N200" s="470"/>
      <c r="O200" s="465"/>
      <c r="P200" s="617"/>
      <c r="Q200" s="618"/>
      <c r="R200" s="470"/>
      <c r="S200" s="470"/>
      <c r="T200" s="616"/>
      <c r="U200" s="616"/>
      <c r="V200" s="619"/>
      <c r="W200" s="624"/>
      <c r="X200" s="619"/>
      <c r="Y200" s="451"/>
      <c r="Z200" s="451"/>
      <c r="AA200" s="451"/>
      <c r="AB200" s="451"/>
      <c r="AC200" s="451"/>
      <c r="AD200" s="451"/>
      <c r="AE200" s="451"/>
      <c r="AF200" s="451"/>
      <c r="AG200" s="465"/>
      <c r="AH200" s="451"/>
      <c r="AI200" s="465"/>
      <c r="AJ200" s="465"/>
      <c r="AL200" s="622"/>
      <c r="AM200" s="623"/>
    </row>
    <row r="201" spans="1:39" s="621" customFormat="1" x14ac:dyDescent="0.2">
      <c r="A201" s="451"/>
      <c r="B201" s="451"/>
      <c r="C201" s="451"/>
      <c r="D201" s="451"/>
      <c r="E201" s="451"/>
      <c r="F201" s="451"/>
      <c r="G201" s="451"/>
      <c r="H201" s="451"/>
      <c r="I201" s="451"/>
      <c r="J201" s="451"/>
      <c r="K201" s="616"/>
      <c r="L201" s="470"/>
      <c r="M201" s="470"/>
      <c r="N201" s="470"/>
      <c r="O201" s="465"/>
      <c r="P201" s="617"/>
      <c r="Q201" s="618"/>
      <c r="R201" s="470"/>
      <c r="S201" s="470"/>
      <c r="T201" s="616"/>
      <c r="U201" s="616"/>
      <c r="V201" s="619"/>
      <c r="W201" s="624"/>
      <c r="X201" s="619"/>
      <c r="Y201" s="451"/>
      <c r="Z201" s="451"/>
      <c r="AA201" s="451"/>
      <c r="AB201" s="451"/>
      <c r="AC201" s="451"/>
      <c r="AD201" s="451"/>
      <c r="AE201" s="451"/>
      <c r="AF201" s="451"/>
      <c r="AG201" s="465"/>
      <c r="AH201" s="451"/>
      <c r="AI201" s="465"/>
      <c r="AJ201" s="465"/>
      <c r="AL201" s="622"/>
      <c r="AM201" s="623"/>
    </row>
    <row r="202" spans="1:39" s="621" customFormat="1" x14ac:dyDescent="0.2">
      <c r="A202" s="451"/>
      <c r="B202" s="451"/>
      <c r="C202" s="451"/>
      <c r="D202" s="451"/>
      <c r="E202" s="451"/>
      <c r="F202" s="451"/>
      <c r="G202" s="451"/>
      <c r="H202" s="451"/>
      <c r="I202" s="451"/>
      <c r="J202" s="451"/>
      <c r="K202" s="616"/>
      <c r="L202" s="470"/>
      <c r="M202" s="470"/>
      <c r="N202" s="470"/>
      <c r="O202" s="465"/>
      <c r="P202" s="617"/>
      <c r="Q202" s="618"/>
      <c r="R202" s="470"/>
      <c r="S202" s="470"/>
      <c r="T202" s="616"/>
      <c r="U202" s="616"/>
      <c r="V202" s="619"/>
      <c r="W202" s="624"/>
      <c r="X202" s="619"/>
      <c r="Y202" s="451"/>
      <c r="Z202" s="451"/>
      <c r="AA202" s="451"/>
      <c r="AB202" s="451"/>
      <c r="AC202" s="451"/>
      <c r="AD202" s="451"/>
      <c r="AE202" s="451"/>
      <c r="AF202" s="451"/>
      <c r="AG202" s="465"/>
      <c r="AH202" s="451"/>
      <c r="AI202" s="465"/>
      <c r="AJ202" s="465"/>
      <c r="AL202" s="622"/>
      <c r="AM202" s="623"/>
    </row>
    <row r="203" spans="1:39" s="621" customFormat="1" x14ac:dyDescent="0.2">
      <c r="A203" s="451"/>
      <c r="B203" s="451"/>
      <c r="C203" s="451"/>
      <c r="D203" s="451"/>
      <c r="E203" s="451"/>
      <c r="F203" s="451"/>
      <c r="G203" s="451"/>
      <c r="H203" s="451"/>
      <c r="I203" s="451"/>
      <c r="J203" s="451"/>
      <c r="K203" s="616"/>
      <c r="L203" s="470"/>
      <c r="M203" s="470"/>
      <c r="N203" s="470"/>
      <c r="O203" s="465"/>
      <c r="P203" s="617"/>
      <c r="Q203" s="618"/>
      <c r="R203" s="470"/>
      <c r="S203" s="470"/>
      <c r="T203" s="616"/>
      <c r="U203" s="616"/>
      <c r="V203" s="619"/>
      <c r="W203" s="624"/>
      <c r="X203" s="619"/>
      <c r="Y203" s="451"/>
      <c r="Z203" s="451"/>
      <c r="AA203" s="451"/>
      <c r="AB203" s="451"/>
      <c r="AC203" s="451"/>
      <c r="AD203" s="451"/>
      <c r="AE203" s="451"/>
      <c r="AF203" s="451"/>
      <c r="AG203" s="465"/>
      <c r="AH203" s="451"/>
      <c r="AI203" s="465"/>
      <c r="AJ203" s="465"/>
      <c r="AL203" s="622"/>
      <c r="AM203" s="623"/>
    </row>
    <row r="204" spans="1:39" s="621" customFormat="1" x14ac:dyDescent="0.2">
      <c r="A204" s="451"/>
      <c r="B204" s="451"/>
      <c r="C204" s="451"/>
      <c r="D204" s="451"/>
      <c r="E204" s="451"/>
      <c r="F204" s="451"/>
      <c r="G204" s="451"/>
      <c r="H204" s="451"/>
      <c r="I204" s="451"/>
      <c r="J204" s="451"/>
      <c r="K204" s="616"/>
      <c r="L204" s="470"/>
      <c r="M204" s="470"/>
      <c r="N204" s="470"/>
      <c r="O204" s="465"/>
      <c r="P204" s="617"/>
      <c r="Q204" s="618"/>
      <c r="R204" s="470"/>
      <c r="S204" s="470"/>
      <c r="T204" s="616"/>
      <c r="U204" s="616"/>
      <c r="V204" s="619"/>
      <c r="W204" s="624"/>
      <c r="X204" s="619"/>
      <c r="Y204" s="451"/>
      <c r="Z204" s="451"/>
      <c r="AA204" s="451"/>
      <c r="AB204" s="451"/>
      <c r="AC204" s="451"/>
      <c r="AD204" s="451"/>
      <c r="AE204" s="451"/>
      <c r="AF204" s="451"/>
      <c r="AG204" s="465"/>
      <c r="AH204" s="451"/>
      <c r="AI204" s="465"/>
      <c r="AJ204" s="465"/>
      <c r="AL204" s="622"/>
      <c r="AM204" s="623"/>
    </row>
    <row r="205" spans="1:39" s="621" customFormat="1" x14ac:dyDescent="0.2">
      <c r="A205" s="451"/>
      <c r="B205" s="451"/>
      <c r="C205" s="451"/>
      <c r="D205" s="451"/>
      <c r="E205" s="451"/>
      <c r="F205" s="451"/>
      <c r="G205" s="451"/>
      <c r="H205" s="451"/>
      <c r="I205" s="451"/>
      <c r="J205" s="451"/>
      <c r="K205" s="616"/>
      <c r="L205" s="470"/>
      <c r="M205" s="470"/>
      <c r="N205" s="470"/>
      <c r="O205" s="465"/>
      <c r="P205" s="617"/>
      <c r="Q205" s="618"/>
      <c r="R205" s="470"/>
      <c r="S205" s="470"/>
      <c r="T205" s="616"/>
      <c r="U205" s="616"/>
      <c r="V205" s="619"/>
      <c r="W205" s="624"/>
      <c r="X205" s="619"/>
      <c r="Y205" s="451"/>
      <c r="Z205" s="451"/>
      <c r="AA205" s="451"/>
      <c r="AB205" s="451"/>
      <c r="AC205" s="451"/>
      <c r="AD205" s="451"/>
      <c r="AE205" s="451"/>
      <c r="AF205" s="451"/>
      <c r="AG205" s="465"/>
      <c r="AH205" s="451"/>
      <c r="AI205" s="465"/>
      <c r="AJ205" s="465"/>
      <c r="AL205" s="622"/>
      <c r="AM205" s="623"/>
    </row>
    <row r="206" spans="1:39" s="621" customFormat="1" x14ac:dyDescent="0.2">
      <c r="A206" s="451"/>
      <c r="B206" s="451"/>
      <c r="C206" s="451"/>
      <c r="D206" s="451"/>
      <c r="E206" s="451"/>
      <c r="F206" s="451"/>
      <c r="G206" s="451"/>
      <c r="H206" s="451"/>
      <c r="I206" s="451"/>
      <c r="J206" s="451"/>
      <c r="K206" s="616"/>
      <c r="L206" s="470"/>
      <c r="M206" s="470"/>
      <c r="N206" s="470"/>
      <c r="O206" s="465"/>
      <c r="P206" s="617"/>
      <c r="Q206" s="618"/>
      <c r="R206" s="470"/>
      <c r="S206" s="470"/>
      <c r="T206" s="616"/>
      <c r="U206" s="616"/>
      <c r="V206" s="619"/>
      <c r="W206" s="624"/>
      <c r="X206" s="619"/>
      <c r="Y206" s="451"/>
      <c r="Z206" s="451"/>
      <c r="AA206" s="451"/>
      <c r="AB206" s="451"/>
      <c r="AC206" s="451"/>
      <c r="AD206" s="451"/>
      <c r="AE206" s="451"/>
      <c r="AF206" s="451"/>
      <c r="AG206" s="465"/>
      <c r="AH206" s="451"/>
      <c r="AI206" s="465"/>
      <c r="AJ206" s="465"/>
      <c r="AL206" s="622"/>
      <c r="AM206" s="623"/>
    </row>
    <row r="207" spans="1:39" s="621" customFormat="1" x14ac:dyDescent="0.2">
      <c r="A207" s="451"/>
      <c r="B207" s="451"/>
      <c r="C207" s="451"/>
      <c r="D207" s="451"/>
      <c r="E207" s="451"/>
      <c r="F207" s="451"/>
      <c r="G207" s="451"/>
      <c r="H207" s="451"/>
      <c r="I207" s="451"/>
      <c r="J207" s="451"/>
      <c r="K207" s="616"/>
      <c r="L207" s="470"/>
      <c r="M207" s="470"/>
      <c r="N207" s="470"/>
      <c r="O207" s="465"/>
      <c r="P207" s="617"/>
      <c r="Q207" s="618"/>
      <c r="R207" s="470"/>
      <c r="S207" s="470"/>
      <c r="T207" s="616"/>
      <c r="U207" s="616"/>
      <c r="V207" s="619"/>
      <c r="W207" s="624"/>
      <c r="X207" s="619"/>
      <c r="Y207" s="451"/>
      <c r="Z207" s="451"/>
      <c r="AA207" s="451"/>
      <c r="AB207" s="451"/>
      <c r="AC207" s="451"/>
      <c r="AD207" s="451"/>
      <c r="AE207" s="451"/>
      <c r="AF207" s="451"/>
      <c r="AG207" s="465"/>
      <c r="AH207" s="451"/>
      <c r="AI207" s="465"/>
      <c r="AJ207" s="465"/>
      <c r="AL207" s="622"/>
      <c r="AM207" s="623"/>
    </row>
    <row r="208" spans="1:39" s="621" customFormat="1" x14ac:dyDescent="0.2">
      <c r="A208" s="451"/>
      <c r="B208" s="451"/>
      <c r="C208" s="451"/>
      <c r="D208" s="451"/>
      <c r="E208" s="451"/>
      <c r="F208" s="451"/>
      <c r="G208" s="451"/>
      <c r="H208" s="451"/>
      <c r="I208" s="451"/>
      <c r="J208" s="451"/>
      <c r="K208" s="616"/>
      <c r="L208" s="470"/>
      <c r="M208" s="470"/>
      <c r="N208" s="470"/>
      <c r="O208" s="465"/>
      <c r="P208" s="617"/>
      <c r="Q208" s="618"/>
      <c r="R208" s="470"/>
      <c r="S208" s="470"/>
      <c r="T208" s="616"/>
      <c r="U208" s="616"/>
      <c r="V208" s="619"/>
      <c r="W208" s="624"/>
      <c r="X208" s="619"/>
      <c r="Y208" s="451"/>
      <c r="Z208" s="451"/>
      <c r="AA208" s="451"/>
      <c r="AB208" s="451"/>
      <c r="AC208" s="451"/>
      <c r="AD208" s="451"/>
      <c r="AE208" s="451"/>
      <c r="AF208" s="451"/>
      <c r="AG208" s="465"/>
      <c r="AH208" s="451"/>
      <c r="AI208" s="465"/>
      <c r="AJ208" s="465"/>
      <c r="AL208" s="622"/>
      <c r="AM208" s="623"/>
    </row>
    <row r="209" spans="1:39" s="621" customFormat="1" x14ac:dyDescent="0.2">
      <c r="A209" s="451"/>
      <c r="B209" s="451"/>
      <c r="C209" s="451"/>
      <c r="D209" s="451"/>
      <c r="E209" s="451"/>
      <c r="F209" s="451"/>
      <c r="G209" s="451"/>
      <c r="H209" s="451"/>
      <c r="I209" s="451"/>
      <c r="J209" s="451"/>
      <c r="K209" s="616"/>
      <c r="L209" s="470"/>
      <c r="M209" s="470"/>
      <c r="N209" s="470"/>
      <c r="O209" s="465"/>
      <c r="P209" s="617"/>
      <c r="Q209" s="618"/>
      <c r="R209" s="470"/>
      <c r="S209" s="470"/>
      <c r="T209" s="616"/>
      <c r="U209" s="616"/>
      <c r="V209" s="619"/>
      <c r="W209" s="624"/>
      <c r="X209" s="619"/>
      <c r="Y209" s="451"/>
      <c r="Z209" s="451"/>
      <c r="AA209" s="451"/>
      <c r="AB209" s="451"/>
      <c r="AC209" s="451"/>
      <c r="AD209" s="451"/>
      <c r="AE209" s="451"/>
      <c r="AF209" s="451"/>
      <c r="AG209" s="465"/>
      <c r="AH209" s="451"/>
      <c r="AI209" s="465"/>
      <c r="AJ209" s="465"/>
      <c r="AL209" s="622"/>
      <c r="AM209" s="623"/>
    </row>
    <row r="210" spans="1:39" s="621" customFormat="1" x14ac:dyDescent="0.2">
      <c r="A210" s="451"/>
      <c r="B210" s="451"/>
      <c r="C210" s="451"/>
      <c r="D210" s="451"/>
      <c r="E210" s="451"/>
      <c r="F210" s="451"/>
      <c r="G210" s="451"/>
      <c r="H210" s="451"/>
      <c r="I210" s="451"/>
      <c r="J210" s="451"/>
      <c r="K210" s="616"/>
      <c r="L210" s="470"/>
      <c r="M210" s="470"/>
      <c r="N210" s="470"/>
      <c r="O210" s="465"/>
      <c r="P210" s="617"/>
      <c r="Q210" s="618"/>
      <c r="R210" s="470"/>
      <c r="S210" s="470"/>
      <c r="T210" s="616"/>
      <c r="U210" s="616"/>
      <c r="V210" s="619"/>
      <c r="W210" s="624"/>
      <c r="X210" s="619"/>
      <c r="Y210" s="451"/>
      <c r="Z210" s="451"/>
      <c r="AA210" s="451"/>
      <c r="AB210" s="451"/>
      <c r="AC210" s="451"/>
      <c r="AD210" s="451"/>
      <c r="AE210" s="451"/>
      <c r="AF210" s="451"/>
      <c r="AG210" s="465"/>
      <c r="AH210" s="451"/>
      <c r="AI210" s="465"/>
      <c r="AJ210" s="465"/>
      <c r="AL210" s="622"/>
      <c r="AM210" s="623"/>
    </row>
    <row r="211" spans="1:39" s="621" customFormat="1" x14ac:dyDescent="0.2">
      <c r="A211" s="451"/>
      <c r="B211" s="451"/>
      <c r="C211" s="451"/>
      <c r="D211" s="451"/>
      <c r="E211" s="451"/>
      <c r="F211" s="451"/>
      <c r="G211" s="451"/>
      <c r="H211" s="451"/>
      <c r="I211" s="451"/>
      <c r="J211" s="451"/>
      <c r="K211" s="616"/>
      <c r="L211" s="470"/>
      <c r="M211" s="470"/>
      <c r="N211" s="470"/>
      <c r="O211" s="465"/>
      <c r="P211" s="617"/>
      <c r="Q211" s="618"/>
      <c r="R211" s="470"/>
      <c r="S211" s="470"/>
      <c r="T211" s="616"/>
      <c r="U211" s="616"/>
      <c r="V211" s="619"/>
      <c r="W211" s="624"/>
      <c r="X211" s="619"/>
      <c r="Y211" s="451"/>
      <c r="Z211" s="451"/>
      <c r="AA211" s="451"/>
      <c r="AB211" s="451"/>
      <c r="AC211" s="451"/>
      <c r="AD211" s="451"/>
      <c r="AE211" s="451"/>
      <c r="AF211" s="451"/>
      <c r="AG211" s="465"/>
      <c r="AH211" s="451"/>
      <c r="AI211" s="465"/>
      <c r="AJ211" s="465"/>
      <c r="AL211" s="622"/>
      <c r="AM211" s="623"/>
    </row>
    <row r="212" spans="1:39" s="621" customFormat="1" x14ac:dyDescent="0.2">
      <c r="A212" s="451"/>
      <c r="B212" s="451"/>
      <c r="C212" s="451"/>
      <c r="D212" s="451"/>
      <c r="E212" s="451"/>
      <c r="F212" s="451"/>
      <c r="G212" s="451"/>
      <c r="H212" s="451"/>
      <c r="I212" s="451"/>
      <c r="J212" s="451"/>
      <c r="K212" s="616"/>
      <c r="L212" s="470"/>
      <c r="M212" s="470"/>
      <c r="N212" s="470"/>
      <c r="O212" s="465"/>
      <c r="P212" s="617"/>
      <c r="Q212" s="618"/>
      <c r="R212" s="470"/>
      <c r="S212" s="470"/>
      <c r="T212" s="616"/>
      <c r="U212" s="616"/>
      <c r="V212" s="619"/>
      <c r="W212" s="624"/>
      <c r="X212" s="619"/>
      <c r="Y212" s="451"/>
      <c r="Z212" s="451"/>
      <c r="AA212" s="451"/>
      <c r="AB212" s="451"/>
      <c r="AC212" s="451"/>
      <c r="AD212" s="451"/>
      <c r="AE212" s="451"/>
      <c r="AF212" s="451"/>
      <c r="AG212" s="465"/>
      <c r="AH212" s="451"/>
      <c r="AI212" s="465"/>
      <c r="AJ212" s="465"/>
      <c r="AL212" s="622"/>
      <c r="AM212" s="623"/>
    </row>
    <row r="213" spans="1:39" s="621" customFormat="1" x14ac:dyDescent="0.2">
      <c r="A213" s="451"/>
      <c r="B213" s="451"/>
      <c r="C213" s="451"/>
      <c r="D213" s="451"/>
      <c r="E213" s="451"/>
      <c r="F213" s="451"/>
      <c r="G213" s="451"/>
      <c r="H213" s="451"/>
      <c r="I213" s="451"/>
      <c r="J213" s="451"/>
      <c r="K213" s="616"/>
      <c r="L213" s="470"/>
      <c r="M213" s="470"/>
      <c r="N213" s="470"/>
      <c r="O213" s="465"/>
      <c r="P213" s="617"/>
      <c r="Q213" s="618"/>
      <c r="R213" s="470"/>
      <c r="S213" s="470"/>
      <c r="T213" s="616"/>
      <c r="U213" s="616"/>
      <c r="V213" s="619"/>
      <c r="W213" s="624"/>
      <c r="X213" s="619"/>
      <c r="Y213" s="451"/>
      <c r="Z213" s="451"/>
      <c r="AA213" s="451"/>
      <c r="AB213" s="451"/>
      <c r="AC213" s="451"/>
      <c r="AD213" s="451"/>
      <c r="AE213" s="451"/>
      <c r="AF213" s="451"/>
      <c r="AG213" s="465"/>
      <c r="AH213" s="451"/>
      <c r="AI213" s="465"/>
      <c r="AJ213" s="465"/>
      <c r="AL213" s="622"/>
      <c r="AM213" s="623"/>
    </row>
    <row r="214" spans="1:39" s="621" customFormat="1" x14ac:dyDescent="0.2">
      <c r="A214" s="451"/>
      <c r="B214" s="451"/>
      <c r="C214" s="451"/>
      <c r="D214" s="451"/>
      <c r="E214" s="451"/>
      <c r="F214" s="451"/>
      <c r="G214" s="451"/>
      <c r="H214" s="451"/>
      <c r="I214" s="451"/>
      <c r="J214" s="451"/>
      <c r="K214" s="616"/>
      <c r="L214" s="470"/>
      <c r="M214" s="470"/>
      <c r="N214" s="470"/>
      <c r="O214" s="465"/>
      <c r="P214" s="617"/>
      <c r="Q214" s="618"/>
      <c r="R214" s="470"/>
      <c r="S214" s="470"/>
      <c r="T214" s="616"/>
      <c r="U214" s="616"/>
      <c r="V214" s="619"/>
      <c r="W214" s="624"/>
      <c r="X214" s="619"/>
      <c r="Y214" s="451"/>
      <c r="Z214" s="451"/>
      <c r="AA214" s="451"/>
      <c r="AB214" s="451"/>
      <c r="AC214" s="451"/>
      <c r="AD214" s="451"/>
      <c r="AE214" s="451"/>
      <c r="AF214" s="451"/>
      <c r="AG214" s="465"/>
      <c r="AH214" s="451"/>
      <c r="AI214" s="465"/>
      <c r="AJ214" s="465"/>
      <c r="AL214" s="622"/>
      <c r="AM214" s="623"/>
    </row>
  </sheetData>
  <mergeCells count="415">
    <mergeCell ref="AM151:AM155"/>
    <mergeCell ref="AD151:AD155"/>
    <mergeCell ref="AE151:AE155"/>
    <mergeCell ref="AF151:AF155"/>
    <mergeCell ref="AH151:AH155"/>
    <mergeCell ref="AJ151:AJ155"/>
    <mergeCell ref="AA151:AA155"/>
    <mergeCell ref="AB151:AB155"/>
    <mergeCell ref="AC151:AC155"/>
    <mergeCell ref="O151:O155"/>
    <mergeCell ref="P151:P155"/>
    <mergeCell ref="Q151:Q155"/>
    <mergeCell ref="R151:R155"/>
    <mergeCell ref="S151:S155"/>
    <mergeCell ref="T151:T155"/>
    <mergeCell ref="N151:N155"/>
    <mergeCell ref="Y143:Y147"/>
    <mergeCell ref="M143:M147"/>
    <mergeCell ref="N143:N147"/>
    <mergeCell ref="O143:O147"/>
    <mergeCell ref="P143:P147"/>
    <mergeCell ref="Q143:Q147"/>
    <mergeCell ref="Y151:Y155"/>
    <mergeCell ref="M151:M155"/>
    <mergeCell ref="Z151:Z155"/>
    <mergeCell ref="AM143:AM147"/>
    <mergeCell ref="A149:C155"/>
    <mergeCell ref="D151:D155"/>
    <mergeCell ref="E151:F155"/>
    <mergeCell ref="G151:G155"/>
    <mergeCell ref="H151:I155"/>
    <mergeCell ref="AE143:AE147"/>
    <mergeCell ref="AF143:AF147"/>
    <mergeCell ref="AH143:AH147"/>
    <mergeCell ref="AJ143:AJ147"/>
    <mergeCell ref="Z143:Z147"/>
    <mergeCell ref="AA143:AA147"/>
    <mergeCell ref="AB143:AB147"/>
    <mergeCell ref="AC143:AC147"/>
    <mergeCell ref="AD143:AD147"/>
    <mergeCell ref="R143:R147"/>
    <mergeCell ref="S143:S147"/>
    <mergeCell ref="T143:T147"/>
    <mergeCell ref="W143:W147"/>
    <mergeCell ref="X143:X147"/>
    <mergeCell ref="J151:J155"/>
    <mergeCell ref="K151:K155"/>
    <mergeCell ref="L151:L155"/>
    <mergeCell ref="AM127:AM141"/>
    <mergeCell ref="J132:J138"/>
    <mergeCell ref="K132:K138"/>
    <mergeCell ref="L132:L138"/>
    <mergeCell ref="M132:M138"/>
    <mergeCell ref="Q132:Q138"/>
    <mergeCell ref="J139:J141"/>
    <mergeCell ref="K139:K141"/>
    <mergeCell ref="L139:L141"/>
    <mergeCell ref="AJ127:AJ141"/>
    <mergeCell ref="AD127:AD141"/>
    <mergeCell ref="AE127:AE141"/>
    <mergeCell ref="AF127:AF141"/>
    <mergeCell ref="AH127:AH141"/>
    <mergeCell ref="AA127:AA141"/>
    <mergeCell ref="AB127:AB141"/>
    <mergeCell ref="AC127:AC141"/>
    <mergeCell ref="D143:D147"/>
    <mergeCell ref="G143:G147"/>
    <mergeCell ref="H143:I147"/>
    <mergeCell ref="J143:J147"/>
    <mergeCell ref="K143:K147"/>
    <mergeCell ref="L143:L147"/>
    <mergeCell ref="T127:T141"/>
    <mergeCell ref="Y127:Y141"/>
    <mergeCell ref="Z127:Z141"/>
    <mergeCell ref="M127:M131"/>
    <mergeCell ref="N127:N141"/>
    <mergeCell ref="O127:O141"/>
    <mergeCell ref="P127:P141"/>
    <mergeCell ref="Q127:Q131"/>
    <mergeCell ref="M139:M141"/>
    <mergeCell ref="Q139:Q141"/>
    <mergeCell ref="AA121:AA124"/>
    <mergeCell ref="AB121:AB124"/>
    <mergeCell ref="S121:S124"/>
    <mergeCell ref="T121:T124"/>
    <mergeCell ref="W121:W124"/>
    <mergeCell ref="X121:X124"/>
    <mergeCell ref="Y121:Y124"/>
    <mergeCell ref="AM121:AM124"/>
    <mergeCell ref="D126:D141"/>
    <mergeCell ref="E126:F141"/>
    <mergeCell ref="G127:G141"/>
    <mergeCell ref="H127:I141"/>
    <mergeCell ref="J127:J131"/>
    <mergeCell ref="K127:K131"/>
    <mergeCell ref="L127:L131"/>
    <mergeCell ref="AH121:AH124"/>
    <mergeCell ref="AJ121:AJ124"/>
    <mergeCell ref="AC121:AC124"/>
    <mergeCell ref="AD121:AD124"/>
    <mergeCell ref="AE121:AE124"/>
    <mergeCell ref="AF121:AF124"/>
    <mergeCell ref="Z121:Z124"/>
    <mergeCell ref="R127:R141"/>
    <mergeCell ref="S127:S141"/>
    <mergeCell ref="N121:N124"/>
    <mergeCell ref="O121:O124"/>
    <mergeCell ref="P121:P124"/>
    <mergeCell ref="Q121:Q123"/>
    <mergeCell ref="R121:R124"/>
    <mergeCell ref="G121:G124"/>
    <mergeCell ref="H121:I124"/>
    <mergeCell ref="J121:J123"/>
    <mergeCell ref="K121:K123"/>
    <mergeCell ref="L121:L123"/>
    <mergeCell ref="M121:M123"/>
    <mergeCell ref="AM100:AM119"/>
    <mergeCell ref="J102:J104"/>
    <mergeCell ref="K102:K104"/>
    <mergeCell ref="L102:L104"/>
    <mergeCell ref="M102:M104"/>
    <mergeCell ref="Q102:Q104"/>
    <mergeCell ref="AE100:AE119"/>
    <mergeCell ref="AF100:AF119"/>
    <mergeCell ref="AH100:AH119"/>
    <mergeCell ref="AB100:AB119"/>
    <mergeCell ref="AC100:AC119"/>
    <mergeCell ref="AD100:AD119"/>
    <mergeCell ref="Y100:Y119"/>
    <mergeCell ref="L105:L110"/>
    <mergeCell ref="M105:M110"/>
    <mergeCell ref="L111:L112"/>
    <mergeCell ref="M111:M112"/>
    <mergeCell ref="L113:L119"/>
    <mergeCell ref="M113:M119"/>
    <mergeCell ref="Z100:Z119"/>
    <mergeCell ref="AA100:AA119"/>
    <mergeCell ref="Q100:Q101"/>
    <mergeCell ref="R100:R119"/>
    <mergeCell ref="S100:S119"/>
    <mergeCell ref="T100:T119"/>
    <mergeCell ref="W100:W119"/>
    <mergeCell ref="X100:X119"/>
    <mergeCell ref="Q105:Q110"/>
    <mergeCell ref="Q111:Q112"/>
    <mergeCell ref="Q113:Q119"/>
    <mergeCell ref="AH91:AH97"/>
    <mergeCell ref="AJ91:AJ97"/>
    <mergeCell ref="AB91:AB97"/>
    <mergeCell ref="AC91:AC97"/>
    <mergeCell ref="AD91:AD97"/>
    <mergeCell ref="X91:X97"/>
    <mergeCell ref="Y91:Y97"/>
    <mergeCell ref="D100:D124"/>
    <mergeCell ref="E100:F124"/>
    <mergeCell ref="G100:G119"/>
    <mergeCell ref="H100:I119"/>
    <mergeCell ref="J100:J101"/>
    <mergeCell ref="K100:K101"/>
    <mergeCell ref="J105:J110"/>
    <mergeCell ref="K105:K110"/>
    <mergeCell ref="J111:J112"/>
    <mergeCell ref="K111:K112"/>
    <mergeCell ref="J113:J119"/>
    <mergeCell ref="K113:K119"/>
    <mergeCell ref="L100:L101"/>
    <mergeCell ref="M100:M101"/>
    <mergeCell ref="N100:N119"/>
    <mergeCell ref="O100:O119"/>
    <mergeCell ref="P100:P119"/>
    <mergeCell ref="AM90:AM97"/>
    <mergeCell ref="G91:G97"/>
    <mergeCell ref="H91:I97"/>
    <mergeCell ref="J91:J92"/>
    <mergeCell ref="K91:K92"/>
    <mergeCell ref="L91:L92"/>
    <mergeCell ref="M91:M92"/>
    <mergeCell ref="N91:N97"/>
    <mergeCell ref="O91:O97"/>
    <mergeCell ref="Z91:Z97"/>
    <mergeCell ref="AA91:AA97"/>
    <mergeCell ref="P91:P97"/>
    <mergeCell ref="Q91:Q92"/>
    <mergeCell ref="R91:R97"/>
    <mergeCell ref="S91:S97"/>
    <mergeCell ref="T91:T97"/>
    <mergeCell ref="W91:W97"/>
    <mergeCell ref="Q93:Q97"/>
    <mergeCell ref="J93:J97"/>
    <mergeCell ref="K93:K97"/>
    <mergeCell ref="L93:L97"/>
    <mergeCell ref="M93:M97"/>
    <mergeCell ref="AE91:AE97"/>
    <mergeCell ref="AF91:AF97"/>
    <mergeCell ref="AM78:AM89"/>
    <mergeCell ref="J80:J83"/>
    <mergeCell ref="K80:K83"/>
    <mergeCell ref="L80:L83"/>
    <mergeCell ref="M80:M83"/>
    <mergeCell ref="AH78:AH89"/>
    <mergeCell ref="AI78:AI89"/>
    <mergeCell ref="AJ78:AJ89"/>
    <mergeCell ref="AC78:AC89"/>
    <mergeCell ref="AD78:AD89"/>
    <mergeCell ref="AE78:AE89"/>
    <mergeCell ref="AF78:AF89"/>
    <mergeCell ref="Z78:Z89"/>
    <mergeCell ref="N78:N89"/>
    <mergeCell ref="O78:O89"/>
    <mergeCell ref="P78:P89"/>
    <mergeCell ref="Q78:Q79"/>
    <mergeCell ref="R78:R89"/>
    <mergeCell ref="Q80:Q83"/>
    <mergeCell ref="Q84:Q89"/>
    <mergeCell ref="AA78:AA89"/>
    <mergeCell ref="AB78:AB89"/>
    <mergeCell ref="S78:S89"/>
    <mergeCell ref="T78:T89"/>
    <mergeCell ref="W78:W89"/>
    <mergeCell ref="X78:X89"/>
    <mergeCell ref="Y78:Y89"/>
    <mergeCell ref="G78:G89"/>
    <mergeCell ref="H78:I89"/>
    <mergeCell ref="J78:J79"/>
    <mergeCell ref="K78:K79"/>
    <mergeCell ref="L78:L79"/>
    <mergeCell ref="M78:M79"/>
    <mergeCell ref="J84:J89"/>
    <mergeCell ref="K84:K89"/>
    <mergeCell ref="L84:L89"/>
    <mergeCell ref="M84:M89"/>
    <mergeCell ref="AF57:AF76"/>
    <mergeCell ref="AA57:AA76"/>
    <mergeCell ref="T57:T76"/>
    <mergeCell ref="Y57:Y76"/>
    <mergeCell ref="Z57:Z76"/>
    <mergeCell ref="J64:J65"/>
    <mergeCell ref="K64:K65"/>
    <mergeCell ref="L64:L65"/>
    <mergeCell ref="M64:M65"/>
    <mergeCell ref="Q64:Q65"/>
    <mergeCell ref="S57:S76"/>
    <mergeCell ref="AM57:AM77"/>
    <mergeCell ref="AK62:AK63"/>
    <mergeCell ref="AL62:AL63"/>
    <mergeCell ref="AK68:AK69"/>
    <mergeCell ref="AL68:AL69"/>
    <mergeCell ref="AH57:AH76"/>
    <mergeCell ref="AD57:AD76"/>
    <mergeCell ref="J72:J76"/>
    <mergeCell ref="K72:K76"/>
    <mergeCell ref="L72:L76"/>
    <mergeCell ref="M72:M76"/>
    <mergeCell ref="Q72:Q76"/>
    <mergeCell ref="J70:J71"/>
    <mergeCell ref="K70:K71"/>
    <mergeCell ref="L70:L71"/>
    <mergeCell ref="M70:M71"/>
    <mergeCell ref="Q70:Q71"/>
    <mergeCell ref="J66:J69"/>
    <mergeCell ref="K66:K69"/>
    <mergeCell ref="L66:L69"/>
    <mergeCell ref="M66:M69"/>
    <mergeCell ref="Q66:Q69"/>
    <mergeCell ref="AE57:AE76"/>
    <mergeCell ref="AD42:AD54"/>
    <mergeCell ref="X42:X43"/>
    <mergeCell ref="N57:N76"/>
    <mergeCell ref="O57:O76"/>
    <mergeCell ref="P57:P76"/>
    <mergeCell ref="Q57:Q63"/>
    <mergeCell ref="R57:R76"/>
    <mergeCell ref="AL52:AL53"/>
    <mergeCell ref="D57:D97"/>
    <mergeCell ref="E57:F97"/>
    <mergeCell ref="G57:G76"/>
    <mergeCell ref="H57:I76"/>
    <mergeCell ref="J57:J63"/>
    <mergeCell ref="K57:K63"/>
    <mergeCell ref="L57:L63"/>
    <mergeCell ref="M57:M63"/>
    <mergeCell ref="Q50:Q53"/>
    <mergeCell ref="Y42:Y54"/>
    <mergeCell ref="Z42:Z54"/>
    <mergeCell ref="AA42:AA54"/>
    <mergeCell ref="P42:P54"/>
    <mergeCell ref="Q42:Q43"/>
    <mergeCell ref="AB57:AB76"/>
    <mergeCell ref="AC57:AC76"/>
    <mergeCell ref="N44:N49"/>
    <mergeCell ref="R42:R54"/>
    <mergeCell ref="S42:S54"/>
    <mergeCell ref="T42:T54"/>
    <mergeCell ref="W42:W46"/>
    <mergeCell ref="Q44:Q49"/>
    <mergeCell ref="U44:U45"/>
    <mergeCell ref="V44:V45"/>
    <mergeCell ref="AM41:AM54"/>
    <mergeCell ref="AK44:AK45"/>
    <mergeCell ref="AL44:AL45"/>
    <mergeCell ref="AE42:AE54"/>
    <mergeCell ref="AF42:AF54"/>
    <mergeCell ref="AH42:AH54"/>
    <mergeCell ref="AK50:AK51"/>
    <mergeCell ref="AL50:AL51"/>
    <mergeCell ref="U52:U53"/>
    <mergeCell ref="V52:V53"/>
    <mergeCell ref="AK52:AK53"/>
    <mergeCell ref="U50:U51"/>
    <mergeCell ref="V50:V51"/>
    <mergeCell ref="W50:W54"/>
    <mergeCell ref="AB42:AB54"/>
    <mergeCell ref="AC42:AC54"/>
    <mergeCell ref="L36:L40"/>
    <mergeCell ref="M36:M40"/>
    <mergeCell ref="Q36:Q40"/>
    <mergeCell ref="T13:T40"/>
    <mergeCell ref="U13:U14"/>
    <mergeCell ref="V13:V14"/>
    <mergeCell ref="AF13:AF40"/>
    <mergeCell ref="AH13:AH40"/>
    <mergeCell ref="G42:G54"/>
    <mergeCell ref="H42:I54"/>
    <mergeCell ref="J42:J43"/>
    <mergeCell ref="K42:K43"/>
    <mergeCell ref="L42:L43"/>
    <mergeCell ref="M42:M43"/>
    <mergeCell ref="N42:N43"/>
    <mergeCell ref="O42:O54"/>
    <mergeCell ref="J50:J53"/>
    <mergeCell ref="K50:K53"/>
    <mergeCell ref="L50:L53"/>
    <mergeCell ref="M50:M53"/>
    <mergeCell ref="J44:J49"/>
    <mergeCell ref="K44:K49"/>
    <mergeCell ref="L44:L49"/>
    <mergeCell ref="M44:M49"/>
    <mergeCell ref="AM13:AM40"/>
    <mergeCell ref="AL13:AL14"/>
    <mergeCell ref="D12:F54"/>
    <mergeCell ref="G13:I40"/>
    <mergeCell ref="J13:J14"/>
    <mergeCell ref="K13:K14"/>
    <mergeCell ref="L13:L14"/>
    <mergeCell ref="M13:M14"/>
    <mergeCell ref="J16:J19"/>
    <mergeCell ref="K16:K19"/>
    <mergeCell ref="L16:L19"/>
    <mergeCell ref="M16:M19"/>
    <mergeCell ref="Q16:Q19"/>
    <mergeCell ref="J20:J35"/>
    <mergeCell ref="K20:K35"/>
    <mergeCell ref="L20:L35"/>
    <mergeCell ref="AK13:AK14"/>
    <mergeCell ref="AI13:AI40"/>
    <mergeCell ref="AJ13:AJ40"/>
    <mergeCell ref="AE13:AE40"/>
    <mergeCell ref="M20:M35"/>
    <mergeCell ref="Q20:Q35"/>
    <mergeCell ref="J36:J40"/>
    <mergeCell ref="K36:K40"/>
    <mergeCell ref="Z13:Z40"/>
    <mergeCell ref="AA13:AA40"/>
    <mergeCell ref="S13:S40"/>
    <mergeCell ref="V7:V9"/>
    <mergeCell ref="W7:W9"/>
    <mergeCell ref="X7:X9"/>
    <mergeCell ref="Y7:AD7"/>
    <mergeCell ref="AE7:AJ7"/>
    <mergeCell ref="AF8:AF9"/>
    <mergeCell ref="AB13:AB40"/>
    <mergeCell ref="AC13:AC40"/>
    <mergeCell ref="AD13:AD40"/>
    <mergeCell ref="N13:N19"/>
    <mergeCell ref="O13:O40"/>
    <mergeCell ref="P13:P40"/>
    <mergeCell ref="Q13:Q14"/>
    <mergeCell ref="R13:R40"/>
    <mergeCell ref="S7:S9"/>
    <mergeCell ref="T7:T9"/>
    <mergeCell ref="U7:U9"/>
    <mergeCell ref="Y13:Y40"/>
    <mergeCell ref="Z8:Z9"/>
    <mergeCell ref="AA8:AA9"/>
    <mergeCell ref="AB8:AB9"/>
    <mergeCell ref="AJ8:AJ9"/>
    <mergeCell ref="AK7:AK9"/>
    <mergeCell ref="AL7:AL9"/>
    <mergeCell ref="P7:P9"/>
    <mergeCell ref="Q7:Q9"/>
    <mergeCell ref="R7:R9"/>
    <mergeCell ref="AC8:AC9"/>
    <mergeCell ref="AD8:AD9"/>
    <mergeCell ref="AE8:AE9"/>
    <mergeCell ref="AG8:AG9"/>
    <mergeCell ref="AH8:AH9"/>
    <mergeCell ref="AI8:AI9"/>
    <mergeCell ref="A1:AK4"/>
    <mergeCell ref="Y6:AJ6"/>
    <mergeCell ref="J7:J9"/>
    <mergeCell ref="K7:K9"/>
    <mergeCell ref="L7:L9"/>
    <mergeCell ref="M7:M9"/>
    <mergeCell ref="N7:N9"/>
    <mergeCell ref="O7:O9"/>
    <mergeCell ref="A5:M6"/>
    <mergeCell ref="N5:AM5"/>
    <mergeCell ref="A7:A9"/>
    <mergeCell ref="B7:C9"/>
    <mergeCell ref="D7:D9"/>
    <mergeCell ref="E7:F9"/>
    <mergeCell ref="G7:G9"/>
    <mergeCell ref="H7:I9"/>
    <mergeCell ref="AM7:AM9"/>
    <mergeCell ref="Y8:Y9"/>
  </mergeCells>
  <pageMargins left="0.7" right="0.7" top="0.75" bottom="0.75" header="0.3" footer="0.3"/>
  <pageSetup paperSize="190" scale="68" orientation="landscape" r:id="rId1"/>
  <rowBreaks count="5" manualBreakCount="5">
    <brk id="19" max="33" man="1"/>
    <brk id="56" max="16383" man="1"/>
    <brk id="77" max="16383" man="1"/>
    <brk id="99" max="16383" man="1"/>
    <brk id="122"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9"/>
  <sheetViews>
    <sheetView topLeftCell="S1" zoomScale="55" zoomScaleNormal="55" workbookViewId="0">
      <selection activeCell="AN7" sqref="AN7"/>
    </sheetView>
  </sheetViews>
  <sheetFormatPr baseColWidth="10" defaultColWidth="11.42578125" defaultRowHeight="14.25" x14ac:dyDescent="0.2"/>
  <cols>
    <col min="1" max="1" width="11" style="84" customWidth="1"/>
    <col min="2" max="2" width="4.7109375" style="84" customWidth="1"/>
    <col min="3" max="3" width="13" style="84" customWidth="1"/>
    <col min="4" max="4" width="11.5703125" style="84" customWidth="1"/>
    <col min="5" max="5" width="12.5703125" style="84" customWidth="1"/>
    <col min="6" max="6" width="5.42578125" style="84" customWidth="1"/>
    <col min="7" max="7" width="10.5703125" style="84" customWidth="1"/>
    <col min="8" max="8" width="15.7109375" style="84" customWidth="1"/>
    <col min="9" max="9" width="4.85546875" style="84" customWidth="1"/>
    <col min="10" max="10" width="12.42578125" style="84" customWidth="1"/>
    <col min="11" max="11" width="26.5703125" style="709" customWidth="1"/>
    <col min="12" max="12" width="25.7109375" style="709" customWidth="1"/>
    <col min="13" max="13" width="15.42578125" style="279" customWidth="1"/>
    <col min="14" max="14" width="22.140625" style="710" customWidth="1"/>
    <col min="15" max="15" width="10.28515625" style="279" customWidth="1"/>
    <col min="16" max="16" width="28" style="709" customWidth="1"/>
    <col min="17" max="17" width="15.28515625" style="285" customWidth="1"/>
    <col min="18" max="18" width="26.7109375" style="711" customWidth="1"/>
    <col min="19" max="19" width="29.28515625" style="709" customWidth="1"/>
    <col min="20" max="20" width="31.5703125" style="709" customWidth="1"/>
    <col min="21" max="21" width="25.140625" style="278" customWidth="1"/>
    <col min="22" max="22" width="23.140625" style="712" customWidth="1"/>
    <col min="23" max="23" width="15.85546875" style="284" customWidth="1"/>
    <col min="24" max="24" width="17.5703125" style="278" customWidth="1"/>
    <col min="25" max="25" width="7.28515625" style="84" customWidth="1"/>
    <col min="26" max="26" width="9" style="84" customWidth="1"/>
    <col min="27" max="27" width="9.28515625" style="84" customWidth="1"/>
    <col min="28" max="28" width="10.5703125" style="84" customWidth="1"/>
    <col min="29" max="29" width="10" style="84" customWidth="1"/>
    <col min="30" max="30" width="10.140625" style="84" customWidth="1"/>
    <col min="31" max="36" width="7.28515625" style="84" customWidth="1"/>
    <col min="37" max="37" width="15.7109375" style="713" customWidth="1"/>
    <col min="38" max="38" width="16.42578125" style="714" customWidth="1"/>
    <col min="39" max="39" width="28.7109375" style="715" customWidth="1"/>
    <col min="40" max="40" width="23.140625" style="626" customWidth="1"/>
    <col min="41" max="41" width="17.5703125" style="626" customWidth="1"/>
    <col min="42" max="16384" width="11.42578125" style="626"/>
  </cols>
  <sheetData>
    <row r="1" spans="1:72"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72"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72"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72"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72"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72"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72" s="628" customFormat="1" ht="27" customHeight="1" x14ac:dyDescent="0.25">
      <c r="A7" s="2434" t="s">
        <v>8</v>
      </c>
      <c r="B7" s="2436" t="s">
        <v>9</v>
      </c>
      <c r="C7" s="2437"/>
      <c r="D7" s="2440" t="s">
        <v>8</v>
      </c>
      <c r="E7" s="2436" t="s">
        <v>10</v>
      </c>
      <c r="F7" s="2437"/>
      <c r="G7" s="2440" t="s">
        <v>8</v>
      </c>
      <c r="H7" s="2436" t="s">
        <v>11</v>
      </c>
      <c r="I7" s="2437"/>
      <c r="J7" s="2440" t="s">
        <v>8</v>
      </c>
      <c r="K7" s="2474" t="s">
        <v>12</v>
      </c>
      <c r="L7" s="2440" t="s">
        <v>13</v>
      </c>
      <c r="M7" s="2436" t="s">
        <v>14</v>
      </c>
      <c r="N7" s="2478" t="s">
        <v>15</v>
      </c>
      <c r="O7" s="2440" t="s">
        <v>664</v>
      </c>
      <c r="P7" s="2440" t="s">
        <v>6</v>
      </c>
      <c r="Q7" s="2470" t="s">
        <v>17</v>
      </c>
      <c r="R7" s="2472" t="s">
        <v>18</v>
      </c>
      <c r="S7" s="2474" t="s">
        <v>19</v>
      </c>
      <c r="T7" s="2474" t="s">
        <v>20</v>
      </c>
      <c r="U7" s="2474" t="s">
        <v>21</v>
      </c>
      <c r="V7" s="2476" t="s">
        <v>18</v>
      </c>
      <c r="W7" s="2468" t="s">
        <v>8</v>
      </c>
      <c r="X7" s="2440" t="s">
        <v>22</v>
      </c>
      <c r="Y7" s="2448" t="s">
        <v>23</v>
      </c>
      <c r="Z7" s="2449"/>
      <c r="AA7" s="2449"/>
      <c r="AB7" s="2449"/>
      <c r="AC7" s="2449"/>
      <c r="AD7" s="2450"/>
      <c r="AE7" s="2448" t="s">
        <v>24</v>
      </c>
      <c r="AF7" s="2449"/>
      <c r="AG7" s="2449"/>
      <c r="AH7" s="2449"/>
      <c r="AI7" s="2449"/>
      <c r="AJ7" s="2451"/>
      <c r="AK7" s="2442" t="s">
        <v>25</v>
      </c>
      <c r="AL7" s="2442" t="s">
        <v>26</v>
      </c>
      <c r="AM7" s="2444" t="s">
        <v>27</v>
      </c>
    </row>
    <row r="8" spans="1:72" s="629" customFormat="1" ht="25.5" customHeight="1" x14ac:dyDescent="0.25">
      <c r="A8" s="2435"/>
      <c r="B8" s="2438"/>
      <c r="C8" s="2439"/>
      <c r="D8" s="2441"/>
      <c r="E8" s="2438"/>
      <c r="F8" s="2439"/>
      <c r="G8" s="2441"/>
      <c r="H8" s="2438"/>
      <c r="I8" s="2439"/>
      <c r="J8" s="2441"/>
      <c r="K8" s="2475"/>
      <c r="L8" s="2441"/>
      <c r="M8" s="2438"/>
      <c r="N8" s="2479"/>
      <c r="O8" s="2441"/>
      <c r="P8" s="2441"/>
      <c r="Q8" s="2471"/>
      <c r="R8" s="2473"/>
      <c r="S8" s="2475"/>
      <c r="T8" s="2475"/>
      <c r="U8" s="2475"/>
      <c r="V8" s="2477"/>
      <c r="W8" s="2469"/>
      <c r="X8" s="2441"/>
      <c r="Y8" s="2436" t="s">
        <v>269</v>
      </c>
      <c r="Z8" s="2446" t="s">
        <v>29</v>
      </c>
      <c r="AA8" s="2436" t="s">
        <v>30</v>
      </c>
      <c r="AB8" s="2436" t="s">
        <v>31</v>
      </c>
      <c r="AC8" s="2436" t="s">
        <v>32</v>
      </c>
      <c r="AD8" s="2436" t="s">
        <v>33</v>
      </c>
      <c r="AE8" s="2436" t="s">
        <v>34</v>
      </c>
      <c r="AF8" s="2436" t="s">
        <v>35</v>
      </c>
      <c r="AG8" s="2436" t="s">
        <v>36</v>
      </c>
      <c r="AH8" s="2436" t="s">
        <v>37</v>
      </c>
      <c r="AI8" s="2436" t="s">
        <v>38</v>
      </c>
      <c r="AJ8" s="2436" t="s">
        <v>39</v>
      </c>
      <c r="AK8" s="2443"/>
      <c r="AL8" s="2443"/>
      <c r="AM8" s="2445"/>
    </row>
    <row r="9" spans="1:72" s="629" customFormat="1" ht="33.75" customHeight="1" x14ac:dyDescent="0.25">
      <c r="A9" s="2435"/>
      <c r="B9" s="2438"/>
      <c r="C9" s="2439"/>
      <c r="D9" s="2441"/>
      <c r="E9" s="2438"/>
      <c r="F9" s="2439"/>
      <c r="G9" s="2441"/>
      <c r="H9" s="2438"/>
      <c r="I9" s="2439"/>
      <c r="J9" s="2441"/>
      <c r="K9" s="2475"/>
      <c r="L9" s="2441"/>
      <c r="M9" s="2438"/>
      <c r="N9" s="2479"/>
      <c r="O9" s="2441"/>
      <c r="P9" s="2441"/>
      <c r="Q9" s="2471"/>
      <c r="R9" s="2473"/>
      <c r="S9" s="2475"/>
      <c r="T9" s="2475"/>
      <c r="U9" s="2475"/>
      <c r="V9" s="2477"/>
      <c r="W9" s="2469"/>
      <c r="X9" s="2441"/>
      <c r="Y9" s="2438"/>
      <c r="Z9" s="2447"/>
      <c r="AA9" s="2438"/>
      <c r="AB9" s="2438"/>
      <c r="AC9" s="2438"/>
      <c r="AD9" s="2438"/>
      <c r="AE9" s="2438"/>
      <c r="AF9" s="2438"/>
      <c r="AG9" s="2438"/>
      <c r="AH9" s="2438"/>
      <c r="AI9" s="2438"/>
      <c r="AJ9" s="2438"/>
      <c r="AK9" s="2443"/>
      <c r="AL9" s="2443"/>
      <c r="AM9" s="2445"/>
    </row>
    <row r="10" spans="1:72" s="637" customFormat="1" ht="15" customHeight="1" x14ac:dyDescent="0.25">
      <c r="A10" s="630">
        <v>3</v>
      </c>
      <c r="B10" s="2452" t="s">
        <v>665</v>
      </c>
      <c r="C10" s="2453"/>
      <c r="D10" s="631"/>
      <c r="E10" s="632"/>
      <c r="F10" s="632"/>
      <c r="G10" s="632"/>
      <c r="H10" s="632"/>
      <c r="I10" s="632"/>
      <c r="J10" s="632"/>
      <c r="K10" s="633"/>
      <c r="L10" s="633"/>
      <c r="M10" s="632"/>
      <c r="N10" s="632"/>
      <c r="O10" s="632"/>
      <c r="P10" s="633"/>
      <c r="Q10" s="632"/>
      <c r="R10" s="634"/>
      <c r="S10" s="633"/>
      <c r="T10" s="633"/>
      <c r="U10" s="633"/>
      <c r="V10" s="634"/>
      <c r="W10" s="635"/>
      <c r="X10" s="632"/>
      <c r="Y10" s="632"/>
      <c r="Z10" s="632"/>
      <c r="AA10" s="632"/>
      <c r="AB10" s="632"/>
      <c r="AC10" s="632"/>
      <c r="AD10" s="632"/>
      <c r="AE10" s="632"/>
      <c r="AF10" s="632"/>
      <c r="AG10" s="632"/>
      <c r="AH10" s="632"/>
      <c r="AI10" s="632"/>
      <c r="AJ10" s="632"/>
      <c r="AK10" s="632"/>
      <c r="AL10" s="632"/>
      <c r="AM10" s="636"/>
    </row>
    <row r="11" spans="1:72" s="637" customFormat="1" ht="15" customHeight="1" x14ac:dyDescent="0.25">
      <c r="A11" s="638"/>
      <c r="B11" s="639"/>
      <c r="C11" s="640"/>
      <c r="D11" s="641">
        <v>9</v>
      </c>
      <c r="E11" s="2454" t="s">
        <v>666</v>
      </c>
      <c r="F11" s="2455"/>
      <c r="G11" s="2455"/>
      <c r="H11" s="2455"/>
      <c r="I11" s="2455"/>
      <c r="J11" s="2455"/>
      <c r="K11" s="2455"/>
      <c r="L11" s="642"/>
      <c r="M11" s="643"/>
      <c r="N11" s="643"/>
      <c r="O11" s="643"/>
      <c r="P11" s="642"/>
      <c r="Q11" s="643"/>
      <c r="R11" s="644"/>
      <c r="S11" s="642"/>
      <c r="T11" s="642"/>
      <c r="U11" s="642"/>
      <c r="V11" s="644"/>
      <c r="W11" s="645"/>
      <c r="X11" s="643"/>
      <c r="Y11" s="643"/>
      <c r="Z11" s="643"/>
      <c r="AA11" s="643"/>
      <c r="AB11" s="643"/>
      <c r="AC11" s="643"/>
      <c r="AD11" s="643"/>
      <c r="AE11" s="643"/>
      <c r="AF11" s="643"/>
      <c r="AG11" s="643"/>
      <c r="AH11" s="643"/>
      <c r="AI11" s="643"/>
      <c r="AJ11" s="643"/>
      <c r="AK11" s="643"/>
      <c r="AL11" s="643"/>
      <c r="AM11" s="646"/>
    </row>
    <row r="12" spans="1:72" ht="15" customHeight="1" x14ac:dyDescent="0.2">
      <c r="A12" s="647"/>
      <c r="B12" s="648"/>
      <c r="C12" s="649"/>
      <c r="D12" s="650"/>
      <c r="E12" s="651"/>
      <c r="F12" s="652"/>
      <c r="G12" s="653">
        <v>29</v>
      </c>
      <c r="H12" s="2456" t="s">
        <v>667</v>
      </c>
      <c r="I12" s="2457"/>
      <c r="J12" s="2457"/>
      <c r="K12" s="2457"/>
      <c r="L12" s="654"/>
      <c r="M12" s="655"/>
      <c r="N12" s="655"/>
      <c r="O12" s="655"/>
      <c r="P12" s="654"/>
      <c r="Q12" s="655"/>
      <c r="R12" s="656"/>
      <c r="S12" s="654"/>
      <c r="T12" s="654"/>
      <c r="U12" s="654"/>
      <c r="V12" s="656"/>
      <c r="W12" s="657"/>
      <c r="X12" s="655"/>
      <c r="Y12" s="655"/>
      <c r="Z12" s="655"/>
      <c r="AA12" s="655"/>
      <c r="AB12" s="655"/>
      <c r="AC12" s="655"/>
      <c r="AD12" s="655"/>
      <c r="AE12" s="655"/>
      <c r="AF12" s="655"/>
      <c r="AG12" s="655"/>
      <c r="AH12" s="655"/>
      <c r="AI12" s="655"/>
      <c r="AJ12" s="655"/>
      <c r="AK12" s="655"/>
      <c r="AL12" s="655"/>
      <c r="AM12" s="658"/>
    </row>
    <row r="13" spans="1:72" s="662" customFormat="1" ht="58.5" customHeight="1" x14ac:dyDescent="0.2">
      <c r="A13" s="659"/>
      <c r="B13" s="660"/>
      <c r="C13" s="661"/>
      <c r="D13" s="659"/>
      <c r="E13" s="660"/>
      <c r="F13" s="661"/>
      <c r="G13" s="1903"/>
      <c r="H13" s="2459"/>
      <c r="I13" s="2460"/>
      <c r="J13" s="2465">
        <v>114</v>
      </c>
      <c r="K13" s="1912" t="s">
        <v>668</v>
      </c>
      <c r="L13" s="1912" t="s">
        <v>669</v>
      </c>
      <c r="M13" s="2465">
        <v>30</v>
      </c>
      <c r="N13" s="1903" t="s">
        <v>670</v>
      </c>
      <c r="O13" s="1903">
        <v>45</v>
      </c>
      <c r="P13" s="1912" t="s">
        <v>671</v>
      </c>
      <c r="Q13" s="2482">
        <f>+V13/R13</f>
        <v>1</v>
      </c>
      <c r="R13" s="2484">
        <f>V13</f>
        <v>896158491</v>
      </c>
      <c r="S13" s="1912" t="s">
        <v>672</v>
      </c>
      <c r="T13" s="1912" t="s">
        <v>673</v>
      </c>
      <c r="U13" s="1912" t="s">
        <v>674</v>
      </c>
      <c r="V13" s="2484">
        <f>158620000+737538491</f>
        <v>896158491</v>
      </c>
      <c r="W13" s="2492" t="s">
        <v>675</v>
      </c>
      <c r="X13" s="1903" t="s">
        <v>676</v>
      </c>
      <c r="Y13" s="1928">
        <v>0</v>
      </c>
      <c r="Z13" s="1928">
        <v>0</v>
      </c>
      <c r="AA13" s="1928">
        <v>0</v>
      </c>
      <c r="AB13" s="1928">
        <v>0</v>
      </c>
      <c r="AC13" s="1928">
        <v>52</v>
      </c>
      <c r="AD13" s="1928">
        <v>0</v>
      </c>
      <c r="AE13" s="1928">
        <v>0</v>
      </c>
      <c r="AF13" s="1928">
        <v>0</v>
      </c>
      <c r="AG13" s="1928">
        <v>0</v>
      </c>
      <c r="AH13" s="1928">
        <v>0</v>
      </c>
      <c r="AI13" s="1928">
        <v>0</v>
      </c>
      <c r="AJ13" s="1928">
        <v>0</v>
      </c>
      <c r="AK13" s="2486">
        <v>42736</v>
      </c>
      <c r="AL13" s="2486">
        <v>43100</v>
      </c>
      <c r="AM13" s="2488" t="s">
        <v>677</v>
      </c>
    </row>
    <row r="14" spans="1:72" s="662" customFormat="1" ht="64.5" customHeight="1" x14ac:dyDescent="0.2">
      <c r="A14" s="659"/>
      <c r="B14" s="660"/>
      <c r="C14" s="661"/>
      <c r="D14" s="659"/>
      <c r="E14" s="660"/>
      <c r="F14" s="661"/>
      <c r="G14" s="1904"/>
      <c r="H14" s="2461"/>
      <c r="I14" s="2462"/>
      <c r="J14" s="2466"/>
      <c r="K14" s="2467"/>
      <c r="L14" s="2467"/>
      <c r="M14" s="2480"/>
      <c r="N14" s="2458"/>
      <c r="O14" s="2458"/>
      <c r="P14" s="2467"/>
      <c r="Q14" s="2483"/>
      <c r="R14" s="2485"/>
      <c r="S14" s="2467"/>
      <c r="T14" s="2467"/>
      <c r="U14" s="2467"/>
      <c r="V14" s="2485"/>
      <c r="W14" s="2493"/>
      <c r="X14" s="2458"/>
      <c r="Y14" s="2481"/>
      <c r="Z14" s="2481"/>
      <c r="AA14" s="2481"/>
      <c r="AB14" s="2481"/>
      <c r="AC14" s="2481"/>
      <c r="AD14" s="2481"/>
      <c r="AE14" s="2481"/>
      <c r="AF14" s="2481"/>
      <c r="AG14" s="2481"/>
      <c r="AH14" s="2481"/>
      <c r="AI14" s="2481"/>
      <c r="AJ14" s="2481"/>
      <c r="AK14" s="2487"/>
      <c r="AL14" s="2487"/>
      <c r="AM14" s="2489"/>
    </row>
    <row r="15" spans="1:72" s="662" customFormat="1" ht="122.25" customHeight="1" x14ac:dyDescent="0.2">
      <c r="A15" s="659"/>
      <c r="B15" s="660"/>
      <c r="C15" s="661"/>
      <c r="D15" s="659"/>
      <c r="E15" s="660"/>
      <c r="F15" s="661"/>
      <c r="G15" s="1904"/>
      <c r="H15" s="2461"/>
      <c r="I15" s="2462"/>
      <c r="J15" s="663">
        <v>114</v>
      </c>
      <c r="K15" s="664" t="s">
        <v>678</v>
      </c>
      <c r="L15" s="665" t="s">
        <v>679</v>
      </c>
      <c r="M15" s="2466"/>
      <c r="N15" s="666" t="s">
        <v>680</v>
      </c>
      <c r="O15" s="1903">
        <v>46</v>
      </c>
      <c r="P15" s="1912" t="s">
        <v>681</v>
      </c>
      <c r="Q15" s="667">
        <f>V15/R15</f>
        <v>0.40999212423463044</v>
      </c>
      <c r="R15" s="2484">
        <f>SUM(V15:V17)</f>
        <v>2841761905</v>
      </c>
      <c r="S15" s="1912" t="s">
        <v>682</v>
      </c>
      <c r="T15" s="668" t="s">
        <v>683</v>
      </c>
      <c r="U15" s="669" t="s">
        <v>684</v>
      </c>
      <c r="V15" s="670">
        <f>415100000+450000000+300000000</f>
        <v>1165100000</v>
      </c>
      <c r="W15" s="671" t="s">
        <v>685</v>
      </c>
      <c r="X15" s="672" t="s">
        <v>686</v>
      </c>
      <c r="Y15" s="1928">
        <v>5116</v>
      </c>
      <c r="Z15" s="1928">
        <v>20466</v>
      </c>
      <c r="AA15" s="1928">
        <v>42637.5</v>
      </c>
      <c r="AB15" s="1928">
        <v>42637.5</v>
      </c>
      <c r="AC15" s="1928">
        <v>25582.5</v>
      </c>
      <c r="AD15" s="1928">
        <v>17055</v>
      </c>
      <c r="AE15" s="1928">
        <v>8527.5</v>
      </c>
      <c r="AF15" s="1928">
        <v>8527.5</v>
      </c>
      <c r="AG15" s="1928">
        <v>0</v>
      </c>
      <c r="AH15" s="1928">
        <v>0</v>
      </c>
      <c r="AI15" s="1928">
        <v>0</v>
      </c>
      <c r="AJ15" s="1928">
        <v>0</v>
      </c>
      <c r="AK15" s="2486">
        <v>42736</v>
      </c>
      <c r="AL15" s="2486">
        <v>43100</v>
      </c>
      <c r="AM15" s="2488" t="s">
        <v>687</v>
      </c>
      <c r="AN15" s="2494"/>
      <c r="AO15" s="2494"/>
    </row>
    <row r="16" spans="1:72" s="662" customFormat="1" ht="76.5" customHeight="1" x14ac:dyDescent="0.2">
      <c r="A16" s="659"/>
      <c r="B16" s="660"/>
      <c r="C16" s="661"/>
      <c r="D16" s="659"/>
      <c r="E16" s="660"/>
      <c r="F16" s="661"/>
      <c r="G16" s="1904"/>
      <c r="H16" s="2461"/>
      <c r="I16" s="2462"/>
      <c r="J16" s="663">
        <v>115</v>
      </c>
      <c r="K16" s="1785" t="s">
        <v>1990</v>
      </c>
      <c r="L16" s="1912" t="s">
        <v>679</v>
      </c>
      <c r="M16" s="663">
        <v>35</v>
      </c>
      <c r="N16" s="666" t="s">
        <v>688</v>
      </c>
      <c r="O16" s="1904"/>
      <c r="P16" s="1913"/>
      <c r="Q16" s="667">
        <f>V16/R15</f>
        <v>0.47851682000783241</v>
      </c>
      <c r="R16" s="2490"/>
      <c r="S16" s="1913"/>
      <c r="T16" s="668" t="s">
        <v>689</v>
      </c>
      <c r="U16" s="673" t="s">
        <v>690</v>
      </c>
      <c r="V16" s="670">
        <f>1193100000-400000000+566730870</f>
        <v>1359830870</v>
      </c>
      <c r="W16" s="671">
        <v>39</v>
      </c>
      <c r="X16" s="672" t="s">
        <v>676</v>
      </c>
      <c r="Y16" s="1929"/>
      <c r="Z16" s="1929"/>
      <c r="AA16" s="1929"/>
      <c r="AB16" s="1929"/>
      <c r="AC16" s="1929"/>
      <c r="AD16" s="1929"/>
      <c r="AE16" s="1929"/>
      <c r="AF16" s="1929"/>
      <c r="AG16" s="1929"/>
      <c r="AH16" s="1929"/>
      <c r="AI16" s="1929"/>
      <c r="AJ16" s="1929"/>
      <c r="AK16" s="2495"/>
      <c r="AL16" s="2495"/>
      <c r="AM16" s="2491"/>
      <c r="AN16" s="2494"/>
      <c r="AO16" s="2494"/>
    </row>
    <row r="17" spans="1:41" s="662" customFormat="1" ht="78.75" customHeight="1" x14ac:dyDescent="0.2">
      <c r="A17" s="659"/>
      <c r="B17" s="660"/>
      <c r="C17" s="661"/>
      <c r="D17" s="659"/>
      <c r="E17" s="660"/>
      <c r="F17" s="661"/>
      <c r="G17" s="2458"/>
      <c r="H17" s="2463"/>
      <c r="I17" s="2464"/>
      <c r="J17" s="663">
        <v>116</v>
      </c>
      <c r="K17" s="668" t="s">
        <v>1991</v>
      </c>
      <c r="L17" s="2467"/>
      <c r="M17" s="663">
        <v>11</v>
      </c>
      <c r="N17" s="666" t="s">
        <v>691</v>
      </c>
      <c r="O17" s="2458"/>
      <c r="P17" s="2467"/>
      <c r="Q17" s="667">
        <f>V17/R15</f>
        <v>0.11149105575753715</v>
      </c>
      <c r="R17" s="2485"/>
      <c r="S17" s="2467"/>
      <c r="T17" s="668" t="s">
        <v>692</v>
      </c>
      <c r="U17" s="673" t="s">
        <v>693</v>
      </c>
      <c r="V17" s="670">
        <f>208620000-28620000-21380000+158211035</f>
        <v>316831035</v>
      </c>
      <c r="W17" s="671" t="s">
        <v>694</v>
      </c>
      <c r="X17" s="672" t="s">
        <v>676</v>
      </c>
      <c r="Y17" s="2481"/>
      <c r="Z17" s="2481"/>
      <c r="AA17" s="2481"/>
      <c r="AB17" s="2481"/>
      <c r="AC17" s="2481"/>
      <c r="AD17" s="2481"/>
      <c r="AE17" s="2481"/>
      <c r="AF17" s="2481"/>
      <c r="AG17" s="2481"/>
      <c r="AH17" s="2481"/>
      <c r="AI17" s="2481"/>
      <c r="AJ17" s="2481"/>
      <c r="AK17" s="2487"/>
      <c r="AL17" s="2487"/>
      <c r="AM17" s="2489"/>
      <c r="AN17" s="2494"/>
      <c r="AO17" s="2494"/>
    </row>
    <row r="18" spans="1:41" ht="15" customHeight="1" x14ac:dyDescent="0.2">
      <c r="A18" s="659"/>
      <c r="B18" s="660"/>
      <c r="C18" s="661"/>
      <c r="D18" s="659"/>
      <c r="E18" s="660"/>
      <c r="F18" s="661"/>
      <c r="G18" s="653">
        <v>30</v>
      </c>
      <c r="H18" s="2456" t="s">
        <v>695</v>
      </c>
      <c r="I18" s="2457"/>
      <c r="J18" s="2457"/>
      <c r="K18" s="2457"/>
      <c r="L18" s="654"/>
      <c r="M18" s="655"/>
      <c r="N18" s="655"/>
      <c r="O18" s="655"/>
      <c r="P18" s="654"/>
      <c r="Q18" s="655"/>
      <c r="R18" s="656"/>
      <c r="S18" s="654"/>
      <c r="T18" s="654"/>
      <c r="U18" s="654"/>
      <c r="V18" s="656"/>
      <c r="W18" s="657"/>
      <c r="X18" s="655"/>
      <c r="Y18" s="655"/>
      <c r="Z18" s="655"/>
      <c r="AA18" s="655"/>
      <c r="AB18" s="655"/>
      <c r="AC18" s="655"/>
      <c r="AD18" s="655"/>
      <c r="AE18" s="655"/>
      <c r="AF18" s="655"/>
      <c r="AG18" s="655"/>
      <c r="AH18" s="655"/>
      <c r="AI18" s="655"/>
      <c r="AJ18" s="655"/>
      <c r="AK18" s="655"/>
      <c r="AL18" s="655"/>
      <c r="AM18" s="658"/>
    </row>
    <row r="19" spans="1:41" s="662" customFormat="1" ht="39" customHeight="1" x14ac:dyDescent="0.2">
      <c r="A19" s="659"/>
      <c r="B19" s="660"/>
      <c r="C19" s="661"/>
      <c r="D19" s="659"/>
      <c r="E19" s="660"/>
      <c r="F19" s="661"/>
      <c r="G19" s="674"/>
      <c r="H19" s="2459"/>
      <c r="I19" s="2460"/>
      <c r="J19" s="2465">
        <v>117</v>
      </c>
      <c r="K19" s="1912" t="s">
        <v>1992</v>
      </c>
      <c r="L19" s="1912" t="s">
        <v>679</v>
      </c>
      <c r="M19" s="2465">
        <v>1</v>
      </c>
      <c r="N19" s="675"/>
      <c r="O19" s="1903">
        <v>47</v>
      </c>
      <c r="P19" s="1912" t="s">
        <v>696</v>
      </c>
      <c r="Q19" s="2496">
        <f>(V19+V20+V21)/R19</f>
        <v>1</v>
      </c>
      <c r="R19" s="2484">
        <f>SUM(V19)</f>
        <v>111943025</v>
      </c>
      <c r="S19" s="1912" t="s">
        <v>697</v>
      </c>
      <c r="T19" s="665" t="s">
        <v>698</v>
      </c>
      <c r="U19" s="673" t="s">
        <v>699</v>
      </c>
      <c r="V19" s="670">
        <f>111500000+443025</f>
        <v>111943025</v>
      </c>
      <c r="W19" s="671" t="s">
        <v>685</v>
      </c>
      <c r="X19" s="672" t="s">
        <v>686</v>
      </c>
      <c r="Y19" s="1928">
        <v>0</v>
      </c>
      <c r="Z19" s="1928">
        <v>0</v>
      </c>
      <c r="AA19" s="1928">
        <v>0</v>
      </c>
      <c r="AB19" s="1928">
        <v>105</v>
      </c>
      <c r="AC19" s="1928">
        <v>45</v>
      </c>
      <c r="AD19" s="1928">
        <v>0</v>
      </c>
      <c r="AE19" s="1928">
        <v>0</v>
      </c>
      <c r="AF19" s="1928">
        <v>0</v>
      </c>
      <c r="AG19" s="1928">
        <v>0</v>
      </c>
      <c r="AH19" s="1928">
        <v>0</v>
      </c>
      <c r="AI19" s="1928">
        <v>0</v>
      </c>
      <c r="AJ19" s="1928">
        <v>0</v>
      </c>
      <c r="AK19" s="2486">
        <v>42736</v>
      </c>
      <c r="AL19" s="2486">
        <v>43100</v>
      </c>
      <c r="AM19" s="2488" t="s">
        <v>687</v>
      </c>
    </row>
    <row r="20" spans="1:41" s="662" customFormat="1" ht="67.5" customHeight="1" x14ac:dyDescent="0.2">
      <c r="A20" s="659"/>
      <c r="B20" s="660"/>
      <c r="C20" s="661"/>
      <c r="D20" s="659"/>
      <c r="E20" s="660"/>
      <c r="F20" s="661"/>
      <c r="G20" s="674"/>
      <c r="H20" s="2461"/>
      <c r="I20" s="2462"/>
      <c r="J20" s="2480"/>
      <c r="K20" s="1913"/>
      <c r="L20" s="1913"/>
      <c r="M20" s="2480"/>
      <c r="N20" s="659" t="s">
        <v>700</v>
      </c>
      <c r="O20" s="1904"/>
      <c r="P20" s="1913"/>
      <c r="Q20" s="2497"/>
      <c r="R20" s="2490"/>
      <c r="S20" s="1913"/>
      <c r="T20" s="45" t="s">
        <v>701</v>
      </c>
      <c r="U20" s="673" t="s">
        <v>702</v>
      </c>
      <c r="V20" s="670">
        <v>0</v>
      </c>
      <c r="W20" s="671"/>
      <c r="X20" s="672"/>
      <c r="Y20" s="1929"/>
      <c r="Z20" s="1929"/>
      <c r="AA20" s="1929"/>
      <c r="AB20" s="1929"/>
      <c r="AC20" s="1929"/>
      <c r="AD20" s="1929"/>
      <c r="AE20" s="1929"/>
      <c r="AF20" s="1929"/>
      <c r="AG20" s="1929"/>
      <c r="AH20" s="1929"/>
      <c r="AI20" s="1929"/>
      <c r="AJ20" s="1929"/>
      <c r="AK20" s="2495"/>
      <c r="AL20" s="2495"/>
      <c r="AM20" s="2491"/>
    </row>
    <row r="21" spans="1:41" s="662" customFormat="1" ht="67.5" customHeight="1" x14ac:dyDescent="0.2">
      <c r="A21" s="659"/>
      <c r="B21" s="660"/>
      <c r="C21" s="661"/>
      <c r="D21" s="659"/>
      <c r="E21" s="660"/>
      <c r="F21" s="661"/>
      <c r="G21" s="674"/>
      <c r="H21" s="2463"/>
      <c r="I21" s="2464"/>
      <c r="J21" s="2466"/>
      <c r="K21" s="2467"/>
      <c r="L21" s="2467"/>
      <c r="M21" s="2466"/>
      <c r="N21" s="676" t="s">
        <v>703</v>
      </c>
      <c r="O21" s="2458"/>
      <c r="P21" s="2467"/>
      <c r="Q21" s="2498"/>
      <c r="R21" s="2485"/>
      <c r="S21" s="2467"/>
      <c r="T21" s="673" t="s">
        <v>704</v>
      </c>
      <c r="U21" s="673" t="s">
        <v>705</v>
      </c>
      <c r="V21" s="670">
        <v>0</v>
      </c>
      <c r="W21" s="671"/>
      <c r="X21" s="672"/>
      <c r="Y21" s="2481"/>
      <c r="Z21" s="2481"/>
      <c r="AA21" s="2481"/>
      <c r="AB21" s="2481"/>
      <c r="AC21" s="2481"/>
      <c r="AD21" s="2481"/>
      <c r="AE21" s="2481"/>
      <c r="AF21" s="2481"/>
      <c r="AG21" s="2481"/>
      <c r="AH21" s="2481"/>
      <c r="AI21" s="2481"/>
      <c r="AJ21" s="2481"/>
      <c r="AK21" s="2487"/>
      <c r="AL21" s="2487"/>
      <c r="AM21" s="2489"/>
    </row>
    <row r="22" spans="1:41" ht="27.75" customHeight="1" x14ac:dyDescent="0.2">
      <c r="A22" s="659"/>
      <c r="B22" s="660"/>
      <c r="C22" s="661"/>
      <c r="D22" s="659"/>
      <c r="E22" s="660"/>
      <c r="F22" s="661"/>
      <c r="G22" s="653">
        <v>31</v>
      </c>
      <c r="H22" s="2456" t="s">
        <v>706</v>
      </c>
      <c r="I22" s="2457"/>
      <c r="J22" s="2457"/>
      <c r="K22" s="2457"/>
      <c r="L22" s="654"/>
      <c r="M22" s="655"/>
      <c r="N22" s="655"/>
      <c r="O22" s="655"/>
      <c r="P22" s="654"/>
      <c r="Q22" s="655"/>
      <c r="R22" s="656"/>
      <c r="S22" s="654"/>
      <c r="T22" s="654"/>
      <c r="U22" s="654"/>
      <c r="V22" s="656"/>
      <c r="W22" s="657"/>
      <c r="X22" s="655"/>
      <c r="Y22" s="655"/>
      <c r="Z22" s="655"/>
      <c r="AA22" s="655"/>
      <c r="AB22" s="655"/>
      <c r="AC22" s="655"/>
      <c r="AD22" s="655"/>
      <c r="AE22" s="655"/>
      <c r="AF22" s="655"/>
      <c r="AG22" s="655"/>
      <c r="AH22" s="655"/>
      <c r="AI22" s="655"/>
      <c r="AJ22" s="655"/>
      <c r="AK22" s="655"/>
      <c r="AL22" s="655"/>
      <c r="AM22" s="658"/>
    </row>
    <row r="23" spans="1:41" s="662" customFormat="1" ht="88.5" customHeight="1" x14ac:dyDescent="0.2">
      <c r="A23" s="659"/>
      <c r="B23" s="660"/>
      <c r="C23" s="661"/>
      <c r="D23" s="659"/>
      <c r="E23" s="660"/>
      <c r="F23" s="661"/>
      <c r="G23" s="674"/>
      <c r="H23" s="2459"/>
      <c r="I23" s="2460"/>
      <c r="J23" s="2465">
        <v>118</v>
      </c>
      <c r="K23" s="2014" t="s">
        <v>1993</v>
      </c>
      <c r="L23" s="1912" t="s">
        <v>679</v>
      </c>
      <c r="M23" s="2465">
        <v>6</v>
      </c>
      <c r="N23" s="675" t="s">
        <v>707</v>
      </c>
      <c r="O23" s="1903">
        <v>48</v>
      </c>
      <c r="P23" s="2014" t="s">
        <v>708</v>
      </c>
      <c r="Q23" s="2496">
        <f>(V23+V24+V25)/R23</f>
        <v>1</v>
      </c>
      <c r="R23" s="2484">
        <f>SUM(V23:V25)</f>
        <v>230835489</v>
      </c>
      <c r="S23" s="1912" t="s">
        <v>709</v>
      </c>
      <c r="T23" s="664" t="s">
        <v>710</v>
      </c>
      <c r="U23" s="673" t="s">
        <v>711</v>
      </c>
      <c r="V23" s="670">
        <f>30000000-10000000</f>
        <v>20000000</v>
      </c>
      <c r="W23" s="671"/>
      <c r="X23" s="1903" t="s">
        <v>712</v>
      </c>
      <c r="Y23" s="1928">
        <v>2019.04</v>
      </c>
      <c r="Z23" s="1928">
        <v>40380.800000000003</v>
      </c>
      <c r="AA23" s="1928">
        <v>30285.599999999999</v>
      </c>
      <c r="AB23" s="1928">
        <v>10095.200000000001</v>
      </c>
      <c r="AC23" s="1928">
        <v>10095.200000000001</v>
      </c>
      <c r="AD23" s="1928">
        <v>8076.16</v>
      </c>
      <c r="AE23" s="1928">
        <v>0</v>
      </c>
      <c r="AF23" s="1928">
        <v>0</v>
      </c>
      <c r="AG23" s="1928">
        <v>0</v>
      </c>
      <c r="AH23" s="1928">
        <v>0</v>
      </c>
      <c r="AI23" s="1928">
        <v>0</v>
      </c>
      <c r="AJ23" s="1928">
        <v>0</v>
      </c>
      <c r="AK23" s="2486">
        <v>42736</v>
      </c>
      <c r="AL23" s="2486">
        <v>43100</v>
      </c>
      <c r="AM23" s="2488" t="s">
        <v>687</v>
      </c>
      <c r="AN23" s="677"/>
    </row>
    <row r="24" spans="1:41" s="662" customFormat="1" ht="78" customHeight="1" x14ac:dyDescent="0.2">
      <c r="A24" s="659"/>
      <c r="B24" s="660"/>
      <c r="C24" s="661"/>
      <c r="D24" s="659"/>
      <c r="E24" s="660"/>
      <c r="F24" s="661"/>
      <c r="G24" s="674"/>
      <c r="H24" s="2461"/>
      <c r="I24" s="2462"/>
      <c r="J24" s="2480"/>
      <c r="K24" s="2015"/>
      <c r="L24" s="1913"/>
      <c r="M24" s="2480"/>
      <c r="N24" s="659" t="s">
        <v>713</v>
      </c>
      <c r="O24" s="1904"/>
      <c r="P24" s="2015"/>
      <c r="Q24" s="2497"/>
      <c r="R24" s="2490"/>
      <c r="S24" s="1913"/>
      <c r="T24" s="668" t="s">
        <v>714</v>
      </c>
      <c r="U24" s="673" t="s">
        <v>715</v>
      </c>
      <c r="V24" s="670">
        <f>133670000-24470000</f>
        <v>109200000</v>
      </c>
      <c r="W24" s="671">
        <v>34</v>
      </c>
      <c r="X24" s="1904"/>
      <c r="Y24" s="1929"/>
      <c r="Z24" s="1929"/>
      <c r="AA24" s="1929"/>
      <c r="AB24" s="1929"/>
      <c r="AC24" s="1929"/>
      <c r="AD24" s="1929"/>
      <c r="AE24" s="1929"/>
      <c r="AF24" s="1929"/>
      <c r="AG24" s="1929"/>
      <c r="AH24" s="1929"/>
      <c r="AI24" s="1929"/>
      <c r="AJ24" s="1929"/>
      <c r="AK24" s="2495"/>
      <c r="AL24" s="2495"/>
      <c r="AM24" s="2491"/>
    </row>
    <row r="25" spans="1:41" s="662" customFormat="1" ht="72" customHeight="1" x14ac:dyDescent="0.2">
      <c r="A25" s="659"/>
      <c r="B25" s="660"/>
      <c r="C25" s="661"/>
      <c r="D25" s="659"/>
      <c r="E25" s="660"/>
      <c r="F25" s="661"/>
      <c r="G25" s="674"/>
      <c r="H25" s="2463"/>
      <c r="I25" s="2464"/>
      <c r="J25" s="2466"/>
      <c r="K25" s="2016"/>
      <c r="L25" s="2467"/>
      <c r="M25" s="2466"/>
      <c r="N25" s="676"/>
      <c r="O25" s="2458"/>
      <c r="P25" s="2016"/>
      <c r="Q25" s="2498"/>
      <c r="R25" s="2485"/>
      <c r="S25" s="2467"/>
      <c r="T25" s="669" t="s">
        <v>716</v>
      </c>
      <c r="U25" s="673" t="s">
        <v>717</v>
      </c>
      <c r="V25" s="670">
        <f>67165489+548000+33922000</f>
        <v>101635489</v>
      </c>
      <c r="W25" s="671">
        <v>83</v>
      </c>
      <c r="X25" s="2458"/>
      <c r="Y25" s="2481"/>
      <c r="Z25" s="2481"/>
      <c r="AA25" s="2481"/>
      <c r="AB25" s="2481"/>
      <c r="AC25" s="2481"/>
      <c r="AD25" s="2481"/>
      <c r="AE25" s="2481"/>
      <c r="AF25" s="2481"/>
      <c r="AG25" s="2481"/>
      <c r="AH25" s="2481"/>
      <c r="AI25" s="2481"/>
      <c r="AJ25" s="2481"/>
      <c r="AK25" s="2487"/>
      <c r="AL25" s="2487"/>
      <c r="AM25" s="2489"/>
    </row>
    <row r="26" spans="1:41" s="637" customFormat="1" ht="15" customHeight="1" x14ac:dyDescent="0.25">
      <c r="A26" s="638"/>
      <c r="B26" s="639"/>
      <c r="C26" s="640"/>
      <c r="D26" s="641">
        <v>10</v>
      </c>
      <c r="E26" s="2454" t="s">
        <v>718</v>
      </c>
      <c r="F26" s="2455"/>
      <c r="G26" s="2455"/>
      <c r="H26" s="2455"/>
      <c r="I26" s="2455"/>
      <c r="J26" s="2455"/>
      <c r="K26" s="2455"/>
      <c r="L26" s="642"/>
      <c r="M26" s="643"/>
      <c r="N26" s="643"/>
      <c r="O26" s="643"/>
      <c r="P26" s="642"/>
      <c r="Q26" s="643"/>
      <c r="R26" s="644"/>
      <c r="S26" s="642"/>
      <c r="T26" s="642"/>
      <c r="U26" s="642"/>
      <c r="V26" s="644"/>
      <c r="W26" s="645"/>
      <c r="X26" s="643"/>
      <c r="Y26" s="643"/>
      <c r="Z26" s="643"/>
      <c r="AA26" s="643"/>
      <c r="AB26" s="643"/>
      <c r="AC26" s="643"/>
      <c r="AD26" s="643"/>
      <c r="AE26" s="643"/>
      <c r="AF26" s="643"/>
      <c r="AG26" s="643"/>
      <c r="AH26" s="643"/>
      <c r="AI26" s="643"/>
      <c r="AJ26" s="643"/>
      <c r="AK26" s="643"/>
      <c r="AL26" s="643"/>
      <c r="AM26" s="646"/>
    </row>
    <row r="27" spans="1:41" s="637" customFormat="1" ht="15" customHeight="1" x14ac:dyDescent="0.25">
      <c r="A27" s="678"/>
      <c r="B27" s="679"/>
      <c r="C27" s="679"/>
      <c r="D27" s="638"/>
      <c r="E27" s="680"/>
      <c r="F27" s="640"/>
      <c r="G27" s="653">
        <v>32</v>
      </c>
      <c r="H27" s="2456" t="s">
        <v>719</v>
      </c>
      <c r="I27" s="2457"/>
      <c r="J27" s="2457"/>
      <c r="K27" s="2457"/>
      <c r="L27" s="2457"/>
      <c r="M27" s="681"/>
      <c r="N27" s="681"/>
      <c r="O27" s="681"/>
      <c r="P27" s="682"/>
      <c r="Q27" s="681"/>
      <c r="R27" s="683"/>
      <c r="S27" s="682"/>
      <c r="T27" s="682"/>
      <c r="U27" s="682"/>
      <c r="V27" s="683"/>
      <c r="W27" s="684"/>
      <c r="X27" s="681"/>
      <c r="Y27" s="681"/>
      <c r="Z27" s="681"/>
      <c r="AA27" s="681"/>
      <c r="AB27" s="681"/>
      <c r="AC27" s="681"/>
      <c r="AD27" s="681"/>
      <c r="AE27" s="681"/>
      <c r="AF27" s="681"/>
      <c r="AG27" s="681"/>
      <c r="AH27" s="681"/>
      <c r="AI27" s="681"/>
      <c r="AJ27" s="681"/>
      <c r="AK27" s="681"/>
      <c r="AL27" s="681"/>
      <c r="AM27" s="685"/>
    </row>
    <row r="28" spans="1:41" s="662" customFormat="1" ht="76.5" customHeight="1" x14ac:dyDescent="0.2">
      <c r="A28" s="659"/>
      <c r="B28" s="660"/>
      <c r="C28" s="660"/>
      <c r="D28" s="659"/>
      <c r="E28" s="2461"/>
      <c r="F28" s="2462"/>
      <c r="G28" s="674"/>
      <c r="H28" s="2459"/>
      <c r="I28" s="2460"/>
      <c r="J28" s="2465">
        <v>119</v>
      </c>
      <c r="K28" s="1912" t="s">
        <v>1994</v>
      </c>
      <c r="L28" s="1912" t="s">
        <v>679</v>
      </c>
      <c r="M28" s="2465">
        <v>9</v>
      </c>
      <c r="N28" s="675" t="s">
        <v>720</v>
      </c>
      <c r="O28" s="1903">
        <v>49</v>
      </c>
      <c r="P28" s="1912" t="s">
        <v>721</v>
      </c>
      <c r="Q28" s="2496">
        <f>(V28+V29)/R28</f>
        <v>1</v>
      </c>
      <c r="R28" s="2484">
        <f>SUM(V28:V29)</f>
        <v>585462917</v>
      </c>
      <c r="S28" s="1912" t="s">
        <v>722</v>
      </c>
      <c r="T28" s="673" t="s">
        <v>723</v>
      </c>
      <c r="U28" s="665" t="s">
        <v>724</v>
      </c>
      <c r="V28" s="686">
        <f>380849833+154613084</f>
        <v>535462917</v>
      </c>
      <c r="W28" s="2499" t="s">
        <v>725</v>
      </c>
      <c r="X28" s="1903" t="s">
        <v>726</v>
      </c>
      <c r="Y28" s="1928">
        <v>0</v>
      </c>
      <c r="Z28" s="1928">
        <v>17055.5</v>
      </c>
      <c r="AA28" s="1928">
        <v>34111</v>
      </c>
      <c r="AB28" s="1928">
        <v>34111</v>
      </c>
      <c r="AC28" s="1928">
        <v>51166.5</v>
      </c>
      <c r="AD28" s="1928">
        <v>25583.25</v>
      </c>
      <c r="AE28" s="1928">
        <v>4263.875</v>
      </c>
      <c r="AF28" s="1928">
        <v>4263.875</v>
      </c>
      <c r="AG28" s="1928">
        <v>0</v>
      </c>
      <c r="AH28" s="1928">
        <v>0</v>
      </c>
      <c r="AI28" s="1928">
        <v>0</v>
      </c>
      <c r="AJ28" s="1928">
        <v>0</v>
      </c>
      <c r="AK28" s="2486">
        <v>42736</v>
      </c>
      <c r="AL28" s="2486">
        <v>43100</v>
      </c>
      <c r="AM28" s="2488" t="s">
        <v>687</v>
      </c>
    </row>
    <row r="29" spans="1:41" s="662" customFormat="1" ht="59.25" customHeight="1" x14ac:dyDescent="0.2">
      <c r="A29" s="659"/>
      <c r="B29" s="660"/>
      <c r="C29" s="660"/>
      <c r="D29" s="659"/>
      <c r="E29" s="2461"/>
      <c r="F29" s="2462"/>
      <c r="G29" s="674"/>
      <c r="H29" s="2463"/>
      <c r="I29" s="2464"/>
      <c r="J29" s="2466"/>
      <c r="K29" s="2467"/>
      <c r="L29" s="2467"/>
      <c r="M29" s="2466"/>
      <c r="N29" s="676" t="s">
        <v>727</v>
      </c>
      <c r="O29" s="2458"/>
      <c r="P29" s="2467"/>
      <c r="Q29" s="2498"/>
      <c r="R29" s="2485"/>
      <c r="S29" s="2467"/>
      <c r="T29" s="673" t="s">
        <v>728</v>
      </c>
      <c r="U29" s="665" t="s">
        <v>729</v>
      </c>
      <c r="V29" s="687">
        <v>50000000</v>
      </c>
      <c r="W29" s="2500"/>
      <c r="X29" s="2458"/>
      <c r="Y29" s="2481"/>
      <c r="Z29" s="2481"/>
      <c r="AA29" s="2481"/>
      <c r="AB29" s="2481"/>
      <c r="AC29" s="2481"/>
      <c r="AD29" s="2481"/>
      <c r="AE29" s="2481"/>
      <c r="AF29" s="2481"/>
      <c r="AG29" s="2481"/>
      <c r="AH29" s="2481"/>
      <c r="AI29" s="2481"/>
      <c r="AJ29" s="2481"/>
      <c r="AK29" s="2487"/>
      <c r="AL29" s="2487"/>
      <c r="AM29" s="2489"/>
    </row>
    <row r="30" spans="1:41" ht="15" customHeight="1" x14ac:dyDescent="0.2">
      <c r="A30" s="647"/>
      <c r="B30" s="648"/>
      <c r="C30" s="648"/>
      <c r="D30" s="647"/>
      <c r="E30" s="2461"/>
      <c r="F30" s="2462"/>
      <c r="G30" s="653">
        <v>32</v>
      </c>
      <c r="H30" s="2456" t="s">
        <v>719</v>
      </c>
      <c r="I30" s="2457"/>
      <c r="J30" s="2457"/>
      <c r="K30" s="2457"/>
      <c r="L30" s="2457"/>
      <c r="M30" s="655"/>
      <c r="N30" s="655"/>
      <c r="O30" s="655"/>
      <c r="P30" s="654"/>
      <c r="Q30" s="655"/>
      <c r="R30" s="656"/>
      <c r="S30" s="654"/>
      <c r="T30" s="654"/>
      <c r="U30" s="654"/>
      <c r="V30" s="656"/>
      <c r="W30" s="657"/>
      <c r="X30" s="655"/>
      <c r="Y30" s="655"/>
      <c r="Z30" s="655"/>
      <c r="AA30" s="655"/>
      <c r="AB30" s="655"/>
      <c r="AC30" s="655"/>
      <c r="AD30" s="655"/>
      <c r="AE30" s="655"/>
      <c r="AF30" s="655"/>
      <c r="AG30" s="655"/>
      <c r="AH30" s="655"/>
      <c r="AI30" s="655"/>
      <c r="AJ30" s="655"/>
      <c r="AK30" s="655"/>
      <c r="AL30" s="655"/>
      <c r="AM30" s="658"/>
    </row>
    <row r="31" spans="1:41" s="662" customFormat="1" ht="78" customHeight="1" x14ac:dyDescent="0.2">
      <c r="A31" s="659"/>
      <c r="B31" s="660"/>
      <c r="C31" s="660"/>
      <c r="D31" s="659"/>
      <c r="E31" s="2461"/>
      <c r="F31" s="2462"/>
      <c r="G31" s="674"/>
      <c r="H31" s="2459"/>
      <c r="I31" s="2460"/>
      <c r="J31" s="663">
        <v>120</v>
      </c>
      <c r="K31" s="1785" t="s">
        <v>1995</v>
      </c>
      <c r="L31" s="1912" t="s">
        <v>679</v>
      </c>
      <c r="M31" s="663">
        <v>3</v>
      </c>
      <c r="N31" s="675" t="s">
        <v>730</v>
      </c>
      <c r="O31" s="1903">
        <v>50</v>
      </c>
      <c r="P31" s="1912" t="s">
        <v>731</v>
      </c>
      <c r="Q31" s="30">
        <f>V31/R31</f>
        <v>0.33333333333333331</v>
      </c>
      <c r="R31" s="2484">
        <f>V31+V32</f>
        <v>150000000</v>
      </c>
      <c r="S31" s="1912" t="s">
        <v>732</v>
      </c>
      <c r="T31" s="668" t="s">
        <v>733</v>
      </c>
      <c r="U31" s="45" t="s">
        <v>734</v>
      </c>
      <c r="V31" s="688">
        <f>50000000</f>
        <v>50000000</v>
      </c>
      <c r="W31" s="2499" t="s">
        <v>685</v>
      </c>
      <c r="X31" s="1903" t="s">
        <v>686</v>
      </c>
      <c r="Y31" s="1928">
        <v>0</v>
      </c>
      <c r="Z31" s="1928">
        <v>85276.2</v>
      </c>
      <c r="AA31" s="1928">
        <v>85276.2</v>
      </c>
      <c r="AB31" s="1928">
        <v>85276.2</v>
      </c>
      <c r="AC31" s="1928">
        <v>14212.7</v>
      </c>
      <c r="AD31" s="1928">
        <v>14212.7</v>
      </c>
      <c r="AE31" s="1928">
        <v>0</v>
      </c>
      <c r="AF31" s="1928">
        <v>0</v>
      </c>
      <c r="AG31" s="1928">
        <v>0</v>
      </c>
      <c r="AH31" s="1928">
        <v>0</v>
      </c>
      <c r="AI31" s="1928">
        <v>0</v>
      </c>
      <c r="AJ31" s="1928">
        <v>0</v>
      </c>
      <c r="AK31" s="2486">
        <v>42736</v>
      </c>
      <c r="AL31" s="2486">
        <v>43100</v>
      </c>
      <c r="AM31" s="2488" t="s">
        <v>687</v>
      </c>
    </row>
    <row r="32" spans="1:41" ht="99" customHeight="1" x14ac:dyDescent="0.2">
      <c r="A32" s="676"/>
      <c r="B32" s="689"/>
      <c r="C32" s="689"/>
      <c r="D32" s="676"/>
      <c r="E32" s="2463"/>
      <c r="F32" s="2464"/>
      <c r="G32" s="690"/>
      <c r="H32" s="2463"/>
      <c r="I32" s="2464"/>
      <c r="J32" s="691">
        <v>121</v>
      </c>
      <c r="K32" s="1785" t="s">
        <v>1996</v>
      </c>
      <c r="L32" s="2467"/>
      <c r="M32" s="691">
        <v>4</v>
      </c>
      <c r="N32" s="676" t="s">
        <v>735</v>
      </c>
      <c r="O32" s="2458"/>
      <c r="P32" s="2467"/>
      <c r="Q32" s="30">
        <f>V32/R31</f>
        <v>0.66666666666666663</v>
      </c>
      <c r="R32" s="2485"/>
      <c r="S32" s="2467"/>
      <c r="T32" s="692" t="s">
        <v>736</v>
      </c>
      <c r="U32" s="673" t="s">
        <v>737</v>
      </c>
      <c r="V32" s="670">
        <f>50000000+50000000</f>
        <v>100000000</v>
      </c>
      <c r="W32" s="2500"/>
      <c r="X32" s="2458"/>
      <c r="Y32" s="2481"/>
      <c r="Z32" s="2481"/>
      <c r="AA32" s="2481"/>
      <c r="AB32" s="2481"/>
      <c r="AC32" s="2481"/>
      <c r="AD32" s="2481"/>
      <c r="AE32" s="2481"/>
      <c r="AF32" s="2481"/>
      <c r="AG32" s="2481"/>
      <c r="AH32" s="2481"/>
      <c r="AI32" s="2481"/>
      <c r="AJ32" s="2481"/>
      <c r="AK32" s="2487"/>
      <c r="AL32" s="2487"/>
      <c r="AM32" s="2489"/>
    </row>
    <row r="33" spans="1:62" s="50" customFormat="1" ht="15" x14ac:dyDescent="0.2">
      <c r="A33" s="693"/>
      <c r="B33" s="694"/>
      <c r="C33" s="695"/>
      <c r="D33" s="693"/>
      <c r="E33" s="694"/>
      <c r="F33" s="695"/>
      <c r="G33" s="693"/>
      <c r="H33" s="694"/>
      <c r="I33" s="695"/>
      <c r="J33" s="696"/>
      <c r="K33" s="697"/>
      <c r="L33" s="698"/>
      <c r="M33" s="699"/>
      <c r="N33" s="700"/>
      <c r="O33" s="694"/>
      <c r="P33" s="697" t="s">
        <v>98</v>
      </c>
      <c r="Q33" s="701"/>
      <c r="R33" s="702">
        <f>SUM(R13:R32)</f>
        <v>4816161827</v>
      </c>
      <c r="S33" s="697"/>
      <c r="T33" s="21"/>
      <c r="U33" s="698"/>
      <c r="V33" s="703">
        <f>SUM(V13:V32)</f>
        <v>4816161827</v>
      </c>
      <c r="W33" s="704"/>
      <c r="X33" s="699"/>
      <c r="Y33" s="705"/>
      <c r="Z33" s="706"/>
      <c r="AA33" s="705"/>
      <c r="AB33" s="705"/>
      <c r="AC33" s="705"/>
      <c r="AD33" s="705"/>
      <c r="AE33" s="705"/>
      <c r="AF33" s="705"/>
      <c r="AG33" s="705"/>
      <c r="AH33" s="705"/>
      <c r="AI33" s="705"/>
      <c r="AJ33" s="705"/>
      <c r="AK33" s="707"/>
      <c r="AL33" s="707"/>
      <c r="AM33" s="708"/>
    </row>
    <row r="36" spans="1:62" x14ac:dyDescent="0.2">
      <c r="V36" s="712">
        <v>4816161827</v>
      </c>
    </row>
    <row r="37" spans="1:62" s="725" customFormat="1" ht="15" x14ac:dyDescent="0.25">
      <c r="A37" s="279"/>
      <c r="B37" s="279"/>
      <c r="C37" s="279"/>
      <c r="D37" s="2501" t="s">
        <v>738</v>
      </c>
      <c r="E37" s="2501"/>
      <c r="F37" s="2501"/>
      <c r="G37" s="2501"/>
      <c r="H37" s="2501"/>
      <c r="I37" s="2501"/>
      <c r="J37" s="279"/>
      <c r="K37" s="278"/>
      <c r="L37" s="709"/>
      <c r="M37" s="280"/>
      <c r="N37" s="716"/>
      <c r="O37" s="279"/>
      <c r="P37" s="709"/>
      <c r="Q37" s="717"/>
      <c r="R37" s="712"/>
      <c r="S37" s="718"/>
      <c r="T37" s="709"/>
      <c r="U37" s="709"/>
      <c r="V37" s="712"/>
      <c r="W37" s="284"/>
      <c r="X37" s="719"/>
      <c r="Y37" s="719"/>
      <c r="Z37" s="720"/>
      <c r="AA37" s="278"/>
      <c r="AB37" s="84"/>
      <c r="AC37" s="86"/>
      <c r="AD37" s="84"/>
      <c r="AE37" s="86"/>
      <c r="AF37" s="84"/>
      <c r="AG37" s="86"/>
      <c r="AH37" s="84"/>
      <c r="AI37" s="86"/>
      <c r="AJ37" s="84"/>
      <c r="AK37" s="86"/>
      <c r="AL37" s="84"/>
      <c r="AM37" s="86"/>
      <c r="AN37" s="84"/>
      <c r="AO37" s="86"/>
      <c r="AP37" s="84"/>
      <c r="AQ37" s="86"/>
      <c r="AR37" s="84"/>
      <c r="AS37" s="86"/>
      <c r="AT37" s="84"/>
      <c r="AU37" s="86"/>
      <c r="AV37" s="84"/>
      <c r="AW37" s="86"/>
      <c r="AX37" s="84"/>
      <c r="AY37" s="86"/>
      <c r="AZ37" s="721"/>
      <c r="BA37" s="722"/>
      <c r="BB37" s="722"/>
      <c r="BC37" s="722"/>
      <c r="BD37" s="721"/>
      <c r="BE37" s="721"/>
      <c r="BF37" s="713"/>
      <c r="BG37" s="723"/>
      <c r="BH37" s="714"/>
      <c r="BI37" s="724"/>
      <c r="BJ37" s="715"/>
    </row>
    <row r="38" spans="1:62" s="725" customFormat="1" x14ac:dyDescent="0.2">
      <c r="A38" s="279"/>
      <c r="B38" s="279"/>
      <c r="C38" s="279"/>
      <c r="D38" s="2502" t="s">
        <v>739</v>
      </c>
      <c r="E38" s="2502"/>
      <c r="F38" s="2502"/>
      <c r="G38" s="2502"/>
      <c r="H38" s="2502"/>
      <c r="I38" s="2502"/>
      <c r="J38" s="279"/>
      <c r="K38" s="278"/>
      <c r="L38" s="709"/>
      <c r="M38" s="280"/>
      <c r="N38" s="716"/>
      <c r="O38" s="279"/>
      <c r="P38" s="709"/>
      <c r="Q38" s="717"/>
      <c r="R38" s="712"/>
      <c r="S38" s="718"/>
      <c r="T38" s="709"/>
      <c r="U38" s="709"/>
      <c r="V38" s="726"/>
      <c r="W38" s="284"/>
      <c r="X38" s="719"/>
      <c r="Y38" s="719"/>
      <c r="Z38" s="720"/>
      <c r="AA38" s="278"/>
      <c r="AB38" s="84"/>
      <c r="AC38" s="86"/>
      <c r="AD38" s="84"/>
      <c r="AE38" s="86"/>
      <c r="AF38" s="84"/>
      <c r="AG38" s="86"/>
      <c r="AH38" s="84"/>
      <c r="AI38" s="86"/>
      <c r="AJ38" s="84"/>
      <c r="AK38" s="86"/>
      <c r="AL38" s="84"/>
      <c r="AM38" s="86"/>
      <c r="AN38" s="84"/>
      <c r="AO38" s="86"/>
      <c r="AP38" s="84"/>
      <c r="AQ38" s="86"/>
      <c r="AR38" s="84"/>
      <c r="AS38" s="86"/>
      <c r="AT38" s="84"/>
      <c r="AU38" s="86"/>
      <c r="AV38" s="84"/>
      <c r="AW38" s="86"/>
      <c r="AX38" s="84"/>
      <c r="AY38" s="86"/>
      <c r="AZ38" s="721"/>
      <c r="BA38" s="727"/>
      <c r="BB38" s="727"/>
      <c r="BC38" s="722"/>
      <c r="BD38" s="721"/>
      <c r="BE38" s="721"/>
      <c r="BF38" s="713"/>
      <c r="BG38" s="723"/>
      <c r="BH38" s="714"/>
      <c r="BI38" s="724"/>
      <c r="BJ38" s="715"/>
    </row>
    <row r="39" spans="1:62" s="725" customFormat="1" x14ac:dyDescent="0.2">
      <c r="A39" s="279"/>
      <c r="B39" s="279"/>
      <c r="C39" s="279"/>
      <c r="D39" s="279"/>
      <c r="E39" s="279"/>
      <c r="F39" s="279"/>
      <c r="G39" s="279"/>
      <c r="H39" s="279"/>
      <c r="I39" s="279"/>
      <c r="J39" s="279"/>
      <c r="K39" s="278"/>
      <c r="L39" s="709"/>
      <c r="M39" s="280"/>
      <c r="N39" s="716"/>
      <c r="O39" s="279"/>
      <c r="P39" s="709"/>
      <c r="Q39" s="717"/>
      <c r="R39" s="712"/>
      <c r="S39" s="718"/>
      <c r="T39" s="709"/>
      <c r="U39" s="709"/>
      <c r="V39" s="712"/>
      <c r="W39" s="284"/>
      <c r="X39" s="719"/>
      <c r="Y39" s="719"/>
      <c r="Z39" s="720"/>
      <c r="AA39" s="278"/>
      <c r="AB39" s="84"/>
      <c r="AC39" s="86"/>
      <c r="AD39" s="84"/>
      <c r="AE39" s="86"/>
      <c r="AF39" s="84"/>
      <c r="AG39" s="86"/>
      <c r="AH39" s="84"/>
      <c r="AI39" s="86"/>
      <c r="AJ39" s="84"/>
      <c r="AK39" s="86"/>
      <c r="AL39" s="84"/>
      <c r="AM39" s="86"/>
      <c r="AN39" s="84"/>
      <c r="AO39" s="86"/>
      <c r="AP39" s="84"/>
      <c r="AQ39" s="86"/>
      <c r="AR39" s="84"/>
      <c r="AS39" s="86"/>
      <c r="AT39" s="84"/>
      <c r="AU39" s="86"/>
      <c r="AV39" s="84"/>
      <c r="AW39" s="86"/>
      <c r="AX39" s="84"/>
      <c r="AY39" s="86"/>
      <c r="AZ39" s="721"/>
      <c r="BA39" s="728"/>
      <c r="BB39" s="728"/>
      <c r="BC39" s="722"/>
      <c r="BD39" s="721"/>
      <c r="BE39" s="721"/>
      <c r="BF39" s="713"/>
      <c r="BG39" s="723"/>
      <c r="BH39" s="714"/>
      <c r="BI39" s="724"/>
      <c r="BJ39" s="715"/>
    </row>
    <row r="41" spans="1:62" x14ac:dyDescent="0.2">
      <c r="J41" s="626"/>
      <c r="K41" s="729"/>
      <c r="L41" s="729"/>
      <c r="M41" s="662"/>
      <c r="N41" s="730"/>
      <c r="O41" s="662"/>
      <c r="P41" s="729"/>
      <c r="Q41" s="731"/>
    </row>
    <row r="42" spans="1:62" ht="69" customHeight="1" x14ac:dyDescent="0.2">
      <c r="J42" s="626"/>
      <c r="K42" s="732"/>
      <c r="L42" s="729"/>
      <c r="M42" s="662"/>
      <c r="N42" s="730"/>
      <c r="O42" s="662"/>
      <c r="P42" s="729"/>
      <c r="Q42" s="731"/>
    </row>
    <row r="43" spans="1:62" x14ac:dyDescent="0.2">
      <c r="J43" s="626"/>
      <c r="K43" s="732"/>
      <c r="L43" s="729"/>
      <c r="M43" s="662"/>
      <c r="N43" s="730"/>
      <c r="O43" s="662"/>
      <c r="P43" s="729"/>
      <c r="Q43" s="731"/>
    </row>
    <row r="44" spans="1:62" ht="16.5" customHeight="1" x14ac:dyDescent="0.2">
      <c r="J44" s="626"/>
      <c r="K44" s="732"/>
      <c r="L44" s="729"/>
      <c r="M44" s="662"/>
      <c r="N44" s="730"/>
      <c r="O44" s="662"/>
      <c r="P44" s="732"/>
      <c r="Q44" s="731"/>
    </row>
    <row r="45" spans="1:62" x14ac:dyDescent="0.2">
      <c r="J45" s="626"/>
      <c r="K45" s="729"/>
      <c r="L45" s="729"/>
      <c r="M45" s="662"/>
      <c r="N45" s="730"/>
      <c r="O45" s="662"/>
      <c r="P45" s="732"/>
      <c r="Q45" s="731"/>
    </row>
    <row r="46" spans="1:62" x14ac:dyDescent="0.2">
      <c r="J46" s="626"/>
      <c r="K46" s="729"/>
      <c r="L46" s="729"/>
      <c r="M46" s="662"/>
      <c r="N46" s="730"/>
      <c r="O46" s="662"/>
      <c r="P46" s="732"/>
      <c r="Q46" s="731"/>
    </row>
    <row r="47" spans="1:62" x14ac:dyDescent="0.2">
      <c r="J47" s="626"/>
      <c r="K47" s="729"/>
      <c r="L47" s="729"/>
      <c r="M47" s="662"/>
      <c r="N47" s="730"/>
      <c r="O47" s="662"/>
      <c r="P47" s="729"/>
      <c r="Q47" s="731"/>
    </row>
    <row r="48" spans="1:62" x14ac:dyDescent="0.2">
      <c r="J48" s="626"/>
      <c r="K48" s="729"/>
      <c r="L48" s="729"/>
      <c r="M48" s="662"/>
      <c r="N48" s="730"/>
      <c r="O48" s="662"/>
      <c r="P48" s="729"/>
      <c r="Q48" s="731"/>
    </row>
    <row r="49" spans="10:17" x14ac:dyDescent="0.2">
      <c r="J49" s="626"/>
      <c r="K49" s="729"/>
      <c r="L49" s="729"/>
      <c r="M49" s="662"/>
      <c r="N49" s="730"/>
      <c r="O49" s="662"/>
      <c r="P49" s="729"/>
      <c r="Q49" s="731"/>
    </row>
  </sheetData>
  <mergeCells count="208">
    <mergeCell ref="AA31:AA32"/>
    <mergeCell ref="D37:I37"/>
    <mergeCell ref="D38:I38"/>
    <mergeCell ref="AK31:AK32"/>
    <mergeCell ref="AL31:AL32"/>
    <mergeCell ref="AM31:AM32"/>
    <mergeCell ref="AH31:AH32"/>
    <mergeCell ref="AI31:AI32"/>
    <mergeCell ref="AJ31:AJ32"/>
    <mergeCell ref="AE31:AE32"/>
    <mergeCell ref="AF31:AF32"/>
    <mergeCell ref="AI28:AI29"/>
    <mergeCell ref="AD28:AD29"/>
    <mergeCell ref="AE28:AE29"/>
    <mergeCell ref="AF28:AF29"/>
    <mergeCell ref="AM28:AM29"/>
    <mergeCell ref="H30:L30"/>
    <mergeCell ref="H31:I32"/>
    <mergeCell ref="L31:L32"/>
    <mergeCell ref="O31:O32"/>
    <mergeCell ref="P31:P32"/>
    <mergeCell ref="R31:R32"/>
    <mergeCell ref="S31:S32"/>
    <mergeCell ref="W31:W32"/>
    <mergeCell ref="AK28:AK29"/>
    <mergeCell ref="AL28:AL29"/>
    <mergeCell ref="AJ28:AJ29"/>
    <mergeCell ref="AG28:AG29"/>
    <mergeCell ref="AG31:AG32"/>
    <mergeCell ref="AB31:AB32"/>
    <mergeCell ref="AC31:AC32"/>
    <mergeCell ref="AD31:AD32"/>
    <mergeCell ref="X31:X32"/>
    <mergeCell ref="Y31:Y32"/>
    <mergeCell ref="Z31:Z32"/>
    <mergeCell ref="AA28:AA29"/>
    <mergeCell ref="AB28:AB29"/>
    <mergeCell ref="AC28:AC29"/>
    <mergeCell ref="S28:S29"/>
    <mergeCell ref="W28:W29"/>
    <mergeCell ref="X28:X29"/>
    <mergeCell ref="Y28:Y29"/>
    <mergeCell ref="Z28:Z29"/>
    <mergeCell ref="AH28:AH29"/>
    <mergeCell ref="M28:M29"/>
    <mergeCell ref="O28:O29"/>
    <mergeCell ref="P28:P29"/>
    <mergeCell ref="Q28:Q29"/>
    <mergeCell ref="R28:R29"/>
    <mergeCell ref="E26:K26"/>
    <mergeCell ref="H27:L27"/>
    <mergeCell ref="E28:F32"/>
    <mergeCell ref="H28:I29"/>
    <mergeCell ref="J28:J29"/>
    <mergeCell ref="K28:K29"/>
    <mergeCell ref="L28:L29"/>
    <mergeCell ref="AH23:AH25"/>
    <mergeCell ref="AI23:AI25"/>
    <mergeCell ref="AJ23:AJ25"/>
    <mergeCell ref="AE23:AE25"/>
    <mergeCell ref="AF23:AF25"/>
    <mergeCell ref="AG23:AG25"/>
    <mergeCell ref="AK23:AK25"/>
    <mergeCell ref="AL23:AL25"/>
    <mergeCell ref="AM23:AM25"/>
    <mergeCell ref="AB23:AB25"/>
    <mergeCell ref="AC23:AC25"/>
    <mergeCell ref="AD23:AD25"/>
    <mergeCell ref="X23:X25"/>
    <mergeCell ref="Y23:Y25"/>
    <mergeCell ref="Z23:Z25"/>
    <mergeCell ref="AA23:AA25"/>
    <mergeCell ref="Q19:Q21"/>
    <mergeCell ref="R19:R21"/>
    <mergeCell ref="S19:S21"/>
    <mergeCell ref="Y19:Y21"/>
    <mergeCell ref="H22:K22"/>
    <mergeCell ref="H23:I25"/>
    <mergeCell ref="J23:J25"/>
    <mergeCell ref="K23:K25"/>
    <mergeCell ref="L23:L25"/>
    <mergeCell ref="M23:M25"/>
    <mergeCell ref="AK19:AK21"/>
    <mergeCell ref="AI19:AI21"/>
    <mergeCell ref="AJ19:AJ21"/>
    <mergeCell ref="AF19:AF21"/>
    <mergeCell ref="AG19:AG21"/>
    <mergeCell ref="O23:O25"/>
    <mergeCell ref="P23:P25"/>
    <mergeCell ref="Q23:Q25"/>
    <mergeCell ref="R23:R25"/>
    <mergeCell ref="S23:S25"/>
    <mergeCell ref="AH19:AH21"/>
    <mergeCell ref="AC19:AC21"/>
    <mergeCell ref="AD19:AD21"/>
    <mergeCell ref="AE19:AE21"/>
    <mergeCell ref="Z19:Z21"/>
    <mergeCell ref="AA19:AA21"/>
    <mergeCell ref="AB19:AB21"/>
    <mergeCell ref="O19:O21"/>
    <mergeCell ref="H19:I21"/>
    <mergeCell ref="J19:J21"/>
    <mergeCell ref="K19:K21"/>
    <mergeCell ref="L19:L21"/>
    <mergeCell ref="M19:M21"/>
    <mergeCell ref="AN15:AN17"/>
    <mergeCell ref="AO15:AO17"/>
    <mergeCell ref="L16:L17"/>
    <mergeCell ref="H18:K18"/>
    <mergeCell ref="AK15:AK17"/>
    <mergeCell ref="AL15:AL17"/>
    <mergeCell ref="AJ15:AJ17"/>
    <mergeCell ref="AG15:AG17"/>
    <mergeCell ref="AH15:AH17"/>
    <mergeCell ref="AI15:AI17"/>
    <mergeCell ref="AM19:AM21"/>
    <mergeCell ref="AL19:AL21"/>
    <mergeCell ref="P19:P21"/>
    <mergeCell ref="AL13:AL14"/>
    <mergeCell ref="AM13:AM14"/>
    <mergeCell ref="O15:O17"/>
    <mergeCell ref="P15:P17"/>
    <mergeCell ref="R15:R17"/>
    <mergeCell ref="S15:S17"/>
    <mergeCell ref="Y15:Y17"/>
    <mergeCell ref="Z15:Z17"/>
    <mergeCell ref="AK13:AK14"/>
    <mergeCell ref="AI13:AI14"/>
    <mergeCell ref="AJ13:AJ14"/>
    <mergeCell ref="AF13:AF14"/>
    <mergeCell ref="AD15:AD17"/>
    <mergeCell ref="AE15:AE17"/>
    <mergeCell ref="AF15:AF17"/>
    <mergeCell ref="AA15:AA17"/>
    <mergeCell ref="AB15:AB17"/>
    <mergeCell ref="AC15:AC17"/>
    <mergeCell ref="AM15:AM17"/>
    <mergeCell ref="Z13:Z14"/>
    <mergeCell ref="AA13:AA14"/>
    <mergeCell ref="AB13:AB14"/>
    <mergeCell ref="W13:W14"/>
    <mergeCell ref="X13:X14"/>
    <mergeCell ref="P13:P14"/>
    <mergeCell ref="AG8:AG9"/>
    <mergeCell ref="AH8:AH9"/>
    <mergeCell ref="AI8:AI9"/>
    <mergeCell ref="AJ8:AJ9"/>
    <mergeCell ref="Y13:Y14"/>
    <mergeCell ref="AG13:AG14"/>
    <mergeCell ref="AH13:AH14"/>
    <mergeCell ref="AC13:AC14"/>
    <mergeCell ref="AD13:AD14"/>
    <mergeCell ref="AE13:AE14"/>
    <mergeCell ref="P7:P9"/>
    <mergeCell ref="Q13:Q14"/>
    <mergeCell ref="R13:R14"/>
    <mergeCell ref="S13:S14"/>
    <mergeCell ref="T13:T14"/>
    <mergeCell ref="U13:U14"/>
    <mergeCell ref="V13:V14"/>
    <mergeCell ref="B10:C10"/>
    <mergeCell ref="E11:K11"/>
    <mergeCell ref="H12:K12"/>
    <mergeCell ref="G13:G17"/>
    <mergeCell ref="H13:I17"/>
    <mergeCell ref="J13:J14"/>
    <mergeCell ref="K13:K14"/>
    <mergeCell ref="W7:W9"/>
    <mergeCell ref="X7:X9"/>
    <mergeCell ref="Q7:Q9"/>
    <mergeCell ref="R7:R9"/>
    <mergeCell ref="S7:S9"/>
    <mergeCell ref="T7:T9"/>
    <mergeCell ref="U7:U9"/>
    <mergeCell ref="V7:V9"/>
    <mergeCell ref="K7:K9"/>
    <mergeCell ref="L7:L9"/>
    <mergeCell ref="M7:M9"/>
    <mergeCell ref="N7:N9"/>
    <mergeCell ref="O7:O9"/>
    <mergeCell ref="L13:L14"/>
    <mergeCell ref="M13:M15"/>
    <mergeCell ref="N13:N14"/>
    <mergeCell ref="O13:O14"/>
    <mergeCell ref="N5:AM5"/>
    <mergeCell ref="Y6:AJ6"/>
    <mergeCell ref="A1:AK4"/>
    <mergeCell ref="A5:M6"/>
    <mergeCell ref="A7:A9"/>
    <mergeCell ref="B7:C9"/>
    <mergeCell ref="D7:D9"/>
    <mergeCell ref="E7:F9"/>
    <mergeCell ref="G7:G9"/>
    <mergeCell ref="H7:I9"/>
    <mergeCell ref="J7:J9"/>
    <mergeCell ref="AL7:AL9"/>
    <mergeCell ref="AM7:AM9"/>
    <mergeCell ref="Y8:Y9"/>
    <mergeCell ref="Z8:Z9"/>
    <mergeCell ref="AA8:AA9"/>
    <mergeCell ref="AB8:AB9"/>
    <mergeCell ref="AC8:AC9"/>
    <mergeCell ref="AD8:AD9"/>
    <mergeCell ref="AE8:AE9"/>
    <mergeCell ref="AF8:AF9"/>
    <mergeCell ref="Y7:AD7"/>
    <mergeCell ref="AE7:AJ7"/>
    <mergeCell ref="AK7:AK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F140"/>
  <sheetViews>
    <sheetView showGridLines="0" topLeftCell="S1" zoomScale="55" zoomScaleNormal="55" workbookViewId="0">
      <selection activeCell="AL6" sqref="AL6"/>
    </sheetView>
  </sheetViews>
  <sheetFormatPr baseColWidth="10" defaultColWidth="11.42578125" defaultRowHeight="12.75" x14ac:dyDescent="0.2"/>
  <cols>
    <col min="1" max="1" width="11.42578125" style="746" customWidth="1"/>
    <col min="2" max="2" width="4" style="746" customWidth="1"/>
    <col min="3" max="3" width="13.7109375" style="746" customWidth="1"/>
    <col min="4" max="4" width="11.140625" style="746" customWidth="1"/>
    <col min="5" max="5" width="7.42578125" style="746" customWidth="1"/>
    <col min="6" max="6" width="8.5703125" style="746" customWidth="1"/>
    <col min="7" max="7" width="10.5703125" style="746" customWidth="1"/>
    <col min="8" max="8" width="8.5703125" style="746" customWidth="1"/>
    <col min="9" max="9" width="10.85546875" style="746" customWidth="1"/>
    <col min="10" max="10" width="11" style="746" customWidth="1"/>
    <col min="11" max="11" width="33.7109375" style="778" customWidth="1"/>
    <col min="12" max="12" width="16.140625" style="740" customWidth="1"/>
    <col min="13" max="13" width="16.5703125" style="740" customWidth="1"/>
    <col min="14" max="14" width="34.140625" style="809" customWidth="1"/>
    <col min="15" max="15" width="18.85546875" style="740" customWidth="1"/>
    <col min="16" max="16" width="27.140625" style="778" customWidth="1"/>
    <col min="17" max="17" width="10.85546875" style="810" customWidth="1"/>
    <col min="18" max="18" width="19.7109375" style="740" customWidth="1"/>
    <col min="19" max="19" width="26.7109375" style="778" customWidth="1"/>
    <col min="20" max="20" width="40.140625" style="778" customWidth="1"/>
    <col min="21" max="21" width="43" style="787" customWidth="1"/>
    <col min="22" max="22" width="21.85546875" style="786" customWidth="1"/>
    <col min="23" max="23" width="15.7109375" style="787" customWidth="1"/>
    <col min="24" max="24" width="13.85546875" style="746" customWidth="1"/>
    <col min="25" max="25" width="11.85546875" style="746" customWidth="1"/>
    <col min="26" max="26" width="9.140625" style="746" customWidth="1"/>
    <col min="27" max="27" width="8.85546875" style="746" customWidth="1"/>
    <col min="28" max="28" width="8.5703125" style="746" customWidth="1"/>
    <col min="29" max="30" width="9.28515625" style="746" customWidth="1"/>
    <col min="31" max="31" width="12.5703125" style="746" customWidth="1"/>
    <col min="32" max="32" width="10.140625" style="746" customWidth="1"/>
    <col min="33" max="34" width="7.28515625" style="746" customWidth="1"/>
    <col min="35" max="35" width="11.5703125" style="746" customWidth="1"/>
    <col min="36" max="36" width="15.7109375" style="788" customWidth="1"/>
    <col min="37" max="37" width="19.7109375" style="814" customWidth="1"/>
    <col min="38" max="38" width="28.7109375" style="815" customWidth="1"/>
    <col min="39" max="39" width="25.5703125" style="791" customWidth="1"/>
    <col min="40" max="16384" width="11.42578125" style="746"/>
  </cols>
  <sheetData>
    <row r="1" spans="1:16360"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7"/>
      <c r="AJ1" s="1847"/>
      <c r="AK1" s="1848"/>
      <c r="AL1" s="816" t="s">
        <v>0</v>
      </c>
      <c r="AM1" s="816" t="s">
        <v>1999</v>
      </c>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row>
    <row r="2" spans="1:16360"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7"/>
      <c r="AJ2" s="1847"/>
      <c r="AK2" s="1848"/>
      <c r="AL2" s="1826" t="s">
        <v>1</v>
      </c>
      <c r="AM2" s="816" t="s">
        <v>848</v>
      </c>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row>
    <row r="3" spans="1:16360"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7"/>
      <c r="AJ3" s="1847"/>
      <c r="AK3" s="1848"/>
      <c r="AL3" s="816" t="s">
        <v>3</v>
      </c>
      <c r="AM3" s="816" t="s">
        <v>2000</v>
      </c>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row>
    <row r="4" spans="1:16360"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50"/>
      <c r="AL4" s="816" t="s">
        <v>4</v>
      </c>
      <c r="AM4" s="817" t="s">
        <v>849</v>
      </c>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row>
    <row r="5" spans="1:16360" s="84" customFormat="1" ht="27" customHeight="1" x14ac:dyDescent="0.2">
      <c r="A5" s="1851" t="s">
        <v>5</v>
      </c>
      <c r="B5" s="1851"/>
      <c r="C5" s="1851"/>
      <c r="D5" s="1851"/>
      <c r="E5" s="1851"/>
      <c r="F5" s="1851"/>
      <c r="G5" s="1851"/>
      <c r="H5" s="1851"/>
      <c r="I5" s="1851"/>
      <c r="J5" s="1851"/>
      <c r="K5" s="1851"/>
      <c r="L5" s="1851"/>
      <c r="M5" s="1851"/>
      <c r="N5" s="1853" t="s">
        <v>6</v>
      </c>
      <c r="O5" s="1853"/>
      <c r="P5" s="1853"/>
      <c r="Q5" s="1853"/>
      <c r="R5" s="1853"/>
      <c r="S5" s="1853"/>
      <c r="T5" s="1853"/>
      <c r="U5" s="1853"/>
      <c r="V5" s="1853"/>
      <c r="W5" s="1853"/>
      <c r="X5" s="1853"/>
      <c r="Y5" s="1853"/>
      <c r="Z5" s="1853"/>
      <c r="AA5" s="1853"/>
      <c r="AB5" s="1853"/>
      <c r="AC5" s="1853"/>
      <c r="AD5" s="1853"/>
      <c r="AE5" s="1853"/>
      <c r="AF5" s="1853"/>
      <c r="AG5" s="1853"/>
      <c r="AH5" s="1853"/>
      <c r="AI5" s="1853"/>
      <c r="AJ5" s="1853"/>
      <c r="AK5" s="1853"/>
      <c r="AL5" s="1853"/>
      <c r="AM5" s="1853"/>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row>
    <row r="6" spans="1:16360" s="84" customFormat="1" ht="27" customHeight="1" x14ac:dyDescent="0.2">
      <c r="A6" s="1852"/>
      <c r="B6" s="1852"/>
      <c r="C6" s="1852"/>
      <c r="D6" s="1852"/>
      <c r="E6" s="1852"/>
      <c r="F6" s="1852"/>
      <c r="G6" s="1852"/>
      <c r="H6" s="1852"/>
      <c r="I6" s="1852"/>
      <c r="J6" s="1852"/>
      <c r="K6" s="1852"/>
      <c r="L6" s="1852"/>
      <c r="M6" s="1852"/>
      <c r="N6" s="818"/>
      <c r="O6" s="819"/>
      <c r="P6" s="819"/>
      <c r="Q6" s="819"/>
      <c r="R6" s="819"/>
      <c r="S6" s="819"/>
      <c r="T6" s="819"/>
      <c r="U6" s="819"/>
      <c r="V6" s="819"/>
      <c r="W6" s="819"/>
      <c r="X6" s="819"/>
      <c r="Y6" s="1854" t="s">
        <v>7</v>
      </c>
      <c r="Z6" s="1852"/>
      <c r="AA6" s="1852"/>
      <c r="AB6" s="1852"/>
      <c r="AC6" s="1852"/>
      <c r="AD6" s="1852"/>
      <c r="AE6" s="1852"/>
      <c r="AF6" s="1852"/>
      <c r="AG6" s="1852"/>
      <c r="AH6" s="1852"/>
      <c r="AI6" s="1852"/>
      <c r="AJ6" s="1855"/>
      <c r="AK6" s="819"/>
      <c r="AL6" s="819"/>
      <c r="AM6" s="1827"/>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row>
    <row r="7" spans="1:16360" s="1" customFormat="1" ht="51.75" customHeight="1" x14ac:dyDescent="0.2">
      <c r="A7" s="2507" t="s">
        <v>8</v>
      </c>
      <c r="B7" s="2503" t="s">
        <v>9</v>
      </c>
      <c r="C7" s="2504"/>
      <c r="D7" s="2507" t="s">
        <v>8</v>
      </c>
      <c r="E7" s="2503" t="s">
        <v>10</v>
      </c>
      <c r="F7" s="2504"/>
      <c r="G7" s="2507" t="s">
        <v>8</v>
      </c>
      <c r="H7" s="2503" t="s">
        <v>11</v>
      </c>
      <c r="I7" s="2504"/>
      <c r="J7" s="2507" t="s">
        <v>8</v>
      </c>
      <c r="K7" s="2507" t="s">
        <v>12</v>
      </c>
      <c r="L7" s="2507" t="s">
        <v>13</v>
      </c>
      <c r="M7" s="2503" t="s">
        <v>14</v>
      </c>
      <c r="N7" s="2507" t="s">
        <v>15</v>
      </c>
      <c r="O7" s="2512" t="s">
        <v>16</v>
      </c>
      <c r="P7" s="2507" t="s">
        <v>6</v>
      </c>
      <c r="Q7" s="2507" t="s">
        <v>17</v>
      </c>
      <c r="R7" s="2507" t="s">
        <v>18</v>
      </c>
      <c r="S7" s="2507" t="s">
        <v>19</v>
      </c>
      <c r="T7" s="2507" t="s">
        <v>20</v>
      </c>
      <c r="U7" s="2507" t="s">
        <v>21</v>
      </c>
      <c r="V7" s="2503" t="s">
        <v>18</v>
      </c>
      <c r="W7" s="2507" t="s">
        <v>8</v>
      </c>
      <c r="X7" s="2507" t="s">
        <v>22</v>
      </c>
      <c r="Y7" s="2510" t="s">
        <v>23</v>
      </c>
      <c r="Z7" s="2511"/>
      <c r="AA7" s="2511"/>
      <c r="AB7" s="2511"/>
      <c r="AC7" s="2511"/>
      <c r="AD7" s="2511"/>
      <c r="AE7" s="2510" t="s">
        <v>24</v>
      </c>
      <c r="AF7" s="2511"/>
      <c r="AG7" s="2511"/>
      <c r="AH7" s="2511"/>
      <c r="AI7" s="2511"/>
      <c r="AJ7" s="2511"/>
      <c r="AK7" s="2553" t="s">
        <v>25</v>
      </c>
      <c r="AL7" s="2553" t="s">
        <v>26</v>
      </c>
      <c r="AM7" s="2514" t="s">
        <v>27</v>
      </c>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3"/>
      <c r="BZ7" s="733"/>
      <c r="CA7" s="733"/>
      <c r="CB7" s="733"/>
      <c r="CC7" s="733"/>
      <c r="CD7" s="733"/>
      <c r="CE7" s="733"/>
      <c r="CF7" s="733"/>
      <c r="CG7" s="733"/>
      <c r="CH7" s="733"/>
      <c r="CI7" s="733"/>
      <c r="CJ7" s="733"/>
      <c r="CK7" s="733"/>
      <c r="CL7" s="733"/>
      <c r="CM7" s="733"/>
      <c r="CN7" s="733"/>
      <c r="CO7" s="733"/>
      <c r="CP7" s="733"/>
      <c r="CQ7" s="733"/>
      <c r="CR7" s="733"/>
      <c r="CS7" s="733"/>
      <c r="CT7" s="733"/>
      <c r="CU7" s="733"/>
      <c r="CV7" s="733"/>
      <c r="CW7" s="733"/>
      <c r="CX7" s="733"/>
      <c r="CY7" s="733"/>
      <c r="CZ7" s="733"/>
      <c r="DA7" s="733"/>
      <c r="DB7" s="733"/>
      <c r="DC7" s="733"/>
      <c r="DD7" s="733"/>
      <c r="DE7" s="733"/>
      <c r="DF7" s="733"/>
      <c r="DG7" s="733"/>
      <c r="DH7" s="733"/>
      <c r="DI7" s="733"/>
      <c r="DJ7" s="733"/>
      <c r="DK7" s="733"/>
      <c r="DL7" s="733"/>
      <c r="DM7" s="733"/>
      <c r="DN7" s="733"/>
      <c r="DO7" s="733"/>
      <c r="DP7" s="733"/>
      <c r="DQ7" s="733"/>
      <c r="DR7" s="733"/>
      <c r="DS7" s="733"/>
      <c r="DT7" s="733"/>
      <c r="DU7" s="733"/>
      <c r="DV7" s="733"/>
      <c r="DW7" s="733"/>
      <c r="DX7" s="733"/>
      <c r="DY7" s="733"/>
      <c r="DZ7" s="733"/>
      <c r="EA7" s="733"/>
      <c r="EB7" s="733"/>
      <c r="EC7" s="733"/>
      <c r="ED7" s="733"/>
      <c r="EE7" s="733"/>
      <c r="EF7" s="733"/>
      <c r="EG7" s="733"/>
      <c r="EH7" s="733"/>
      <c r="EI7" s="733"/>
      <c r="EJ7" s="733"/>
      <c r="EK7" s="733"/>
      <c r="EL7" s="733"/>
      <c r="EM7" s="733"/>
      <c r="EN7" s="733"/>
      <c r="EO7" s="733"/>
      <c r="EP7" s="733"/>
      <c r="EQ7" s="733"/>
      <c r="ER7" s="733"/>
      <c r="ES7" s="733"/>
      <c r="ET7" s="733"/>
      <c r="EU7" s="733"/>
      <c r="EV7" s="733"/>
      <c r="EW7" s="733"/>
      <c r="EX7" s="733"/>
      <c r="EY7" s="733"/>
      <c r="EZ7" s="733"/>
      <c r="FA7" s="733"/>
      <c r="FB7" s="733"/>
      <c r="FC7" s="733"/>
      <c r="FD7" s="733"/>
      <c r="FE7" s="733"/>
      <c r="FF7" s="733"/>
      <c r="FG7" s="733"/>
      <c r="FH7" s="733"/>
      <c r="FI7" s="733"/>
      <c r="FJ7" s="733"/>
      <c r="FK7" s="733"/>
      <c r="FL7" s="733"/>
      <c r="FM7" s="733"/>
      <c r="FN7" s="733"/>
      <c r="FO7" s="733"/>
      <c r="FP7" s="733"/>
      <c r="FQ7" s="733"/>
      <c r="FR7" s="733"/>
      <c r="FS7" s="733"/>
      <c r="FT7" s="733"/>
      <c r="FU7" s="733"/>
      <c r="FV7" s="733"/>
      <c r="FW7" s="733"/>
      <c r="FX7" s="733"/>
      <c r="FY7" s="733"/>
      <c r="FZ7" s="733"/>
      <c r="GA7" s="733"/>
      <c r="GB7" s="733"/>
      <c r="GC7" s="733"/>
      <c r="GD7" s="733"/>
      <c r="GE7" s="733"/>
      <c r="GF7" s="733"/>
      <c r="GG7" s="733"/>
      <c r="GH7" s="733"/>
      <c r="GI7" s="733"/>
      <c r="GJ7" s="733"/>
      <c r="GK7" s="733"/>
      <c r="GL7" s="733"/>
      <c r="GM7" s="733"/>
      <c r="GN7" s="733"/>
      <c r="GO7" s="733"/>
      <c r="GP7" s="733"/>
      <c r="GQ7" s="733"/>
      <c r="GR7" s="733"/>
      <c r="GS7" s="733"/>
      <c r="GT7" s="733"/>
      <c r="GU7" s="733"/>
      <c r="GV7" s="733"/>
      <c r="GW7" s="733"/>
      <c r="GX7" s="733"/>
      <c r="GY7" s="733"/>
      <c r="GZ7" s="733"/>
      <c r="HA7" s="733"/>
      <c r="HB7" s="733"/>
      <c r="HC7" s="733"/>
      <c r="HD7" s="733"/>
      <c r="HE7" s="733"/>
      <c r="HF7" s="733"/>
      <c r="HG7" s="733"/>
      <c r="HH7" s="733"/>
      <c r="HI7" s="733"/>
      <c r="HJ7" s="733"/>
      <c r="HK7" s="733"/>
      <c r="HL7" s="733"/>
      <c r="HM7" s="733"/>
      <c r="HN7" s="733"/>
      <c r="HO7" s="733"/>
      <c r="HP7" s="733"/>
      <c r="HQ7" s="733"/>
      <c r="HR7" s="733"/>
      <c r="HS7" s="733"/>
      <c r="HT7" s="733"/>
      <c r="HU7" s="733"/>
      <c r="HV7" s="733"/>
      <c r="HW7" s="733"/>
      <c r="HX7" s="733"/>
      <c r="HY7" s="733"/>
      <c r="HZ7" s="733"/>
      <c r="IA7" s="733"/>
      <c r="IB7" s="733"/>
      <c r="IC7" s="733"/>
      <c r="ID7" s="733"/>
      <c r="IE7" s="733"/>
      <c r="IF7" s="733"/>
      <c r="IG7" s="733"/>
      <c r="IH7" s="733"/>
      <c r="II7" s="733"/>
      <c r="IJ7" s="733"/>
      <c r="IK7" s="733"/>
      <c r="IL7" s="733"/>
      <c r="IM7" s="733"/>
      <c r="IN7" s="733"/>
      <c r="IO7" s="733"/>
      <c r="IP7" s="733"/>
      <c r="IQ7" s="733"/>
      <c r="IR7" s="733"/>
      <c r="IS7" s="733"/>
      <c r="IT7" s="733"/>
      <c r="IU7" s="733"/>
      <c r="IV7" s="733"/>
      <c r="IW7" s="733"/>
      <c r="IX7" s="733"/>
      <c r="IY7" s="733"/>
      <c r="IZ7" s="733"/>
      <c r="JA7" s="733"/>
      <c r="JB7" s="733"/>
      <c r="JC7" s="733"/>
      <c r="JD7" s="733"/>
      <c r="JE7" s="733"/>
      <c r="JF7" s="733"/>
      <c r="JG7" s="733"/>
      <c r="JH7" s="733"/>
      <c r="JI7" s="733"/>
      <c r="JJ7" s="733"/>
      <c r="JK7" s="733"/>
      <c r="JL7" s="733"/>
      <c r="JM7" s="733"/>
      <c r="JN7" s="733"/>
      <c r="JO7" s="733"/>
      <c r="JP7" s="733"/>
      <c r="JQ7" s="733"/>
      <c r="JR7" s="733"/>
      <c r="JS7" s="733"/>
      <c r="JT7" s="733"/>
      <c r="JU7" s="733"/>
      <c r="JV7" s="733"/>
      <c r="JW7" s="733"/>
      <c r="JX7" s="733"/>
      <c r="JY7" s="733"/>
      <c r="JZ7" s="733"/>
      <c r="KA7" s="733"/>
      <c r="KB7" s="733"/>
      <c r="KC7" s="733"/>
      <c r="KD7" s="733"/>
      <c r="KE7" s="733"/>
      <c r="KF7" s="733"/>
      <c r="KG7" s="733"/>
      <c r="KH7" s="733"/>
      <c r="KI7" s="733"/>
      <c r="KJ7" s="733"/>
      <c r="KK7" s="733"/>
      <c r="KL7" s="733"/>
      <c r="KM7" s="733"/>
      <c r="KN7" s="733"/>
      <c r="KO7" s="733"/>
      <c r="KP7" s="733"/>
      <c r="KQ7" s="733"/>
      <c r="KR7" s="733"/>
      <c r="KS7" s="733"/>
      <c r="KT7" s="733"/>
      <c r="KU7" s="733"/>
      <c r="KV7" s="733"/>
      <c r="KW7" s="733"/>
      <c r="KX7" s="733"/>
      <c r="KY7" s="733"/>
      <c r="KZ7" s="733"/>
      <c r="LA7" s="733"/>
      <c r="LB7" s="733"/>
      <c r="LC7" s="733"/>
      <c r="LD7" s="733"/>
      <c r="LE7" s="733"/>
      <c r="LF7" s="733"/>
      <c r="LG7" s="733"/>
      <c r="LH7" s="733"/>
      <c r="LI7" s="733"/>
      <c r="LJ7" s="733"/>
      <c r="LK7" s="733"/>
      <c r="LL7" s="733"/>
      <c r="LM7" s="733"/>
      <c r="LN7" s="733"/>
      <c r="LO7" s="733"/>
      <c r="LP7" s="733"/>
      <c r="LQ7" s="733"/>
      <c r="LR7" s="733"/>
      <c r="LS7" s="733"/>
      <c r="LT7" s="733"/>
      <c r="LU7" s="733"/>
      <c r="LV7" s="733"/>
      <c r="LW7" s="733"/>
      <c r="LX7" s="733"/>
      <c r="LY7" s="733"/>
      <c r="LZ7" s="733"/>
      <c r="MA7" s="733"/>
      <c r="MB7" s="733"/>
      <c r="MC7" s="733"/>
      <c r="MD7" s="733"/>
      <c r="ME7" s="733"/>
      <c r="MF7" s="733"/>
      <c r="MG7" s="733"/>
      <c r="MH7" s="733"/>
      <c r="MI7" s="733"/>
      <c r="MJ7" s="733"/>
      <c r="MK7" s="733"/>
      <c r="ML7" s="733"/>
      <c r="MM7" s="733"/>
      <c r="MN7" s="733"/>
      <c r="MO7" s="733"/>
      <c r="MP7" s="733"/>
      <c r="MQ7" s="733"/>
      <c r="MR7" s="733"/>
      <c r="MS7" s="733"/>
      <c r="MT7" s="733"/>
      <c r="MU7" s="733"/>
      <c r="MV7" s="733"/>
      <c r="MW7" s="733"/>
      <c r="MX7" s="733"/>
      <c r="MY7" s="733"/>
      <c r="MZ7" s="733"/>
      <c r="NA7" s="733"/>
      <c r="NB7" s="733"/>
      <c r="NC7" s="733"/>
      <c r="ND7" s="733"/>
      <c r="NE7" s="733"/>
      <c r="NF7" s="733"/>
      <c r="NG7" s="733"/>
      <c r="NH7" s="733"/>
      <c r="NI7" s="733"/>
      <c r="NJ7" s="733"/>
      <c r="NK7" s="733"/>
      <c r="NL7" s="733"/>
      <c r="NM7" s="733"/>
      <c r="NN7" s="733"/>
      <c r="NO7" s="733"/>
      <c r="NP7" s="733"/>
      <c r="NQ7" s="733"/>
      <c r="NR7" s="733"/>
      <c r="NS7" s="733"/>
      <c r="NT7" s="733"/>
      <c r="NU7" s="733"/>
      <c r="NV7" s="733"/>
      <c r="NW7" s="733"/>
      <c r="NX7" s="733"/>
      <c r="NY7" s="733"/>
      <c r="NZ7" s="733"/>
      <c r="OA7" s="733"/>
      <c r="OB7" s="733"/>
      <c r="OC7" s="733"/>
      <c r="OD7" s="733"/>
      <c r="OE7" s="733"/>
      <c r="OF7" s="733"/>
      <c r="OG7" s="733"/>
      <c r="OH7" s="733"/>
      <c r="OI7" s="733"/>
      <c r="OJ7" s="733"/>
      <c r="OK7" s="733"/>
      <c r="OL7" s="733"/>
      <c r="OM7" s="733"/>
      <c r="ON7" s="733"/>
      <c r="OO7" s="733"/>
      <c r="OP7" s="733"/>
      <c r="OQ7" s="733"/>
      <c r="OR7" s="733"/>
      <c r="OS7" s="733"/>
      <c r="OT7" s="733"/>
      <c r="OU7" s="733"/>
      <c r="OV7" s="733"/>
      <c r="OW7" s="733"/>
      <c r="OX7" s="733"/>
      <c r="OY7" s="733"/>
      <c r="OZ7" s="733"/>
      <c r="PA7" s="733"/>
      <c r="PB7" s="733"/>
      <c r="PC7" s="733"/>
      <c r="PD7" s="733"/>
      <c r="PE7" s="733"/>
      <c r="PF7" s="733"/>
      <c r="PG7" s="733"/>
      <c r="PH7" s="733"/>
      <c r="PI7" s="733"/>
      <c r="PJ7" s="733"/>
      <c r="PK7" s="733"/>
      <c r="PL7" s="733"/>
      <c r="PM7" s="733"/>
      <c r="PN7" s="733"/>
      <c r="PO7" s="733"/>
      <c r="PP7" s="733"/>
      <c r="PQ7" s="733"/>
      <c r="PR7" s="733"/>
      <c r="PS7" s="733"/>
      <c r="PT7" s="733"/>
      <c r="PU7" s="733"/>
      <c r="PV7" s="733"/>
      <c r="PW7" s="733"/>
      <c r="PX7" s="733"/>
      <c r="PY7" s="733"/>
      <c r="PZ7" s="733"/>
      <c r="QA7" s="733"/>
      <c r="QB7" s="733"/>
      <c r="QC7" s="733"/>
      <c r="QD7" s="733"/>
      <c r="QE7" s="733"/>
      <c r="QF7" s="733"/>
      <c r="QG7" s="733"/>
      <c r="QH7" s="733"/>
      <c r="QI7" s="733"/>
      <c r="QJ7" s="733"/>
      <c r="QK7" s="733"/>
      <c r="QL7" s="733"/>
      <c r="QM7" s="733"/>
      <c r="QN7" s="733"/>
      <c r="QO7" s="733"/>
      <c r="QP7" s="733"/>
      <c r="QQ7" s="733"/>
      <c r="QR7" s="733"/>
      <c r="QS7" s="733"/>
      <c r="QT7" s="733"/>
      <c r="QU7" s="733"/>
      <c r="QV7" s="733"/>
      <c r="QW7" s="733"/>
      <c r="QX7" s="733"/>
      <c r="QY7" s="733"/>
      <c r="QZ7" s="733"/>
      <c r="RA7" s="733"/>
      <c r="RB7" s="733"/>
      <c r="RC7" s="733"/>
      <c r="RD7" s="733"/>
      <c r="RE7" s="733"/>
      <c r="RF7" s="733"/>
      <c r="RG7" s="733"/>
      <c r="RH7" s="733"/>
      <c r="RI7" s="733"/>
      <c r="RJ7" s="733"/>
      <c r="RK7" s="733"/>
      <c r="RL7" s="733"/>
      <c r="RM7" s="733"/>
      <c r="RN7" s="733"/>
      <c r="RO7" s="733"/>
      <c r="RP7" s="733"/>
      <c r="RQ7" s="733"/>
      <c r="RR7" s="733"/>
      <c r="RS7" s="733"/>
      <c r="RT7" s="733"/>
      <c r="RU7" s="733"/>
      <c r="RV7" s="733"/>
      <c r="RW7" s="733"/>
      <c r="RX7" s="733"/>
      <c r="RY7" s="733"/>
      <c r="RZ7" s="733"/>
      <c r="SA7" s="733"/>
      <c r="SB7" s="733"/>
      <c r="SC7" s="733"/>
      <c r="SD7" s="733"/>
      <c r="SE7" s="733"/>
      <c r="SF7" s="733"/>
      <c r="SG7" s="733"/>
      <c r="SH7" s="733"/>
      <c r="SI7" s="733"/>
      <c r="SJ7" s="733"/>
      <c r="SK7" s="733"/>
      <c r="SL7" s="733"/>
      <c r="SM7" s="733"/>
      <c r="SN7" s="733"/>
      <c r="SO7" s="733"/>
      <c r="SP7" s="733"/>
      <c r="SQ7" s="733"/>
      <c r="SR7" s="733"/>
      <c r="SS7" s="733"/>
      <c r="ST7" s="733"/>
      <c r="SU7" s="733"/>
      <c r="SV7" s="733"/>
      <c r="SW7" s="733"/>
      <c r="SX7" s="733"/>
      <c r="SY7" s="733"/>
      <c r="SZ7" s="733"/>
      <c r="TA7" s="733"/>
      <c r="TB7" s="733"/>
      <c r="TC7" s="733"/>
      <c r="TD7" s="733"/>
      <c r="TE7" s="733"/>
      <c r="TF7" s="733"/>
      <c r="TG7" s="733"/>
      <c r="TH7" s="733"/>
      <c r="TI7" s="733"/>
      <c r="TJ7" s="733"/>
      <c r="TK7" s="733"/>
      <c r="TL7" s="733"/>
      <c r="TM7" s="733"/>
      <c r="TN7" s="733"/>
      <c r="TO7" s="733"/>
      <c r="TP7" s="733"/>
      <c r="TQ7" s="733"/>
      <c r="TR7" s="733"/>
      <c r="TS7" s="733"/>
      <c r="TT7" s="733"/>
      <c r="TU7" s="733"/>
      <c r="TV7" s="733"/>
      <c r="TW7" s="733"/>
      <c r="TX7" s="733"/>
      <c r="TY7" s="733"/>
      <c r="TZ7" s="733"/>
      <c r="UA7" s="733"/>
      <c r="UB7" s="733"/>
      <c r="UC7" s="733"/>
      <c r="UD7" s="733"/>
      <c r="UE7" s="733"/>
      <c r="UF7" s="733"/>
      <c r="UG7" s="733"/>
      <c r="UH7" s="733"/>
      <c r="UI7" s="733"/>
      <c r="UJ7" s="733"/>
      <c r="UK7" s="733"/>
      <c r="UL7" s="733"/>
      <c r="UM7" s="733"/>
      <c r="UN7" s="733"/>
      <c r="UO7" s="733"/>
      <c r="UP7" s="733"/>
      <c r="UQ7" s="733"/>
      <c r="UR7" s="733"/>
      <c r="US7" s="733"/>
      <c r="UT7" s="733"/>
      <c r="UU7" s="733"/>
      <c r="UV7" s="733"/>
      <c r="UW7" s="733"/>
      <c r="UX7" s="733"/>
      <c r="UY7" s="733"/>
      <c r="UZ7" s="733"/>
      <c r="VA7" s="733"/>
      <c r="VB7" s="733"/>
      <c r="VC7" s="733"/>
      <c r="VD7" s="733"/>
      <c r="VE7" s="733"/>
      <c r="VF7" s="733"/>
      <c r="VG7" s="733"/>
      <c r="VH7" s="733"/>
      <c r="VI7" s="733"/>
      <c r="VJ7" s="733"/>
      <c r="VK7" s="733"/>
      <c r="VL7" s="733"/>
      <c r="VM7" s="733"/>
      <c r="VN7" s="733"/>
      <c r="VO7" s="733"/>
      <c r="VP7" s="733"/>
      <c r="VQ7" s="733"/>
      <c r="VR7" s="733"/>
      <c r="VS7" s="733"/>
      <c r="VT7" s="733"/>
      <c r="VU7" s="733"/>
      <c r="VV7" s="733"/>
      <c r="VW7" s="733"/>
      <c r="VX7" s="733"/>
      <c r="VY7" s="733"/>
      <c r="VZ7" s="733"/>
      <c r="WA7" s="733"/>
      <c r="WB7" s="733"/>
      <c r="WC7" s="733"/>
      <c r="WD7" s="733"/>
      <c r="WE7" s="733"/>
      <c r="WF7" s="733"/>
      <c r="WG7" s="733"/>
      <c r="WH7" s="733"/>
      <c r="WI7" s="733"/>
      <c r="WJ7" s="733"/>
      <c r="WK7" s="733"/>
      <c r="WL7" s="733"/>
      <c r="WM7" s="733"/>
      <c r="WN7" s="733"/>
      <c r="WO7" s="733"/>
      <c r="WP7" s="733"/>
      <c r="WQ7" s="733"/>
      <c r="WR7" s="733"/>
      <c r="WS7" s="733"/>
      <c r="WT7" s="733"/>
      <c r="WU7" s="733"/>
      <c r="WV7" s="733"/>
      <c r="WW7" s="733"/>
      <c r="WX7" s="733"/>
      <c r="WY7" s="733"/>
      <c r="WZ7" s="733"/>
      <c r="XA7" s="733"/>
      <c r="XB7" s="733"/>
      <c r="XC7" s="733"/>
      <c r="XD7" s="733"/>
      <c r="XE7" s="733"/>
      <c r="XF7" s="733"/>
      <c r="XG7" s="733"/>
      <c r="XH7" s="733"/>
      <c r="XI7" s="733"/>
      <c r="XJ7" s="733"/>
      <c r="XK7" s="733"/>
      <c r="XL7" s="733"/>
      <c r="XM7" s="733"/>
      <c r="XN7" s="733"/>
      <c r="XO7" s="733"/>
      <c r="XP7" s="733"/>
      <c r="XQ7" s="733"/>
      <c r="XR7" s="733"/>
      <c r="XS7" s="733"/>
      <c r="XT7" s="733"/>
      <c r="XU7" s="733"/>
      <c r="XV7" s="733"/>
      <c r="XW7" s="733"/>
      <c r="XX7" s="733"/>
      <c r="XY7" s="733"/>
      <c r="XZ7" s="733"/>
      <c r="YA7" s="733"/>
      <c r="YB7" s="733"/>
      <c r="YC7" s="733"/>
      <c r="YD7" s="733"/>
      <c r="YE7" s="733"/>
      <c r="YF7" s="733"/>
      <c r="YG7" s="733"/>
      <c r="YH7" s="733"/>
      <c r="YI7" s="733"/>
      <c r="YJ7" s="733"/>
      <c r="YK7" s="733"/>
      <c r="YL7" s="733"/>
      <c r="YM7" s="733"/>
      <c r="YN7" s="733"/>
      <c r="YO7" s="733"/>
      <c r="YP7" s="733"/>
      <c r="YQ7" s="733"/>
      <c r="YR7" s="733"/>
      <c r="YS7" s="733"/>
      <c r="YT7" s="733"/>
      <c r="YU7" s="733"/>
      <c r="YV7" s="733"/>
      <c r="YW7" s="733"/>
      <c r="YX7" s="733"/>
      <c r="YY7" s="733"/>
      <c r="YZ7" s="733"/>
      <c r="ZA7" s="733"/>
      <c r="ZB7" s="733"/>
      <c r="ZC7" s="733"/>
      <c r="ZD7" s="733"/>
      <c r="ZE7" s="733"/>
      <c r="ZF7" s="733"/>
      <c r="ZG7" s="733"/>
      <c r="ZH7" s="733"/>
      <c r="ZI7" s="733"/>
      <c r="ZJ7" s="733"/>
      <c r="ZK7" s="733"/>
      <c r="ZL7" s="733"/>
      <c r="ZM7" s="733"/>
      <c r="ZN7" s="733"/>
      <c r="ZO7" s="733"/>
      <c r="ZP7" s="733"/>
      <c r="ZQ7" s="733"/>
      <c r="ZR7" s="733"/>
      <c r="ZS7" s="733"/>
      <c r="ZT7" s="733"/>
      <c r="ZU7" s="733"/>
      <c r="ZV7" s="733"/>
      <c r="ZW7" s="733"/>
      <c r="ZX7" s="733"/>
      <c r="ZY7" s="733"/>
      <c r="ZZ7" s="733"/>
      <c r="AAA7" s="733"/>
      <c r="AAB7" s="733"/>
      <c r="AAC7" s="733"/>
      <c r="AAD7" s="733"/>
      <c r="AAE7" s="733"/>
      <c r="AAF7" s="733"/>
      <c r="AAG7" s="733"/>
      <c r="AAH7" s="733"/>
      <c r="AAI7" s="733"/>
      <c r="AAJ7" s="733"/>
      <c r="AAK7" s="733"/>
      <c r="AAL7" s="733"/>
      <c r="AAM7" s="733"/>
      <c r="AAN7" s="733"/>
      <c r="AAO7" s="733"/>
      <c r="AAP7" s="733"/>
      <c r="AAQ7" s="733"/>
      <c r="AAR7" s="733"/>
      <c r="AAS7" s="733"/>
      <c r="AAT7" s="733"/>
      <c r="AAU7" s="733"/>
      <c r="AAV7" s="733"/>
      <c r="AAW7" s="733"/>
      <c r="AAX7" s="733"/>
      <c r="AAY7" s="733"/>
      <c r="AAZ7" s="733"/>
      <c r="ABA7" s="733"/>
      <c r="ABB7" s="733"/>
      <c r="ABC7" s="733"/>
      <c r="ABD7" s="733"/>
      <c r="ABE7" s="733"/>
      <c r="ABF7" s="733"/>
      <c r="ABG7" s="733"/>
      <c r="ABH7" s="733"/>
      <c r="ABI7" s="733"/>
      <c r="ABJ7" s="733"/>
      <c r="ABK7" s="733"/>
      <c r="ABL7" s="733"/>
      <c r="ABM7" s="733"/>
      <c r="ABN7" s="733"/>
      <c r="ABO7" s="733"/>
      <c r="ABP7" s="733"/>
      <c r="ABQ7" s="733"/>
      <c r="ABR7" s="733"/>
      <c r="ABS7" s="733"/>
      <c r="ABT7" s="733"/>
      <c r="ABU7" s="733"/>
      <c r="ABV7" s="733"/>
      <c r="ABW7" s="733"/>
      <c r="ABX7" s="733"/>
      <c r="ABY7" s="733"/>
      <c r="ABZ7" s="733"/>
      <c r="ACA7" s="733"/>
      <c r="ACB7" s="733"/>
      <c r="ACC7" s="733"/>
      <c r="ACD7" s="733"/>
      <c r="ACE7" s="733"/>
      <c r="ACF7" s="733"/>
      <c r="ACG7" s="733"/>
      <c r="ACH7" s="733"/>
      <c r="ACI7" s="733"/>
      <c r="ACJ7" s="733"/>
      <c r="ACK7" s="733"/>
      <c r="ACL7" s="733"/>
      <c r="ACM7" s="733"/>
      <c r="ACN7" s="733"/>
      <c r="ACO7" s="733"/>
      <c r="ACP7" s="733"/>
      <c r="ACQ7" s="733"/>
      <c r="ACR7" s="733"/>
      <c r="ACS7" s="733"/>
      <c r="ACT7" s="733"/>
      <c r="ACU7" s="733"/>
      <c r="ACV7" s="733"/>
      <c r="ACW7" s="733"/>
      <c r="ACX7" s="733"/>
      <c r="ACY7" s="733"/>
      <c r="ACZ7" s="733"/>
      <c r="ADA7" s="733"/>
      <c r="ADB7" s="733"/>
      <c r="ADC7" s="733"/>
      <c r="ADD7" s="733"/>
      <c r="ADE7" s="733"/>
      <c r="ADF7" s="733"/>
      <c r="ADG7" s="733"/>
      <c r="ADH7" s="733"/>
      <c r="ADI7" s="733"/>
      <c r="ADJ7" s="733"/>
      <c r="ADK7" s="733"/>
      <c r="ADL7" s="733"/>
      <c r="ADM7" s="733"/>
      <c r="ADN7" s="733"/>
      <c r="ADO7" s="733"/>
      <c r="ADP7" s="733"/>
      <c r="ADQ7" s="733"/>
      <c r="ADR7" s="733"/>
      <c r="ADS7" s="733"/>
      <c r="ADT7" s="733"/>
      <c r="ADU7" s="733"/>
      <c r="ADV7" s="733"/>
      <c r="ADW7" s="733"/>
      <c r="ADX7" s="733"/>
      <c r="ADY7" s="733"/>
      <c r="ADZ7" s="733"/>
      <c r="AEA7" s="733"/>
      <c r="AEB7" s="733"/>
      <c r="AEC7" s="733"/>
      <c r="AED7" s="733"/>
      <c r="AEE7" s="733"/>
      <c r="AEF7" s="733"/>
      <c r="AEG7" s="733"/>
      <c r="AEH7" s="733"/>
      <c r="AEI7" s="733"/>
      <c r="AEJ7" s="733"/>
      <c r="AEK7" s="733"/>
      <c r="AEL7" s="733"/>
      <c r="AEM7" s="733"/>
      <c r="AEN7" s="733"/>
      <c r="AEO7" s="733"/>
      <c r="AEP7" s="733"/>
      <c r="AEQ7" s="733"/>
      <c r="AER7" s="733"/>
      <c r="AES7" s="733"/>
      <c r="AET7" s="733"/>
      <c r="AEU7" s="733"/>
      <c r="AEV7" s="733"/>
      <c r="AEW7" s="733"/>
      <c r="AEX7" s="733"/>
      <c r="AEY7" s="733"/>
      <c r="AEZ7" s="733"/>
      <c r="AFA7" s="733"/>
      <c r="AFB7" s="733"/>
      <c r="AFC7" s="733"/>
      <c r="AFD7" s="733"/>
      <c r="AFE7" s="733"/>
      <c r="AFF7" s="733"/>
      <c r="AFG7" s="733"/>
      <c r="AFH7" s="733"/>
      <c r="AFI7" s="733"/>
      <c r="AFJ7" s="733"/>
      <c r="AFK7" s="733"/>
      <c r="AFL7" s="733"/>
      <c r="AFM7" s="733"/>
      <c r="AFN7" s="733"/>
      <c r="AFO7" s="733"/>
      <c r="AFP7" s="733"/>
      <c r="AFQ7" s="733"/>
      <c r="AFR7" s="733"/>
      <c r="AFS7" s="733"/>
      <c r="AFT7" s="733"/>
      <c r="AFU7" s="733"/>
      <c r="AFV7" s="733"/>
      <c r="AFW7" s="733"/>
      <c r="AFX7" s="733"/>
      <c r="AFY7" s="733"/>
      <c r="AFZ7" s="733"/>
      <c r="AGA7" s="733"/>
      <c r="AGB7" s="733"/>
      <c r="AGC7" s="733"/>
      <c r="AGD7" s="733"/>
      <c r="AGE7" s="733"/>
      <c r="AGF7" s="733"/>
      <c r="AGG7" s="733"/>
      <c r="AGH7" s="733"/>
      <c r="AGI7" s="733"/>
      <c r="AGJ7" s="733"/>
      <c r="AGK7" s="733"/>
      <c r="AGL7" s="733"/>
      <c r="AGM7" s="733"/>
      <c r="AGN7" s="733"/>
      <c r="AGO7" s="733"/>
      <c r="AGP7" s="733"/>
      <c r="AGQ7" s="733"/>
      <c r="AGR7" s="733"/>
      <c r="AGS7" s="733"/>
      <c r="AGT7" s="733"/>
      <c r="AGU7" s="733"/>
      <c r="AGV7" s="733"/>
      <c r="AGW7" s="733"/>
      <c r="AGX7" s="733"/>
      <c r="AGY7" s="733"/>
      <c r="AGZ7" s="733"/>
      <c r="AHA7" s="733"/>
      <c r="AHB7" s="733"/>
      <c r="AHC7" s="733"/>
      <c r="AHD7" s="733"/>
      <c r="AHE7" s="733"/>
      <c r="AHF7" s="733"/>
      <c r="AHG7" s="733"/>
      <c r="AHH7" s="733"/>
      <c r="AHI7" s="733"/>
      <c r="AHJ7" s="733"/>
      <c r="AHK7" s="733"/>
      <c r="AHL7" s="733"/>
      <c r="AHM7" s="733"/>
      <c r="AHN7" s="733"/>
      <c r="AHO7" s="733"/>
      <c r="AHP7" s="733"/>
      <c r="AHQ7" s="733"/>
      <c r="AHR7" s="733"/>
      <c r="AHS7" s="733"/>
      <c r="AHT7" s="733"/>
      <c r="AHU7" s="733"/>
      <c r="AHV7" s="733"/>
      <c r="AHW7" s="733"/>
      <c r="AHX7" s="733"/>
      <c r="AHY7" s="733"/>
      <c r="AHZ7" s="733"/>
      <c r="AIA7" s="733"/>
      <c r="AIB7" s="733"/>
      <c r="AIC7" s="733"/>
      <c r="AID7" s="733"/>
      <c r="AIE7" s="733"/>
      <c r="AIF7" s="733"/>
      <c r="AIG7" s="733"/>
      <c r="AIH7" s="733"/>
      <c r="AII7" s="733"/>
      <c r="AIJ7" s="733"/>
      <c r="AIK7" s="733"/>
      <c r="AIL7" s="733"/>
      <c r="AIM7" s="733"/>
      <c r="AIN7" s="733"/>
      <c r="AIO7" s="733"/>
      <c r="AIP7" s="733"/>
      <c r="AIQ7" s="733"/>
      <c r="AIR7" s="733"/>
      <c r="AIS7" s="733"/>
      <c r="AIT7" s="733"/>
      <c r="AIU7" s="733"/>
      <c r="AIV7" s="733"/>
      <c r="AIW7" s="733"/>
      <c r="AIX7" s="733"/>
      <c r="AIY7" s="733"/>
      <c r="AIZ7" s="733"/>
      <c r="AJA7" s="733"/>
      <c r="AJB7" s="733"/>
      <c r="AJC7" s="733"/>
      <c r="AJD7" s="733"/>
      <c r="AJE7" s="733"/>
      <c r="AJF7" s="733"/>
      <c r="AJG7" s="733"/>
      <c r="AJH7" s="733"/>
      <c r="AJI7" s="733"/>
      <c r="AJJ7" s="733"/>
      <c r="AJK7" s="733"/>
      <c r="AJL7" s="733"/>
      <c r="AJM7" s="733"/>
      <c r="AJN7" s="733"/>
      <c r="AJO7" s="733"/>
      <c r="AJP7" s="733"/>
      <c r="AJQ7" s="733"/>
      <c r="AJR7" s="733"/>
      <c r="AJS7" s="733"/>
      <c r="AJT7" s="733"/>
      <c r="AJU7" s="733"/>
      <c r="AJV7" s="733"/>
      <c r="AJW7" s="733"/>
      <c r="AJX7" s="733"/>
      <c r="AJY7" s="733"/>
      <c r="AJZ7" s="733"/>
      <c r="AKA7" s="733"/>
      <c r="AKB7" s="733"/>
      <c r="AKC7" s="733"/>
      <c r="AKD7" s="733"/>
      <c r="AKE7" s="733"/>
      <c r="AKF7" s="733"/>
      <c r="AKG7" s="733"/>
      <c r="AKH7" s="733"/>
      <c r="AKI7" s="733"/>
      <c r="AKJ7" s="733"/>
      <c r="AKK7" s="733"/>
      <c r="AKL7" s="733"/>
      <c r="AKM7" s="733"/>
      <c r="AKN7" s="733"/>
      <c r="AKO7" s="733"/>
      <c r="AKP7" s="733"/>
      <c r="AKQ7" s="733"/>
      <c r="AKR7" s="733"/>
      <c r="AKS7" s="733"/>
      <c r="AKT7" s="733"/>
      <c r="AKU7" s="733"/>
      <c r="AKV7" s="733"/>
      <c r="AKW7" s="733"/>
      <c r="AKX7" s="733"/>
      <c r="AKY7" s="733"/>
      <c r="AKZ7" s="733"/>
      <c r="ALA7" s="733"/>
      <c r="ALB7" s="733"/>
      <c r="ALC7" s="733"/>
      <c r="ALD7" s="733"/>
      <c r="ALE7" s="733"/>
      <c r="ALF7" s="733"/>
      <c r="ALG7" s="733"/>
      <c r="ALH7" s="733"/>
      <c r="ALI7" s="733"/>
      <c r="ALJ7" s="733"/>
      <c r="ALK7" s="733"/>
      <c r="ALL7" s="733"/>
      <c r="ALM7" s="733"/>
      <c r="ALN7" s="733"/>
      <c r="ALO7" s="733"/>
      <c r="ALP7" s="733"/>
      <c r="ALQ7" s="733"/>
      <c r="ALR7" s="733"/>
      <c r="ALS7" s="733"/>
      <c r="ALT7" s="733"/>
      <c r="ALU7" s="733"/>
      <c r="ALV7" s="733"/>
      <c r="ALW7" s="733"/>
      <c r="ALX7" s="733"/>
      <c r="ALY7" s="733"/>
      <c r="ALZ7" s="733"/>
      <c r="AMA7" s="733"/>
      <c r="AMB7" s="733"/>
      <c r="AMC7" s="733"/>
      <c r="AMD7" s="733"/>
      <c r="AME7" s="733"/>
      <c r="AMF7" s="733"/>
      <c r="AMG7" s="733"/>
      <c r="AMH7" s="733"/>
      <c r="AMI7" s="733"/>
      <c r="AMJ7" s="733"/>
      <c r="AMK7" s="733"/>
      <c r="AML7" s="733"/>
      <c r="AMM7" s="733"/>
      <c r="AMN7" s="733"/>
      <c r="AMO7" s="733"/>
      <c r="AMP7" s="733"/>
      <c r="AMQ7" s="733"/>
      <c r="AMR7" s="733"/>
      <c r="AMS7" s="733"/>
      <c r="AMT7" s="733"/>
      <c r="AMU7" s="733"/>
      <c r="AMV7" s="733"/>
      <c r="AMW7" s="733"/>
      <c r="AMX7" s="733"/>
      <c r="AMY7" s="733"/>
      <c r="AMZ7" s="733"/>
      <c r="ANA7" s="733"/>
      <c r="ANB7" s="733"/>
      <c r="ANC7" s="733"/>
      <c r="AND7" s="733"/>
      <c r="ANE7" s="733"/>
      <c r="ANF7" s="733"/>
      <c r="ANG7" s="733"/>
      <c r="ANH7" s="733"/>
      <c r="ANI7" s="733"/>
      <c r="ANJ7" s="733"/>
      <c r="ANK7" s="733"/>
      <c r="ANL7" s="733"/>
      <c r="ANM7" s="733"/>
      <c r="ANN7" s="733"/>
      <c r="ANO7" s="733"/>
      <c r="ANP7" s="733"/>
      <c r="ANQ7" s="733"/>
      <c r="ANR7" s="733"/>
      <c r="ANS7" s="733"/>
      <c r="ANT7" s="733"/>
      <c r="ANU7" s="733"/>
      <c r="ANV7" s="733"/>
      <c r="ANW7" s="733"/>
      <c r="ANX7" s="733"/>
      <c r="ANY7" s="733"/>
      <c r="ANZ7" s="733"/>
      <c r="AOA7" s="733"/>
      <c r="AOB7" s="733"/>
      <c r="AOC7" s="733"/>
      <c r="AOD7" s="733"/>
      <c r="AOE7" s="733"/>
      <c r="AOF7" s="733"/>
      <c r="AOG7" s="733"/>
      <c r="AOH7" s="733"/>
      <c r="AOI7" s="733"/>
      <c r="AOJ7" s="733"/>
      <c r="AOK7" s="733"/>
      <c r="AOL7" s="733"/>
      <c r="AOM7" s="733"/>
      <c r="AON7" s="733"/>
      <c r="AOO7" s="733"/>
      <c r="AOP7" s="733"/>
      <c r="AOQ7" s="733"/>
      <c r="AOR7" s="733"/>
      <c r="AOS7" s="733"/>
      <c r="AOT7" s="733"/>
      <c r="AOU7" s="733"/>
      <c r="AOV7" s="733"/>
      <c r="AOW7" s="733"/>
      <c r="AOX7" s="733"/>
      <c r="AOY7" s="733"/>
      <c r="AOZ7" s="733"/>
      <c r="APA7" s="733"/>
      <c r="APB7" s="733"/>
      <c r="APC7" s="733"/>
      <c r="APD7" s="733"/>
      <c r="APE7" s="733"/>
      <c r="APF7" s="733"/>
      <c r="APG7" s="733"/>
      <c r="APH7" s="733"/>
      <c r="API7" s="733"/>
      <c r="APJ7" s="733"/>
      <c r="APK7" s="733"/>
      <c r="APL7" s="733"/>
      <c r="APM7" s="733"/>
      <c r="APN7" s="733"/>
      <c r="APO7" s="733"/>
      <c r="APP7" s="733"/>
      <c r="APQ7" s="733"/>
      <c r="APR7" s="733"/>
      <c r="APS7" s="733"/>
      <c r="APT7" s="733"/>
      <c r="APU7" s="733"/>
      <c r="APV7" s="733"/>
      <c r="APW7" s="733"/>
      <c r="APX7" s="733"/>
      <c r="APY7" s="733"/>
      <c r="APZ7" s="733"/>
      <c r="AQA7" s="733"/>
      <c r="AQB7" s="733"/>
      <c r="AQC7" s="733"/>
      <c r="AQD7" s="733"/>
      <c r="AQE7" s="733"/>
      <c r="AQF7" s="733"/>
      <c r="AQG7" s="733"/>
      <c r="AQH7" s="733"/>
      <c r="AQI7" s="733"/>
      <c r="AQJ7" s="733"/>
      <c r="AQK7" s="733"/>
      <c r="AQL7" s="733"/>
      <c r="AQM7" s="733"/>
      <c r="AQN7" s="733"/>
      <c r="AQO7" s="733"/>
      <c r="AQP7" s="733"/>
      <c r="AQQ7" s="733"/>
      <c r="AQR7" s="733"/>
      <c r="AQS7" s="733"/>
      <c r="AQT7" s="733"/>
      <c r="AQU7" s="733"/>
      <c r="AQV7" s="733"/>
      <c r="AQW7" s="733"/>
      <c r="AQX7" s="733"/>
      <c r="AQY7" s="733"/>
      <c r="AQZ7" s="733"/>
      <c r="ARA7" s="733"/>
      <c r="ARB7" s="733"/>
      <c r="ARC7" s="733"/>
      <c r="ARD7" s="733"/>
      <c r="ARE7" s="733"/>
      <c r="ARF7" s="733"/>
      <c r="ARG7" s="733"/>
      <c r="ARH7" s="733"/>
      <c r="ARI7" s="733"/>
      <c r="ARJ7" s="733"/>
      <c r="ARK7" s="733"/>
      <c r="ARL7" s="733"/>
      <c r="ARM7" s="733"/>
      <c r="ARN7" s="733"/>
      <c r="ARO7" s="733"/>
      <c r="ARP7" s="733"/>
      <c r="ARQ7" s="733"/>
      <c r="ARR7" s="733"/>
      <c r="ARS7" s="733"/>
      <c r="ART7" s="733"/>
      <c r="ARU7" s="733"/>
      <c r="ARV7" s="733"/>
      <c r="ARW7" s="733"/>
      <c r="ARX7" s="733"/>
      <c r="ARY7" s="733"/>
      <c r="ARZ7" s="733"/>
      <c r="ASA7" s="733"/>
      <c r="ASB7" s="733"/>
      <c r="ASC7" s="733"/>
      <c r="ASD7" s="733"/>
      <c r="ASE7" s="733"/>
      <c r="ASF7" s="733"/>
      <c r="ASG7" s="733"/>
      <c r="ASH7" s="733"/>
      <c r="ASI7" s="733"/>
      <c r="ASJ7" s="733"/>
      <c r="ASK7" s="733"/>
      <c r="ASL7" s="733"/>
      <c r="ASM7" s="733"/>
      <c r="ASN7" s="733"/>
      <c r="ASO7" s="733"/>
      <c r="ASP7" s="733"/>
      <c r="ASQ7" s="733"/>
      <c r="ASR7" s="733"/>
      <c r="ASS7" s="733"/>
      <c r="AST7" s="733"/>
      <c r="ASU7" s="733"/>
      <c r="ASV7" s="733"/>
      <c r="ASW7" s="733"/>
      <c r="ASX7" s="733"/>
      <c r="ASY7" s="733"/>
      <c r="ASZ7" s="733"/>
      <c r="ATA7" s="733"/>
      <c r="ATB7" s="733"/>
      <c r="ATC7" s="733"/>
      <c r="ATD7" s="733"/>
      <c r="ATE7" s="733"/>
      <c r="ATF7" s="733"/>
      <c r="ATG7" s="733"/>
      <c r="ATH7" s="733"/>
      <c r="ATI7" s="733"/>
      <c r="ATJ7" s="733"/>
      <c r="ATK7" s="733"/>
      <c r="ATL7" s="733"/>
      <c r="ATM7" s="733"/>
      <c r="ATN7" s="733"/>
      <c r="ATO7" s="733"/>
      <c r="ATP7" s="733"/>
      <c r="ATQ7" s="733"/>
      <c r="ATR7" s="733"/>
      <c r="ATS7" s="733"/>
      <c r="ATT7" s="733"/>
      <c r="ATU7" s="733"/>
      <c r="ATV7" s="733"/>
      <c r="ATW7" s="733"/>
      <c r="ATX7" s="733"/>
      <c r="ATY7" s="733"/>
      <c r="ATZ7" s="733"/>
      <c r="AUA7" s="733"/>
      <c r="AUB7" s="733"/>
      <c r="AUC7" s="733"/>
      <c r="AUD7" s="733"/>
      <c r="AUE7" s="733"/>
      <c r="AUF7" s="733"/>
      <c r="AUG7" s="733"/>
      <c r="AUH7" s="733"/>
      <c r="AUI7" s="733"/>
      <c r="AUJ7" s="733"/>
      <c r="AUK7" s="733"/>
      <c r="AUL7" s="733"/>
      <c r="AUM7" s="733"/>
      <c r="AUN7" s="733"/>
      <c r="AUO7" s="733"/>
      <c r="AUP7" s="733"/>
      <c r="AUQ7" s="733"/>
      <c r="AUR7" s="733"/>
      <c r="AUS7" s="733"/>
      <c r="AUT7" s="733"/>
      <c r="AUU7" s="733"/>
      <c r="AUV7" s="733"/>
      <c r="AUW7" s="733"/>
      <c r="AUX7" s="733"/>
      <c r="AUY7" s="733"/>
      <c r="AUZ7" s="733"/>
      <c r="AVA7" s="733"/>
      <c r="AVB7" s="733"/>
      <c r="AVC7" s="733"/>
      <c r="AVD7" s="733"/>
      <c r="AVE7" s="733"/>
      <c r="AVF7" s="733"/>
      <c r="AVG7" s="733"/>
      <c r="AVH7" s="733"/>
      <c r="AVI7" s="733"/>
      <c r="AVJ7" s="733"/>
      <c r="AVK7" s="733"/>
      <c r="AVL7" s="733"/>
      <c r="AVM7" s="733"/>
      <c r="AVN7" s="733"/>
      <c r="AVO7" s="733"/>
      <c r="AVP7" s="733"/>
      <c r="AVQ7" s="733"/>
      <c r="AVR7" s="733"/>
      <c r="AVS7" s="733"/>
      <c r="AVT7" s="733"/>
      <c r="AVU7" s="733"/>
      <c r="AVV7" s="733"/>
      <c r="AVW7" s="733"/>
      <c r="AVX7" s="733"/>
      <c r="AVY7" s="733"/>
      <c r="AVZ7" s="733"/>
      <c r="AWA7" s="733"/>
      <c r="AWB7" s="733"/>
      <c r="AWC7" s="733"/>
      <c r="AWD7" s="733"/>
      <c r="AWE7" s="733"/>
      <c r="AWF7" s="733"/>
      <c r="AWG7" s="733"/>
      <c r="AWH7" s="733"/>
      <c r="AWI7" s="733"/>
      <c r="AWJ7" s="733"/>
      <c r="AWK7" s="733"/>
      <c r="AWL7" s="733"/>
      <c r="AWM7" s="733"/>
      <c r="AWN7" s="733"/>
      <c r="AWO7" s="733"/>
      <c r="AWP7" s="733"/>
      <c r="AWQ7" s="733"/>
      <c r="AWR7" s="733"/>
      <c r="AWS7" s="733"/>
      <c r="AWT7" s="733"/>
      <c r="AWU7" s="733"/>
      <c r="AWV7" s="733"/>
      <c r="AWW7" s="733"/>
      <c r="AWX7" s="733"/>
      <c r="AWY7" s="733"/>
      <c r="AWZ7" s="733"/>
      <c r="AXA7" s="733"/>
      <c r="AXB7" s="733"/>
      <c r="AXC7" s="733"/>
      <c r="AXD7" s="733"/>
      <c r="AXE7" s="733"/>
      <c r="AXF7" s="733"/>
      <c r="AXG7" s="733"/>
      <c r="AXH7" s="733"/>
      <c r="AXI7" s="733"/>
      <c r="AXJ7" s="733"/>
      <c r="AXK7" s="733"/>
      <c r="AXL7" s="733"/>
      <c r="AXM7" s="733"/>
      <c r="AXN7" s="733"/>
      <c r="AXO7" s="733"/>
      <c r="AXP7" s="733"/>
      <c r="AXQ7" s="733"/>
      <c r="AXR7" s="733"/>
      <c r="AXS7" s="733"/>
      <c r="AXT7" s="733"/>
      <c r="AXU7" s="733"/>
      <c r="AXV7" s="733"/>
      <c r="AXW7" s="733"/>
      <c r="AXX7" s="733"/>
      <c r="AXY7" s="733"/>
      <c r="AXZ7" s="733"/>
      <c r="AYA7" s="733"/>
      <c r="AYB7" s="733"/>
      <c r="AYC7" s="733"/>
      <c r="AYD7" s="733"/>
      <c r="AYE7" s="733"/>
      <c r="AYF7" s="733"/>
      <c r="AYG7" s="733"/>
      <c r="AYH7" s="733"/>
      <c r="AYI7" s="733"/>
      <c r="AYJ7" s="733"/>
      <c r="AYK7" s="733"/>
      <c r="AYL7" s="733"/>
      <c r="AYM7" s="733"/>
      <c r="AYN7" s="733"/>
      <c r="AYO7" s="733"/>
      <c r="AYP7" s="733"/>
      <c r="AYQ7" s="733"/>
      <c r="AYR7" s="733"/>
      <c r="AYS7" s="733"/>
      <c r="AYT7" s="733"/>
      <c r="AYU7" s="733"/>
      <c r="AYV7" s="733"/>
      <c r="AYW7" s="733"/>
      <c r="AYX7" s="733"/>
      <c r="AYY7" s="733"/>
      <c r="AYZ7" s="733"/>
      <c r="AZA7" s="733"/>
      <c r="AZB7" s="733"/>
      <c r="AZC7" s="733"/>
      <c r="AZD7" s="733"/>
      <c r="AZE7" s="733"/>
      <c r="AZF7" s="733"/>
      <c r="AZG7" s="733"/>
      <c r="AZH7" s="733"/>
      <c r="AZI7" s="733"/>
      <c r="AZJ7" s="733"/>
      <c r="AZK7" s="733"/>
      <c r="AZL7" s="733"/>
      <c r="AZM7" s="733"/>
      <c r="AZN7" s="733"/>
      <c r="AZO7" s="733"/>
      <c r="AZP7" s="733"/>
      <c r="AZQ7" s="733"/>
      <c r="AZR7" s="733"/>
      <c r="AZS7" s="733"/>
      <c r="AZT7" s="733"/>
      <c r="AZU7" s="733"/>
      <c r="AZV7" s="733"/>
      <c r="AZW7" s="733"/>
      <c r="AZX7" s="733"/>
      <c r="AZY7" s="733"/>
      <c r="AZZ7" s="733"/>
      <c r="BAA7" s="733"/>
      <c r="BAB7" s="733"/>
      <c r="BAC7" s="733"/>
      <c r="BAD7" s="733"/>
      <c r="BAE7" s="733"/>
      <c r="BAF7" s="733"/>
      <c r="BAG7" s="733"/>
      <c r="BAH7" s="733"/>
      <c r="BAI7" s="733"/>
      <c r="BAJ7" s="733"/>
      <c r="BAK7" s="733"/>
      <c r="BAL7" s="733"/>
      <c r="BAM7" s="733"/>
      <c r="BAN7" s="733"/>
      <c r="BAO7" s="733"/>
      <c r="BAP7" s="733"/>
      <c r="BAQ7" s="733"/>
      <c r="BAR7" s="733"/>
      <c r="BAS7" s="733"/>
      <c r="BAT7" s="733"/>
      <c r="BAU7" s="733"/>
      <c r="BAV7" s="733"/>
      <c r="BAW7" s="733"/>
      <c r="BAX7" s="733"/>
      <c r="BAY7" s="733"/>
      <c r="BAZ7" s="733"/>
      <c r="BBA7" s="733"/>
      <c r="BBB7" s="733"/>
      <c r="BBC7" s="733"/>
      <c r="BBD7" s="733"/>
      <c r="BBE7" s="733"/>
      <c r="BBF7" s="733"/>
      <c r="BBG7" s="733"/>
      <c r="BBH7" s="733"/>
      <c r="BBI7" s="733"/>
      <c r="BBJ7" s="733"/>
      <c r="BBK7" s="733"/>
      <c r="BBL7" s="733"/>
      <c r="BBM7" s="733"/>
      <c r="BBN7" s="733"/>
      <c r="BBO7" s="733"/>
      <c r="BBP7" s="733"/>
      <c r="BBQ7" s="733"/>
      <c r="BBR7" s="733"/>
      <c r="BBS7" s="733"/>
      <c r="BBT7" s="733"/>
      <c r="BBU7" s="733"/>
      <c r="BBV7" s="733"/>
      <c r="BBW7" s="733"/>
      <c r="BBX7" s="733"/>
      <c r="BBY7" s="733"/>
      <c r="BBZ7" s="733"/>
      <c r="BCA7" s="733"/>
      <c r="BCB7" s="733"/>
      <c r="BCC7" s="733"/>
      <c r="BCD7" s="733"/>
      <c r="BCE7" s="733"/>
      <c r="BCF7" s="733"/>
      <c r="BCG7" s="733"/>
      <c r="BCH7" s="733"/>
      <c r="BCI7" s="733"/>
      <c r="BCJ7" s="733"/>
      <c r="BCK7" s="733"/>
      <c r="BCL7" s="733"/>
      <c r="BCM7" s="733"/>
      <c r="BCN7" s="733"/>
      <c r="BCO7" s="733"/>
      <c r="BCP7" s="733"/>
      <c r="BCQ7" s="733"/>
      <c r="BCR7" s="733"/>
      <c r="BCS7" s="733"/>
      <c r="BCT7" s="733"/>
      <c r="BCU7" s="733"/>
      <c r="BCV7" s="733"/>
      <c r="BCW7" s="733"/>
      <c r="BCX7" s="733"/>
      <c r="BCY7" s="733"/>
      <c r="BCZ7" s="733"/>
      <c r="BDA7" s="733"/>
      <c r="BDB7" s="733"/>
      <c r="BDC7" s="733"/>
      <c r="BDD7" s="733"/>
      <c r="BDE7" s="733"/>
      <c r="BDF7" s="733"/>
      <c r="BDG7" s="733"/>
      <c r="BDH7" s="733"/>
      <c r="BDI7" s="733"/>
      <c r="BDJ7" s="733"/>
      <c r="BDK7" s="733"/>
      <c r="BDL7" s="733"/>
      <c r="BDM7" s="733"/>
      <c r="BDN7" s="733"/>
      <c r="BDO7" s="733"/>
      <c r="BDP7" s="733"/>
      <c r="BDQ7" s="733"/>
      <c r="BDR7" s="733"/>
      <c r="BDS7" s="733"/>
      <c r="BDT7" s="733"/>
      <c r="BDU7" s="733"/>
      <c r="BDV7" s="733"/>
      <c r="BDW7" s="733"/>
      <c r="BDX7" s="733"/>
      <c r="BDY7" s="733"/>
      <c r="BDZ7" s="733"/>
      <c r="BEA7" s="733"/>
      <c r="BEB7" s="733"/>
      <c r="BEC7" s="733"/>
      <c r="BED7" s="733"/>
      <c r="BEE7" s="733"/>
      <c r="BEF7" s="733"/>
      <c r="BEG7" s="733"/>
      <c r="BEH7" s="733"/>
      <c r="BEI7" s="733"/>
      <c r="BEJ7" s="733"/>
      <c r="BEK7" s="733"/>
      <c r="BEL7" s="733"/>
      <c r="BEM7" s="733"/>
      <c r="BEN7" s="733"/>
      <c r="BEO7" s="733"/>
      <c r="BEP7" s="733"/>
      <c r="BEQ7" s="733"/>
      <c r="BER7" s="733"/>
      <c r="BES7" s="733"/>
      <c r="BET7" s="733"/>
      <c r="BEU7" s="733"/>
      <c r="BEV7" s="733"/>
      <c r="BEW7" s="733"/>
      <c r="BEX7" s="733"/>
      <c r="BEY7" s="733"/>
      <c r="BEZ7" s="733"/>
      <c r="BFA7" s="733"/>
      <c r="BFB7" s="733"/>
      <c r="BFC7" s="733"/>
      <c r="BFD7" s="733"/>
      <c r="BFE7" s="733"/>
      <c r="BFF7" s="733"/>
      <c r="BFG7" s="733"/>
      <c r="BFH7" s="733"/>
      <c r="BFI7" s="733"/>
      <c r="BFJ7" s="733"/>
      <c r="BFK7" s="733"/>
      <c r="BFL7" s="733"/>
      <c r="BFM7" s="733"/>
      <c r="BFN7" s="733"/>
      <c r="BFO7" s="733"/>
      <c r="BFP7" s="733"/>
      <c r="BFQ7" s="733"/>
      <c r="BFR7" s="733"/>
      <c r="BFS7" s="733"/>
      <c r="BFT7" s="733"/>
      <c r="BFU7" s="733"/>
      <c r="BFV7" s="733"/>
      <c r="BFW7" s="733"/>
      <c r="BFX7" s="733"/>
      <c r="BFY7" s="733"/>
      <c r="BFZ7" s="733"/>
      <c r="BGA7" s="733"/>
      <c r="BGB7" s="733"/>
      <c r="BGC7" s="733"/>
      <c r="BGD7" s="733"/>
      <c r="BGE7" s="733"/>
      <c r="BGF7" s="733"/>
      <c r="BGG7" s="733"/>
      <c r="BGH7" s="733"/>
      <c r="BGI7" s="733"/>
      <c r="BGJ7" s="733"/>
      <c r="BGK7" s="733"/>
      <c r="BGL7" s="733"/>
      <c r="BGM7" s="733"/>
      <c r="BGN7" s="733"/>
      <c r="BGO7" s="733"/>
      <c r="BGP7" s="733"/>
      <c r="BGQ7" s="733"/>
      <c r="BGR7" s="733"/>
      <c r="BGS7" s="733"/>
      <c r="BGT7" s="733"/>
      <c r="BGU7" s="733"/>
      <c r="BGV7" s="733"/>
      <c r="BGW7" s="733"/>
      <c r="BGX7" s="733"/>
      <c r="BGY7" s="733"/>
      <c r="BGZ7" s="733"/>
      <c r="BHA7" s="733"/>
      <c r="BHB7" s="733"/>
      <c r="BHC7" s="733"/>
      <c r="BHD7" s="733"/>
      <c r="BHE7" s="733"/>
      <c r="BHF7" s="733"/>
      <c r="BHG7" s="733"/>
      <c r="BHH7" s="733"/>
      <c r="BHI7" s="733"/>
      <c r="BHJ7" s="733"/>
      <c r="BHK7" s="733"/>
      <c r="BHL7" s="733"/>
      <c r="BHM7" s="733"/>
      <c r="BHN7" s="733"/>
      <c r="BHO7" s="733"/>
      <c r="BHP7" s="733"/>
      <c r="BHQ7" s="733"/>
      <c r="BHR7" s="733"/>
      <c r="BHS7" s="733"/>
      <c r="BHT7" s="733"/>
      <c r="BHU7" s="733"/>
      <c r="BHV7" s="733"/>
      <c r="BHW7" s="733"/>
      <c r="BHX7" s="733"/>
      <c r="BHY7" s="733"/>
      <c r="BHZ7" s="733"/>
      <c r="BIA7" s="733"/>
      <c r="BIB7" s="733"/>
      <c r="BIC7" s="733"/>
      <c r="BID7" s="733"/>
      <c r="BIE7" s="733"/>
      <c r="BIF7" s="733"/>
      <c r="BIG7" s="733"/>
      <c r="BIH7" s="733"/>
      <c r="BII7" s="733"/>
      <c r="BIJ7" s="733"/>
      <c r="BIK7" s="733"/>
      <c r="BIL7" s="733"/>
      <c r="BIM7" s="733"/>
      <c r="BIN7" s="733"/>
      <c r="BIO7" s="733"/>
      <c r="BIP7" s="733"/>
      <c r="BIQ7" s="733"/>
      <c r="BIR7" s="733"/>
      <c r="BIS7" s="733"/>
      <c r="BIT7" s="733"/>
      <c r="BIU7" s="733"/>
      <c r="BIV7" s="733"/>
      <c r="BIW7" s="733"/>
      <c r="BIX7" s="733"/>
      <c r="BIY7" s="733"/>
      <c r="BIZ7" s="733"/>
      <c r="BJA7" s="733"/>
      <c r="BJB7" s="733"/>
      <c r="BJC7" s="733"/>
      <c r="BJD7" s="733"/>
      <c r="BJE7" s="733"/>
      <c r="BJF7" s="733"/>
      <c r="BJG7" s="733"/>
      <c r="BJH7" s="733"/>
      <c r="BJI7" s="733"/>
      <c r="BJJ7" s="733"/>
      <c r="BJK7" s="733"/>
      <c r="BJL7" s="733"/>
      <c r="BJM7" s="733"/>
      <c r="BJN7" s="733"/>
      <c r="BJO7" s="733"/>
      <c r="BJP7" s="733"/>
      <c r="BJQ7" s="733"/>
      <c r="BJR7" s="733"/>
      <c r="BJS7" s="733"/>
      <c r="BJT7" s="733"/>
      <c r="BJU7" s="733"/>
      <c r="BJV7" s="733"/>
      <c r="BJW7" s="733"/>
      <c r="BJX7" s="733"/>
      <c r="BJY7" s="733"/>
      <c r="BJZ7" s="733"/>
      <c r="BKA7" s="733"/>
      <c r="BKB7" s="733"/>
      <c r="BKC7" s="733"/>
      <c r="BKD7" s="733"/>
      <c r="BKE7" s="733"/>
      <c r="BKF7" s="733"/>
      <c r="BKG7" s="733"/>
      <c r="BKH7" s="733"/>
      <c r="BKI7" s="733"/>
      <c r="BKJ7" s="733"/>
      <c r="BKK7" s="733"/>
      <c r="BKL7" s="733"/>
      <c r="BKM7" s="733"/>
      <c r="BKN7" s="733"/>
      <c r="BKO7" s="733"/>
      <c r="BKP7" s="733"/>
      <c r="BKQ7" s="733"/>
      <c r="BKR7" s="733"/>
      <c r="BKS7" s="733"/>
      <c r="BKT7" s="733"/>
      <c r="BKU7" s="733"/>
      <c r="BKV7" s="733"/>
      <c r="BKW7" s="733"/>
      <c r="BKX7" s="733"/>
      <c r="BKY7" s="733"/>
      <c r="BKZ7" s="733"/>
      <c r="BLA7" s="733"/>
      <c r="BLB7" s="733"/>
      <c r="BLC7" s="733"/>
      <c r="BLD7" s="733"/>
      <c r="BLE7" s="733"/>
      <c r="BLF7" s="733"/>
      <c r="BLG7" s="733"/>
      <c r="BLH7" s="733"/>
      <c r="BLI7" s="733"/>
      <c r="BLJ7" s="733"/>
      <c r="BLK7" s="733"/>
      <c r="BLL7" s="733"/>
      <c r="BLM7" s="733"/>
      <c r="BLN7" s="733"/>
      <c r="BLO7" s="733"/>
      <c r="BLP7" s="733"/>
      <c r="BLQ7" s="733"/>
      <c r="BLR7" s="733"/>
      <c r="BLS7" s="733"/>
      <c r="BLT7" s="733"/>
      <c r="BLU7" s="733"/>
      <c r="BLV7" s="733"/>
      <c r="BLW7" s="733"/>
      <c r="BLX7" s="733"/>
      <c r="BLY7" s="733"/>
      <c r="BLZ7" s="733"/>
      <c r="BMA7" s="733"/>
      <c r="BMB7" s="733"/>
      <c r="BMC7" s="733"/>
      <c r="BMD7" s="733"/>
      <c r="BME7" s="733"/>
      <c r="BMF7" s="733"/>
      <c r="BMG7" s="733"/>
      <c r="BMH7" s="733"/>
      <c r="BMI7" s="733"/>
      <c r="BMJ7" s="733"/>
      <c r="BMK7" s="733"/>
      <c r="BML7" s="733"/>
      <c r="BMM7" s="733"/>
      <c r="BMN7" s="733"/>
      <c r="BMO7" s="733"/>
      <c r="BMP7" s="733"/>
      <c r="BMQ7" s="733"/>
      <c r="BMR7" s="733"/>
      <c r="BMS7" s="733"/>
      <c r="BMT7" s="733"/>
      <c r="BMU7" s="733"/>
      <c r="BMV7" s="733"/>
      <c r="BMW7" s="733"/>
      <c r="BMX7" s="733"/>
      <c r="BMY7" s="733"/>
      <c r="BMZ7" s="733"/>
      <c r="BNA7" s="733"/>
      <c r="BNB7" s="733"/>
      <c r="BNC7" s="733"/>
      <c r="BND7" s="733"/>
      <c r="BNE7" s="733"/>
      <c r="BNF7" s="733"/>
      <c r="BNG7" s="733"/>
      <c r="BNH7" s="733"/>
      <c r="BNI7" s="733"/>
      <c r="BNJ7" s="733"/>
      <c r="BNK7" s="733"/>
      <c r="BNL7" s="733"/>
      <c r="BNM7" s="733"/>
      <c r="BNN7" s="733"/>
      <c r="BNO7" s="733"/>
      <c r="BNP7" s="733"/>
      <c r="BNQ7" s="733"/>
      <c r="BNR7" s="733"/>
      <c r="BNS7" s="733"/>
      <c r="BNT7" s="733"/>
      <c r="BNU7" s="733"/>
      <c r="BNV7" s="733"/>
      <c r="BNW7" s="733"/>
      <c r="BNX7" s="733"/>
      <c r="BNY7" s="733"/>
      <c r="BNZ7" s="733"/>
      <c r="BOA7" s="733"/>
      <c r="BOB7" s="733"/>
      <c r="BOC7" s="733"/>
      <c r="BOD7" s="733"/>
      <c r="BOE7" s="733"/>
      <c r="BOF7" s="733"/>
      <c r="BOG7" s="733"/>
      <c r="BOH7" s="733"/>
      <c r="BOI7" s="733"/>
      <c r="BOJ7" s="733"/>
      <c r="BOK7" s="733"/>
      <c r="BOL7" s="733"/>
      <c r="BOM7" s="733"/>
      <c r="BON7" s="733"/>
      <c r="BOO7" s="733"/>
      <c r="BOP7" s="733"/>
      <c r="BOQ7" s="733"/>
      <c r="BOR7" s="733"/>
      <c r="BOS7" s="733"/>
      <c r="BOT7" s="733"/>
      <c r="BOU7" s="733"/>
      <c r="BOV7" s="733"/>
      <c r="BOW7" s="733"/>
      <c r="BOX7" s="733"/>
      <c r="BOY7" s="733"/>
      <c r="BOZ7" s="733"/>
      <c r="BPA7" s="733"/>
      <c r="BPB7" s="733"/>
      <c r="BPC7" s="733"/>
      <c r="BPD7" s="733"/>
      <c r="BPE7" s="733"/>
      <c r="BPF7" s="733"/>
      <c r="BPG7" s="733"/>
      <c r="BPH7" s="733"/>
      <c r="BPI7" s="733"/>
      <c r="BPJ7" s="733"/>
      <c r="BPK7" s="733"/>
      <c r="BPL7" s="733"/>
      <c r="BPM7" s="733"/>
      <c r="BPN7" s="733"/>
      <c r="BPO7" s="733"/>
      <c r="BPP7" s="733"/>
      <c r="BPQ7" s="733"/>
      <c r="BPR7" s="733"/>
      <c r="BPS7" s="733"/>
      <c r="BPT7" s="733"/>
      <c r="BPU7" s="733"/>
      <c r="BPV7" s="733"/>
      <c r="BPW7" s="733"/>
      <c r="BPX7" s="733"/>
      <c r="BPY7" s="733"/>
      <c r="BPZ7" s="733"/>
      <c r="BQA7" s="733"/>
      <c r="BQB7" s="733"/>
      <c r="BQC7" s="733"/>
      <c r="BQD7" s="733"/>
      <c r="BQE7" s="733"/>
      <c r="BQF7" s="733"/>
      <c r="BQG7" s="733"/>
      <c r="BQH7" s="733"/>
      <c r="BQI7" s="733"/>
      <c r="BQJ7" s="733"/>
      <c r="BQK7" s="733"/>
      <c r="BQL7" s="733"/>
      <c r="BQM7" s="733"/>
      <c r="BQN7" s="733"/>
      <c r="BQO7" s="733"/>
      <c r="BQP7" s="733"/>
      <c r="BQQ7" s="733"/>
      <c r="BQR7" s="733"/>
      <c r="BQS7" s="733"/>
      <c r="BQT7" s="733"/>
      <c r="BQU7" s="733"/>
      <c r="BQV7" s="733"/>
      <c r="BQW7" s="733"/>
      <c r="BQX7" s="733"/>
      <c r="BQY7" s="733"/>
      <c r="BQZ7" s="733"/>
      <c r="BRA7" s="733"/>
      <c r="BRB7" s="733"/>
      <c r="BRC7" s="733"/>
      <c r="BRD7" s="733"/>
      <c r="BRE7" s="733"/>
      <c r="BRF7" s="733"/>
      <c r="BRG7" s="733"/>
      <c r="BRH7" s="733"/>
      <c r="BRI7" s="733"/>
      <c r="BRJ7" s="733"/>
      <c r="BRK7" s="733"/>
      <c r="BRL7" s="733"/>
      <c r="BRM7" s="733"/>
      <c r="BRN7" s="733"/>
      <c r="BRO7" s="733"/>
      <c r="BRP7" s="733"/>
      <c r="BRQ7" s="733"/>
      <c r="BRR7" s="733"/>
      <c r="BRS7" s="733"/>
      <c r="BRT7" s="733"/>
      <c r="BRU7" s="733"/>
      <c r="BRV7" s="733"/>
      <c r="BRW7" s="733"/>
      <c r="BRX7" s="733"/>
      <c r="BRY7" s="733"/>
      <c r="BRZ7" s="733"/>
      <c r="BSA7" s="733"/>
      <c r="BSB7" s="733"/>
      <c r="BSC7" s="733"/>
      <c r="BSD7" s="733"/>
      <c r="BSE7" s="733"/>
      <c r="BSF7" s="733"/>
      <c r="BSG7" s="733"/>
      <c r="BSH7" s="733"/>
      <c r="BSI7" s="733"/>
      <c r="BSJ7" s="733"/>
      <c r="BSK7" s="733"/>
      <c r="BSL7" s="733"/>
      <c r="BSM7" s="733"/>
      <c r="BSN7" s="733"/>
      <c r="BSO7" s="733"/>
      <c r="BSP7" s="733"/>
      <c r="BSQ7" s="733"/>
      <c r="BSR7" s="733"/>
      <c r="BSS7" s="733"/>
      <c r="BST7" s="733"/>
      <c r="BSU7" s="733"/>
      <c r="BSV7" s="733"/>
      <c r="BSW7" s="733"/>
      <c r="BSX7" s="733"/>
      <c r="BSY7" s="733"/>
      <c r="BSZ7" s="733"/>
      <c r="BTA7" s="733"/>
      <c r="BTB7" s="733"/>
      <c r="BTC7" s="733"/>
      <c r="BTD7" s="733"/>
      <c r="BTE7" s="733"/>
      <c r="BTF7" s="733"/>
      <c r="BTG7" s="733"/>
      <c r="BTH7" s="733"/>
      <c r="BTI7" s="733"/>
      <c r="BTJ7" s="733"/>
      <c r="BTK7" s="733"/>
      <c r="BTL7" s="733"/>
      <c r="BTM7" s="733"/>
      <c r="BTN7" s="733"/>
      <c r="BTO7" s="733"/>
      <c r="BTP7" s="733"/>
      <c r="BTQ7" s="733"/>
      <c r="BTR7" s="733"/>
      <c r="BTS7" s="733"/>
      <c r="BTT7" s="733"/>
      <c r="BTU7" s="733"/>
      <c r="BTV7" s="733"/>
      <c r="BTW7" s="733"/>
      <c r="BTX7" s="733"/>
      <c r="BTY7" s="733"/>
      <c r="BTZ7" s="733"/>
      <c r="BUA7" s="733"/>
      <c r="BUB7" s="733"/>
      <c r="BUC7" s="733"/>
      <c r="BUD7" s="733"/>
      <c r="BUE7" s="733"/>
      <c r="BUF7" s="733"/>
      <c r="BUG7" s="733"/>
      <c r="BUH7" s="733"/>
      <c r="BUI7" s="733"/>
      <c r="BUJ7" s="733"/>
      <c r="BUK7" s="733"/>
      <c r="BUL7" s="733"/>
      <c r="BUM7" s="733"/>
      <c r="BUN7" s="733"/>
      <c r="BUO7" s="733"/>
      <c r="BUP7" s="733"/>
      <c r="BUQ7" s="733"/>
      <c r="BUR7" s="733"/>
      <c r="BUS7" s="733"/>
      <c r="BUT7" s="733"/>
      <c r="BUU7" s="733"/>
      <c r="BUV7" s="733"/>
      <c r="BUW7" s="733"/>
      <c r="BUX7" s="733"/>
      <c r="BUY7" s="733"/>
      <c r="BUZ7" s="733"/>
      <c r="BVA7" s="733"/>
      <c r="BVB7" s="733"/>
      <c r="BVC7" s="733"/>
      <c r="BVD7" s="733"/>
      <c r="BVE7" s="733"/>
      <c r="BVF7" s="733"/>
      <c r="BVG7" s="733"/>
      <c r="BVH7" s="733"/>
      <c r="BVI7" s="733"/>
      <c r="BVJ7" s="733"/>
      <c r="BVK7" s="733"/>
      <c r="BVL7" s="733"/>
      <c r="BVM7" s="733"/>
      <c r="BVN7" s="733"/>
      <c r="BVO7" s="733"/>
      <c r="BVP7" s="733"/>
      <c r="BVQ7" s="733"/>
      <c r="BVR7" s="733"/>
      <c r="BVS7" s="733"/>
      <c r="BVT7" s="733"/>
      <c r="BVU7" s="733"/>
      <c r="BVV7" s="733"/>
      <c r="BVW7" s="733"/>
      <c r="BVX7" s="733"/>
      <c r="BVY7" s="733"/>
      <c r="BVZ7" s="733"/>
      <c r="BWA7" s="733"/>
      <c r="BWB7" s="733"/>
      <c r="BWC7" s="733"/>
      <c r="BWD7" s="733"/>
      <c r="BWE7" s="733"/>
      <c r="BWF7" s="733"/>
      <c r="BWG7" s="733"/>
      <c r="BWH7" s="733"/>
      <c r="BWI7" s="733"/>
      <c r="BWJ7" s="733"/>
      <c r="BWK7" s="733"/>
      <c r="BWL7" s="733"/>
      <c r="BWM7" s="733"/>
      <c r="BWN7" s="733"/>
      <c r="BWO7" s="733"/>
      <c r="BWP7" s="733"/>
      <c r="BWQ7" s="733"/>
      <c r="BWR7" s="733"/>
      <c r="BWS7" s="733"/>
      <c r="BWT7" s="733"/>
      <c r="BWU7" s="733"/>
      <c r="BWV7" s="733"/>
      <c r="BWW7" s="733"/>
      <c r="BWX7" s="733"/>
      <c r="BWY7" s="733"/>
      <c r="BWZ7" s="733"/>
      <c r="BXA7" s="733"/>
      <c r="BXB7" s="733"/>
      <c r="BXC7" s="733"/>
      <c r="BXD7" s="733"/>
      <c r="BXE7" s="733"/>
      <c r="BXF7" s="733"/>
      <c r="BXG7" s="733"/>
      <c r="BXH7" s="733"/>
      <c r="BXI7" s="733"/>
      <c r="BXJ7" s="733"/>
      <c r="BXK7" s="733"/>
      <c r="BXL7" s="733"/>
      <c r="BXM7" s="733"/>
      <c r="BXN7" s="733"/>
      <c r="BXO7" s="733"/>
      <c r="BXP7" s="733"/>
      <c r="BXQ7" s="733"/>
      <c r="BXR7" s="733"/>
      <c r="BXS7" s="733"/>
      <c r="BXT7" s="733"/>
      <c r="BXU7" s="733"/>
      <c r="BXV7" s="733"/>
      <c r="BXW7" s="733"/>
      <c r="BXX7" s="733"/>
      <c r="BXY7" s="733"/>
      <c r="BXZ7" s="733"/>
      <c r="BYA7" s="733"/>
      <c r="BYB7" s="733"/>
      <c r="BYC7" s="733"/>
      <c r="BYD7" s="733"/>
      <c r="BYE7" s="733"/>
      <c r="BYF7" s="733"/>
      <c r="BYG7" s="733"/>
      <c r="BYH7" s="733"/>
      <c r="BYI7" s="733"/>
      <c r="BYJ7" s="733"/>
      <c r="BYK7" s="733"/>
      <c r="BYL7" s="733"/>
      <c r="BYM7" s="733"/>
      <c r="BYN7" s="733"/>
      <c r="BYO7" s="733"/>
      <c r="BYP7" s="733"/>
      <c r="BYQ7" s="733"/>
      <c r="BYR7" s="733"/>
      <c r="BYS7" s="733"/>
      <c r="BYT7" s="733"/>
      <c r="BYU7" s="733"/>
      <c r="BYV7" s="733"/>
      <c r="BYW7" s="733"/>
      <c r="BYX7" s="733"/>
      <c r="BYY7" s="733"/>
      <c r="BYZ7" s="733"/>
      <c r="BZA7" s="733"/>
      <c r="BZB7" s="733"/>
      <c r="BZC7" s="733"/>
      <c r="BZD7" s="733"/>
      <c r="BZE7" s="733"/>
      <c r="BZF7" s="733"/>
      <c r="BZG7" s="733"/>
      <c r="BZH7" s="733"/>
      <c r="BZI7" s="733"/>
      <c r="BZJ7" s="733"/>
      <c r="BZK7" s="733"/>
      <c r="BZL7" s="733"/>
      <c r="BZM7" s="733"/>
      <c r="BZN7" s="733"/>
      <c r="BZO7" s="733"/>
      <c r="BZP7" s="733"/>
      <c r="BZQ7" s="733"/>
      <c r="BZR7" s="733"/>
      <c r="BZS7" s="733"/>
      <c r="BZT7" s="733"/>
      <c r="BZU7" s="733"/>
      <c r="BZV7" s="733"/>
      <c r="BZW7" s="733"/>
      <c r="BZX7" s="733"/>
      <c r="BZY7" s="733"/>
      <c r="BZZ7" s="733"/>
      <c r="CAA7" s="733"/>
      <c r="CAB7" s="733"/>
      <c r="CAC7" s="733"/>
      <c r="CAD7" s="733"/>
      <c r="CAE7" s="733"/>
      <c r="CAF7" s="733"/>
      <c r="CAG7" s="733"/>
      <c r="CAH7" s="733"/>
      <c r="CAI7" s="733"/>
      <c r="CAJ7" s="733"/>
      <c r="CAK7" s="733"/>
      <c r="CAL7" s="733"/>
      <c r="CAM7" s="733"/>
      <c r="CAN7" s="733"/>
      <c r="CAO7" s="733"/>
      <c r="CAP7" s="733"/>
      <c r="CAQ7" s="733"/>
      <c r="CAR7" s="733"/>
      <c r="CAS7" s="733"/>
      <c r="CAT7" s="733"/>
      <c r="CAU7" s="733"/>
      <c r="CAV7" s="733"/>
      <c r="CAW7" s="733"/>
      <c r="CAX7" s="733"/>
      <c r="CAY7" s="733"/>
      <c r="CAZ7" s="733"/>
      <c r="CBA7" s="733"/>
      <c r="CBB7" s="733"/>
      <c r="CBC7" s="733"/>
      <c r="CBD7" s="733"/>
      <c r="CBE7" s="733"/>
      <c r="CBF7" s="733"/>
      <c r="CBG7" s="733"/>
      <c r="CBH7" s="733"/>
      <c r="CBI7" s="733"/>
      <c r="CBJ7" s="733"/>
      <c r="CBK7" s="733"/>
      <c r="CBL7" s="733"/>
      <c r="CBM7" s="733"/>
      <c r="CBN7" s="733"/>
      <c r="CBO7" s="733"/>
      <c r="CBP7" s="733"/>
      <c r="CBQ7" s="733"/>
      <c r="CBR7" s="733"/>
      <c r="CBS7" s="733"/>
      <c r="CBT7" s="733"/>
      <c r="CBU7" s="733"/>
      <c r="CBV7" s="733"/>
      <c r="CBW7" s="733"/>
      <c r="CBX7" s="733"/>
      <c r="CBY7" s="733"/>
      <c r="CBZ7" s="733"/>
      <c r="CCA7" s="733"/>
      <c r="CCB7" s="733"/>
      <c r="CCC7" s="733"/>
      <c r="CCD7" s="733"/>
      <c r="CCE7" s="733"/>
      <c r="CCF7" s="733"/>
      <c r="CCG7" s="733"/>
      <c r="CCH7" s="733"/>
      <c r="CCI7" s="733"/>
      <c r="CCJ7" s="733"/>
      <c r="CCK7" s="733"/>
      <c r="CCL7" s="733"/>
      <c r="CCM7" s="733"/>
      <c r="CCN7" s="733"/>
      <c r="CCO7" s="733"/>
      <c r="CCP7" s="733"/>
      <c r="CCQ7" s="733"/>
      <c r="CCR7" s="733"/>
      <c r="CCS7" s="733"/>
      <c r="CCT7" s="733"/>
      <c r="CCU7" s="733"/>
      <c r="CCV7" s="733"/>
      <c r="CCW7" s="733"/>
      <c r="CCX7" s="733"/>
      <c r="CCY7" s="733"/>
      <c r="CCZ7" s="733"/>
      <c r="CDA7" s="733"/>
      <c r="CDB7" s="733"/>
      <c r="CDC7" s="733"/>
      <c r="CDD7" s="733"/>
      <c r="CDE7" s="733"/>
      <c r="CDF7" s="733"/>
      <c r="CDG7" s="733"/>
      <c r="CDH7" s="733"/>
      <c r="CDI7" s="733"/>
      <c r="CDJ7" s="733"/>
      <c r="CDK7" s="733"/>
      <c r="CDL7" s="733"/>
      <c r="CDM7" s="733"/>
      <c r="CDN7" s="733"/>
      <c r="CDO7" s="733"/>
      <c r="CDP7" s="733"/>
      <c r="CDQ7" s="733"/>
      <c r="CDR7" s="733"/>
      <c r="CDS7" s="733"/>
      <c r="CDT7" s="733"/>
      <c r="CDU7" s="733"/>
      <c r="CDV7" s="733"/>
      <c r="CDW7" s="733"/>
      <c r="CDX7" s="733"/>
      <c r="CDY7" s="733"/>
      <c r="CDZ7" s="733"/>
      <c r="CEA7" s="733"/>
      <c r="CEB7" s="733"/>
      <c r="CEC7" s="733"/>
      <c r="CED7" s="733"/>
      <c r="CEE7" s="733"/>
      <c r="CEF7" s="733"/>
      <c r="CEG7" s="733"/>
      <c r="CEH7" s="733"/>
      <c r="CEI7" s="733"/>
      <c r="CEJ7" s="733"/>
      <c r="CEK7" s="733"/>
      <c r="CEL7" s="733"/>
      <c r="CEM7" s="733"/>
      <c r="CEN7" s="733"/>
      <c r="CEO7" s="733"/>
      <c r="CEP7" s="733"/>
      <c r="CEQ7" s="733"/>
      <c r="CER7" s="733"/>
      <c r="CES7" s="733"/>
      <c r="CET7" s="733"/>
      <c r="CEU7" s="733"/>
      <c r="CEV7" s="733"/>
      <c r="CEW7" s="733"/>
      <c r="CEX7" s="733"/>
      <c r="CEY7" s="733"/>
      <c r="CEZ7" s="733"/>
      <c r="CFA7" s="733"/>
      <c r="CFB7" s="733"/>
      <c r="CFC7" s="733"/>
      <c r="CFD7" s="733"/>
      <c r="CFE7" s="733"/>
      <c r="CFF7" s="733"/>
      <c r="CFG7" s="733"/>
      <c r="CFH7" s="733"/>
      <c r="CFI7" s="733"/>
      <c r="CFJ7" s="733"/>
      <c r="CFK7" s="733"/>
      <c r="CFL7" s="733"/>
      <c r="CFM7" s="733"/>
      <c r="CFN7" s="733"/>
      <c r="CFO7" s="733"/>
      <c r="CFP7" s="733"/>
      <c r="CFQ7" s="733"/>
      <c r="CFR7" s="733"/>
      <c r="CFS7" s="733"/>
      <c r="CFT7" s="733"/>
      <c r="CFU7" s="733"/>
      <c r="CFV7" s="733"/>
      <c r="CFW7" s="733"/>
      <c r="CFX7" s="733"/>
      <c r="CFY7" s="733"/>
      <c r="CFZ7" s="733"/>
      <c r="CGA7" s="733"/>
      <c r="CGB7" s="733"/>
      <c r="CGC7" s="733"/>
      <c r="CGD7" s="733"/>
      <c r="CGE7" s="733"/>
      <c r="CGF7" s="733"/>
      <c r="CGG7" s="733"/>
      <c r="CGH7" s="733"/>
      <c r="CGI7" s="733"/>
      <c r="CGJ7" s="733"/>
      <c r="CGK7" s="733"/>
      <c r="CGL7" s="733"/>
      <c r="CGM7" s="733"/>
      <c r="CGN7" s="733"/>
      <c r="CGO7" s="733"/>
      <c r="CGP7" s="733"/>
      <c r="CGQ7" s="733"/>
      <c r="CGR7" s="733"/>
      <c r="CGS7" s="733"/>
      <c r="CGT7" s="733"/>
      <c r="CGU7" s="733"/>
      <c r="CGV7" s="733"/>
      <c r="CGW7" s="733"/>
      <c r="CGX7" s="733"/>
      <c r="CGY7" s="733"/>
      <c r="CGZ7" s="733"/>
      <c r="CHA7" s="733"/>
      <c r="CHB7" s="733"/>
      <c r="CHC7" s="733"/>
      <c r="CHD7" s="733"/>
      <c r="CHE7" s="733"/>
      <c r="CHF7" s="733"/>
      <c r="CHG7" s="733"/>
      <c r="CHH7" s="733"/>
      <c r="CHI7" s="733"/>
      <c r="CHJ7" s="733"/>
      <c r="CHK7" s="733"/>
      <c r="CHL7" s="733"/>
      <c r="CHM7" s="733"/>
      <c r="CHN7" s="733"/>
      <c r="CHO7" s="733"/>
      <c r="CHP7" s="733"/>
      <c r="CHQ7" s="733"/>
      <c r="CHR7" s="733"/>
      <c r="CHS7" s="733"/>
      <c r="CHT7" s="733"/>
      <c r="CHU7" s="733"/>
      <c r="CHV7" s="733"/>
      <c r="CHW7" s="733"/>
      <c r="CHX7" s="733"/>
      <c r="CHY7" s="733"/>
      <c r="CHZ7" s="733"/>
      <c r="CIA7" s="733"/>
      <c r="CIB7" s="733"/>
      <c r="CIC7" s="733"/>
      <c r="CID7" s="733"/>
      <c r="CIE7" s="733"/>
      <c r="CIF7" s="733"/>
      <c r="CIG7" s="733"/>
      <c r="CIH7" s="733"/>
      <c r="CII7" s="733"/>
      <c r="CIJ7" s="733"/>
      <c r="CIK7" s="733"/>
      <c r="CIL7" s="733"/>
      <c r="CIM7" s="733"/>
      <c r="CIN7" s="733"/>
      <c r="CIO7" s="733"/>
      <c r="CIP7" s="733"/>
      <c r="CIQ7" s="733"/>
      <c r="CIR7" s="733"/>
      <c r="CIS7" s="733"/>
      <c r="CIT7" s="733"/>
      <c r="CIU7" s="733"/>
      <c r="CIV7" s="733"/>
      <c r="CIW7" s="733"/>
      <c r="CIX7" s="733"/>
      <c r="CIY7" s="733"/>
      <c r="CIZ7" s="733"/>
      <c r="CJA7" s="733"/>
      <c r="CJB7" s="733"/>
      <c r="CJC7" s="733"/>
      <c r="CJD7" s="733"/>
      <c r="CJE7" s="733"/>
      <c r="CJF7" s="733"/>
      <c r="CJG7" s="733"/>
      <c r="CJH7" s="733"/>
      <c r="CJI7" s="733"/>
      <c r="CJJ7" s="733"/>
      <c r="CJK7" s="733"/>
      <c r="CJL7" s="733"/>
      <c r="CJM7" s="733"/>
      <c r="CJN7" s="733"/>
      <c r="CJO7" s="733"/>
      <c r="CJP7" s="733"/>
      <c r="CJQ7" s="733"/>
      <c r="CJR7" s="733"/>
      <c r="CJS7" s="733"/>
      <c r="CJT7" s="733"/>
      <c r="CJU7" s="733"/>
      <c r="CJV7" s="733"/>
      <c r="CJW7" s="733"/>
      <c r="CJX7" s="733"/>
      <c r="CJY7" s="733"/>
      <c r="CJZ7" s="733"/>
      <c r="CKA7" s="733"/>
      <c r="CKB7" s="733"/>
      <c r="CKC7" s="733"/>
      <c r="CKD7" s="733"/>
      <c r="CKE7" s="733"/>
      <c r="CKF7" s="733"/>
      <c r="CKG7" s="733"/>
      <c r="CKH7" s="733"/>
      <c r="CKI7" s="733"/>
      <c r="CKJ7" s="733"/>
      <c r="CKK7" s="733"/>
      <c r="CKL7" s="733"/>
      <c r="CKM7" s="733"/>
      <c r="CKN7" s="733"/>
      <c r="CKO7" s="733"/>
      <c r="CKP7" s="733"/>
      <c r="CKQ7" s="733"/>
      <c r="CKR7" s="733"/>
      <c r="CKS7" s="733"/>
      <c r="CKT7" s="733"/>
      <c r="CKU7" s="733"/>
      <c r="CKV7" s="733"/>
      <c r="CKW7" s="733"/>
      <c r="CKX7" s="733"/>
      <c r="CKY7" s="733"/>
      <c r="CKZ7" s="733"/>
      <c r="CLA7" s="733"/>
      <c r="CLB7" s="733"/>
      <c r="CLC7" s="733"/>
      <c r="CLD7" s="733"/>
      <c r="CLE7" s="733"/>
      <c r="CLF7" s="733"/>
      <c r="CLG7" s="733"/>
      <c r="CLH7" s="733"/>
      <c r="CLI7" s="733"/>
      <c r="CLJ7" s="733"/>
      <c r="CLK7" s="733"/>
      <c r="CLL7" s="733"/>
      <c r="CLM7" s="733"/>
      <c r="CLN7" s="733"/>
      <c r="CLO7" s="733"/>
      <c r="CLP7" s="733"/>
      <c r="CLQ7" s="733"/>
      <c r="CLR7" s="733"/>
      <c r="CLS7" s="733"/>
      <c r="CLT7" s="733"/>
      <c r="CLU7" s="733"/>
      <c r="CLV7" s="733"/>
      <c r="CLW7" s="733"/>
      <c r="CLX7" s="733"/>
      <c r="CLY7" s="733"/>
      <c r="CLZ7" s="733"/>
      <c r="CMA7" s="733"/>
      <c r="CMB7" s="733"/>
      <c r="CMC7" s="733"/>
      <c r="CMD7" s="733"/>
      <c r="CME7" s="733"/>
      <c r="CMF7" s="733"/>
      <c r="CMG7" s="733"/>
      <c r="CMH7" s="733"/>
      <c r="CMI7" s="733"/>
      <c r="CMJ7" s="733"/>
      <c r="CMK7" s="733"/>
      <c r="CML7" s="733"/>
      <c r="CMM7" s="733"/>
      <c r="CMN7" s="733"/>
      <c r="CMO7" s="733"/>
      <c r="CMP7" s="733"/>
      <c r="CMQ7" s="733"/>
      <c r="CMR7" s="733"/>
      <c r="CMS7" s="733"/>
      <c r="CMT7" s="733"/>
      <c r="CMU7" s="733"/>
      <c r="CMV7" s="733"/>
      <c r="CMW7" s="733"/>
      <c r="CMX7" s="733"/>
      <c r="CMY7" s="733"/>
      <c r="CMZ7" s="733"/>
      <c r="CNA7" s="733"/>
      <c r="CNB7" s="733"/>
      <c r="CNC7" s="733"/>
      <c r="CND7" s="733"/>
      <c r="CNE7" s="733"/>
      <c r="CNF7" s="733"/>
      <c r="CNG7" s="733"/>
      <c r="CNH7" s="733"/>
      <c r="CNI7" s="733"/>
      <c r="CNJ7" s="733"/>
      <c r="CNK7" s="733"/>
      <c r="CNL7" s="733"/>
      <c r="CNM7" s="733"/>
      <c r="CNN7" s="733"/>
      <c r="CNO7" s="733"/>
      <c r="CNP7" s="733"/>
      <c r="CNQ7" s="733"/>
      <c r="CNR7" s="733"/>
      <c r="CNS7" s="733"/>
      <c r="CNT7" s="733"/>
      <c r="CNU7" s="733"/>
      <c r="CNV7" s="733"/>
      <c r="CNW7" s="733"/>
      <c r="CNX7" s="733"/>
      <c r="CNY7" s="733"/>
      <c r="CNZ7" s="733"/>
      <c r="COA7" s="733"/>
      <c r="COB7" s="733"/>
      <c r="COC7" s="733"/>
      <c r="COD7" s="733"/>
      <c r="COE7" s="733"/>
      <c r="COF7" s="733"/>
      <c r="COG7" s="733"/>
      <c r="COH7" s="733"/>
      <c r="COI7" s="733"/>
      <c r="COJ7" s="733"/>
      <c r="COK7" s="733"/>
      <c r="COL7" s="733"/>
      <c r="COM7" s="733"/>
      <c r="CON7" s="733"/>
      <c r="COO7" s="733"/>
      <c r="COP7" s="733"/>
      <c r="COQ7" s="733"/>
      <c r="COR7" s="733"/>
      <c r="COS7" s="733"/>
      <c r="COT7" s="733"/>
      <c r="COU7" s="733"/>
      <c r="COV7" s="733"/>
      <c r="COW7" s="733"/>
      <c r="COX7" s="733"/>
      <c r="COY7" s="733"/>
      <c r="COZ7" s="733"/>
      <c r="CPA7" s="733"/>
      <c r="CPB7" s="733"/>
      <c r="CPC7" s="733"/>
      <c r="CPD7" s="733"/>
      <c r="CPE7" s="733"/>
      <c r="CPF7" s="733"/>
      <c r="CPG7" s="733"/>
      <c r="CPH7" s="733"/>
      <c r="CPI7" s="733"/>
      <c r="CPJ7" s="733"/>
      <c r="CPK7" s="733"/>
      <c r="CPL7" s="733"/>
      <c r="CPM7" s="733"/>
      <c r="CPN7" s="733"/>
      <c r="CPO7" s="733"/>
      <c r="CPP7" s="733"/>
      <c r="CPQ7" s="733"/>
      <c r="CPR7" s="733"/>
      <c r="CPS7" s="733"/>
      <c r="CPT7" s="733"/>
      <c r="CPU7" s="733"/>
      <c r="CPV7" s="733"/>
      <c r="CPW7" s="733"/>
      <c r="CPX7" s="733"/>
      <c r="CPY7" s="733"/>
      <c r="CPZ7" s="733"/>
      <c r="CQA7" s="733"/>
      <c r="CQB7" s="733"/>
      <c r="CQC7" s="733"/>
      <c r="CQD7" s="733"/>
      <c r="CQE7" s="733"/>
      <c r="CQF7" s="733"/>
      <c r="CQG7" s="733"/>
      <c r="CQH7" s="733"/>
      <c r="CQI7" s="733"/>
      <c r="CQJ7" s="733"/>
      <c r="CQK7" s="733"/>
      <c r="CQL7" s="733"/>
      <c r="CQM7" s="733"/>
      <c r="CQN7" s="733"/>
      <c r="CQO7" s="733"/>
      <c r="CQP7" s="733"/>
      <c r="CQQ7" s="733"/>
      <c r="CQR7" s="733"/>
      <c r="CQS7" s="733"/>
      <c r="CQT7" s="733"/>
      <c r="CQU7" s="733"/>
      <c r="CQV7" s="733"/>
      <c r="CQW7" s="733"/>
      <c r="CQX7" s="733"/>
      <c r="CQY7" s="733"/>
      <c r="CQZ7" s="733"/>
      <c r="CRA7" s="733"/>
      <c r="CRB7" s="733"/>
      <c r="CRC7" s="733"/>
      <c r="CRD7" s="733"/>
      <c r="CRE7" s="733"/>
      <c r="CRF7" s="733"/>
      <c r="CRG7" s="733"/>
      <c r="CRH7" s="733"/>
      <c r="CRI7" s="733"/>
      <c r="CRJ7" s="733"/>
      <c r="CRK7" s="733"/>
      <c r="CRL7" s="733"/>
      <c r="CRM7" s="733"/>
      <c r="CRN7" s="733"/>
      <c r="CRO7" s="733"/>
      <c r="CRP7" s="733"/>
      <c r="CRQ7" s="733"/>
      <c r="CRR7" s="733"/>
      <c r="CRS7" s="733"/>
      <c r="CRT7" s="733"/>
      <c r="CRU7" s="733"/>
      <c r="CRV7" s="733"/>
      <c r="CRW7" s="733"/>
      <c r="CRX7" s="733"/>
      <c r="CRY7" s="733"/>
      <c r="CRZ7" s="733"/>
      <c r="CSA7" s="733"/>
      <c r="CSB7" s="733"/>
      <c r="CSC7" s="733"/>
      <c r="CSD7" s="733"/>
      <c r="CSE7" s="733"/>
      <c r="CSF7" s="733"/>
      <c r="CSG7" s="733"/>
      <c r="CSH7" s="733"/>
      <c r="CSI7" s="733"/>
      <c r="CSJ7" s="733"/>
      <c r="CSK7" s="733"/>
      <c r="CSL7" s="733"/>
      <c r="CSM7" s="733"/>
      <c r="CSN7" s="733"/>
      <c r="CSO7" s="733"/>
      <c r="CSP7" s="733"/>
      <c r="CSQ7" s="733"/>
      <c r="CSR7" s="733"/>
      <c r="CSS7" s="733"/>
      <c r="CST7" s="733"/>
      <c r="CSU7" s="733"/>
      <c r="CSV7" s="733"/>
      <c r="CSW7" s="733"/>
      <c r="CSX7" s="733"/>
      <c r="CSY7" s="733"/>
      <c r="CSZ7" s="733"/>
      <c r="CTA7" s="733"/>
      <c r="CTB7" s="733"/>
      <c r="CTC7" s="733"/>
      <c r="CTD7" s="733"/>
      <c r="CTE7" s="733"/>
      <c r="CTF7" s="733"/>
      <c r="CTG7" s="733"/>
      <c r="CTH7" s="733"/>
      <c r="CTI7" s="733"/>
      <c r="CTJ7" s="733"/>
      <c r="CTK7" s="733"/>
      <c r="CTL7" s="733"/>
      <c r="CTM7" s="733"/>
      <c r="CTN7" s="733"/>
      <c r="CTO7" s="733"/>
      <c r="CTP7" s="733"/>
      <c r="CTQ7" s="733"/>
      <c r="CTR7" s="733"/>
      <c r="CTS7" s="733"/>
      <c r="CTT7" s="733"/>
      <c r="CTU7" s="733"/>
      <c r="CTV7" s="733"/>
      <c r="CTW7" s="733"/>
      <c r="CTX7" s="733"/>
      <c r="CTY7" s="733"/>
      <c r="CTZ7" s="733"/>
      <c r="CUA7" s="733"/>
      <c r="CUB7" s="733"/>
      <c r="CUC7" s="733"/>
      <c r="CUD7" s="733"/>
      <c r="CUE7" s="733"/>
      <c r="CUF7" s="733"/>
      <c r="CUG7" s="733"/>
      <c r="CUH7" s="733"/>
      <c r="CUI7" s="733"/>
      <c r="CUJ7" s="733"/>
      <c r="CUK7" s="733"/>
      <c r="CUL7" s="733"/>
      <c r="CUM7" s="733"/>
      <c r="CUN7" s="733"/>
      <c r="CUO7" s="733"/>
      <c r="CUP7" s="733"/>
      <c r="CUQ7" s="733"/>
      <c r="CUR7" s="733"/>
      <c r="CUS7" s="733"/>
      <c r="CUT7" s="733"/>
      <c r="CUU7" s="733"/>
      <c r="CUV7" s="733"/>
      <c r="CUW7" s="733"/>
      <c r="CUX7" s="733"/>
      <c r="CUY7" s="733"/>
      <c r="CUZ7" s="733"/>
      <c r="CVA7" s="733"/>
      <c r="CVB7" s="733"/>
      <c r="CVC7" s="733"/>
      <c r="CVD7" s="733"/>
      <c r="CVE7" s="733"/>
      <c r="CVF7" s="733"/>
      <c r="CVG7" s="733"/>
      <c r="CVH7" s="733"/>
      <c r="CVI7" s="733"/>
      <c r="CVJ7" s="733"/>
      <c r="CVK7" s="733"/>
      <c r="CVL7" s="733"/>
      <c r="CVM7" s="733"/>
      <c r="CVN7" s="733"/>
      <c r="CVO7" s="733"/>
      <c r="CVP7" s="733"/>
      <c r="CVQ7" s="733"/>
      <c r="CVR7" s="733"/>
      <c r="CVS7" s="733"/>
      <c r="CVT7" s="733"/>
      <c r="CVU7" s="733"/>
      <c r="CVV7" s="733"/>
      <c r="CVW7" s="733"/>
      <c r="CVX7" s="733"/>
      <c r="CVY7" s="733"/>
      <c r="CVZ7" s="733"/>
      <c r="CWA7" s="733"/>
      <c r="CWB7" s="733"/>
      <c r="CWC7" s="733"/>
      <c r="CWD7" s="733"/>
      <c r="CWE7" s="733"/>
      <c r="CWF7" s="733"/>
      <c r="CWG7" s="733"/>
      <c r="CWH7" s="733"/>
      <c r="CWI7" s="733"/>
      <c r="CWJ7" s="733"/>
      <c r="CWK7" s="733"/>
      <c r="CWL7" s="733"/>
      <c r="CWM7" s="733"/>
      <c r="CWN7" s="733"/>
      <c r="CWO7" s="733"/>
      <c r="CWP7" s="733"/>
      <c r="CWQ7" s="733"/>
      <c r="CWR7" s="733"/>
      <c r="CWS7" s="733"/>
      <c r="CWT7" s="733"/>
      <c r="CWU7" s="733"/>
      <c r="CWV7" s="733"/>
      <c r="CWW7" s="733"/>
      <c r="CWX7" s="733"/>
      <c r="CWY7" s="733"/>
      <c r="CWZ7" s="733"/>
      <c r="CXA7" s="733"/>
      <c r="CXB7" s="733"/>
      <c r="CXC7" s="733"/>
      <c r="CXD7" s="733"/>
      <c r="CXE7" s="733"/>
      <c r="CXF7" s="733"/>
      <c r="CXG7" s="733"/>
      <c r="CXH7" s="733"/>
      <c r="CXI7" s="733"/>
      <c r="CXJ7" s="733"/>
      <c r="CXK7" s="733"/>
      <c r="CXL7" s="733"/>
      <c r="CXM7" s="733"/>
      <c r="CXN7" s="733"/>
      <c r="CXO7" s="733"/>
      <c r="CXP7" s="733"/>
      <c r="CXQ7" s="733"/>
      <c r="CXR7" s="733"/>
      <c r="CXS7" s="733"/>
      <c r="CXT7" s="733"/>
      <c r="CXU7" s="733"/>
      <c r="CXV7" s="733"/>
      <c r="CXW7" s="733"/>
      <c r="CXX7" s="733"/>
      <c r="CXY7" s="733"/>
      <c r="CXZ7" s="733"/>
      <c r="CYA7" s="733"/>
      <c r="CYB7" s="733"/>
      <c r="CYC7" s="733"/>
      <c r="CYD7" s="733"/>
      <c r="CYE7" s="733"/>
      <c r="CYF7" s="733"/>
      <c r="CYG7" s="733"/>
      <c r="CYH7" s="733"/>
      <c r="CYI7" s="733"/>
      <c r="CYJ7" s="733"/>
      <c r="CYK7" s="733"/>
      <c r="CYL7" s="733"/>
      <c r="CYM7" s="733"/>
      <c r="CYN7" s="733"/>
      <c r="CYO7" s="733"/>
      <c r="CYP7" s="733"/>
      <c r="CYQ7" s="733"/>
      <c r="CYR7" s="733"/>
      <c r="CYS7" s="733"/>
      <c r="CYT7" s="733"/>
      <c r="CYU7" s="733"/>
      <c r="CYV7" s="733"/>
      <c r="CYW7" s="733"/>
      <c r="CYX7" s="733"/>
      <c r="CYY7" s="733"/>
      <c r="CYZ7" s="733"/>
      <c r="CZA7" s="733"/>
      <c r="CZB7" s="733"/>
      <c r="CZC7" s="733"/>
      <c r="CZD7" s="733"/>
      <c r="CZE7" s="733"/>
      <c r="CZF7" s="733"/>
      <c r="CZG7" s="733"/>
      <c r="CZH7" s="733"/>
      <c r="CZI7" s="733"/>
      <c r="CZJ7" s="733"/>
      <c r="CZK7" s="733"/>
      <c r="CZL7" s="733"/>
      <c r="CZM7" s="733"/>
      <c r="CZN7" s="733"/>
      <c r="CZO7" s="733"/>
      <c r="CZP7" s="733"/>
      <c r="CZQ7" s="733"/>
      <c r="CZR7" s="733"/>
      <c r="CZS7" s="733"/>
      <c r="CZT7" s="733"/>
      <c r="CZU7" s="733"/>
      <c r="CZV7" s="733"/>
      <c r="CZW7" s="733"/>
      <c r="CZX7" s="733"/>
      <c r="CZY7" s="733"/>
      <c r="CZZ7" s="733"/>
      <c r="DAA7" s="733"/>
      <c r="DAB7" s="733"/>
      <c r="DAC7" s="733"/>
      <c r="DAD7" s="733"/>
      <c r="DAE7" s="733"/>
      <c r="DAF7" s="733"/>
      <c r="DAG7" s="733"/>
      <c r="DAH7" s="733"/>
      <c r="DAI7" s="733"/>
      <c r="DAJ7" s="733"/>
      <c r="DAK7" s="733"/>
      <c r="DAL7" s="733"/>
      <c r="DAM7" s="733"/>
      <c r="DAN7" s="733"/>
      <c r="DAO7" s="733"/>
      <c r="DAP7" s="733"/>
      <c r="DAQ7" s="733"/>
      <c r="DAR7" s="733"/>
      <c r="DAS7" s="733"/>
      <c r="DAT7" s="733"/>
      <c r="DAU7" s="733"/>
      <c r="DAV7" s="733"/>
      <c r="DAW7" s="733"/>
      <c r="DAX7" s="733"/>
      <c r="DAY7" s="733"/>
      <c r="DAZ7" s="733"/>
      <c r="DBA7" s="733"/>
      <c r="DBB7" s="733"/>
      <c r="DBC7" s="733"/>
      <c r="DBD7" s="733"/>
      <c r="DBE7" s="733"/>
      <c r="DBF7" s="733"/>
      <c r="DBG7" s="733"/>
      <c r="DBH7" s="733"/>
      <c r="DBI7" s="733"/>
      <c r="DBJ7" s="733"/>
      <c r="DBK7" s="733"/>
      <c r="DBL7" s="733"/>
      <c r="DBM7" s="733"/>
      <c r="DBN7" s="733"/>
      <c r="DBO7" s="733"/>
      <c r="DBP7" s="733"/>
      <c r="DBQ7" s="733"/>
      <c r="DBR7" s="733"/>
      <c r="DBS7" s="733"/>
      <c r="DBT7" s="733"/>
      <c r="DBU7" s="733"/>
      <c r="DBV7" s="733"/>
      <c r="DBW7" s="733"/>
      <c r="DBX7" s="733"/>
      <c r="DBY7" s="733"/>
      <c r="DBZ7" s="733"/>
      <c r="DCA7" s="733"/>
      <c r="DCB7" s="733"/>
      <c r="DCC7" s="733"/>
      <c r="DCD7" s="733"/>
      <c r="DCE7" s="733"/>
      <c r="DCF7" s="733"/>
      <c r="DCG7" s="733"/>
      <c r="DCH7" s="733"/>
      <c r="DCI7" s="733"/>
      <c r="DCJ7" s="733"/>
      <c r="DCK7" s="733"/>
      <c r="DCL7" s="733"/>
      <c r="DCM7" s="733"/>
      <c r="DCN7" s="733"/>
      <c r="DCO7" s="733"/>
      <c r="DCP7" s="733"/>
      <c r="DCQ7" s="733"/>
      <c r="DCR7" s="733"/>
      <c r="DCS7" s="733"/>
      <c r="DCT7" s="733"/>
      <c r="DCU7" s="733"/>
      <c r="DCV7" s="733"/>
      <c r="DCW7" s="733"/>
      <c r="DCX7" s="733"/>
      <c r="DCY7" s="733"/>
      <c r="DCZ7" s="733"/>
      <c r="DDA7" s="733"/>
      <c r="DDB7" s="733"/>
      <c r="DDC7" s="733"/>
      <c r="DDD7" s="733"/>
      <c r="DDE7" s="733"/>
      <c r="DDF7" s="733"/>
      <c r="DDG7" s="733"/>
      <c r="DDH7" s="733"/>
      <c r="DDI7" s="733"/>
      <c r="DDJ7" s="733"/>
      <c r="DDK7" s="733"/>
      <c r="DDL7" s="733"/>
      <c r="DDM7" s="733"/>
      <c r="DDN7" s="733"/>
      <c r="DDO7" s="733"/>
      <c r="DDP7" s="733"/>
      <c r="DDQ7" s="733"/>
      <c r="DDR7" s="733"/>
      <c r="DDS7" s="733"/>
      <c r="DDT7" s="733"/>
      <c r="DDU7" s="733"/>
      <c r="DDV7" s="733"/>
      <c r="DDW7" s="733"/>
      <c r="DDX7" s="733"/>
      <c r="DDY7" s="733"/>
      <c r="DDZ7" s="733"/>
      <c r="DEA7" s="733"/>
      <c r="DEB7" s="733"/>
      <c r="DEC7" s="733"/>
      <c r="DED7" s="733"/>
      <c r="DEE7" s="733"/>
      <c r="DEF7" s="733"/>
      <c r="DEG7" s="733"/>
      <c r="DEH7" s="733"/>
      <c r="DEI7" s="733"/>
      <c r="DEJ7" s="733"/>
      <c r="DEK7" s="733"/>
      <c r="DEL7" s="733"/>
      <c r="DEM7" s="733"/>
      <c r="DEN7" s="733"/>
      <c r="DEO7" s="733"/>
      <c r="DEP7" s="733"/>
      <c r="DEQ7" s="733"/>
      <c r="DER7" s="733"/>
      <c r="DES7" s="733"/>
      <c r="DET7" s="733"/>
      <c r="DEU7" s="733"/>
      <c r="DEV7" s="733"/>
      <c r="DEW7" s="733"/>
      <c r="DEX7" s="733"/>
      <c r="DEY7" s="733"/>
      <c r="DEZ7" s="733"/>
      <c r="DFA7" s="733"/>
      <c r="DFB7" s="733"/>
      <c r="DFC7" s="733"/>
      <c r="DFD7" s="733"/>
      <c r="DFE7" s="733"/>
      <c r="DFF7" s="733"/>
      <c r="DFG7" s="733"/>
      <c r="DFH7" s="733"/>
      <c r="DFI7" s="733"/>
      <c r="DFJ7" s="733"/>
      <c r="DFK7" s="733"/>
      <c r="DFL7" s="733"/>
      <c r="DFM7" s="733"/>
      <c r="DFN7" s="733"/>
      <c r="DFO7" s="733"/>
      <c r="DFP7" s="733"/>
      <c r="DFQ7" s="733"/>
      <c r="DFR7" s="733"/>
      <c r="DFS7" s="733"/>
      <c r="DFT7" s="733"/>
      <c r="DFU7" s="733"/>
      <c r="DFV7" s="733"/>
      <c r="DFW7" s="733"/>
      <c r="DFX7" s="733"/>
      <c r="DFY7" s="733"/>
      <c r="DFZ7" s="733"/>
      <c r="DGA7" s="733"/>
      <c r="DGB7" s="733"/>
      <c r="DGC7" s="733"/>
      <c r="DGD7" s="733"/>
      <c r="DGE7" s="733"/>
      <c r="DGF7" s="733"/>
      <c r="DGG7" s="733"/>
      <c r="DGH7" s="733"/>
      <c r="DGI7" s="733"/>
      <c r="DGJ7" s="733"/>
      <c r="DGK7" s="733"/>
      <c r="DGL7" s="733"/>
      <c r="DGM7" s="733"/>
      <c r="DGN7" s="733"/>
      <c r="DGO7" s="733"/>
      <c r="DGP7" s="733"/>
      <c r="DGQ7" s="733"/>
      <c r="DGR7" s="733"/>
      <c r="DGS7" s="733"/>
      <c r="DGT7" s="733"/>
      <c r="DGU7" s="733"/>
      <c r="DGV7" s="733"/>
      <c r="DGW7" s="733"/>
      <c r="DGX7" s="733"/>
      <c r="DGY7" s="733"/>
      <c r="DGZ7" s="733"/>
      <c r="DHA7" s="733"/>
      <c r="DHB7" s="733"/>
      <c r="DHC7" s="733"/>
      <c r="DHD7" s="733"/>
      <c r="DHE7" s="733"/>
      <c r="DHF7" s="733"/>
      <c r="DHG7" s="733"/>
      <c r="DHH7" s="733"/>
      <c r="DHI7" s="733"/>
      <c r="DHJ7" s="733"/>
      <c r="DHK7" s="733"/>
      <c r="DHL7" s="733"/>
      <c r="DHM7" s="733"/>
      <c r="DHN7" s="733"/>
      <c r="DHO7" s="733"/>
      <c r="DHP7" s="733"/>
      <c r="DHQ7" s="733"/>
      <c r="DHR7" s="733"/>
      <c r="DHS7" s="733"/>
      <c r="DHT7" s="733"/>
      <c r="DHU7" s="733"/>
      <c r="DHV7" s="733"/>
      <c r="DHW7" s="733"/>
      <c r="DHX7" s="733"/>
      <c r="DHY7" s="733"/>
      <c r="DHZ7" s="733"/>
      <c r="DIA7" s="733"/>
      <c r="DIB7" s="733"/>
      <c r="DIC7" s="733"/>
      <c r="DID7" s="733"/>
      <c r="DIE7" s="733"/>
      <c r="DIF7" s="733"/>
      <c r="DIG7" s="733"/>
      <c r="DIH7" s="733"/>
      <c r="DII7" s="733"/>
      <c r="DIJ7" s="733"/>
      <c r="DIK7" s="733"/>
      <c r="DIL7" s="733"/>
      <c r="DIM7" s="733"/>
      <c r="DIN7" s="733"/>
      <c r="DIO7" s="733"/>
      <c r="DIP7" s="733"/>
      <c r="DIQ7" s="733"/>
      <c r="DIR7" s="733"/>
      <c r="DIS7" s="733"/>
      <c r="DIT7" s="733"/>
      <c r="DIU7" s="733"/>
      <c r="DIV7" s="733"/>
      <c r="DIW7" s="733"/>
      <c r="DIX7" s="733"/>
      <c r="DIY7" s="733"/>
      <c r="DIZ7" s="733"/>
      <c r="DJA7" s="733"/>
      <c r="DJB7" s="733"/>
      <c r="DJC7" s="733"/>
      <c r="DJD7" s="733"/>
      <c r="DJE7" s="733"/>
      <c r="DJF7" s="733"/>
      <c r="DJG7" s="733"/>
      <c r="DJH7" s="733"/>
      <c r="DJI7" s="733"/>
      <c r="DJJ7" s="733"/>
      <c r="DJK7" s="733"/>
      <c r="DJL7" s="733"/>
      <c r="DJM7" s="733"/>
      <c r="DJN7" s="733"/>
      <c r="DJO7" s="733"/>
      <c r="DJP7" s="733"/>
      <c r="DJQ7" s="733"/>
      <c r="DJR7" s="733"/>
      <c r="DJS7" s="733"/>
      <c r="DJT7" s="733"/>
      <c r="DJU7" s="733"/>
      <c r="DJV7" s="733"/>
      <c r="DJW7" s="733"/>
      <c r="DJX7" s="733"/>
      <c r="DJY7" s="733"/>
      <c r="DJZ7" s="733"/>
      <c r="DKA7" s="733"/>
      <c r="DKB7" s="733"/>
      <c r="DKC7" s="733"/>
      <c r="DKD7" s="733"/>
      <c r="DKE7" s="733"/>
      <c r="DKF7" s="733"/>
      <c r="DKG7" s="733"/>
      <c r="DKH7" s="733"/>
      <c r="DKI7" s="733"/>
      <c r="DKJ7" s="733"/>
      <c r="DKK7" s="733"/>
      <c r="DKL7" s="733"/>
      <c r="DKM7" s="733"/>
      <c r="DKN7" s="733"/>
      <c r="DKO7" s="733"/>
      <c r="DKP7" s="733"/>
      <c r="DKQ7" s="733"/>
      <c r="DKR7" s="733"/>
      <c r="DKS7" s="733"/>
      <c r="DKT7" s="733"/>
      <c r="DKU7" s="733"/>
      <c r="DKV7" s="733"/>
      <c r="DKW7" s="733"/>
      <c r="DKX7" s="733"/>
      <c r="DKY7" s="733"/>
      <c r="DKZ7" s="733"/>
      <c r="DLA7" s="733"/>
      <c r="DLB7" s="733"/>
      <c r="DLC7" s="733"/>
      <c r="DLD7" s="733"/>
      <c r="DLE7" s="733"/>
      <c r="DLF7" s="733"/>
      <c r="DLG7" s="733"/>
      <c r="DLH7" s="733"/>
      <c r="DLI7" s="733"/>
      <c r="DLJ7" s="733"/>
      <c r="DLK7" s="733"/>
      <c r="DLL7" s="733"/>
      <c r="DLM7" s="733"/>
      <c r="DLN7" s="733"/>
      <c r="DLO7" s="733"/>
      <c r="DLP7" s="733"/>
      <c r="DLQ7" s="733"/>
      <c r="DLR7" s="733"/>
      <c r="DLS7" s="733"/>
      <c r="DLT7" s="733"/>
      <c r="DLU7" s="733"/>
      <c r="DLV7" s="733"/>
      <c r="DLW7" s="733"/>
      <c r="DLX7" s="733"/>
      <c r="DLY7" s="733"/>
      <c r="DLZ7" s="733"/>
      <c r="DMA7" s="733"/>
      <c r="DMB7" s="733"/>
      <c r="DMC7" s="733"/>
      <c r="DMD7" s="733"/>
      <c r="DME7" s="733"/>
      <c r="DMF7" s="733"/>
      <c r="DMG7" s="733"/>
      <c r="DMH7" s="733"/>
      <c r="DMI7" s="733"/>
      <c r="DMJ7" s="733"/>
      <c r="DMK7" s="733"/>
      <c r="DML7" s="733"/>
      <c r="DMM7" s="733"/>
      <c r="DMN7" s="733"/>
      <c r="DMO7" s="733"/>
      <c r="DMP7" s="733"/>
      <c r="DMQ7" s="733"/>
      <c r="DMR7" s="733"/>
      <c r="DMS7" s="733"/>
      <c r="DMT7" s="733"/>
      <c r="DMU7" s="733"/>
      <c r="DMV7" s="733"/>
      <c r="DMW7" s="733"/>
      <c r="DMX7" s="733"/>
      <c r="DMY7" s="733"/>
      <c r="DMZ7" s="733"/>
      <c r="DNA7" s="733"/>
      <c r="DNB7" s="733"/>
      <c r="DNC7" s="733"/>
      <c r="DND7" s="733"/>
      <c r="DNE7" s="733"/>
      <c r="DNF7" s="733"/>
      <c r="DNG7" s="733"/>
      <c r="DNH7" s="733"/>
      <c r="DNI7" s="733"/>
      <c r="DNJ7" s="733"/>
      <c r="DNK7" s="733"/>
      <c r="DNL7" s="733"/>
      <c r="DNM7" s="733"/>
      <c r="DNN7" s="733"/>
      <c r="DNO7" s="733"/>
      <c r="DNP7" s="733"/>
      <c r="DNQ7" s="733"/>
      <c r="DNR7" s="733"/>
      <c r="DNS7" s="733"/>
      <c r="DNT7" s="733"/>
      <c r="DNU7" s="733"/>
      <c r="DNV7" s="733"/>
      <c r="DNW7" s="733"/>
      <c r="DNX7" s="733"/>
      <c r="DNY7" s="733"/>
      <c r="DNZ7" s="733"/>
      <c r="DOA7" s="733"/>
      <c r="DOB7" s="733"/>
      <c r="DOC7" s="733"/>
      <c r="DOD7" s="733"/>
      <c r="DOE7" s="733"/>
      <c r="DOF7" s="733"/>
      <c r="DOG7" s="733"/>
      <c r="DOH7" s="733"/>
      <c r="DOI7" s="733"/>
      <c r="DOJ7" s="733"/>
      <c r="DOK7" s="733"/>
      <c r="DOL7" s="733"/>
      <c r="DOM7" s="733"/>
      <c r="DON7" s="733"/>
      <c r="DOO7" s="733"/>
      <c r="DOP7" s="733"/>
      <c r="DOQ7" s="733"/>
      <c r="DOR7" s="733"/>
      <c r="DOS7" s="733"/>
      <c r="DOT7" s="733"/>
      <c r="DOU7" s="733"/>
      <c r="DOV7" s="733"/>
      <c r="DOW7" s="733"/>
      <c r="DOX7" s="733"/>
      <c r="DOY7" s="733"/>
      <c r="DOZ7" s="733"/>
      <c r="DPA7" s="733"/>
      <c r="DPB7" s="733"/>
      <c r="DPC7" s="733"/>
      <c r="DPD7" s="733"/>
      <c r="DPE7" s="733"/>
      <c r="DPF7" s="733"/>
      <c r="DPG7" s="733"/>
      <c r="DPH7" s="733"/>
      <c r="DPI7" s="733"/>
      <c r="DPJ7" s="733"/>
      <c r="DPK7" s="733"/>
      <c r="DPL7" s="733"/>
      <c r="DPM7" s="733"/>
      <c r="DPN7" s="733"/>
      <c r="DPO7" s="733"/>
      <c r="DPP7" s="733"/>
      <c r="DPQ7" s="733"/>
      <c r="DPR7" s="733"/>
      <c r="DPS7" s="733"/>
      <c r="DPT7" s="733"/>
      <c r="DPU7" s="733"/>
      <c r="DPV7" s="733"/>
      <c r="DPW7" s="733"/>
      <c r="DPX7" s="733"/>
      <c r="DPY7" s="733"/>
      <c r="DPZ7" s="733"/>
      <c r="DQA7" s="733"/>
      <c r="DQB7" s="733"/>
      <c r="DQC7" s="733"/>
      <c r="DQD7" s="733"/>
      <c r="DQE7" s="733"/>
      <c r="DQF7" s="733"/>
      <c r="DQG7" s="733"/>
      <c r="DQH7" s="733"/>
      <c r="DQI7" s="733"/>
      <c r="DQJ7" s="733"/>
      <c r="DQK7" s="733"/>
      <c r="DQL7" s="733"/>
      <c r="DQM7" s="733"/>
      <c r="DQN7" s="733"/>
      <c r="DQO7" s="733"/>
      <c r="DQP7" s="733"/>
      <c r="DQQ7" s="733"/>
      <c r="DQR7" s="733"/>
      <c r="DQS7" s="733"/>
      <c r="DQT7" s="733"/>
      <c r="DQU7" s="733"/>
      <c r="DQV7" s="733"/>
      <c r="DQW7" s="733"/>
      <c r="DQX7" s="733"/>
      <c r="DQY7" s="733"/>
      <c r="DQZ7" s="733"/>
      <c r="DRA7" s="733"/>
      <c r="DRB7" s="733"/>
      <c r="DRC7" s="733"/>
      <c r="DRD7" s="733"/>
      <c r="DRE7" s="733"/>
      <c r="DRF7" s="733"/>
      <c r="DRG7" s="733"/>
      <c r="DRH7" s="733"/>
      <c r="DRI7" s="733"/>
      <c r="DRJ7" s="733"/>
      <c r="DRK7" s="733"/>
      <c r="DRL7" s="733"/>
      <c r="DRM7" s="733"/>
      <c r="DRN7" s="733"/>
      <c r="DRO7" s="733"/>
      <c r="DRP7" s="733"/>
      <c r="DRQ7" s="733"/>
      <c r="DRR7" s="733"/>
      <c r="DRS7" s="733"/>
      <c r="DRT7" s="733"/>
      <c r="DRU7" s="733"/>
      <c r="DRV7" s="733"/>
      <c r="DRW7" s="733"/>
      <c r="DRX7" s="733"/>
      <c r="DRY7" s="733"/>
      <c r="DRZ7" s="733"/>
      <c r="DSA7" s="733"/>
      <c r="DSB7" s="733"/>
      <c r="DSC7" s="733"/>
      <c r="DSD7" s="733"/>
      <c r="DSE7" s="733"/>
      <c r="DSF7" s="733"/>
      <c r="DSG7" s="733"/>
      <c r="DSH7" s="733"/>
      <c r="DSI7" s="733"/>
      <c r="DSJ7" s="733"/>
      <c r="DSK7" s="733"/>
      <c r="DSL7" s="733"/>
      <c r="DSM7" s="733"/>
      <c r="DSN7" s="733"/>
      <c r="DSO7" s="733"/>
      <c r="DSP7" s="733"/>
      <c r="DSQ7" s="733"/>
      <c r="DSR7" s="733"/>
      <c r="DSS7" s="733"/>
      <c r="DST7" s="733"/>
      <c r="DSU7" s="733"/>
      <c r="DSV7" s="733"/>
      <c r="DSW7" s="733"/>
      <c r="DSX7" s="733"/>
      <c r="DSY7" s="733"/>
      <c r="DSZ7" s="733"/>
      <c r="DTA7" s="733"/>
      <c r="DTB7" s="733"/>
      <c r="DTC7" s="733"/>
      <c r="DTD7" s="733"/>
      <c r="DTE7" s="733"/>
      <c r="DTF7" s="733"/>
      <c r="DTG7" s="733"/>
      <c r="DTH7" s="733"/>
      <c r="DTI7" s="733"/>
      <c r="DTJ7" s="733"/>
      <c r="DTK7" s="733"/>
      <c r="DTL7" s="733"/>
      <c r="DTM7" s="733"/>
      <c r="DTN7" s="733"/>
      <c r="DTO7" s="733"/>
      <c r="DTP7" s="733"/>
      <c r="DTQ7" s="733"/>
      <c r="DTR7" s="733"/>
      <c r="DTS7" s="733"/>
      <c r="DTT7" s="733"/>
      <c r="DTU7" s="733"/>
      <c r="DTV7" s="733"/>
      <c r="DTW7" s="733"/>
      <c r="DTX7" s="733"/>
      <c r="DTY7" s="733"/>
      <c r="DTZ7" s="733"/>
      <c r="DUA7" s="733"/>
      <c r="DUB7" s="733"/>
      <c r="DUC7" s="733"/>
      <c r="DUD7" s="733"/>
      <c r="DUE7" s="733"/>
      <c r="DUF7" s="733"/>
      <c r="DUG7" s="733"/>
      <c r="DUH7" s="733"/>
      <c r="DUI7" s="733"/>
      <c r="DUJ7" s="733"/>
      <c r="DUK7" s="733"/>
      <c r="DUL7" s="733"/>
      <c r="DUM7" s="733"/>
      <c r="DUN7" s="733"/>
      <c r="DUO7" s="733"/>
      <c r="DUP7" s="733"/>
      <c r="DUQ7" s="733"/>
      <c r="DUR7" s="733"/>
      <c r="DUS7" s="733"/>
      <c r="DUT7" s="733"/>
      <c r="DUU7" s="733"/>
      <c r="DUV7" s="733"/>
      <c r="DUW7" s="733"/>
      <c r="DUX7" s="733"/>
      <c r="DUY7" s="733"/>
      <c r="DUZ7" s="733"/>
      <c r="DVA7" s="733"/>
      <c r="DVB7" s="733"/>
      <c r="DVC7" s="733"/>
      <c r="DVD7" s="733"/>
      <c r="DVE7" s="733"/>
      <c r="DVF7" s="733"/>
      <c r="DVG7" s="733"/>
      <c r="DVH7" s="733"/>
      <c r="DVI7" s="733"/>
      <c r="DVJ7" s="733"/>
      <c r="DVK7" s="733"/>
      <c r="DVL7" s="733"/>
      <c r="DVM7" s="733"/>
      <c r="DVN7" s="733"/>
      <c r="DVO7" s="733"/>
      <c r="DVP7" s="733"/>
      <c r="DVQ7" s="733"/>
      <c r="DVR7" s="733"/>
      <c r="DVS7" s="733"/>
      <c r="DVT7" s="733"/>
      <c r="DVU7" s="733"/>
      <c r="DVV7" s="733"/>
      <c r="DVW7" s="733"/>
      <c r="DVX7" s="733"/>
      <c r="DVY7" s="733"/>
      <c r="DVZ7" s="733"/>
      <c r="DWA7" s="733"/>
      <c r="DWB7" s="733"/>
      <c r="DWC7" s="733"/>
      <c r="DWD7" s="733"/>
      <c r="DWE7" s="733"/>
      <c r="DWF7" s="733"/>
      <c r="DWG7" s="733"/>
      <c r="DWH7" s="733"/>
      <c r="DWI7" s="733"/>
      <c r="DWJ7" s="733"/>
      <c r="DWK7" s="733"/>
      <c r="DWL7" s="733"/>
      <c r="DWM7" s="733"/>
      <c r="DWN7" s="733"/>
      <c r="DWO7" s="733"/>
      <c r="DWP7" s="733"/>
      <c r="DWQ7" s="733"/>
      <c r="DWR7" s="733"/>
      <c r="DWS7" s="733"/>
      <c r="DWT7" s="733"/>
      <c r="DWU7" s="733"/>
      <c r="DWV7" s="733"/>
      <c r="DWW7" s="733"/>
      <c r="DWX7" s="733"/>
      <c r="DWY7" s="733"/>
      <c r="DWZ7" s="733"/>
      <c r="DXA7" s="733"/>
      <c r="DXB7" s="733"/>
      <c r="DXC7" s="733"/>
      <c r="DXD7" s="733"/>
      <c r="DXE7" s="733"/>
      <c r="DXF7" s="733"/>
      <c r="DXG7" s="733"/>
      <c r="DXH7" s="733"/>
      <c r="DXI7" s="733"/>
      <c r="DXJ7" s="733"/>
      <c r="DXK7" s="733"/>
      <c r="DXL7" s="733"/>
      <c r="DXM7" s="733"/>
      <c r="DXN7" s="733"/>
      <c r="DXO7" s="733"/>
      <c r="DXP7" s="733"/>
      <c r="DXQ7" s="733"/>
      <c r="DXR7" s="733"/>
      <c r="DXS7" s="733"/>
      <c r="DXT7" s="733"/>
      <c r="DXU7" s="733"/>
      <c r="DXV7" s="733"/>
      <c r="DXW7" s="733"/>
      <c r="DXX7" s="733"/>
      <c r="DXY7" s="733"/>
      <c r="DXZ7" s="733"/>
      <c r="DYA7" s="733"/>
      <c r="DYB7" s="733"/>
      <c r="DYC7" s="733"/>
      <c r="DYD7" s="733"/>
      <c r="DYE7" s="733"/>
      <c r="DYF7" s="733"/>
      <c r="DYG7" s="733"/>
      <c r="DYH7" s="733"/>
      <c r="DYI7" s="733"/>
      <c r="DYJ7" s="733"/>
      <c r="DYK7" s="733"/>
      <c r="DYL7" s="733"/>
      <c r="DYM7" s="733"/>
      <c r="DYN7" s="733"/>
      <c r="DYO7" s="733"/>
      <c r="DYP7" s="733"/>
      <c r="DYQ7" s="733"/>
      <c r="DYR7" s="733"/>
      <c r="DYS7" s="733"/>
      <c r="DYT7" s="733"/>
      <c r="DYU7" s="733"/>
      <c r="DYV7" s="733"/>
      <c r="DYW7" s="733"/>
      <c r="DYX7" s="733"/>
      <c r="DYY7" s="733"/>
      <c r="DYZ7" s="733"/>
      <c r="DZA7" s="733"/>
      <c r="DZB7" s="733"/>
      <c r="DZC7" s="733"/>
      <c r="DZD7" s="733"/>
      <c r="DZE7" s="733"/>
      <c r="DZF7" s="733"/>
      <c r="DZG7" s="733"/>
      <c r="DZH7" s="733"/>
      <c r="DZI7" s="733"/>
      <c r="DZJ7" s="733"/>
      <c r="DZK7" s="733"/>
      <c r="DZL7" s="733"/>
      <c r="DZM7" s="733"/>
      <c r="DZN7" s="733"/>
      <c r="DZO7" s="733"/>
      <c r="DZP7" s="733"/>
      <c r="DZQ7" s="733"/>
      <c r="DZR7" s="733"/>
      <c r="DZS7" s="733"/>
      <c r="DZT7" s="733"/>
      <c r="DZU7" s="733"/>
      <c r="DZV7" s="733"/>
      <c r="DZW7" s="733"/>
      <c r="DZX7" s="733"/>
      <c r="DZY7" s="733"/>
      <c r="DZZ7" s="733"/>
      <c r="EAA7" s="733"/>
      <c r="EAB7" s="733"/>
      <c r="EAC7" s="733"/>
      <c r="EAD7" s="733"/>
      <c r="EAE7" s="733"/>
      <c r="EAF7" s="733"/>
      <c r="EAG7" s="733"/>
      <c r="EAH7" s="733"/>
      <c r="EAI7" s="733"/>
      <c r="EAJ7" s="733"/>
      <c r="EAK7" s="733"/>
      <c r="EAL7" s="733"/>
      <c r="EAM7" s="733"/>
      <c r="EAN7" s="733"/>
      <c r="EAO7" s="733"/>
      <c r="EAP7" s="733"/>
      <c r="EAQ7" s="733"/>
      <c r="EAR7" s="733"/>
      <c r="EAS7" s="733"/>
      <c r="EAT7" s="733"/>
      <c r="EAU7" s="733"/>
      <c r="EAV7" s="733"/>
      <c r="EAW7" s="733"/>
      <c r="EAX7" s="733"/>
      <c r="EAY7" s="733"/>
      <c r="EAZ7" s="733"/>
      <c r="EBA7" s="733"/>
      <c r="EBB7" s="733"/>
      <c r="EBC7" s="733"/>
      <c r="EBD7" s="733"/>
      <c r="EBE7" s="733"/>
      <c r="EBF7" s="733"/>
      <c r="EBG7" s="733"/>
      <c r="EBH7" s="733"/>
      <c r="EBI7" s="733"/>
      <c r="EBJ7" s="733"/>
      <c r="EBK7" s="733"/>
      <c r="EBL7" s="733"/>
      <c r="EBM7" s="733"/>
      <c r="EBN7" s="733"/>
      <c r="EBO7" s="733"/>
      <c r="EBP7" s="733"/>
      <c r="EBQ7" s="733"/>
      <c r="EBR7" s="733"/>
      <c r="EBS7" s="733"/>
      <c r="EBT7" s="733"/>
      <c r="EBU7" s="733"/>
      <c r="EBV7" s="733"/>
      <c r="EBW7" s="733"/>
      <c r="EBX7" s="733"/>
      <c r="EBY7" s="733"/>
      <c r="EBZ7" s="733"/>
      <c r="ECA7" s="733"/>
      <c r="ECB7" s="733"/>
      <c r="ECC7" s="733"/>
      <c r="ECD7" s="733"/>
      <c r="ECE7" s="733"/>
      <c r="ECF7" s="733"/>
      <c r="ECG7" s="733"/>
      <c r="ECH7" s="733"/>
      <c r="ECI7" s="733"/>
      <c r="ECJ7" s="733"/>
      <c r="ECK7" s="733"/>
      <c r="ECL7" s="733"/>
      <c r="ECM7" s="733"/>
      <c r="ECN7" s="733"/>
      <c r="ECO7" s="733"/>
      <c r="ECP7" s="733"/>
      <c r="ECQ7" s="733"/>
      <c r="ECR7" s="733"/>
      <c r="ECS7" s="733"/>
      <c r="ECT7" s="733"/>
      <c r="ECU7" s="733"/>
      <c r="ECV7" s="733"/>
      <c r="ECW7" s="733"/>
      <c r="ECX7" s="733"/>
      <c r="ECY7" s="733"/>
      <c r="ECZ7" s="733"/>
      <c r="EDA7" s="733"/>
      <c r="EDB7" s="733"/>
      <c r="EDC7" s="733"/>
      <c r="EDD7" s="733"/>
      <c r="EDE7" s="733"/>
      <c r="EDF7" s="733"/>
      <c r="EDG7" s="733"/>
      <c r="EDH7" s="733"/>
      <c r="EDI7" s="733"/>
      <c r="EDJ7" s="733"/>
      <c r="EDK7" s="733"/>
      <c r="EDL7" s="733"/>
      <c r="EDM7" s="733"/>
      <c r="EDN7" s="733"/>
      <c r="EDO7" s="733"/>
      <c r="EDP7" s="733"/>
      <c r="EDQ7" s="733"/>
      <c r="EDR7" s="733"/>
      <c r="EDS7" s="733"/>
      <c r="EDT7" s="733"/>
      <c r="EDU7" s="733"/>
      <c r="EDV7" s="733"/>
      <c r="EDW7" s="733"/>
      <c r="EDX7" s="733"/>
      <c r="EDY7" s="733"/>
      <c r="EDZ7" s="733"/>
      <c r="EEA7" s="733"/>
      <c r="EEB7" s="733"/>
      <c r="EEC7" s="733"/>
      <c r="EED7" s="733"/>
      <c r="EEE7" s="733"/>
      <c r="EEF7" s="733"/>
      <c r="EEG7" s="733"/>
      <c r="EEH7" s="733"/>
      <c r="EEI7" s="733"/>
      <c r="EEJ7" s="733"/>
      <c r="EEK7" s="733"/>
      <c r="EEL7" s="733"/>
      <c r="EEM7" s="733"/>
      <c r="EEN7" s="733"/>
      <c r="EEO7" s="733"/>
      <c r="EEP7" s="733"/>
      <c r="EEQ7" s="733"/>
      <c r="EER7" s="733"/>
      <c r="EES7" s="733"/>
      <c r="EET7" s="733"/>
      <c r="EEU7" s="733"/>
      <c r="EEV7" s="733"/>
      <c r="EEW7" s="733"/>
      <c r="EEX7" s="733"/>
      <c r="EEY7" s="733"/>
      <c r="EEZ7" s="733"/>
      <c r="EFA7" s="733"/>
      <c r="EFB7" s="733"/>
      <c r="EFC7" s="733"/>
      <c r="EFD7" s="733"/>
      <c r="EFE7" s="733"/>
      <c r="EFF7" s="733"/>
      <c r="EFG7" s="733"/>
      <c r="EFH7" s="733"/>
      <c r="EFI7" s="733"/>
      <c r="EFJ7" s="733"/>
      <c r="EFK7" s="733"/>
      <c r="EFL7" s="733"/>
      <c r="EFM7" s="733"/>
      <c r="EFN7" s="733"/>
      <c r="EFO7" s="733"/>
      <c r="EFP7" s="733"/>
      <c r="EFQ7" s="733"/>
      <c r="EFR7" s="733"/>
      <c r="EFS7" s="733"/>
      <c r="EFT7" s="733"/>
      <c r="EFU7" s="733"/>
      <c r="EFV7" s="733"/>
      <c r="EFW7" s="733"/>
      <c r="EFX7" s="733"/>
      <c r="EFY7" s="733"/>
      <c r="EFZ7" s="733"/>
      <c r="EGA7" s="733"/>
      <c r="EGB7" s="733"/>
      <c r="EGC7" s="733"/>
      <c r="EGD7" s="733"/>
      <c r="EGE7" s="733"/>
      <c r="EGF7" s="733"/>
      <c r="EGG7" s="733"/>
      <c r="EGH7" s="733"/>
      <c r="EGI7" s="733"/>
      <c r="EGJ7" s="733"/>
      <c r="EGK7" s="733"/>
      <c r="EGL7" s="733"/>
      <c r="EGM7" s="733"/>
      <c r="EGN7" s="733"/>
      <c r="EGO7" s="733"/>
      <c r="EGP7" s="733"/>
      <c r="EGQ7" s="733"/>
      <c r="EGR7" s="733"/>
      <c r="EGS7" s="733"/>
      <c r="EGT7" s="733"/>
      <c r="EGU7" s="733"/>
      <c r="EGV7" s="733"/>
      <c r="EGW7" s="733"/>
      <c r="EGX7" s="733"/>
      <c r="EGY7" s="733"/>
      <c r="EGZ7" s="733"/>
      <c r="EHA7" s="733"/>
      <c r="EHB7" s="733"/>
      <c r="EHC7" s="733"/>
      <c r="EHD7" s="733"/>
      <c r="EHE7" s="733"/>
      <c r="EHF7" s="733"/>
      <c r="EHG7" s="733"/>
      <c r="EHH7" s="733"/>
      <c r="EHI7" s="733"/>
      <c r="EHJ7" s="733"/>
      <c r="EHK7" s="733"/>
      <c r="EHL7" s="733"/>
      <c r="EHM7" s="733"/>
      <c r="EHN7" s="733"/>
      <c r="EHO7" s="733"/>
      <c r="EHP7" s="733"/>
      <c r="EHQ7" s="733"/>
      <c r="EHR7" s="733"/>
      <c r="EHS7" s="733"/>
      <c r="EHT7" s="733"/>
      <c r="EHU7" s="733"/>
      <c r="EHV7" s="733"/>
      <c r="EHW7" s="733"/>
      <c r="EHX7" s="733"/>
      <c r="EHY7" s="733"/>
      <c r="EHZ7" s="733"/>
      <c r="EIA7" s="733"/>
      <c r="EIB7" s="733"/>
      <c r="EIC7" s="733"/>
      <c r="EID7" s="733"/>
      <c r="EIE7" s="733"/>
      <c r="EIF7" s="733"/>
      <c r="EIG7" s="733"/>
      <c r="EIH7" s="733"/>
      <c r="EII7" s="733"/>
      <c r="EIJ7" s="733"/>
      <c r="EIK7" s="733"/>
      <c r="EIL7" s="733"/>
      <c r="EIM7" s="733"/>
      <c r="EIN7" s="733"/>
      <c r="EIO7" s="733"/>
      <c r="EIP7" s="733"/>
      <c r="EIQ7" s="733"/>
      <c r="EIR7" s="733"/>
      <c r="EIS7" s="733"/>
      <c r="EIT7" s="733"/>
      <c r="EIU7" s="733"/>
      <c r="EIV7" s="733"/>
      <c r="EIW7" s="733"/>
      <c r="EIX7" s="733"/>
      <c r="EIY7" s="733"/>
      <c r="EIZ7" s="733"/>
      <c r="EJA7" s="733"/>
      <c r="EJB7" s="733"/>
      <c r="EJC7" s="733"/>
      <c r="EJD7" s="733"/>
      <c r="EJE7" s="733"/>
      <c r="EJF7" s="733"/>
      <c r="EJG7" s="733"/>
      <c r="EJH7" s="733"/>
      <c r="EJI7" s="733"/>
      <c r="EJJ7" s="733"/>
      <c r="EJK7" s="733"/>
      <c r="EJL7" s="733"/>
      <c r="EJM7" s="733"/>
      <c r="EJN7" s="733"/>
      <c r="EJO7" s="733"/>
      <c r="EJP7" s="733"/>
      <c r="EJQ7" s="733"/>
      <c r="EJR7" s="733"/>
      <c r="EJS7" s="733"/>
      <c r="EJT7" s="733"/>
      <c r="EJU7" s="733"/>
      <c r="EJV7" s="733"/>
      <c r="EJW7" s="733"/>
      <c r="EJX7" s="733"/>
      <c r="EJY7" s="733"/>
      <c r="EJZ7" s="733"/>
      <c r="EKA7" s="733"/>
      <c r="EKB7" s="733"/>
      <c r="EKC7" s="733"/>
      <c r="EKD7" s="733"/>
      <c r="EKE7" s="733"/>
      <c r="EKF7" s="733"/>
      <c r="EKG7" s="733"/>
      <c r="EKH7" s="733"/>
      <c r="EKI7" s="733"/>
      <c r="EKJ7" s="733"/>
      <c r="EKK7" s="733"/>
      <c r="EKL7" s="733"/>
      <c r="EKM7" s="733"/>
      <c r="EKN7" s="733"/>
      <c r="EKO7" s="733"/>
      <c r="EKP7" s="733"/>
      <c r="EKQ7" s="733"/>
      <c r="EKR7" s="733"/>
      <c r="EKS7" s="733"/>
      <c r="EKT7" s="733"/>
      <c r="EKU7" s="733"/>
      <c r="EKV7" s="733"/>
      <c r="EKW7" s="733"/>
      <c r="EKX7" s="733"/>
      <c r="EKY7" s="733"/>
      <c r="EKZ7" s="733"/>
      <c r="ELA7" s="733"/>
      <c r="ELB7" s="733"/>
      <c r="ELC7" s="733"/>
      <c r="ELD7" s="733"/>
      <c r="ELE7" s="733"/>
      <c r="ELF7" s="733"/>
      <c r="ELG7" s="733"/>
      <c r="ELH7" s="733"/>
      <c r="ELI7" s="733"/>
      <c r="ELJ7" s="733"/>
      <c r="ELK7" s="733"/>
      <c r="ELL7" s="733"/>
      <c r="ELM7" s="733"/>
      <c r="ELN7" s="733"/>
      <c r="ELO7" s="733"/>
      <c r="ELP7" s="733"/>
      <c r="ELQ7" s="733"/>
      <c r="ELR7" s="733"/>
      <c r="ELS7" s="733"/>
      <c r="ELT7" s="733"/>
      <c r="ELU7" s="733"/>
      <c r="ELV7" s="733"/>
      <c r="ELW7" s="733"/>
      <c r="ELX7" s="733"/>
      <c r="ELY7" s="733"/>
      <c r="ELZ7" s="733"/>
      <c r="EMA7" s="733"/>
      <c r="EMB7" s="733"/>
      <c r="EMC7" s="733"/>
      <c r="EMD7" s="733"/>
      <c r="EME7" s="733"/>
      <c r="EMF7" s="733"/>
      <c r="EMG7" s="733"/>
      <c r="EMH7" s="733"/>
      <c r="EMI7" s="733"/>
      <c r="EMJ7" s="733"/>
      <c r="EMK7" s="733"/>
      <c r="EML7" s="733"/>
      <c r="EMM7" s="733"/>
      <c r="EMN7" s="733"/>
      <c r="EMO7" s="733"/>
      <c r="EMP7" s="733"/>
      <c r="EMQ7" s="733"/>
      <c r="EMR7" s="733"/>
      <c r="EMS7" s="733"/>
      <c r="EMT7" s="733"/>
      <c r="EMU7" s="733"/>
      <c r="EMV7" s="733"/>
      <c r="EMW7" s="733"/>
      <c r="EMX7" s="733"/>
      <c r="EMY7" s="733"/>
      <c r="EMZ7" s="733"/>
      <c r="ENA7" s="733"/>
      <c r="ENB7" s="733"/>
      <c r="ENC7" s="733"/>
      <c r="END7" s="733"/>
      <c r="ENE7" s="733"/>
      <c r="ENF7" s="733"/>
      <c r="ENG7" s="733"/>
      <c r="ENH7" s="733"/>
      <c r="ENI7" s="733"/>
      <c r="ENJ7" s="733"/>
      <c r="ENK7" s="733"/>
      <c r="ENL7" s="733"/>
      <c r="ENM7" s="733"/>
      <c r="ENN7" s="733"/>
      <c r="ENO7" s="733"/>
      <c r="ENP7" s="733"/>
      <c r="ENQ7" s="733"/>
      <c r="ENR7" s="733"/>
      <c r="ENS7" s="733"/>
      <c r="ENT7" s="733"/>
      <c r="ENU7" s="733"/>
      <c r="ENV7" s="733"/>
      <c r="ENW7" s="733"/>
      <c r="ENX7" s="733"/>
      <c r="ENY7" s="733"/>
      <c r="ENZ7" s="733"/>
      <c r="EOA7" s="733"/>
      <c r="EOB7" s="733"/>
      <c r="EOC7" s="733"/>
      <c r="EOD7" s="733"/>
      <c r="EOE7" s="733"/>
      <c r="EOF7" s="733"/>
      <c r="EOG7" s="733"/>
      <c r="EOH7" s="733"/>
      <c r="EOI7" s="733"/>
      <c r="EOJ7" s="733"/>
      <c r="EOK7" s="733"/>
      <c r="EOL7" s="733"/>
      <c r="EOM7" s="733"/>
      <c r="EON7" s="733"/>
      <c r="EOO7" s="733"/>
      <c r="EOP7" s="733"/>
      <c r="EOQ7" s="733"/>
      <c r="EOR7" s="733"/>
      <c r="EOS7" s="733"/>
      <c r="EOT7" s="733"/>
      <c r="EOU7" s="733"/>
      <c r="EOV7" s="733"/>
      <c r="EOW7" s="733"/>
      <c r="EOX7" s="733"/>
      <c r="EOY7" s="733"/>
      <c r="EOZ7" s="733"/>
      <c r="EPA7" s="733"/>
      <c r="EPB7" s="733"/>
      <c r="EPC7" s="733"/>
      <c r="EPD7" s="733"/>
      <c r="EPE7" s="733"/>
      <c r="EPF7" s="733"/>
      <c r="EPG7" s="733"/>
      <c r="EPH7" s="733"/>
      <c r="EPI7" s="733"/>
      <c r="EPJ7" s="733"/>
      <c r="EPK7" s="733"/>
      <c r="EPL7" s="733"/>
      <c r="EPM7" s="733"/>
      <c r="EPN7" s="733"/>
      <c r="EPO7" s="733"/>
      <c r="EPP7" s="733"/>
      <c r="EPQ7" s="733"/>
      <c r="EPR7" s="733"/>
      <c r="EPS7" s="733"/>
      <c r="EPT7" s="733"/>
      <c r="EPU7" s="733"/>
      <c r="EPV7" s="733"/>
      <c r="EPW7" s="733"/>
      <c r="EPX7" s="733"/>
      <c r="EPY7" s="733"/>
      <c r="EPZ7" s="733"/>
      <c r="EQA7" s="733"/>
      <c r="EQB7" s="733"/>
      <c r="EQC7" s="733"/>
      <c r="EQD7" s="733"/>
      <c r="EQE7" s="733"/>
      <c r="EQF7" s="733"/>
      <c r="EQG7" s="733"/>
      <c r="EQH7" s="733"/>
      <c r="EQI7" s="733"/>
      <c r="EQJ7" s="733"/>
      <c r="EQK7" s="733"/>
      <c r="EQL7" s="733"/>
      <c r="EQM7" s="733"/>
      <c r="EQN7" s="733"/>
      <c r="EQO7" s="733"/>
      <c r="EQP7" s="733"/>
      <c r="EQQ7" s="733"/>
      <c r="EQR7" s="733"/>
      <c r="EQS7" s="733"/>
      <c r="EQT7" s="733"/>
      <c r="EQU7" s="733"/>
      <c r="EQV7" s="733"/>
      <c r="EQW7" s="733"/>
      <c r="EQX7" s="733"/>
      <c r="EQY7" s="733"/>
      <c r="EQZ7" s="733"/>
      <c r="ERA7" s="733"/>
      <c r="ERB7" s="733"/>
      <c r="ERC7" s="733"/>
      <c r="ERD7" s="733"/>
      <c r="ERE7" s="733"/>
      <c r="ERF7" s="733"/>
      <c r="ERG7" s="733"/>
      <c r="ERH7" s="733"/>
      <c r="ERI7" s="733"/>
      <c r="ERJ7" s="733"/>
      <c r="ERK7" s="733"/>
      <c r="ERL7" s="733"/>
      <c r="ERM7" s="733"/>
      <c r="ERN7" s="733"/>
      <c r="ERO7" s="733"/>
      <c r="ERP7" s="733"/>
      <c r="ERQ7" s="733"/>
      <c r="ERR7" s="733"/>
      <c r="ERS7" s="733"/>
      <c r="ERT7" s="733"/>
      <c r="ERU7" s="733"/>
      <c r="ERV7" s="733"/>
      <c r="ERW7" s="733"/>
      <c r="ERX7" s="733"/>
      <c r="ERY7" s="733"/>
      <c r="ERZ7" s="733"/>
      <c r="ESA7" s="733"/>
      <c r="ESB7" s="733"/>
      <c r="ESC7" s="733"/>
      <c r="ESD7" s="733"/>
      <c r="ESE7" s="733"/>
      <c r="ESF7" s="733"/>
      <c r="ESG7" s="733"/>
      <c r="ESH7" s="733"/>
      <c r="ESI7" s="733"/>
      <c r="ESJ7" s="733"/>
      <c r="ESK7" s="733"/>
      <c r="ESL7" s="733"/>
      <c r="ESM7" s="733"/>
      <c r="ESN7" s="733"/>
      <c r="ESO7" s="733"/>
      <c r="ESP7" s="733"/>
      <c r="ESQ7" s="733"/>
      <c r="ESR7" s="733"/>
      <c r="ESS7" s="733"/>
      <c r="EST7" s="733"/>
      <c r="ESU7" s="733"/>
      <c r="ESV7" s="733"/>
      <c r="ESW7" s="733"/>
      <c r="ESX7" s="733"/>
      <c r="ESY7" s="733"/>
      <c r="ESZ7" s="733"/>
      <c r="ETA7" s="733"/>
      <c r="ETB7" s="733"/>
      <c r="ETC7" s="733"/>
      <c r="ETD7" s="733"/>
      <c r="ETE7" s="733"/>
      <c r="ETF7" s="733"/>
      <c r="ETG7" s="733"/>
      <c r="ETH7" s="733"/>
      <c r="ETI7" s="733"/>
      <c r="ETJ7" s="733"/>
      <c r="ETK7" s="733"/>
      <c r="ETL7" s="733"/>
      <c r="ETM7" s="733"/>
      <c r="ETN7" s="733"/>
      <c r="ETO7" s="733"/>
      <c r="ETP7" s="733"/>
      <c r="ETQ7" s="733"/>
      <c r="ETR7" s="733"/>
      <c r="ETS7" s="733"/>
      <c r="ETT7" s="733"/>
      <c r="ETU7" s="733"/>
      <c r="ETV7" s="733"/>
      <c r="ETW7" s="733"/>
      <c r="ETX7" s="733"/>
      <c r="ETY7" s="733"/>
      <c r="ETZ7" s="733"/>
      <c r="EUA7" s="733"/>
      <c r="EUB7" s="733"/>
      <c r="EUC7" s="733"/>
      <c r="EUD7" s="733"/>
      <c r="EUE7" s="733"/>
      <c r="EUF7" s="733"/>
      <c r="EUG7" s="733"/>
      <c r="EUH7" s="733"/>
      <c r="EUI7" s="733"/>
      <c r="EUJ7" s="733"/>
      <c r="EUK7" s="733"/>
      <c r="EUL7" s="733"/>
      <c r="EUM7" s="733"/>
      <c r="EUN7" s="733"/>
      <c r="EUO7" s="733"/>
      <c r="EUP7" s="733"/>
      <c r="EUQ7" s="733"/>
      <c r="EUR7" s="733"/>
      <c r="EUS7" s="733"/>
      <c r="EUT7" s="733"/>
      <c r="EUU7" s="733"/>
      <c r="EUV7" s="733"/>
      <c r="EUW7" s="733"/>
      <c r="EUX7" s="733"/>
      <c r="EUY7" s="733"/>
      <c r="EUZ7" s="733"/>
      <c r="EVA7" s="733"/>
      <c r="EVB7" s="733"/>
      <c r="EVC7" s="733"/>
      <c r="EVD7" s="733"/>
      <c r="EVE7" s="733"/>
      <c r="EVF7" s="733"/>
      <c r="EVG7" s="733"/>
      <c r="EVH7" s="733"/>
      <c r="EVI7" s="733"/>
      <c r="EVJ7" s="733"/>
      <c r="EVK7" s="733"/>
      <c r="EVL7" s="733"/>
      <c r="EVM7" s="733"/>
      <c r="EVN7" s="733"/>
      <c r="EVO7" s="733"/>
      <c r="EVP7" s="733"/>
      <c r="EVQ7" s="733"/>
      <c r="EVR7" s="733"/>
      <c r="EVS7" s="733"/>
      <c r="EVT7" s="733"/>
      <c r="EVU7" s="733"/>
      <c r="EVV7" s="733"/>
      <c r="EVW7" s="733"/>
      <c r="EVX7" s="733"/>
      <c r="EVY7" s="733"/>
      <c r="EVZ7" s="733"/>
      <c r="EWA7" s="733"/>
      <c r="EWB7" s="733"/>
      <c r="EWC7" s="733"/>
      <c r="EWD7" s="733"/>
      <c r="EWE7" s="733"/>
      <c r="EWF7" s="733"/>
      <c r="EWG7" s="733"/>
      <c r="EWH7" s="733"/>
      <c r="EWI7" s="733"/>
      <c r="EWJ7" s="733"/>
      <c r="EWK7" s="733"/>
      <c r="EWL7" s="733"/>
      <c r="EWM7" s="733"/>
      <c r="EWN7" s="733"/>
      <c r="EWO7" s="733"/>
      <c r="EWP7" s="733"/>
      <c r="EWQ7" s="733"/>
      <c r="EWR7" s="733"/>
      <c r="EWS7" s="733"/>
      <c r="EWT7" s="733"/>
      <c r="EWU7" s="733"/>
      <c r="EWV7" s="733"/>
      <c r="EWW7" s="733"/>
      <c r="EWX7" s="733"/>
      <c r="EWY7" s="733"/>
      <c r="EWZ7" s="733"/>
      <c r="EXA7" s="733"/>
      <c r="EXB7" s="733"/>
      <c r="EXC7" s="733"/>
      <c r="EXD7" s="733"/>
      <c r="EXE7" s="733"/>
      <c r="EXF7" s="733"/>
      <c r="EXG7" s="733"/>
      <c r="EXH7" s="733"/>
      <c r="EXI7" s="733"/>
      <c r="EXJ7" s="733"/>
      <c r="EXK7" s="733"/>
      <c r="EXL7" s="733"/>
      <c r="EXM7" s="733"/>
      <c r="EXN7" s="733"/>
      <c r="EXO7" s="733"/>
      <c r="EXP7" s="733"/>
      <c r="EXQ7" s="733"/>
      <c r="EXR7" s="733"/>
      <c r="EXS7" s="733"/>
      <c r="EXT7" s="733"/>
      <c r="EXU7" s="733"/>
      <c r="EXV7" s="733"/>
      <c r="EXW7" s="733"/>
      <c r="EXX7" s="733"/>
      <c r="EXY7" s="733"/>
      <c r="EXZ7" s="733"/>
      <c r="EYA7" s="733"/>
      <c r="EYB7" s="733"/>
      <c r="EYC7" s="733"/>
      <c r="EYD7" s="733"/>
      <c r="EYE7" s="733"/>
      <c r="EYF7" s="733"/>
      <c r="EYG7" s="733"/>
      <c r="EYH7" s="733"/>
      <c r="EYI7" s="733"/>
      <c r="EYJ7" s="733"/>
      <c r="EYK7" s="733"/>
      <c r="EYL7" s="733"/>
      <c r="EYM7" s="733"/>
      <c r="EYN7" s="733"/>
      <c r="EYO7" s="733"/>
      <c r="EYP7" s="733"/>
      <c r="EYQ7" s="733"/>
      <c r="EYR7" s="733"/>
      <c r="EYS7" s="733"/>
      <c r="EYT7" s="733"/>
      <c r="EYU7" s="733"/>
      <c r="EYV7" s="733"/>
      <c r="EYW7" s="733"/>
      <c r="EYX7" s="733"/>
      <c r="EYY7" s="733"/>
      <c r="EYZ7" s="733"/>
      <c r="EZA7" s="733"/>
      <c r="EZB7" s="733"/>
      <c r="EZC7" s="733"/>
      <c r="EZD7" s="733"/>
      <c r="EZE7" s="733"/>
      <c r="EZF7" s="733"/>
      <c r="EZG7" s="733"/>
      <c r="EZH7" s="733"/>
      <c r="EZI7" s="733"/>
      <c r="EZJ7" s="733"/>
      <c r="EZK7" s="733"/>
      <c r="EZL7" s="733"/>
      <c r="EZM7" s="733"/>
      <c r="EZN7" s="733"/>
      <c r="EZO7" s="733"/>
      <c r="EZP7" s="733"/>
      <c r="EZQ7" s="733"/>
      <c r="EZR7" s="733"/>
      <c r="EZS7" s="733"/>
      <c r="EZT7" s="733"/>
      <c r="EZU7" s="733"/>
      <c r="EZV7" s="733"/>
      <c r="EZW7" s="733"/>
      <c r="EZX7" s="733"/>
      <c r="EZY7" s="733"/>
      <c r="EZZ7" s="733"/>
      <c r="FAA7" s="733"/>
      <c r="FAB7" s="733"/>
      <c r="FAC7" s="733"/>
      <c r="FAD7" s="733"/>
      <c r="FAE7" s="733"/>
      <c r="FAF7" s="733"/>
      <c r="FAG7" s="733"/>
      <c r="FAH7" s="733"/>
      <c r="FAI7" s="733"/>
      <c r="FAJ7" s="733"/>
      <c r="FAK7" s="733"/>
      <c r="FAL7" s="733"/>
      <c r="FAM7" s="733"/>
      <c r="FAN7" s="733"/>
      <c r="FAO7" s="733"/>
      <c r="FAP7" s="733"/>
      <c r="FAQ7" s="733"/>
      <c r="FAR7" s="733"/>
      <c r="FAS7" s="733"/>
      <c r="FAT7" s="733"/>
      <c r="FAU7" s="733"/>
      <c r="FAV7" s="733"/>
      <c r="FAW7" s="733"/>
      <c r="FAX7" s="733"/>
      <c r="FAY7" s="733"/>
      <c r="FAZ7" s="733"/>
      <c r="FBA7" s="733"/>
      <c r="FBB7" s="733"/>
      <c r="FBC7" s="733"/>
      <c r="FBD7" s="733"/>
      <c r="FBE7" s="733"/>
      <c r="FBF7" s="733"/>
      <c r="FBG7" s="733"/>
      <c r="FBH7" s="733"/>
      <c r="FBI7" s="733"/>
      <c r="FBJ7" s="733"/>
      <c r="FBK7" s="733"/>
      <c r="FBL7" s="733"/>
      <c r="FBM7" s="733"/>
      <c r="FBN7" s="733"/>
      <c r="FBO7" s="733"/>
      <c r="FBP7" s="733"/>
      <c r="FBQ7" s="733"/>
      <c r="FBR7" s="733"/>
      <c r="FBS7" s="733"/>
      <c r="FBT7" s="733"/>
      <c r="FBU7" s="733"/>
      <c r="FBV7" s="733"/>
      <c r="FBW7" s="733"/>
      <c r="FBX7" s="733"/>
      <c r="FBY7" s="733"/>
      <c r="FBZ7" s="733"/>
      <c r="FCA7" s="733"/>
      <c r="FCB7" s="733"/>
      <c r="FCC7" s="733"/>
      <c r="FCD7" s="733"/>
      <c r="FCE7" s="733"/>
      <c r="FCF7" s="733"/>
      <c r="FCG7" s="733"/>
      <c r="FCH7" s="733"/>
      <c r="FCI7" s="733"/>
      <c r="FCJ7" s="733"/>
      <c r="FCK7" s="733"/>
      <c r="FCL7" s="733"/>
      <c r="FCM7" s="733"/>
      <c r="FCN7" s="733"/>
      <c r="FCO7" s="733"/>
      <c r="FCP7" s="733"/>
      <c r="FCQ7" s="733"/>
      <c r="FCR7" s="733"/>
      <c r="FCS7" s="733"/>
      <c r="FCT7" s="733"/>
      <c r="FCU7" s="733"/>
      <c r="FCV7" s="733"/>
      <c r="FCW7" s="733"/>
      <c r="FCX7" s="733"/>
      <c r="FCY7" s="733"/>
      <c r="FCZ7" s="733"/>
      <c r="FDA7" s="733"/>
      <c r="FDB7" s="733"/>
      <c r="FDC7" s="733"/>
      <c r="FDD7" s="733"/>
      <c r="FDE7" s="733"/>
      <c r="FDF7" s="733"/>
      <c r="FDG7" s="733"/>
      <c r="FDH7" s="733"/>
      <c r="FDI7" s="733"/>
      <c r="FDJ7" s="733"/>
      <c r="FDK7" s="733"/>
      <c r="FDL7" s="733"/>
      <c r="FDM7" s="733"/>
      <c r="FDN7" s="733"/>
      <c r="FDO7" s="733"/>
      <c r="FDP7" s="733"/>
      <c r="FDQ7" s="733"/>
      <c r="FDR7" s="733"/>
      <c r="FDS7" s="733"/>
      <c r="FDT7" s="733"/>
      <c r="FDU7" s="733"/>
      <c r="FDV7" s="733"/>
      <c r="FDW7" s="733"/>
      <c r="FDX7" s="733"/>
      <c r="FDY7" s="733"/>
      <c r="FDZ7" s="733"/>
      <c r="FEA7" s="733"/>
      <c r="FEB7" s="733"/>
      <c r="FEC7" s="733"/>
      <c r="FED7" s="733"/>
      <c r="FEE7" s="733"/>
      <c r="FEF7" s="733"/>
      <c r="FEG7" s="733"/>
      <c r="FEH7" s="733"/>
      <c r="FEI7" s="733"/>
      <c r="FEJ7" s="733"/>
      <c r="FEK7" s="733"/>
      <c r="FEL7" s="733"/>
      <c r="FEM7" s="733"/>
      <c r="FEN7" s="733"/>
      <c r="FEO7" s="733"/>
      <c r="FEP7" s="733"/>
      <c r="FEQ7" s="733"/>
      <c r="FER7" s="733"/>
      <c r="FES7" s="733"/>
      <c r="FET7" s="733"/>
      <c r="FEU7" s="733"/>
      <c r="FEV7" s="733"/>
      <c r="FEW7" s="733"/>
      <c r="FEX7" s="733"/>
      <c r="FEY7" s="733"/>
      <c r="FEZ7" s="733"/>
      <c r="FFA7" s="733"/>
      <c r="FFB7" s="733"/>
      <c r="FFC7" s="733"/>
      <c r="FFD7" s="733"/>
      <c r="FFE7" s="733"/>
      <c r="FFF7" s="733"/>
      <c r="FFG7" s="733"/>
      <c r="FFH7" s="733"/>
      <c r="FFI7" s="733"/>
      <c r="FFJ7" s="733"/>
      <c r="FFK7" s="733"/>
      <c r="FFL7" s="733"/>
      <c r="FFM7" s="733"/>
      <c r="FFN7" s="733"/>
      <c r="FFO7" s="733"/>
      <c r="FFP7" s="733"/>
      <c r="FFQ7" s="733"/>
      <c r="FFR7" s="733"/>
      <c r="FFS7" s="733"/>
      <c r="FFT7" s="733"/>
      <c r="FFU7" s="733"/>
      <c r="FFV7" s="733"/>
      <c r="FFW7" s="733"/>
      <c r="FFX7" s="733"/>
      <c r="FFY7" s="733"/>
      <c r="FFZ7" s="733"/>
      <c r="FGA7" s="733"/>
      <c r="FGB7" s="733"/>
      <c r="FGC7" s="733"/>
      <c r="FGD7" s="733"/>
      <c r="FGE7" s="733"/>
      <c r="FGF7" s="733"/>
      <c r="FGG7" s="733"/>
      <c r="FGH7" s="733"/>
      <c r="FGI7" s="733"/>
      <c r="FGJ7" s="733"/>
      <c r="FGK7" s="733"/>
      <c r="FGL7" s="733"/>
      <c r="FGM7" s="733"/>
      <c r="FGN7" s="733"/>
      <c r="FGO7" s="733"/>
      <c r="FGP7" s="733"/>
      <c r="FGQ7" s="733"/>
      <c r="FGR7" s="733"/>
      <c r="FGS7" s="733"/>
      <c r="FGT7" s="733"/>
      <c r="FGU7" s="733"/>
      <c r="FGV7" s="733"/>
      <c r="FGW7" s="733"/>
      <c r="FGX7" s="733"/>
      <c r="FGY7" s="733"/>
      <c r="FGZ7" s="733"/>
      <c r="FHA7" s="733"/>
      <c r="FHB7" s="733"/>
      <c r="FHC7" s="733"/>
      <c r="FHD7" s="733"/>
      <c r="FHE7" s="733"/>
      <c r="FHF7" s="733"/>
      <c r="FHG7" s="733"/>
      <c r="FHH7" s="733"/>
      <c r="FHI7" s="733"/>
      <c r="FHJ7" s="733"/>
      <c r="FHK7" s="733"/>
      <c r="FHL7" s="733"/>
      <c r="FHM7" s="733"/>
      <c r="FHN7" s="733"/>
      <c r="FHO7" s="733"/>
      <c r="FHP7" s="733"/>
      <c r="FHQ7" s="733"/>
      <c r="FHR7" s="733"/>
      <c r="FHS7" s="733"/>
      <c r="FHT7" s="733"/>
      <c r="FHU7" s="733"/>
      <c r="FHV7" s="733"/>
      <c r="FHW7" s="733"/>
      <c r="FHX7" s="733"/>
      <c r="FHY7" s="733"/>
      <c r="FHZ7" s="733"/>
      <c r="FIA7" s="733"/>
      <c r="FIB7" s="733"/>
      <c r="FIC7" s="733"/>
      <c r="FID7" s="733"/>
      <c r="FIE7" s="733"/>
      <c r="FIF7" s="733"/>
      <c r="FIG7" s="733"/>
      <c r="FIH7" s="733"/>
      <c r="FII7" s="733"/>
      <c r="FIJ7" s="733"/>
      <c r="FIK7" s="733"/>
      <c r="FIL7" s="733"/>
      <c r="FIM7" s="733"/>
      <c r="FIN7" s="733"/>
      <c r="FIO7" s="733"/>
      <c r="FIP7" s="733"/>
      <c r="FIQ7" s="733"/>
      <c r="FIR7" s="733"/>
      <c r="FIS7" s="733"/>
      <c r="FIT7" s="733"/>
      <c r="FIU7" s="733"/>
      <c r="FIV7" s="733"/>
      <c r="FIW7" s="733"/>
      <c r="FIX7" s="733"/>
      <c r="FIY7" s="733"/>
      <c r="FIZ7" s="733"/>
      <c r="FJA7" s="733"/>
      <c r="FJB7" s="733"/>
      <c r="FJC7" s="733"/>
      <c r="FJD7" s="733"/>
      <c r="FJE7" s="733"/>
      <c r="FJF7" s="733"/>
      <c r="FJG7" s="733"/>
      <c r="FJH7" s="733"/>
      <c r="FJI7" s="733"/>
      <c r="FJJ7" s="733"/>
      <c r="FJK7" s="733"/>
      <c r="FJL7" s="733"/>
      <c r="FJM7" s="733"/>
      <c r="FJN7" s="733"/>
      <c r="FJO7" s="733"/>
      <c r="FJP7" s="733"/>
      <c r="FJQ7" s="733"/>
      <c r="FJR7" s="733"/>
      <c r="FJS7" s="733"/>
      <c r="FJT7" s="733"/>
      <c r="FJU7" s="733"/>
      <c r="FJV7" s="733"/>
      <c r="FJW7" s="733"/>
      <c r="FJX7" s="733"/>
      <c r="FJY7" s="733"/>
      <c r="FJZ7" s="733"/>
      <c r="FKA7" s="733"/>
      <c r="FKB7" s="733"/>
      <c r="FKC7" s="733"/>
      <c r="FKD7" s="733"/>
      <c r="FKE7" s="733"/>
      <c r="FKF7" s="733"/>
      <c r="FKG7" s="733"/>
      <c r="FKH7" s="733"/>
      <c r="FKI7" s="733"/>
      <c r="FKJ7" s="733"/>
      <c r="FKK7" s="733"/>
      <c r="FKL7" s="733"/>
      <c r="FKM7" s="733"/>
      <c r="FKN7" s="733"/>
      <c r="FKO7" s="733"/>
      <c r="FKP7" s="733"/>
      <c r="FKQ7" s="733"/>
      <c r="FKR7" s="733"/>
      <c r="FKS7" s="733"/>
      <c r="FKT7" s="733"/>
      <c r="FKU7" s="733"/>
      <c r="FKV7" s="733"/>
      <c r="FKW7" s="733"/>
      <c r="FKX7" s="733"/>
      <c r="FKY7" s="733"/>
      <c r="FKZ7" s="733"/>
      <c r="FLA7" s="733"/>
      <c r="FLB7" s="733"/>
      <c r="FLC7" s="733"/>
      <c r="FLD7" s="733"/>
      <c r="FLE7" s="733"/>
      <c r="FLF7" s="733"/>
      <c r="FLG7" s="733"/>
      <c r="FLH7" s="733"/>
      <c r="FLI7" s="733"/>
      <c r="FLJ7" s="733"/>
      <c r="FLK7" s="733"/>
      <c r="FLL7" s="733"/>
      <c r="FLM7" s="733"/>
      <c r="FLN7" s="733"/>
      <c r="FLO7" s="733"/>
      <c r="FLP7" s="733"/>
      <c r="FLQ7" s="733"/>
      <c r="FLR7" s="733"/>
      <c r="FLS7" s="733"/>
      <c r="FLT7" s="733"/>
      <c r="FLU7" s="733"/>
      <c r="FLV7" s="733"/>
      <c r="FLW7" s="733"/>
      <c r="FLX7" s="733"/>
      <c r="FLY7" s="733"/>
      <c r="FLZ7" s="733"/>
      <c r="FMA7" s="733"/>
      <c r="FMB7" s="733"/>
      <c r="FMC7" s="733"/>
      <c r="FMD7" s="733"/>
      <c r="FME7" s="733"/>
      <c r="FMF7" s="733"/>
      <c r="FMG7" s="733"/>
      <c r="FMH7" s="733"/>
      <c r="FMI7" s="733"/>
      <c r="FMJ7" s="733"/>
      <c r="FMK7" s="733"/>
      <c r="FML7" s="733"/>
      <c r="FMM7" s="733"/>
      <c r="FMN7" s="733"/>
      <c r="FMO7" s="733"/>
      <c r="FMP7" s="733"/>
      <c r="FMQ7" s="733"/>
      <c r="FMR7" s="733"/>
      <c r="FMS7" s="733"/>
      <c r="FMT7" s="733"/>
      <c r="FMU7" s="733"/>
      <c r="FMV7" s="733"/>
      <c r="FMW7" s="733"/>
      <c r="FMX7" s="733"/>
      <c r="FMY7" s="733"/>
      <c r="FMZ7" s="733"/>
      <c r="FNA7" s="733"/>
      <c r="FNB7" s="733"/>
      <c r="FNC7" s="733"/>
      <c r="FND7" s="733"/>
      <c r="FNE7" s="733"/>
      <c r="FNF7" s="733"/>
      <c r="FNG7" s="733"/>
      <c r="FNH7" s="733"/>
      <c r="FNI7" s="733"/>
      <c r="FNJ7" s="733"/>
      <c r="FNK7" s="733"/>
      <c r="FNL7" s="733"/>
      <c r="FNM7" s="733"/>
      <c r="FNN7" s="733"/>
      <c r="FNO7" s="733"/>
      <c r="FNP7" s="733"/>
      <c r="FNQ7" s="733"/>
      <c r="FNR7" s="733"/>
      <c r="FNS7" s="733"/>
      <c r="FNT7" s="733"/>
      <c r="FNU7" s="733"/>
      <c r="FNV7" s="733"/>
      <c r="FNW7" s="733"/>
      <c r="FNX7" s="733"/>
      <c r="FNY7" s="733"/>
      <c r="FNZ7" s="733"/>
      <c r="FOA7" s="733"/>
      <c r="FOB7" s="733"/>
      <c r="FOC7" s="733"/>
      <c r="FOD7" s="733"/>
      <c r="FOE7" s="733"/>
      <c r="FOF7" s="733"/>
      <c r="FOG7" s="733"/>
      <c r="FOH7" s="733"/>
      <c r="FOI7" s="733"/>
      <c r="FOJ7" s="733"/>
      <c r="FOK7" s="733"/>
      <c r="FOL7" s="733"/>
      <c r="FOM7" s="733"/>
      <c r="FON7" s="733"/>
      <c r="FOO7" s="733"/>
      <c r="FOP7" s="733"/>
      <c r="FOQ7" s="733"/>
      <c r="FOR7" s="733"/>
      <c r="FOS7" s="733"/>
      <c r="FOT7" s="733"/>
      <c r="FOU7" s="733"/>
      <c r="FOV7" s="733"/>
      <c r="FOW7" s="733"/>
      <c r="FOX7" s="733"/>
      <c r="FOY7" s="733"/>
      <c r="FOZ7" s="733"/>
      <c r="FPA7" s="733"/>
      <c r="FPB7" s="733"/>
      <c r="FPC7" s="733"/>
      <c r="FPD7" s="733"/>
      <c r="FPE7" s="733"/>
      <c r="FPF7" s="733"/>
      <c r="FPG7" s="733"/>
      <c r="FPH7" s="733"/>
      <c r="FPI7" s="733"/>
      <c r="FPJ7" s="733"/>
      <c r="FPK7" s="733"/>
      <c r="FPL7" s="733"/>
      <c r="FPM7" s="733"/>
      <c r="FPN7" s="733"/>
      <c r="FPO7" s="733"/>
      <c r="FPP7" s="733"/>
      <c r="FPQ7" s="733"/>
      <c r="FPR7" s="733"/>
      <c r="FPS7" s="733"/>
      <c r="FPT7" s="733"/>
      <c r="FPU7" s="733"/>
      <c r="FPV7" s="733"/>
      <c r="FPW7" s="733"/>
      <c r="FPX7" s="733"/>
      <c r="FPY7" s="733"/>
      <c r="FPZ7" s="733"/>
      <c r="FQA7" s="733"/>
      <c r="FQB7" s="733"/>
      <c r="FQC7" s="733"/>
      <c r="FQD7" s="733"/>
      <c r="FQE7" s="733"/>
      <c r="FQF7" s="733"/>
      <c r="FQG7" s="733"/>
      <c r="FQH7" s="733"/>
      <c r="FQI7" s="733"/>
      <c r="FQJ7" s="733"/>
      <c r="FQK7" s="733"/>
      <c r="FQL7" s="733"/>
      <c r="FQM7" s="733"/>
      <c r="FQN7" s="733"/>
      <c r="FQO7" s="733"/>
      <c r="FQP7" s="733"/>
      <c r="FQQ7" s="733"/>
      <c r="FQR7" s="733"/>
      <c r="FQS7" s="733"/>
      <c r="FQT7" s="733"/>
      <c r="FQU7" s="733"/>
      <c r="FQV7" s="733"/>
      <c r="FQW7" s="733"/>
      <c r="FQX7" s="733"/>
      <c r="FQY7" s="733"/>
      <c r="FQZ7" s="733"/>
      <c r="FRA7" s="733"/>
      <c r="FRB7" s="733"/>
      <c r="FRC7" s="733"/>
      <c r="FRD7" s="733"/>
      <c r="FRE7" s="733"/>
      <c r="FRF7" s="733"/>
      <c r="FRG7" s="733"/>
      <c r="FRH7" s="733"/>
      <c r="FRI7" s="733"/>
      <c r="FRJ7" s="733"/>
      <c r="FRK7" s="733"/>
      <c r="FRL7" s="733"/>
      <c r="FRM7" s="733"/>
      <c r="FRN7" s="733"/>
      <c r="FRO7" s="733"/>
      <c r="FRP7" s="733"/>
      <c r="FRQ7" s="733"/>
      <c r="FRR7" s="733"/>
      <c r="FRS7" s="733"/>
      <c r="FRT7" s="733"/>
      <c r="FRU7" s="733"/>
      <c r="FRV7" s="733"/>
      <c r="FRW7" s="733"/>
      <c r="FRX7" s="733"/>
      <c r="FRY7" s="733"/>
      <c r="FRZ7" s="733"/>
      <c r="FSA7" s="733"/>
      <c r="FSB7" s="733"/>
      <c r="FSC7" s="733"/>
      <c r="FSD7" s="733"/>
      <c r="FSE7" s="733"/>
      <c r="FSF7" s="733"/>
      <c r="FSG7" s="733"/>
      <c r="FSH7" s="733"/>
      <c r="FSI7" s="733"/>
      <c r="FSJ7" s="733"/>
      <c r="FSK7" s="733"/>
      <c r="FSL7" s="733"/>
      <c r="FSM7" s="733"/>
      <c r="FSN7" s="733"/>
      <c r="FSO7" s="733"/>
      <c r="FSP7" s="733"/>
      <c r="FSQ7" s="733"/>
      <c r="FSR7" s="733"/>
      <c r="FSS7" s="733"/>
      <c r="FST7" s="733"/>
      <c r="FSU7" s="733"/>
      <c r="FSV7" s="733"/>
      <c r="FSW7" s="733"/>
      <c r="FSX7" s="733"/>
      <c r="FSY7" s="733"/>
      <c r="FSZ7" s="733"/>
      <c r="FTA7" s="733"/>
      <c r="FTB7" s="733"/>
      <c r="FTC7" s="733"/>
      <c r="FTD7" s="733"/>
      <c r="FTE7" s="733"/>
      <c r="FTF7" s="733"/>
      <c r="FTG7" s="733"/>
      <c r="FTH7" s="733"/>
      <c r="FTI7" s="733"/>
      <c r="FTJ7" s="733"/>
      <c r="FTK7" s="733"/>
      <c r="FTL7" s="733"/>
      <c r="FTM7" s="733"/>
      <c r="FTN7" s="733"/>
      <c r="FTO7" s="733"/>
      <c r="FTP7" s="733"/>
      <c r="FTQ7" s="733"/>
      <c r="FTR7" s="733"/>
      <c r="FTS7" s="733"/>
      <c r="FTT7" s="733"/>
      <c r="FTU7" s="733"/>
      <c r="FTV7" s="733"/>
      <c r="FTW7" s="733"/>
      <c r="FTX7" s="733"/>
      <c r="FTY7" s="733"/>
      <c r="FTZ7" s="733"/>
      <c r="FUA7" s="733"/>
      <c r="FUB7" s="733"/>
      <c r="FUC7" s="733"/>
      <c r="FUD7" s="733"/>
      <c r="FUE7" s="733"/>
      <c r="FUF7" s="733"/>
      <c r="FUG7" s="733"/>
      <c r="FUH7" s="733"/>
      <c r="FUI7" s="733"/>
      <c r="FUJ7" s="733"/>
      <c r="FUK7" s="733"/>
      <c r="FUL7" s="733"/>
      <c r="FUM7" s="733"/>
      <c r="FUN7" s="733"/>
      <c r="FUO7" s="733"/>
      <c r="FUP7" s="733"/>
      <c r="FUQ7" s="733"/>
      <c r="FUR7" s="733"/>
      <c r="FUS7" s="733"/>
      <c r="FUT7" s="733"/>
      <c r="FUU7" s="733"/>
      <c r="FUV7" s="733"/>
      <c r="FUW7" s="733"/>
      <c r="FUX7" s="733"/>
      <c r="FUY7" s="733"/>
      <c r="FUZ7" s="733"/>
      <c r="FVA7" s="733"/>
      <c r="FVB7" s="733"/>
      <c r="FVC7" s="733"/>
      <c r="FVD7" s="733"/>
      <c r="FVE7" s="733"/>
      <c r="FVF7" s="733"/>
      <c r="FVG7" s="733"/>
      <c r="FVH7" s="733"/>
      <c r="FVI7" s="733"/>
      <c r="FVJ7" s="733"/>
      <c r="FVK7" s="733"/>
      <c r="FVL7" s="733"/>
      <c r="FVM7" s="733"/>
      <c r="FVN7" s="733"/>
      <c r="FVO7" s="733"/>
      <c r="FVP7" s="733"/>
      <c r="FVQ7" s="733"/>
      <c r="FVR7" s="733"/>
      <c r="FVS7" s="733"/>
      <c r="FVT7" s="733"/>
      <c r="FVU7" s="733"/>
      <c r="FVV7" s="733"/>
      <c r="FVW7" s="733"/>
      <c r="FVX7" s="733"/>
      <c r="FVY7" s="733"/>
      <c r="FVZ7" s="733"/>
      <c r="FWA7" s="733"/>
      <c r="FWB7" s="733"/>
      <c r="FWC7" s="733"/>
      <c r="FWD7" s="733"/>
      <c r="FWE7" s="733"/>
      <c r="FWF7" s="733"/>
      <c r="FWG7" s="733"/>
      <c r="FWH7" s="733"/>
      <c r="FWI7" s="733"/>
      <c r="FWJ7" s="733"/>
      <c r="FWK7" s="733"/>
      <c r="FWL7" s="733"/>
      <c r="FWM7" s="733"/>
      <c r="FWN7" s="733"/>
      <c r="FWO7" s="733"/>
      <c r="FWP7" s="733"/>
      <c r="FWQ7" s="733"/>
      <c r="FWR7" s="733"/>
      <c r="FWS7" s="733"/>
      <c r="FWT7" s="733"/>
      <c r="FWU7" s="733"/>
      <c r="FWV7" s="733"/>
      <c r="FWW7" s="733"/>
      <c r="FWX7" s="733"/>
      <c r="FWY7" s="733"/>
      <c r="FWZ7" s="733"/>
      <c r="FXA7" s="733"/>
      <c r="FXB7" s="733"/>
      <c r="FXC7" s="733"/>
      <c r="FXD7" s="733"/>
      <c r="FXE7" s="733"/>
      <c r="FXF7" s="733"/>
      <c r="FXG7" s="733"/>
      <c r="FXH7" s="733"/>
      <c r="FXI7" s="733"/>
      <c r="FXJ7" s="733"/>
      <c r="FXK7" s="733"/>
      <c r="FXL7" s="733"/>
      <c r="FXM7" s="733"/>
      <c r="FXN7" s="733"/>
      <c r="FXO7" s="733"/>
      <c r="FXP7" s="733"/>
      <c r="FXQ7" s="733"/>
      <c r="FXR7" s="733"/>
      <c r="FXS7" s="733"/>
      <c r="FXT7" s="733"/>
      <c r="FXU7" s="733"/>
      <c r="FXV7" s="733"/>
      <c r="FXW7" s="733"/>
      <c r="FXX7" s="733"/>
      <c r="FXY7" s="733"/>
      <c r="FXZ7" s="733"/>
      <c r="FYA7" s="733"/>
      <c r="FYB7" s="733"/>
      <c r="FYC7" s="733"/>
      <c r="FYD7" s="733"/>
      <c r="FYE7" s="733"/>
      <c r="FYF7" s="733"/>
      <c r="FYG7" s="733"/>
      <c r="FYH7" s="733"/>
      <c r="FYI7" s="733"/>
      <c r="FYJ7" s="733"/>
      <c r="FYK7" s="733"/>
      <c r="FYL7" s="733"/>
      <c r="FYM7" s="733"/>
      <c r="FYN7" s="733"/>
      <c r="FYO7" s="733"/>
      <c r="FYP7" s="733"/>
      <c r="FYQ7" s="733"/>
      <c r="FYR7" s="733"/>
      <c r="FYS7" s="733"/>
      <c r="FYT7" s="733"/>
      <c r="FYU7" s="733"/>
      <c r="FYV7" s="733"/>
      <c r="FYW7" s="733"/>
      <c r="FYX7" s="733"/>
      <c r="FYY7" s="733"/>
      <c r="FYZ7" s="733"/>
      <c r="FZA7" s="733"/>
      <c r="FZB7" s="733"/>
      <c r="FZC7" s="733"/>
      <c r="FZD7" s="733"/>
      <c r="FZE7" s="733"/>
      <c r="FZF7" s="733"/>
      <c r="FZG7" s="733"/>
      <c r="FZH7" s="733"/>
      <c r="FZI7" s="733"/>
      <c r="FZJ7" s="733"/>
      <c r="FZK7" s="733"/>
      <c r="FZL7" s="733"/>
      <c r="FZM7" s="733"/>
      <c r="FZN7" s="733"/>
      <c r="FZO7" s="733"/>
      <c r="FZP7" s="733"/>
      <c r="FZQ7" s="733"/>
      <c r="FZR7" s="733"/>
      <c r="FZS7" s="733"/>
      <c r="FZT7" s="733"/>
      <c r="FZU7" s="733"/>
      <c r="FZV7" s="733"/>
      <c r="FZW7" s="733"/>
      <c r="FZX7" s="733"/>
      <c r="FZY7" s="733"/>
      <c r="FZZ7" s="733"/>
      <c r="GAA7" s="733"/>
      <c r="GAB7" s="733"/>
      <c r="GAC7" s="733"/>
      <c r="GAD7" s="733"/>
      <c r="GAE7" s="733"/>
      <c r="GAF7" s="733"/>
      <c r="GAG7" s="733"/>
      <c r="GAH7" s="733"/>
      <c r="GAI7" s="733"/>
      <c r="GAJ7" s="733"/>
      <c r="GAK7" s="733"/>
      <c r="GAL7" s="733"/>
      <c r="GAM7" s="733"/>
      <c r="GAN7" s="733"/>
      <c r="GAO7" s="733"/>
      <c r="GAP7" s="733"/>
      <c r="GAQ7" s="733"/>
      <c r="GAR7" s="733"/>
      <c r="GAS7" s="733"/>
      <c r="GAT7" s="733"/>
      <c r="GAU7" s="733"/>
      <c r="GAV7" s="733"/>
      <c r="GAW7" s="733"/>
      <c r="GAX7" s="733"/>
      <c r="GAY7" s="733"/>
      <c r="GAZ7" s="733"/>
      <c r="GBA7" s="733"/>
      <c r="GBB7" s="733"/>
      <c r="GBC7" s="733"/>
      <c r="GBD7" s="733"/>
      <c r="GBE7" s="733"/>
      <c r="GBF7" s="733"/>
      <c r="GBG7" s="733"/>
      <c r="GBH7" s="733"/>
      <c r="GBI7" s="733"/>
      <c r="GBJ7" s="733"/>
      <c r="GBK7" s="733"/>
      <c r="GBL7" s="733"/>
      <c r="GBM7" s="733"/>
      <c r="GBN7" s="733"/>
      <c r="GBO7" s="733"/>
      <c r="GBP7" s="733"/>
      <c r="GBQ7" s="733"/>
      <c r="GBR7" s="733"/>
      <c r="GBS7" s="733"/>
      <c r="GBT7" s="733"/>
      <c r="GBU7" s="733"/>
      <c r="GBV7" s="733"/>
      <c r="GBW7" s="733"/>
      <c r="GBX7" s="733"/>
      <c r="GBY7" s="733"/>
      <c r="GBZ7" s="733"/>
      <c r="GCA7" s="733"/>
      <c r="GCB7" s="733"/>
      <c r="GCC7" s="733"/>
      <c r="GCD7" s="733"/>
      <c r="GCE7" s="733"/>
      <c r="GCF7" s="733"/>
      <c r="GCG7" s="733"/>
      <c r="GCH7" s="733"/>
      <c r="GCI7" s="733"/>
      <c r="GCJ7" s="733"/>
      <c r="GCK7" s="733"/>
      <c r="GCL7" s="733"/>
      <c r="GCM7" s="733"/>
      <c r="GCN7" s="733"/>
      <c r="GCO7" s="733"/>
      <c r="GCP7" s="733"/>
      <c r="GCQ7" s="733"/>
      <c r="GCR7" s="733"/>
      <c r="GCS7" s="733"/>
      <c r="GCT7" s="733"/>
      <c r="GCU7" s="733"/>
      <c r="GCV7" s="733"/>
      <c r="GCW7" s="733"/>
      <c r="GCX7" s="733"/>
      <c r="GCY7" s="733"/>
      <c r="GCZ7" s="733"/>
      <c r="GDA7" s="733"/>
      <c r="GDB7" s="733"/>
      <c r="GDC7" s="733"/>
      <c r="GDD7" s="733"/>
      <c r="GDE7" s="733"/>
      <c r="GDF7" s="733"/>
      <c r="GDG7" s="733"/>
      <c r="GDH7" s="733"/>
      <c r="GDI7" s="733"/>
      <c r="GDJ7" s="733"/>
      <c r="GDK7" s="733"/>
      <c r="GDL7" s="733"/>
      <c r="GDM7" s="733"/>
      <c r="GDN7" s="733"/>
      <c r="GDO7" s="733"/>
      <c r="GDP7" s="733"/>
      <c r="GDQ7" s="733"/>
      <c r="GDR7" s="733"/>
      <c r="GDS7" s="733"/>
      <c r="GDT7" s="733"/>
      <c r="GDU7" s="733"/>
      <c r="GDV7" s="733"/>
      <c r="GDW7" s="733"/>
      <c r="GDX7" s="733"/>
      <c r="GDY7" s="733"/>
      <c r="GDZ7" s="733"/>
      <c r="GEA7" s="733"/>
      <c r="GEB7" s="733"/>
      <c r="GEC7" s="733"/>
      <c r="GED7" s="733"/>
      <c r="GEE7" s="733"/>
      <c r="GEF7" s="733"/>
      <c r="GEG7" s="733"/>
      <c r="GEH7" s="733"/>
      <c r="GEI7" s="733"/>
      <c r="GEJ7" s="733"/>
      <c r="GEK7" s="733"/>
      <c r="GEL7" s="733"/>
      <c r="GEM7" s="733"/>
      <c r="GEN7" s="733"/>
      <c r="GEO7" s="733"/>
      <c r="GEP7" s="733"/>
      <c r="GEQ7" s="733"/>
      <c r="GER7" s="733"/>
      <c r="GES7" s="733"/>
      <c r="GET7" s="733"/>
      <c r="GEU7" s="733"/>
      <c r="GEV7" s="733"/>
      <c r="GEW7" s="733"/>
      <c r="GEX7" s="733"/>
      <c r="GEY7" s="733"/>
      <c r="GEZ7" s="733"/>
      <c r="GFA7" s="733"/>
      <c r="GFB7" s="733"/>
      <c r="GFC7" s="733"/>
      <c r="GFD7" s="733"/>
      <c r="GFE7" s="733"/>
      <c r="GFF7" s="733"/>
      <c r="GFG7" s="733"/>
      <c r="GFH7" s="733"/>
      <c r="GFI7" s="733"/>
      <c r="GFJ7" s="733"/>
      <c r="GFK7" s="733"/>
      <c r="GFL7" s="733"/>
      <c r="GFM7" s="733"/>
      <c r="GFN7" s="733"/>
      <c r="GFO7" s="733"/>
      <c r="GFP7" s="733"/>
      <c r="GFQ7" s="733"/>
      <c r="GFR7" s="733"/>
      <c r="GFS7" s="733"/>
      <c r="GFT7" s="733"/>
      <c r="GFU7" s="733"/>
      <c r="GFV7" s="733"/>
      <c r="GFW7" s="733"/>
      <c r="GFX7" s="733"/>
      <c r="GFY7" s="733"/>
      <c r="GFZ7" s="733"/>
      <c r="GGA7" s="733"/>
      <c r="GGB7" s="733"/>
      <c r="GGC7" s="733"/>
      <c r="GGD7" s="733"/>
      <c r="GGE7" s="733"/>
      <c r="GGF7" s="733"/>
      <c r="GGG7" s="733"/>
      <c r="GGH7" s="733"/>
      <c r="GGI7" s="733"/>
      <c r="GGJ7" s="733"/>
      <c r="GGK7" s="733"/>
      <c r="GGL7" s="733"/>
      <c r="GGM7" s="733"/>
      <c r="GGN7" s="733"/>
      <c r="GGO7" s="733"/>
      <c r="GGP7" s="733"/>
      <c r="GGQ7" s="733"/>
      <c r="GGR7" s="733"/>
      <c r="GGS7" s="733"/>
      <c r="GGT7" s="733"/>
      <c r="GGU7" s="733"/>
      <c r="GGV7" s="733"/>
      <c r="GGW7" s="733"/>
      <c r="GGX7" s="733"/>
      <c r="GGY7" s="733"/>
      <c r="GGZ7" s="733"/>
      <c r="GHA7" s="733"/>
      <c r="GHB7" s="733"/>
      <c r="GHC7" s="733"/>
      <c r="GHD7" s="733"/>
      <c r="GHE7" s="733"/>
      <c r="GHF7" s="733"/>
      <c r="GHG7" s="733"/>
      <c r="GHH7" s="733"/>
      <c r="GHI7" s="733"/>
      <c r="GHJ7" s="733"/>
      <c r="GHK7" s="733"/>
      <c r="GHL7" s="733"/>
      <c r="GHM7" s="733"/>
      <c r="GHN7" s="733"/>
      <c r="GHO7" s="733"/>
      <c r="GHP7" s="733"/>
      <c r="GHQ7" s="733"/>
      <c r="GHR7" s="733"/>
      <c r="GHS7" s="733"/>
      <c r="GHT7" s="733"/>
      <c r="GHU7" s="733"/>
      <c r="GHV7" s="733"/>
      <c r="GHW7" s="733"/>
      <c r="GHX7" s="733"/>
      <c r="GHY7" s="733"/>
      <c r="GHZ7" s="733"/>
      <c r="GIA7" s="733"/>
      <c r="GIB7" s="733"/>
      <c r="GIC7" s="733"/>
      <c r="GID7" s="733"/>
      <c r="GIE7" s="733"/>
      <c r="GIF7" s="733"/>
      <c r="GIG7" s="733"/>
      <c r="GIH7" s="733"/>
      <c r="GII7" s="733"/>
      <c r="GIJ7" s="733"/>
      <c r="GIK7" s="733"/>
      <c r="GIL7" s="733"/>
      <c r="GIM7" s="733"/>
      <c r="GIN7" s="733"/>
      <c r="GIO7" s="733"/>
      <c r="GIP7" s="733"/>
      <c r="GIQ7" s="733"/>
      <c r="GIR7" s="733"/>
      <c r="GIS7" s="733"/>
      <c r="GIT7" s="733"/>
      <c r="GIU7" s="733"/>
      <c r="GIV7" s="733"/>
      <c r="GIW7" s="733"/>
      <c r="GIX7" s="733"/>
      <c r="GIY7" s="733"/>
      <c r="GIZ7" s="733"/>
      <c r="GJA7" s="733"/>
      <c r="GJB7" s="733"/>
      <c r="GJC7" s="733"/>
      <c r="GJD7" s="733"/>
      <c r="GJE7" s="733"/>
      <c r="GJF7" s="733"/>
      <c r="GJG7" s="733"/>
      <c r="GJH7" s="733"/>
      <c r="GJI7" s="733"/>
      <c r="GJJ7" s="733"/>
      <c r="GJK7" s="733"/>
      <c r="GJL7" s="733"/>
      <c r="GJM7" s="733"/>
      <c r="GJN7" s="733"/>
      <c r="GJO7" s="733"/>
      <c r="GJP7" s="733"/>
      <c r="GJQ7" s="733"/>
      <c r="GJR7" s="733"/>
      <c r="GJS7" s="733"/>
      <c r="GJT7" s="733"/>
      <c r="GJU7" s="733"/>
      <c r="GJV7" s="733"/>
      <c r="GJW7" s="733"/>
      <c r="GJX7" s="733"/>
      <c r="GJY7" s="733"/>
      <c r="GJZ7" s="733"/>
      <c r="GKA7" s="733"/>
      <c r="GKB7" s="733"/>
      <c r="GKC7" s="733"/>
      <c r="GKD7" s="733"/>
      <c r="GKE7" s="733"/>
      <c r="GKF7" s="733"/>
      <c r="GKG7" s="733"/>
      <c r="GKH7" s="733"/>
      <c r="GKI7" s="733"/>
      <c r="GKJ7" s="733"/>
      <c r="GKK7" s="733"/>
      <c r="GKL7" s="733"/>
      <c r="GKM7" s="733"/>
      <c r="GKN7" s="733"/>
      <c r="GKO7" s="733"/>
      <c r="GKP7" s="733"/>
      <c r="GKQ7" s="733"/>
      <c r="GKR7" s="733"/>
      <c r="GKS7" s="733"/>
      <c r="GKT7" s="733"/>
      <c r="GKU7" s="733"/>
      <c r="GKV7" s="733"/>
      <c r="GKW7" s="733"/>
      <c r="GKX7" s="733"/>
      <c r="GKY7" s="733"/>
      <c r="GKZ7" s="733"/>
      <c r="GLA7" s="733"/>
      <c r="GLB7" s="733"/>
      <c r="GLC7" s="733"/>
      <c r="GLD7" s="733"/>
      <c r="GLE7" s="733"/>
      <c r="GLF7" s="733"/>
      <c r="GLG7" s="733"/>
      <c r="GLH7" s="733"/>
      <c r="GLI7" s="733"/>
      <c r="GLJ7" s="733"/>
      <c r="GLK7" s="733"/>
      <c r="GLL7" s="733"/>
      <c r="GLM7" s="733"/>
      <c r="GLN7" s="733"/>
      <c r="GLO7" s="733"/>
      <c r="GLP7" s="733"/>
      <c r="GLQ7" s="733"/>
      <c r="GLR7" s="733"/>
      <c r="GLS7" s="733"/>
      <c r="GLT7" s="733"/>
      <c r="GLU7" s="733"/>
      <c r="GLV7" s="733"/>
      <c r="GLW7" s="733"/>
      <c r="GLX7" s="733"/>
      <c r="GLY7" s="733"/>
      <c r="GLZ7" s="733"/>
      <c r="GMA7" s="733"/>
      <c r="GMB7" s="733"/>
      <c r="GMC7" s="733"/>
      <c r="GMD7" s="733"/>
      <c r="GME7" s="733"/>
      <c r="GMF7" s="733"/>
      <c r="GMG7" s="733"/>
      <c r="GMH7" s="733"/>
      <c r="GMI7" s="733"/>
      <c r="GMJ7" s="733"/>
      <c r="GMK7" s="733"/>
      <c r="GML7" s="733"/>
      <c r="GMM7" s="733"/>
      <c r="GMN7" s="733"/>
      <c r="GMO7" s="733"/>
      <c r="GMP7" s="733"/>
      <c r="GMQ7" s="733"/>
      <c r="GMR7" s="733"/>
      <c r="GMS7" s="733"/>
      <c r="GMT7" s="733"/>
      <c r="GMU7" s="733"/>
      <c r="GMV7" s="733"/>
      <c r="GMW7" s="733"/>
      <c r="GMX7" s="733"/>
      <c r="GMY7" s="733"/>
      <c r="GMZ7" s="733"/>
      <c r="GNA7" s="733"/>
      <c r="GNB7" s="733"/>
      <c r="GNC7" s="733"/>
      <c r="GND7" s="733"/>
      <c r="GNE7" s="733"/>
      <c r="GNF7" s="733"/>
      <c r="GNG7" s="733"/>
      <c r="GNH7" s="733"/>
      <c r="GNI7" s="733"/>
      <c r="GNJ7" s="733"/>
      <c r="GNK7" s="733"/>
      <c r="GNL7" s="733"/>
      <c r="GNM7" s="733"/>
      <c r="GNN7" s="733"/>
      <c r="GNO7" s="733"/>
      <c r="GNP7" s="733"/>
      <c r="GNQ7" s="733"/>
      <c r="GNR7" s="733"/>
      <c r="GNS7" s="733"/>
      <c r="GNT7" s="733"/>
      <c r="GNU7" s="733"/>
      <c r="GNV7" s="733"/>
      <c r="GNW7" s="733"/>
      <c r="GNX7" s="733"/>
      <c r="GNY7" s="733"/>
      <c r="GNZ7" s="733"/>
      <c r="GOA7" s="733"/>
      <c r="GOB7" s="733"/>
      <c r="GOC7" s="733"/>
      <c r="GOD7" s="733"/>
      <c r="GOE7" s="733"/>
      <c r="GOF7" s="733"/>
      <c r="GOG7" s="733"/>
      <c r="GOH7" s="733"/>
      <c r="GOI7" s="733"/>
      <c r="GOJ7" s="733"/>
      <c r="GOK7" s="733"/>
      <c r="GOL7" s="733"/>
      <c r="GOM7" s="733"/>
      <c r="GON7" s="733"/>
      <c r="GOO7" s="733"/>
      <c r="GOP7" s="733"/>
      <c r="GOQ7" s="733"/>
      <c r="GOR7" s="733"/>
      <c r="GOS7" s="733"/>
      <c r="GOT7" s="733"/>
      <c r="GOU7" s="733"/>
      <c r="GOV7" s="733"/>
      <c r="GOW7" s="733"/>
      <c r="GOX7" s="733"/>
      <c r="GOY7" s="733"/>
      <c r="GOZ7" s="733"/>
      <c r="GPA7" s="733"/>
      <c r="GPB7" s="733"/>
      <c r="GPC7" s="733"/>
      <c r="GPD7" s="733"/>
      <c r="GPE7" s="733"/>
      <c r="GPF7" s="733"/>
      <c r="GPG7" s="733"/>
      <c r="GPH7" s="733"/>
      <c r="GPI7" s="733"/>
      <c r="GPJ7" s="733"/>
      <c r="GPK7" s="733"/>
      <c r="GPL7" s="733"/>
      <c r="GPM7" s="733"/>
      <c r="GPN7" s="733"/>
      <c r="GPO7" s="733"/>
      <c r="GPP7" s="733"/>
      <c r="GPQ7" s="733"/>
      <c r="GPR7" s="733"/>
      <c r="GPS7" s="733"/>
      <c r="GPT7" s="733"/>
      <c r="GPU7" s="733"/>
      <c r="GPV7" s="733"/>
      <c r="GPW7" s="733"/>
      <c r="GPX7" s="733"/>
      <c r="GPY7" s="733"/>
      <c r="GPZ7" s="733"/>
      <c r="GQA7" s="733"/>
      <c r="GQB7" s="733"/>
      <c r="GQC7" s="733"/>
      <c r="GQD7" s="733"/>
      <c r="GQE7" s="733"/>
      <c r="GQF7" s="733"/>
      <c r="GQG7" s="733"/>
      <c r="GQH7" s="733"/>
      <c r="GQI7" s="733"/>
      <c r="GQJ7" s="733"/>
      <c r="GQK7" s="733"/>
      <c r="GQL7" s="733"/>
      <c r="GQM7" s="733"/>
      <c r="GQN7" s="733"/>
      <c r="GQO7" s="733"/>
      <c r="GQP7" s="733"/>
      <c r="GQQ7" s="733"/>
      <c r="GQR7" s="733"/>
      <c r="GQS7" s="733"/>
      <c r="GQT7" s="733"/>
      <c r="GQU7" s="733"/>
      <c r="GQV7" s="733"/>
      <c r="GQW7" s="733"/>
      <c r="GQX7" s="733"/>
      <c r="GQY7" s="733"/>
      <c r="GQZ7" s="733"/>
      <c r="GRA7" s="733"/>
      <c r="GRB7" s="733"/>
      <c r="GRC7" s="733"/>
      <c r="GRD7" s="733"/>
      <c r="GRE7" s="733"/>
      <c r="GRF7" s="733"/>
      <c r="GRG7" s="733"/>
      <c r="GRH7" s="733"/>
      <c r="GRI7" s="733"/>
      <c r="GRJ7" s="733"/>
      <c r="GRK7" s="733"/>
      <c r="GRL7" s="733"/>
      <c r="GRM7" s="733"/>
      <c r="GRN7" s="733"/>
      <c r="GRO7" s="733"/>
      <c r="GRP7" s="733"/>
      <c r="GRQ7" s="733"/>
      <c r="GRR7" s="733"/>
      <c r="GRS7" s="733"/>
      <c r="GRT7" s="733"/>
      <c r="GRU7" s="733"/>
      <c r="GRV7" s="733"/>
      <c r="GRW7" s="733"/>
      <c r="GRX7" s="733"/>
      <c r="GRY7" s="733"/>
      <c r="GRZ7" s="733"/>
      <c r="GSA7" s="733"/>
      <c r="GSB7" s="733"/>
      <c r="GSC7" s="733"/>
      <c r="GSD7" s="733"/>
      <c r="GSE7" s="733"/>
      <c r="GSF7" s="733"/>
      <c r="GSG7" s="733"/>
      <c r="GSH7" s="733"/>
      <c r="GSI7" s="733"/>
      <c r="GSJ7" s="733"/>
      <c r="GSK7" s="733"/>
      <c r="GSL7" s="733"/>
      <c r="GSM7" s="733"/>
      <c r="GSN7" s="733"/>
      <c r="GSO7" s="733"/>
      <c r="GSP7" s="733"/>
      <c r="GSQ7" s="733"/>
      <c r="GSR7" s="733"/>
      <c r="GSS7" s="733"/>
      <c r="GST7" s="733"/>
      <c r="GSU7" s="733"/>
      <c r="GSV7" s="733"/>
      <c r="GSW7" s="733"/>
      <c r="GSX7" s="733"/>
      <c r="GSY7" s="733"/>
      <c r="GSZ7" s="733"/>
      <c r="GTA7" s="733"/>
      <c r="GTB7" s="733"/>
      <c r="GTC7" s="733"/>
      <c r="GTD7" s="733"/>
      <c r="GTE7" s="733"/>
      <c r="GTF7" s="733"/>
      <c r="GTG7" s="733"/>
      <c r="GTH7" s="733"/>
      <c r="GTI7" s="733"/>
      <c r="GTJ7" s="733"/>
      <c r="GTK7" s="733"/>
      <c r="GTL7" s="733"/>
      <c r="GTM7" s="733"/>
      <c r="GTN7" s="733"/>
      <c r="GTO7" s="733"/>
      <c r="GTP7" s="733"/>
      <c r="GTQ7" s="733"/>
      <c r="GTR7" s="733"/>
      <c r="GTS7" s="733"/>
      <c r="GTT7" s="733"/>
      <c r="GTU7" s="733"/>
      <c r="GTV7" s="733"/>
      <c r="GTW7" s="733"/>
      <c r="GTX7" s="733"/>
      <c r="GTY7" s="733"/>
      <c r="GTZ7" s="733"/>
      <c r="GUA7" s="733"/>
      <c r="GUB7" s="733"/>
      <c r="GUC7" s="733"/>
      <c r="GUD7" s="733"/>
      <c r="GUE7" s="733"/>
      <c r="GUF7" s="733"/>
      <c r="GUG7" s="733"/>
      <c r="GUH7" s="733"/>
      <c r="GUI7" s="733"/>
      <c r="GUJ7" s="733"/>
      <c r="GUK7" s="733"/>
      <c r="GUL7" s="733"/>
      <c r="GUM7" s="733"/>
      <c r="GUN7" s="733"/>
      <c r="GUO7" s="733"/>
      <c r="GUP7" s="733"/>
      <c r="GUQ7" s="733"/>
      <c r="GUR7" s="733"/>
      <c r="GUS7" s="733"/>
      <c r="GUT7" s="733"/>
      <c r="GUU7" s="733"/>
      <c r="GUV7" s="733"/>
      <c r="GUW7" s="733"/>
      <c r="GUX7" s="733"/>
      <c r="GUY7" s="733"/>
      <c r="GUZ7" s="733"/>
      <c r="GVA7" s="733"/>
      <c r="GVB7" s="733"/>
      <c r="GVC7" s="733"/>
      <c r="GVD7" s="733"/>
      <c r="GVE7" s="733"/>
      <c r="GVF7" s="733"/>
      <c r="GVG7" s="733"/>
      <c r="GVH7" s="733"/>
      <c r="GVI7" s="733"/>
      <c r="GVJ7" s="733"/>
      <c r="GVK7" s="733"/>
      <c r="GVL7" s="733"/>
      <c r="GVM7" s="733"/>
      <c r="GVN7" s="733"/>
      <c r="GVO7" s="733"/>
      <c r="GVP7" s="733"/>
      <c r="GVQ7" s="733"/>
      <c r="GVR7" s="733"/>
      <c r="GVS7" s="733"/>
      <c r="GVT7" s="733"/>
      <c r="GVU7" s="733"/>
      <c r="GVV7" s="733"/>
      <c r="GVW7" s="733"/>
      <c r="GVX7" s="733"/>
      <c r="GVY7" s="733"/>
      <c r="GVZ7" s="733"/>
      <c r="GWA7" s="733"/>
      <c r="GWB7" s="733"/>
      <c r="GWC7" s="733"/>
      <c r="GWD7" s="733"/>
      <c r="GWE7" s="733"/>
      <c r="GWF7" s="733"/>
      <c r="GWG7" s="733"/>
      <c r="GWH7" s="733"/>
      <c r="GWI7" s="733"/>
      <c r="GWJ7" s="733"/>
      <c r="GWK7" s="733"/>
      <c r="GWL7" s="733"/>
      <c r="GWM7" s="733"/>
      <c r="GWN7" s="733"/>
      <c r="GWO7" s="733"/>
      <c r="GWP7" s="733"/>
      <c r="GWQ7" s="733"/>
      <c r="GWR7" s="733"/>
      <c r="GWS7" s="733"/>
      <c r="GWT7" s="733"/>
      <c r="GWU7" s="733"/>
      <c r="GWV7" s="733"/>
      <c r="GWW7" s="733"/>
      <c r="GWX7" s="733"/>
      <c r="GWY7" s="733"/>
      <c r="GWZ7" s="733"/>
      <c r="GXA7" s="733"/>
      <c r="GXB7" s="733"/>
      <c r="GXC7" s="733"/>
      <c r="GXD7" s="733"/>
      <c r="GXE7" s="733"/>
      <c r="GXF7" s="733"/>
      <c r="GXG7" s="733"/>
      <c r="GXH7" s="733"/>
      <c r="GXI7" s="733"/>
      <c r="GXJ7" s="733"/>
      <c r="GXK7" s="733"/>
      <c r="GXL7" s="733"/>
      <c r="GXM7" s="733"/>
      <c r="GXN7" s="733"/>
      <c r="GXO7" s="733"/>
      <c r="GXP7" s="733"/>
      <c r="GXQ7" s="733"/>
      <c r="GXR7" s="733"/>
      <c r="GXS7" s="733"/>
      <c r="GXT7" s="733"/>
      <c r="GXU7" s="733"/>
      <c r="GXV7" s="733"/>
      <c r="GXW7" s="733"/>
      <c r="GXX7" s="733"/>
      <c r="GXY7" s="733"/>
      <c r="GXZ7" s="733"/>
      <c r="GYA7" s="733"/>
      <c r="GYB7" s="733"/>
      <c r="GYC7" s="733"/>
      <c r="GYD7" s="733"/>
      <c r="GYE7" s="733"/>
      <c r="GYF7" s="733"/>
      <c r="GYG7" s="733"/>
      <c r="GYH7" s="733"/>
      <c r="GYI7" s="733"/>
      <c r="GYJ7" s="733"/>
      <c r="GYK7" s="733"/>
      <c r="GYL7" s="733"/>
      <c r="GYM7" s="733"/>
      <c r="GYN7" s="733"/>
      <c r="GYO7" s="733"/>
      <c r="GYP7" s="733"/>
      <c r="GYQ7" s="733"/>
      <c r="GYR7" s="733"/>
      <c r="GYS7" s="733"/>
      <c r="GYT7" s="733"/>
      <c r="GYU7" s="733"/>
      <c r="GYV7" s="733"/>
      <c r="GYW7" s="733"/>
      <c r="GYX7" s="733"/>
      <c r="GYY7" s="733"/>
      <c r="GYZ7" s="733"/>
      <c r="GZA7" s="733"/>
      <c r="GZB7" s="733"/>
      <c r="GZC7" s="733"/>
      <c r="GZD7" s="733"/>
      <c r="GZE7" s="733"/>
      <c r="GZF7" s="733"/>
      <c r="GZG7" s="733"/>
      <c r="GZH7" s="733"/>
      <c r="GZI7" s="733"/>
      <c r="GZJ7" s="733"/>
      <c r="GZK7" s="733"/>
      <c r="GZL7" s="733"/>
      <c r="GZM7" s="733"/>
      <c r="GZN7" s="733"/>
      <c r="GZO7" s="733"/>
      <c r="GZP7" s="733"/>
      <c r="GZQ7" s="733"/>
      <c r="GZR7" s="733"/>
      <c r="GZS7" s="733"/>
      <c r="GZT7" s="733"/>
      <c r="GZU7" s="733"/>
      <c r="GZV7" s="733"/>
      <c r="GZW7" s="733"/>
      <c r="GZX7" s="733"/>
      <c r="GZY7" s="733"/>
      <c r="GZZ7" s="733"/>
      <c r="HAA7" s="733"/>
      <c r="HAB7" s="733"/>
      <c r="HAC7" s="733"/>
      <c r="HAD7" s="733"/>
      <c r="HAE7" s="733"/>
      <c r="HAF7" s="733"/>
      <c r="HAG7" s="733"/>
      <c r="HAH7" s="733"/>
      <c r="HAI7" s="733"/>
      <c r="HAJ7" s="733"/>
      <c r="HAK7" s="733"/>
      <c r="HAL7" s="733"/>
      <c r="HAM7" s="733"/>
      <c r="HAN7" s="733"/>
      <c r="HAO7" s="733"/>
      <c r="HAP7" s="733"/>
      <c r="HAQ7" s="733"/>
      <c r="HAR7" s="733"/>
      <c r="HAS7" s="733"/>
      <c r="HAT7" s="733"/>
      <c r="HAU7" s="733"/>
      <c r="HAV7" s="733"/>
      <c r="HAW7" s="733"/>
      <c r="HAX7" s="733"/>
      <c r="HAY7" s="733"/>
      <c r="HAZ7" s="733"/>
      <c r="HBA7" s="733"/>
      <c r="HBB7" s="733"/>
      <c r="HBC7" s="733"/>
      <c r="HBD7" s="733"/>
      <c r="HBE7" s="733"/>
      <c r="HBF7" s="733"/>
      <c r="HBG7" s="733"/>
      <c r="HBH7" s="733"/>
      <c r="HBI7" s="733"/>
      <c r="HBJ7" s="733"/>
      <c r="HBK7" s="733"/>
      <c r="HBL7" s="733"/>
      <c r="HBM7" s="733"/>
      <c r="HBN7" s="733"/>
      <c r="HBO7" s="733"/>
      <c r="HBP7" s="733"/>
      <c r="HBQ7" s="733"/>
      <c r="HBR7" s="733"/>
      <c r="HBS7" s="733"/>
      <c r="HBT7" s="733"/>
      <c r="HBU7" s="733"/>
      <c r="HBV7" s="733"/>
      <c r="HBW7" s="733"/>
      <c r="HBX7" s="733"/>
      <c r="HBY7" s="733"/>
      <c r="HBZ7" s="733"/>
      <c r="HCA7" s="733"/>
      <c r="HCB7" s="733"/>
      <c r="HCC7" s="733"/>
      <c r="HCD7" s="733"/>
      <c r="HCE7" s="733"/>
      <c r="HCF7" s="733"/>
      <c r="HCG7" s="733"/>
      <c r="HCH7" s="733"/>
      <c r="HCI7" s="733"/>
      <c r="HCJ7" s="733"/>
      <c r="HCK7" s="733"/>
      <c r="HCL7" s="733"/>
      <c r="HCM7" s="733"/>
      <c r="HCN7" s="733"/>
      <c r="HCO7" s="733"/>
      <c r="HCP7" s="733"/>
      <c r="HCQ7" s="733"/>
      <c r="HCR7" s="733"/>
      <c r="HCS7" s="733"/>
      <c r="HCT7" s="733"/>
      <c r="HCU7" s="733"/>
      <c r="HCV7" s="733"/>
      <c r="HCW7" s="733"/>
      <c r="HCX7" s="733"/>
      <c r="HCY7" s="733"/>
      <c r="HCZ7" s="733"/>
      <c r="HDA7" s="733"/>
      <c r="HDB7" s="733"/>
      <c r="HDC7" s="733"/>
      <c r="HDD7" s="733"/>
      <c r="HDE7" s="733"/>
      <c r="HDF7" s="733"/>
      <c r="HDG7" s="733"/>
      <c r="HDH7" s="733"/>
      <c r="HDI7" s="733"/>
      <c r="HDJ7" s="733"/>
      <c r="HDK7" s="733"/>
      <c r="HDL7" s="733"/>
      <c r="HDM7" s="733"/>
      <c r="HDN7" s="733"/>
      <c r="HDO7" s="733"/>
      <c r="HDP7" s="733"/>
      <c r="HDQ7" s="733"/>
      <c r="HDR7" s="733"/>
      <c r="HDS7" s="733"/>
      <c r="HDT7" s="733"/>
      <c r="HDU7" s="733"/>
      <c r="HDV7" s="733"/>
      <c r="HDW7" s="733"/>
      <c r="HDX7" s="733"/>
      <c r="HDY7" s="733"/>
      <c r="HDZ7" s="733"/>
      <c r="HEA7" s="733"/>
      <c r="HEB7" s="733"/>
      <c r="HEC7" s="733"/>
      <c r="HED7" s="733"/>
      <c r="HEE7" s="733"/>
      <c r="HEF7" s="733"/>
      <c r="HEG7" s="733"/>
      <c r="HEH7" s="733"/>
      <c r="HEI7" s="733"/>
      <c r="HEJ7" s="733"/>
      <c r="HEK7" s="733"/>
      <c r="HEL7" s="733"/>
      <c r="HEM7" s="733"/>
      <c r="HEN7" s="733"/>
      <c r="HEO7" s="733"/>
      <c r="HEP7" s="733"/>
      <c r="HEQ7" s="733"/>
      <c r="HER7" s="733"/>
      <c r="HES7" s="733"/>
      <c r="HET7" s="733"/>
      <c r="HEU7" s="733"/>
      <c r="HEV7" s="733"/>
      <c r="HEW7" s="733"/>
      <c r="HEX7" s="733"/>
      <c r="HEY7" s="733"/>
      <c r="HEZ7" s="733"/>
      <c r="HFA7" s="733"/>
      <c r="HFB7" s="733"/>
      <c r="HFC7" s="733"/>
      <c r="HFD7" s="733"/>
      <c r="HFE7" s="733"/>
      <c r="HFF7" s="733"/>
      <c r="HFG7" s="733"/>
      <c r="HFH7" s="733"/>
      <c r="HFI7" s="733"/>
      <c r="HFJ7" s="733"/>
      <c r="HFK7" s="733"/>
      <c r="HFL7" s="733"/>
      <c r="HFM7" s="733"/>
      <c r="HFN7" s="733"/>
      <c r="HFO7" s="733"/>
      <c r="HFP7" s="733"/>
      <c r="HFQ7" s="733"/>
      <c r="HFR7" s="733"/>
      <c r="HFS7" s="733"/>
      <c r="HFT7" s="733"/>
      <c r="HFU7" s="733"/>
      <c r="HFV7" s="733"/>
      <c r="HFW7" s="733"/>
      <c r="HFX7" s="733"/>
      <c r="HFY7" s="733"/>
      <c r="HFZ7" s="733"/>
      <c r="HGA7" s="733"/>
      <c r="HGB7" s="733"/>
      <c r="HGC7" s="733"/>
      <c r="HGD7" s="733"/>
      <c r="HGE7" s="733"/>
      <c r="HGF7" s="733"/>
      <c r="HGG7" s="733"/>
      <c r="HGH7" s="733"/>
      <c r="HGI7" s="733"/>
      <c r="HGJ7" s="733"/>
      <c r="HGK7" s="733"/>
      <c r="HGL7" s="733"/>
      <c r="HGM7" s="733"/>
      <c r="HGN7" s="733"/>
      <c r="HGO7" s="733"/>
      <c r="HGP7" s="733"/>
      <c r="HGQ7" s="733"/>
      <c r="HGR7" s="733"/>
      <c r="HGS7" s="733"/>
      <c r="HGT7" s="733"/>
      <c r="HGU7" s="733"/>
      <c r="HGV7" s="733"/>
      <c r="HGW7" s="733"/>
      <c r="HGX7" s="733"/>
      <c r="HGY7" s="733"/>
      <c r="HGZ7" s="733"/>
      <c r="HHA7" s="733"/>
      <c r="HHB7" s="733"/>
      <c r="HHC7" s="733"/>
      <c r="HHD7" s="733"/>
      <c r="HHE7" s="733"/>
      <c r="HHF7" s="733"/>
      <c r="HHG7" s="733"/>
      <c r="HHH7" s="733"/>
      <c r="HHI7" s="733"/>
      <c r="HHJ7" s="733"/>
      <c r="HHK7" s="733"/>
      <c r="HHL7" s="733"/>
      <c r="HHM7" s="733"/>
      <c r="HHN7" s="733"/>
      <c r="HHO7" s="733"/>
      <c r="HHP7" s="733"/>
      <c r="HHQ7" s="733"/>
      <c r="HHR7" s="733"/>
      <c r="HHS7" s="733"/>
      <c r="HHT7" s="733"/>
      <c r="HHU7" s="733"/>
      <c r="HHV7" s="733"/>
      <c r="HHW7" s="733"/>
      <c r="HHX7" s="733"/>
      <c r="HHY7" s="733"/>
      <c r="HHZ7" s="733"/>
      <c r="HIA7" s="733"/>
      <c r="HIB7" s="733"/>
      <c r="HIC7" s="733"/>
      <c r="HID7" s="733"/>
      <c r="HIE7" s="733"/>
      <c r="HIF7" s="733"/>
      <c r="HIG7" s="733"/>
      <c r="HIH7" s="733"/>
      <c r="HII7" s="733"/>
      <c r="HIJ7" s="733"/>
      <c r="HIK7" s="733"/>
      <c r="HIL7" s="733"/>
      <c r="HIM7" s="733"/>
      <c r="HIN7" s="733"/>
      <c r="HIO7" s="733"/>
      <c r="HIP7" s="733"/>
      <c r="HIQ7" s="733"/>
      <c r="HIR7" s="733"/>
      <c r="HIS7" s="733"/>
      <c r="HIT7" s="733"/>
      <c r="HIU7" s="733"/>
      <c r="HIV7" s="733"/>
      <c r="HIW7" s="733"/>
      <c r="HIX7" s="733"/>
      <c r="HIY7" s="733"/>
      <c r="HIZ7" s="733"/>
      <c r="HJA7" s="733"/>
      <c r="HJB7" s="733"/>
      <c r="HJC7" s="733"/>
      <c r="HJD7" s="733"/>
      <c r="HJE7" s="733"/>
      <c r="HJF7" s="733"/>
      <c r="HJG7" s="733"/>
      <c r="HJH7" s="733"/>
      <c r="HJI7" s="733"/>
      <c r="HJJ7" s="733"/>
      <c r="HJK7" s="733"/>
      <c r="HJL7" s="733"/>
      <c r="HJM7" s="733"/>
      <c r="HJN7" s="733"/>
      <c r="HJO7" s="733"/>
      <c r="HJP7" s="733"/>
      <c r="HJQ7" s="733"/>
      <c r="HJR7" s="733"/>
      <c r="HJS7" s="733"/>
      <c r="HJT7" s="733"/>
      <c r="HJU7" s="733"/>
      <c r="HJV7" s="733"/>
      <c r="HJW7" s="733"/>
      <c r="HJX7" s="733"/>
      <c r="HJY7" s="733"/>
      <c r="HJZ7" s="733"/>
      <c r="HKA7" s="733"/>
      <c r="HKB7" s="733"/>
      <c r="HKC7" s="733"/>
      <c r="HKD7" s="733"/>
      <c r="HKE7" s="733"/>
      <c r="HKF7" s="733"/>
      <c r="HKG7" s="733"/>
      <c r="HKH7" s="733"/>
      <c r="HKI7" s="733"/>
      <c r="HKJ7" s="733"/>
      <c r="HKK7" s="733"/>
      <c r="HKL7" s="733"/>
      <c r="HKM7" s="733"/>
      <c r="HKN7" s="733"/>
      <c r="HKO7" s="733"/>
      <c r="HKP7" s="733"/>
      <c r="HKQ7" s="733"/>
      <c r="HKR7" s="733"/>
      <c r="HKS7" s="733"/>
      <c r="HKT7" s="733"/>
      <c r="HKU7" s="733"/>
      <c r="HKV7" s="733"/>
      <c r="HKW7" s="733"/>
      <c r="HKX7" s="733"/>
      <c r="HKY7" s="733"/>
      <c r="HKZ7" s="733"/>
      <c r="HLA7" s="733"/>
      <c r="HLB7" s="733"/>
      <c r="HLC7" s="733"/>
      <c r="HLD7" s="733"/>
      <c r="HLE7" s="733"/>
      <c r="HLF7" s="733"/>
      <c r="HLG7" s="733"/>
      <c r="HLH7" s="733"/>
      <c r="HLI7" s="733"/>
      <c r="HLJ7" s="733"/>
      <c r="HLK7" s="733"/>
      <c r="HLL7" s="733"/>
      <c r="HLM7" s="733"/>
      <c r="HLN7" s="733"/>
      <c r="HLO7" s="733"/>
      <c r="HLP7" s="733"/>
      <c r="HLQ7" s="733"/>
      <c r="HLR7" s="733"/>
      <c r="HLS7" s="733"/>
      <c r="HLT7" s="733"/>
      <c r="HLU7" s="733"/>
      <c r="HLV7" s="733"/>
      <c r="HLW7" s="733"/>
      <c r="HLX7" s="733"/>
      <c r="HLY7" s="733"/>
      <c r="HLZ7" s="733"/>
      <c r="HMA7" s="733"/>
      <c r="HMB7" s="733"/>
      <c r="HMC7" s="733"/>
      <c r="HMD7" s="733"/>
      <c r="HME7" s="733"/>
      <c r="HMF7" s="733"/>
      <c r="HMG7" s="733"/>
      <c r="HMH7" s="733"/>
      <c r="HMI7" s="733"/>
      <c r="HMJ7" s="733"/>
      <c r="HMK7" s="733"/>
      <c r="HML7" s="733"/>
      <c r="HMM7" s="733"/>
      <c r="HMN7" s="733"/>
      <c r="HMO7" s="733"/>
      <c r="HMP7" s="733"/>
      <c r="HMQ7" s="733"/>
      <c r="HMR7" s="733"/>
      <c r="HMS7" s="733"/>
      <c r="HMT7" s="733"/>
      <c r="HMU7" s="733"/>
      <c r="HMV7" s="733"/>
      <c r="HMW7" s="733"/>
      <c r="HMX7" s="733"/>
      <c r="HMY7" s="733"/>
      <c r="HMZ7" s="733"/>
      <c r="HNA7" s="733"/>
      <c r="HNB7" s="733"/>
      <c r="HNC7" s="733"/>
      <c r="HND7" s="733"/>
      <c r="HNE7" s="733"/>
      <c r="HNF7" s="733"/>
      <c r="HNG7" s="733"/>
      <c r="HNH7" s="733"/>
      <c r="HNI7" s="733"/>
      <c r="HNJ7" s="733"/>
      <c r="HNK7" s="733"/>
      <c r="HNL7" s="733"/>
      <c r="HNM7" s="733"/>
      <c r="HNN7" s="733"/>
      <c r="HNO7" s="733"/>
      <c r="HNP7" s="733"/>
      <c r="HNQ7" s="733"/>
      <c r="HNR7" s="733"/>
      <c r="HNS7" s="733"/>
      <c r="HNT7" s="733"/>
      <c r="HNU7" s="733"/>
      <c r="HNV7" s="733"/>
      <c r="HNW7" s="733"/>
      <c r="HNX7" s="733"/>
      <c r="HNY7" s="733"/>
      <c r="HNZ7" s="733"/>
      <c r="HOA7" s="733"/>
      <c r="HOB7" s="733"/>
      <c r="HOC7" s="733"/>
      <c r="HOD7" s="733"/>
      <c r="HOE7" s="733"/>
      <c r="HOF7" s="733"/>
      <c r="HOG7" s="733"/>
      <c r="HOH7" s="733"/>
      <c r="HOI7" s="733"/>
      <c r="HOJ7" s="733"/>
      <c r="HOK7" s="733"/>
      <c r="HOL7" s="733"/>
      <c r="HOM7" s="733"/>
      <c r="HON7" s="733"/>
      <c r="HOO7" s="733"/>
      <c r="HOP7" s="733"/>
      <c r="HOQ7" s="733"/>
      <c r="HOR7" s="733"/>
      <c r="HOS7" s="733"/>
      <c r="HOT7" s="733"/>
      <c r="HOU7" s="733"/>
      <c r="HOV7" s="733"/>
      <c r="HOW7" s="733"/>
      <c r="HOX7" s="733"/>
      <c r="HOY7" s="733"/>
      <c r="HOZ7" s="733"/>
      <c r="HPA7" s="733"/>
      <c r="HPB7" s="733"/>
      <c r="HPC7" s="733"/>
      <c r="HPD7" s="733"/>
      <c r="HPE7" s="733"/>
      <c r="HPF7" s="733"/>
      <c r="HPG7" s="733"/>
      <c r="HPH7" s="733"/>
      <c r="HPI7" s="733"/>
      <c r="HPJ7" s="733"/>
      <c r="HPK7" s="733"/>
      <c r="HPL7" s="733"/>
      <c r="HPM7" s="733"/>
      <c r="HPN7" s="733"/>
      <c r="HPO7" s="733"/>
      <c r="HPP7" s="733"/>
      <c r="HPQ7" s="733"/>
      <c r="HPR7" s="733"/>
      <c r="HPS7" s="733"/>
      <c r="HPT7" s="733"/>
      <c r="HPU7" s="733"/>
      <c r="HPV7" s="733"/>
      <c r="HPW7" s="733"/>
      <c r="HPX7" s="733"/>
      <c r="HPY7" s="733"/>
      <c r="HPZ7" s="733"/>
      <c r="HQA7" s="733"/>
      <c r="HQB7" s="733"/>
      <c r="HQC7" s="733"/>
      <c r="HQD7" s="733"/>
      <c r="HQE7" s="733"/>
      <c r="HQF7" s="733"/>
      <c r="HQG7" s="733"/>
      <c r="HQH7" s="733"/>
      <c r="HQI7" s="733"/>
      <c r="HQJ7" s="733"/>
      <c r="HQK7" s="733"/>
      <c r="HQL7" s="733"/>
      <c r="HQM7" s="733"/>
      <c r="HQN7" s="733"/>
      <c r="HQO7" s="733"/>
      <c r="HQP7" s="733"/>
      <c r="HQQ7" s="733"/>
      <c r="HQR7" s="733"/>
      <c r="HQS7" s="733"/>
      <c r="HQT7" s="733"/>
      <c r="HQU7" s="733"/>
      <c r="HQV7" s="733"/>
      <c r="HQW7" s="733"/>
      <c r="HQX7" s="733"/>
      <c r="HQY7" s="733"/>
      <c r="HQZ7" s="733"/>
      <c r="HRA7" s="733"/>
      <c r="HRB7" s="733"/>
      <c r="HRC7" s="733"/>
      <c r="HRD7" s="733"/>
      <c r="HRE7" s="733"/>
      <c r="HRF7" s="733"/>
      <c r="HRG7" s="733"/>
      <c r="HRH7" s="733"/>
      <c r="HRI7" s="733"/>
      <c r="HRJ7" s="733"/>
      <c r="HRK7" s="733"/>
      <c r="HRL7" s="733"/>
      <c r="HRM7" s="733"/>
      <c r="HRN7" s="733"/>
      <c r="HRO7" s="733"/>
      <c r="HRP7" s="733"/>
      <c r="HRQ7" s="733"/>
      <c r="HRR7" s="733"/>
      <c r="HRS7" s="733"/>
      <c r="HRT7" s="733"/>
      <c r="HRU7" s="733"/>
      <c r="HRV7" s="733"/>
      <c r="HRW7" s="733"/>
      <c r="HRX7" s="733"/>
      <c r="HRY7" s="733"/>
      <c r="HRZ7" s="733"/>
      <c r="HSA7" s="733"/>
      <c r="HSB7" s="733"/>
      <c r="HSC7" s="733"/>
      <c r="HSD7" s="733"/>
      <c r="HSE7" s="733"/>
      <c r="HSF7" s="733"/>
      <c r="HSG7" s="733"/>
      <c r="HSH7" s="733"/>
      <c r="HSI7" s="733"/>
      <c r="HSJ7" s="733"/>
      <c r="HSK7" s="733"/>
      <c r="HSL7" s="733"/>
      <c r="HSM7" s="733"/>
      <c r="HSN7" s="733"/>
      <c r="HSO7" s="733"/>
      <c r="HSP7" s="733"/>
      <c r="HSQ7" s="733"/>
      <c r="HSR7" s="733"/>
      <c r="HSS7" s="733"/>
      <c r="HST7" s="733"/>
      <c r="HSU7" s="733"/>
      <c r="HSV7" s="733"/>
      <c r="HSW7" s="733"/>
      <c r="HSX7" s="733"/>
      <c r="HSY7" s="733"/>
      <c r="HSZ7" s="733"/>
      <c r="HTA7" s="733"/>
      <c r="HTB7" s="733"/>
      <c r="HTC7" s="733"/>
      <c r="HTD7" s="733"/>
      <c r="HTE7" s="733"/>
      <c r="HTF7" s="733"/>
      <c r="HTG7" s="733"/>
      <c r="HTH7" s="733"/>
      <c r="HTI7" s="733"/>
      <c r="HTJ7" s="733"/>
      <c r="HTK7" s="733"/>
      <c r="HTL7" s="733"/>
      <c r="HTM7" s="733"/>
      <c r="HTN7" s="733"/>
      <c r="HTO7" s="733"/>
      <c r="HTP7" s="733"/>
      <c r="HTQ7" s="733"/>
      <c r="HTR7" s="733"/>
      <c r="HTS7" s="733"/>
      <c r="HTT7" s="733"/>
      <c r="HTU7" s="733"/>
      <c r="HTV7" s="733"/>
      <c r="HTW7" s="733"/>
      <c r="HTX7" s="733"/>
      <c r="HTY7" s="733"/>
      <c r="HTZ7" s="733"/>
      <c r="HUA7" s="733"/>
      <c r="HUB7" s="733"/>
      <c r="HUC7" s="733"/>
      <c r="HUD7" s="733"/>
      <c r="HUE7" s="733"/>
      <c r="HUF7" s="733"/>
      <c r="HUG7" s="733"/>
      <c r="HUH7" s="733"/>
      <c r="HUI7" s="733"/>
      <c r="HUJ7" s="733"/>
      <c r="HUK7" s="733"/>
      <c r="HUL7" s="733"/>
      <c r="HUM7" s="733"/>
      <c r="HUN7" s="733"/>
      <c r="HUO7" s="733"/>
      <c r="HUP7" s="733"/>
      <c r="HUQ7" s="733"/>
      <c r="HUR7" s="733"/>
      <c r="HUS7" s="733"/>
      <c r="HUT7" s="733"/>
      <c r="HUU7" s="733"/>
      <c r="HUV7" s="733"/>
      <c r="HUW7" s="733"/>
      <c r="HUX7" s="733"/>
      <c r="HUY7" s="733"/>
      <c r="HUZ7" s="733"/>
      <c r="HVA7" s="733"/>
      <c r="HVB7" s="733"/>
      <c r="HVC7" s="733"/>
      <c r="HVD7" s="733"/>
      <c r="HVE7" s="733"/>
      <c r="HVF7" s="733"/>
      <c r="HVG7" s="733"/>
      <c r="HVH7" s="733"/>
      <c r="HVI7" s="733"/>
      <c r="HVJ7" s="733"/>
      <c r="HVK7" s="733"/>
      <c r="HVL7" s="733"/>
      <c r="HVM7" s="733"/>
      <c r="HVN7" s="733"/>
      <c r="HVO7" s="733"/>
      <c r="HVP7" s="733"/>
      <c r="HVQ7" s="733"/>
      <c r="HVR7" s="733"/>
      <c r="HVS7" s="733"/>
      <c r="HVT7" s="733"/>
      <c r="HVU7" s="733"/>
      <c r="HVV7" s="733"/>
      <c r="HVW7" s="733"/>
      <c r="HVX7" s="733"/>
      <c r="HVY7" s="733"/>
      <c r="HVZ7" s="733"/>
      <c r="HWA7" s="733"/>
      <c r="HWB7" s="733"/>
      <c r="HWC7" s="733"/>
      <c r="HWD7" s="733"/>
      <c r="HWE7" s="733"/>
      <c r="HWF7" s="733"/>
      <c r="HWG7" s="733"/>
      <c r="HWH7" s="733"/>
      <c r="HWI7" s="733"/>
      <c r="HWJ7" s="733"/>
      <c r="HWK7" s="733"/>
      <c r="HWL7" s="733"/>
      <c r="HWM7" s="733"/>
      <c r="HWN7" s="733"/>
      <c r="HWO7" s="733"/>
      <c r="HWP7" s="733"/>
      <c r="HWQ7" s="733"/>
      <c r="HWR7" s="733"/>
      <c r="HWS7" s="733"/>
      <c r="HWT7" s="733"/>
      <c r="HWU7" s="733"/>
      <c r="HWV7" s="733"/>
      <c r="HWW7" s="733"/>
      <c r="HWX7" s="733"/>
      <c r="HWY7" s="733"/>
      <c r="HWZ7" s="733"/>
      <c r="HXA7" s="733"/>
      <c r="HXB7" s="733"/>
      <c r="HXC7" s="733"/>
      <c r="HXD7" s="733"/>
      <c r="HXE7" s="733"/>
      <c r="HXF7" s="733"/>
      <c r="HXG7" s="733"/>
      <c r="HXH7" s="733"/>
      <c r="HXI7" s="733"/>
      <c r="HXJ7" s="733"/>
      <c r="HXK7" s="733"/>
      <c r="HXL7" s="733"/>
      <c r="HXM7" s="733"/>
      <c r="HXN7" s="733"/>
      <c r="HXO7" s="733"/>
      <c r="HXP7" s="733"/>
      <c r="HXQ7" s="733"/>
      <c r="HXR7" s="733"/>
      <c r="HXS7" s="733"/>
      <c r="HXT7" s="733"/>
      <c r="HXU7" s="733"/>
      <c r="HXV7" s="733"/>
      <c r="HXW7" s="733"/>
      <c r="HXX7" s="733"/>
      <c r="HXY7" s="733"/>
      <c r="HXZ7" s="733"/>
      <c r="HYA7" s="733"/>
      <c r="HYB7" s="733"/>
      <c r="HYC7" s="733"/>
      <c r="HYD7" s="733"/>
      <c r="HYE7" s="733"/>
      <c r="HYF7" s="733"/>
      <c r="HYG7" s="733"/>
      <c r="HYH7" s="733"/>
      <c r="HYI7" s="733"/>
      <c r="HYJ7" s="733"/>
      <c r="HYK7" s="733"/>
      <c r="HYL7" s="733"/>
      <c r="HYM7" s="733"/>
      <c r="HYN7" s="733"/>
      <c r="HYO7" s="733"/>
      <c r="HYP7" s="733"/>
      <c r="HYQ7" s="733"/>
      <c r="HYR7" s="733"/>
      <c r="HYS7" s="733"/>
      <c r="HYT7" s="733"/>
      <c r="HYU7" s="733"/>
      <c r="HYV7" s="733"/>
      <c r="HYW7" s="733"/>
      <c r="HYX7" s="733"/>
      <c r="HYY7" s="733"/>
      <c r="HYZ7" s="733"/>
      <c r="HZA7" s="733"/>
      <c r="HZB7" s="733"/>
      <c r="HZC7" s="733"/>
      <c r="HZD7" s="733"/>
      <c r="HZE7" s="733"/>
      <c r="HZF7" s="733"/>
      <c r="HZG7" s="733"/>
      <c r="HZH7" s="733"/>
      <c r="HZI7" s="733"/>
      <c r="HZJ7" s="733"/>
      <c r="HZK7" s="733"/>
      <c r="HZL7" s="733"/>
      <c r="HZM7" s="733"/>
      <c r="HZN7" s="733"/>
      <c r="HZO7" s="733"/>
      <c r="HZP7" s="733"/>
      <c r="HZQ7" s="733"/>
      <c r="HZR7" s="733"/>
      <c r="HZS7" s="733"/>
      <c r="HZT7" s="733"/>
      <c r="HZU7" s="733"/>
      <c r="HZV7" s="733"/>
      <c r="HZW7" s="733"/>
      <c r="HZX7" s="733"/>
      <c r="HZY7" s="733"/>
      <c r="HZZ7" s="733"/>
      <c r="IAA7" s="733"/>
      <c r="IAB7" s="733"/>
      <c r="IAC7" s="733"/>
      <c r="IAD7" s="733"/>
      <c r="IAE7" s="733"/>
      <c r="IAF7" s="733"/>
      <c r="IAG7" s="733"/>
      <c r="IAH7" s="733"/>
      <c r="IAI7" s="733"/>
      <c r="IAJ7" s="733"/>
      <c r="IAK7" s="733"/>
      <c r="IAL7" s="733"/>
      <c r="IAM7" s="733"/>
      <c r="IAN7" s="733"/>
      <c r="IAO7" s="733"/>
      <c r="IAP7" s="733"/>
      <c r="IAQ7" s="733"/>
      <c r="IAR7" s="733"/>
      <c r="IAS7" s="733"/>
      <c r="IAT7" s="733"/>
      <c r="IAU7" s="733"/>
      <c r="IAV7" s="733"/>
      <c r="IAW7" s="733"/>
      <c r="IAX7" s="733"/>
      <c r="IAY7" s="733"/>
      <c r="IAZ7" s="733"/>
      <c r="IBA7" s="733"/>
      <c r="IBB7" s="733"/>
      <c r="IBC7" s="733"/>
      <c r="IBD7" s="733"/>
      <c r="IBE7" s="733"/>
      <c r="IBF7" s="733"/>
      <c r="IBG7" s="733"/>
      <c r="IBH7" s="733"/>
      <c r="IBI7" s="733"/>
      <c r="IBJ7" s="733"/>
      <c r="IBK7" s="733"/>
      <c r="IBL7" s="733"/>
      <c r="IBM7" s="733"/>
      <c r="IBN7" s="733"/>
      <c r="IBO7" s="733"/>
      <c r="IBP7" s="733"/>
      <c r="IBQ7" s="733"/>
      <c r="IBR7" s="733"/>
      <c r="IBS7" s="733"/>
      <c r="IBT7" s="733"/>
      <c r="IBU7" s="733"/>
      <c r="IBV7" s="733"/>
      <c r="IBW7" s="733"/>
      <c r="IBX7" s="733"/>
      <c r="IBY7" s="733"/>
      <c r="IBZ7" s="733"/>
      <c r="ICA7" s="733"/>
      <c r="ICB7" s="733"/>
      <c r="ICC7" s="733"/>
      <c r="ICD7" s="733"/>
      <c r="ICE7" s="733"/>
      <c r="ICF7" s="733"/>
      <c r="ICG7" s="733"/>
      <c r="ICH7" s="733"/>
      <c r="ICI7" s="733"/>
      <c r="ICJ7" s="733"/>
      <c r="ICK7" s="733"/>
      <c r="ICL7" s="733"/>
      <c r="ICM7" s="733"/>
      <c r="ICN7" s="733"/>
      <c r="ICO7" s="733"/>
      <c r="ICP7" s="733"/>
      <c r="ICQ7" s="733"/>
      <c r="ICR7" s="733"/>
      <c r="ICS7" s="733"/>
      <c r="ICT7" s="733"/>
      <c r="ICU7" s="733"/>
      <c r="ICV7" s="733"/>
      <c r="ICW7" s="733"/>
      <c r="ICX7" s="733"/>
      <c r="ICY7" s="733"/>
      <c r="ICZ7" s="733"/>
      <c r="IDA7" s="733"/>
      <c r="IDB7" s="733"/>
      <c r="IDC7" s="733"/>
      <c r="IDD7" s="733"/>
      <c r="IDE7" s="733"/>
      <c r="IDF7" s="733"/>
      <c r="IDG7" s="733"/>
      <c r="IDH7" s="733"/>
      <c r="IDI7" s="733"/>
      <c r="IDJ7" s="733"/>
      <c r="IDK7" s="733"/>
      <c r="IDL7" s="733"/>
      <c r="IDM7" s="733"/>
      <c r="IDN7" s="733"/>
      <c r="IDO7" s="733"/>
      <c r="IDP7" s="733"/>
      <c r="IDQ7" s="733"/>
      <c r="IDR7" s="733"/>
      <c r="IDS7" s="733"/>
      <c r="IDT7" s="733"/>
      <c r="IDU7" s="733"/>
      <c r="IDV7" s="733"/>
      <c r="IDW7" s="733"/>
      <c r="IDX7" s="733"/>
      <c r="IDY7" s="733"/>
      <c r="IDZ7" s="733"/>
      <c r="IEA7" s="733"/>
      <c r="IEB7" s="733"/>
      <c r="IEC7" s="733"/>
      <c r="IED7" s="733"/>
      <c r="IEE7" s="733"/>
      <c r="IEF7" s="733"/>
      <c r="IEG7" s="733"/>
      <c r="IEH7" s="733"/>
      <c r="IEI7" s="733"/>
      <c r="IEJ7" s="733"/>
      <c r="IEK7" s="733"/>
      <c r="IEL7" s="733"/>
      <c r="IEM7" s="733"/>
      <c r="IEN7" s="733"/>
      <c r="IEO7" s="733"/>
      <c r="IEP7" s="733"/>
      <c r="IEQ7" s="733"/>
      <c r="IER7" s="733"/>
      <c r="IES7" s="733"/>
      <c r="IET7" s="733"/>
      <c r="IEU7" s="733"/>
      <c r="IEV7" s="733"/>
      <c r="IEW7" s="733"/>
      <c r="IEX7" s="733"/>
      <c r="IEY7" s="733"/>
      <c r="IEZ7" s="733"/>
      <c r="IFA7" s="733"/>
      <c r="IFB7" s="733"/>
      <c r="IFC7" s="733"/>
      <c r="IFD7" s="733"/>
      <c r="IFE7" s="733"/>
      <c r="IFF7" s="733"/>
      <c r="IFG7" s="733"/>
      <c r="IFH7" s="733"/>
      <c r="IFI7" s="733"/>
      <c r="IFJ7" s="733"/>
      <c r="IFK7" s="733"/>
      <c r="IFL7" s="733"/>
      <c r="IFM7" s="733"/>
      <c r="IFN7" s="733"/>
      <c r="IFO7" s="733"/>
      <c r="IFP7" s="733"/>
      <c r="IFQ7" s="733"/>
      <c r="IFR7" s="733"/>
      <c r="IFS7" s="733"/>
      <c r="IFT7" s="733"/>
      <c r="IFU7" s="733"/>
      <c r="IFV7" s="733"/>
      <c r="IFW7" s="733"/>
      <c r="IFX7" s="733"/>
      <c r="IFY7" s="733"/>
      <c r="IFZ7" s="733"/>
      <c r="IGA7" s="733"/>
      <c r="IGB7" s="733"/>
      <c r="IGC7" s="733"/>
      <c r="IGD7" s="733"/>
      <c r="IGE7" s="733"/>
      <c r="IGF7" s="733"/>
      <c r="IGG7" s="733"/>
      <c r="IGH7" s="733"/>
      <c r="IGI7" s="733"/>
      <c r="IGJ7" s="733"/>
      <c r="IGK7" s="733"/>
      <c r="IGL7" s="733"/>
      <c r="IGM7" s="733"/>
      <c r="IGN7" s="733"/>
      <c r="IGO7" s="733"/>
      <c r="IGP7" s="733"/>
      <c r="IGQ7" s="733"/>
      <c r="IGR7" s="733"/>
      <c r="IGS7" s="733"/>
      <c r="IGT7" s="733"/>
      <c r="IGU7" s="733"/>
      <c r="IGV7" s="733"/>
      <c r="IGW7" s="733"/>
      <c r="IGX7" s="733"/>
      <c r="IGY7" s="733"/>
      <c r="IGZ7" s="733"/>
      <c r="IHA7" s="733"/>
      <c r="IHB7" s="733"/>
      <c r="IHC7" s="733"/>
      <c r="IHD7" s="733"/>
      <c r="IHE7" s="733"/>
      <c r="IHF7" s="733"/>
      <c r="IHG7" s="733"/>
      <c r="IHH7" s="733"/>
      <c r="IHI7" s="733"/>
      <c r="IHJ7" s="733"/>
      <c r="IHK7" s="733"/>
      <c r="IHL7" s="733"/>
      <c r="IHM7" s="733"/>
      <c r="IHN7" s="733"/>
      <c r="IHO7" s="733"/>
      <c r="IHP7" s="733"/>
      <c r="IHQ7" s="733"/>
      <c r="IHR7" s="733"/>
      <c r="IHS7" s="733"/>
      <c r="IHT7" s="733"/>
      <c r="IHU7" s="733"/>
      <c r="IHV7" s="733"/>
      <c r="IHW7" s="733"/>
      <c r="IHX7" s="733"/>
      <c r="IHY7" s="733"/>
      <c r="IHZ7" s="733"/>
      <c r="IIA7" s="733"/>
      <c r="IIB7" s="733"/>
      <c r="IIC7" s="733"/>
      <c r="IID7" s="733"/>
      <c r="IIE7" s="733"/>
      <c r="IIF7" s="733"/>
      <c r="IIG7" s="733"/>
      <c r="IIH7" s="733"/>
      <c r="III7" s="733"/>
      <c r="IIJ7" s="733"/>
      <c r="IIK7" s="733"/>
      <c r="IIL7" s="733"/>
      <c r="IIM7" s="733"/>
      <c r="IIN7" s="733"/>
      <c r="IIO7" s="733"/>
      <c r="IIP7" s="733"/>
      <c r="IIQ7" s="733"/>
      <c r="IIR7" s="733"/>
      <c r="IIS7" s="733"/>
      <c r="IIT7" s="733"/>
      <c r="IIU7" s="733"/>
      <c r="IIV7" s="733"/>
      <c r="IIW7" s="733"/>
      <c r="IIX7" s="733"/>
      <c r="IIY7" s="733"/>
      <c r="IIZ7" s="733"/>
      <c r="IJA7" s="733"/>
      <c r="IJB7" s="733"/>
      <c r="IJC7" s="733"/>
      <c r="IJD7" s="733"/>
      <c r="IJE7" s="733"/>
      <c r="IJF7" s="733"/>
      <c r="IJG7" s="733"/>
      <c r="IJH7" s="733"/>
      <c r="IJI7" s="733"/>
      <c r="IJJ7" s="733"/>
      <c r="IJK7" s="733"/>
      <c r="IJL7" s="733"/>
      <c r="IJM7" s="733"/>
      <c r="IJN7" s="733"/>
      <c r="IJO7" s="733"/>
      <c r="IJP7" s="733"/>
      <c r="IJQ7" s="733"/>
      <c r="IJR7" s="733"/>
      <c r="IJS7" s="733"/>
      <c r="IJT7" s="733"/>
      <c r="IJU7" s="733"/>
      <c r="IJV7" s="733"/>
      <c r="IJW7" s="733"/>
      <c r="IJX7" s="733"/>
      <c r="IJY7" s="733"/>
      <c r="IJZ7" s="733"/>
      <c r="IKA7" s="733"/>
      <c r="IKB7" s="733"/>
      <c r="IKC7" s="733"/>
      <c r="IKD7" s="733"/>
      <c r="IKE7" s="733"/>
      <c r="IKF7" s="733"/>
      <c r="IKG7" s="733"/>
      <c r="IKH7" s="733"/>
      <c r="IKI7" s="733"/>
      <c r="IKJ7" s="733"/>
      <c r="IKK7" s="733"/>
      <c r="IKL7" s="733"/>
      <c r="IKM7" s="733"/>
      <c r="IKN7" s="733"/>
      <c r="IKO7" s="733"/>
      <c r="IKP7" s="733"/>
      <c r="IKQ7" s="733"/>
      <c r="IKR7" s="733"/>
      <c r="IKS7" s="733"/>
      <c r="IKT7" s="733"/>
      <c r="IKU7" s="733"/>
      <c r="IKV7" s="733"/>
      <c r="IKW7" s="733"/>
      <c r="IKX7" s="733"/>
      <c r="IKY7" s="733"/>
      <c r="IKZ7" s="733"/>
      <c r="ILA7" s="733"/>
      <c r="ILB7" s="733"/>
      <c r="ILC7" s="733"/>
      <c r="ILD7" s="733"/>
      <c r="ILE7" s="733"/>
      <c r="ILF7" s="733"/>
      <c r="ILG7" s="733"/>
      <c r="ILH7" s="733"/>
      <c r="ILI7" s="733"/>
      <c r="ILJ7" s="733"/>
      <c r="ILK7" s="733"/>
      <c r="ILL7" s="733"/>
      <c r="ILM7" s="733"/>
      <c r="ILN7" s="733"/>
      <c r="ILO7" s="733"/>
      <c r="ILP7" s="733"/>
      <c r="ILQ7" s="733"/>
      <c r="ILR7" s="733"/>
      <c r="ILS7" s="733"/>
      <c r="ILT7" s="733"/>
      <c r="ILU7" s="733"/>
      <c r="ILV7" s="733"/>
      <c r="ILW7" s="733"/>
      <c r="ILX7" s="733"/>
      <c r="ILY7" s="733"/>
      <c r="ILZ7" s="733"/>
      <c r="IMA7" s="733"/>
      <c r="IMB7" s="733"/>
      <c r="IMC7" s="733"/>
      <c r="IMD7" s="733"/>
      <c r="IME7" s="733"/>
      <c r="IMF7" s="733"/>
      <c r="IMG7" s="733"/>
      <c r="IMH7" s="733"/>
      <c r="IMI7" s="733"/>
      <c r="IMJ7" s="733"/>
      <c r="IMK7" s="733"/>
      <c r="IML7" s="733"/>
      <c r="IMM7" s="733"/>
      <c r="IMN7" s="733"/>
      <c r="IMO7" s="733"/>
      <c r="IMP7" s="733"/>
      <c r="IMQ7" s="733"/>
      <c r="IMR7" s="733"/>
      <c r="IMS7" s="733"/>
      <c r="IMT7" s="733"/>
      <c r="IMU7" s="733"/>
      <c r="IMV7" s="733"/>
      <c r="IMW7" s="733"/>
      <c r="IMX7" s="733"/>
      <c r="IMY7" s="733"/>
      <c r="IMZ7" s="733"/>
      <c r="INA7" s="733"/>
      <c r="INB7" s="733"/>
      <c r="INC7" s="733"/>
      <c r="IND7" s="733"/>
      <c r="INE7" s="733"/>
      <c r="INF7" s="733"/>
      <c r="ING7" s="733"/>
      <c r="INH7" s="733"/>
      <c r="INI7" s="733"/>
      <c r="INJ7" s="733"/>
      <c r="INK7" s="733"/>
      <c r="INL7" s="733"/>
      <c r="INM7" s="733"/>
      <c r="INN7" s="733"/>
      <c r="INO7" s="733"/>
      <c r="INP7" s="733"/>
      <c r="INQ7" s="733"/>
      <c r="INR7" s="733"/>
      <c r="INS7" s="733"/>
      <c r="INT7" s="733"/>
      <c r="INU7" s="733"/>
      <c r="INV7" s="733"/>
      <c r="INW7" s="733"/>
      <c r="INX7" s="733"/>
      <c r="INY7" s="733"/>
      <c r="INZ7" s="733"/>
      <c r="IOA7" s="733"/>
      <c r="IOB7" s="733"/>
      <c r="IOC7" s="733"/>
      <c r="IOD7" s="733"/>
      <c r="IOE7" s="733"/>
      <c r="IOF7" s="733"/>
      <c r="IOG7" s="733"/>
      <c r="IOH7" s="733"/>
      <c r="IOI7" s="733"/>
      <c r="IOJ7" s="733"/>
      <c r="IOK7" s="733"/>
      <c r="IOL7" s="733"/>
      <c r="IOM7" s="733"/>
      <c r="ION7" s="733"/>
      <c r="IOO7" s="733"/>
      <c r="IOP7" s="733"/>
      <c r="IOQ7" s="733"/>
      <c r="IOR7" s="733"/>
      <c r="IOS7" s="733"/>
      <c r="IOT7" s="733"/>
      <c r="IOU7" s="733"/>
      <c r="IOV7" s="733"/>
      <c r="IOW7" s="733"/>
      <c r="IOX7" s="733"/>
      <c r="IOY7" s="733"/>
      <c r="IOZ7" s="733"/>
      <c r="IPA7" s="733"/>
      <c r="IPB7" s="733"/>
      <c r="IPC7" s="733"/>
      <c r="IPD7" s="733"/>
      <c r="IPE7" s="733"/>
      <c r="IPF7" s="733"/>
      <c r="IPG7" s="733"/>
      <c r="IPH7" s="733"/>
      <c r="IPI7" s="733"/>
      <c r="IPJ7" s="733"/>
      <c r="IPK7" s="733"/>
      <c r="IPL7" s="733"/>
      <c r="IPM7" s="733"/>
      <c r="IPN7" s="733"/>
      <c r="IPO7" s="733"/>
      <c r="IPP7" s="733"/>
      <c r="IPQ7" s="733"/>
      <c r="IPR7" s="733"/>
      <c r="IPS7" s="733"/>
      <c r="IPT7" s="733"/>
      <c r="IPU7" s="733"/>
      <c r="IPV7" s="733"/>
      <c r="IPW7" s="733"/>
      <c r="IPX7" s="733"/>
      <c r="IPY7" s="733"/>
      <c r="IPZ7" s="733"/>
      <c r="IQA7" s="733"/>
      <c r="IQB7" s="733"/>
      <c r="IQC7" s="733"/>
      <c r="IQD7" s="733"/>
      <c r="IQE7" s="733"/>
      <c r="IQF7" s="733"/>
      <c r="IQG7" s="733"/>
      <c r="IQH7" s="733"/>
      <c r="IQI7" s="733"/>
      <c r="IQJ7" s="733"/>
      <c r="IQK7" s="733"/>
      <c r="IQL7" s="733"/>
      <c r="IQM7" s="733"/>
      <c r="IQN7" s="733"/>
      <c r="IQO7" s="733"/>
      <c r="IQP7" s="733"/>
      <c r="IQQ7" s="733"/>
      <c r="IQR7" s="733"/>
      <c r="IQS7" s="733"/>
      <c r="IQT7" s="733"/>
      <c r="IQU7" s="733"/>
      <c r="IQV7" s="733"/>
      <c r="IQW7" s="733"/>
      <c r="IQX7" s="733"/>
      <c r="IQY7" s="733"/>
      <c r="IQZ7" s="733"/>
      <c r="IRA7" s="733"/>
      <c r="IRB7" s="733"/>
      <c r="IRC7" s="733"/>
      <c r="IRD7" s="733"/>
      <c r="IRE7" s="733"/>
      <c r="IRF7" s="733"/>
      <c r="IRG7" s="733"/>
      <c r="IRH7" s="733"/>
      <c r="IRI7" s="733"/>
      <c r="IRJ7" s="733"/>
      <c r="IRK7" s="733"/>
      <c r="IRL7" s="733"/>
      <c r="IRM7" s="733"/>
      <c r="IRN7" s="733"/>
      <c r="IRO7" s="733"/>
      <c r="IRP7" s="733"/>
      <c r="IRQ7" s="733"/>
      <c r="IRR7" s="733"/>
      <c r="IRS7" s="733"/>
      <c r="IRT7" s="733"/>
      <c r="IRU7" s="733"/>
      <c r="IRV7" s="733"/>
      <c r="IRW7" s="733"/>
      <c r="IRX7" s="733"/>
      <c r="IRY7" s="733"/>
      <c r="IRZ7" s="733"/>
      <c r="ISA7" s="733"/>
      <c r="ISB7" s="733"/>
      <c r="ISC7" s="733"/>
      <c r="ISD7" s="733"/>
      <c r="ISE7" s="733"/>
      <c r="ISF7" s="733"/>
      <c r="ISG7" s="733"/>
      <c r="ISH7" s="733"/>
      <c r="ISI7" s="733"/>
      <c r="ISJ7" s="733"/>
      <c r="ISK7" s="733"/>
      <c r="ISL7" s="733"/>
      <c r="ISM7" s="733"/>
      <c r="ISN7" s="733"/>
      <c r="ISO7" s="733"/>
      <c r="ISP7" s="733"/>
      <c r="ISQ7" s="733"/>
      <c r="ISR7" s="733"/>
      <c r="ISS7" s="733"/>
      <c r="IST7" s="733"/>
      <c r="ISU7" s="733"/>
      <c r="ISV7" s="733"/>
      <c r="ISW7" s="733"/>
      <c r="ISX7" s="733"/>
      <c r="ISY7" s="733"/>
      <c r="ISZ7" s="733"/>
      <c r="ITA7" s="733"/>
      <c r="ITB7" s="733"/>
      <c r="ITC7" s="733"/>
      <c r="ITD7" s="733"/>
      <c r="ITE7" s="733"/>
      <c r="ITF7" s="733"/>
      <c r="ITG7" s="733"/>
      <c r="ITH7" s="733"/>
      <c r="ITI7" s="733"/>
      <c r="ITJ7" s="733"/>
      <c r="ITK7" s="733"/>
      <c r="ITL7" s="733"/>
      <c r="ITM7" s="733"/>
      <c r="ITN7" s="733"/>
      <c r="ITO7" s="733"/>
      <c r="ITP7" s="733"/>
      <c r="ITQ7" s="733"/>
      <c r="ITR7" s="733"/>
      <c r="ITS7" s="733"/>
      <c r="ITT7" s="733"/>
      <c r="ITU7" s="733"/>
      <c r="ITV7" s="733"/>
      <c r="ITW7" s="733"/>
      <c r="ITX7" s="733"/>
      <c r="ITY7" s="733"/>
      <c r="ITZ7" s="733"/>
      <c r="IUA7" s="733"/>
      <c r="IUB7" s="733"/>
      <c r="IUC7" s="733"/>
      <c r="IUD7" s="733"/>
      <c r="IUE7" s="733"/>
      <c r="IUF7" s="733"/>
      <c r="IUG7" s="733"/>
      <c r="IUH7" s="733"/>
      <c r="IUI7" s="733"/>
      <c r="IUJ7" s="733"/>
      <c r="IUK7" s="733"/>
      <c r="IUL7" s="733"/>
      <c r="IUM7" s="733"/>
      <c r="IUN7" s="733"/>
      <c r="IUO7" s="733"/>
      <c r="IUP7" s="733"/>
      <c r="IUQ7" s="733"/>
      <c r="IUR7" s="733"/>
      <c r="IUS7" s="733"/>
      <c r="IUT7" s="733"/>
      <c r="IUU7" s="733"/>
      <c r="IUV7" s="733"/>
      <c r="IUW7" s="733"/>
      <c r="IUX7" s="733"/>
      <c r="IUY7" s="733"/>
      <c r="IUZ7" s="733"/>
      <c r="IVA7" s="733"/>
      <c r="IVB7" s="733"/>
      <c r="IVC7" s="733"/>
      <c r="IVD7" s="733"/>
      <c r="IVE7" s="733"/>
      <c r="IVF7" s="733"/>
      <c r="IVG7" s="733"/>
      <c r="IVH7" s="733"/>
      <c r="IVI7" s="733"/>
      <c r="IVJ7" s="733"/>
      <c r="IVK7" s="733"/>
      <c r="IVL7" s="733"/>
      <c r="IVM7" s="733"/>
      <c r="IVN7" s="733"/>
      <c r="IVO7" s="733"/>
      <c r="IVP7" s="733"/>
      <c r="IVQ7" s="733"/>
      <c r="IVR7" s="733"/>
      <c r="IVS7" s="733"/>
      <c r="IVT7" s="733"/>
      <c r="IVU7" s="733"/>
      <c r="IVV7" s="733"/>
      <c r="IVW7" s="733"/>
      <c r="IVX7" s="733"/>
      <c r="IVY7" s="733"/>
      <c r="IVZ7" s="733"/>
      <c r="IWA7" s="733"/>
      <c r="IWB7" s="733"/>
      <c r="IWC7" s="733"/>
      <c r="IWD7" s="733"/>
      <c r="IWE7" s="733"/>
      <c r="IWF7" s="733"/>
      <c r="IWG7" s="733"/>
      <c r="IWH7" s="733"/>
      <c r="IWI7" s="733"/>
      <c r="IWJ7" s="733"/>
      <c r="IWK7" s="733"/>
      <c r="IWL7" s="733"/>
      <c r="IWM7" s="733"/>
      <c r="IWN7" s="733"/>
      <c r="IWO7" s="733"/>
      <c r="IWP7" s="733"/>
      <c r="IWQ7" s="733"/>
      <c r="IWR7" s="733"/>
      <c r="IWS7" s="733"/>
      <c r="IWT7" s="733"/>
      <c r="IWU7" s="733"/>
      <c r="IWV7" s="733"/>
      <c r="IWW7" s="733"/>
      <c r="IWX7" s="733"/>
      <c r="IWY7" s="733"/>
      <c r="IWZ7" s="733"/>
      <c r="IXA7" s="733"/>
      <c r="IXB7" s="733"/>
      <c r="IXC7" s="733"/>
      <c r="IXD7" s="733"/>
      <c r="IXE7" s="733"/>
      <c r="IXF7" s="733"/>
      <c r="IXG7" s="733"/>
      <c r="IXH7" s="733"/>
      <c r="IXI7" s="733"/>
      <c r="IXJ7" s="733"/>
      <c r="IXK7" s="733"/>
      <c r="IXL7" s="733"/>
      <c r="IXM7" s="733"/>
      <c r="IXN7" s="733"/>
      <c r="IXO7" s="733"/>
      <c r="IXP7" s="733"/>
      <c r="IXQ7" s="733"/>
      <c r="IXR7" s="733"/>
      <c r="IXS7" s="733"/>
      <c r="IXT7" s="733"/>
      <c r="IXU7" s="733"/>
      <c r="IXV7" s="733"/>
      <c r="IXW7" s="733"/>
      <c r="IXX7" s="733"/>
      <c r="IXY7" s="733"/>
      <c r="IXZ7" s="733"/>
      <c r="IYA7" s="733"/>
      <c r="IYB7" s="733"/>
      <c r="IYC7" s="733"/>
      <c r="IYD7" s="733"/>
      <c r="IYE7" s="733"/>
      <c r="IYF7" s="733"/>
      <c r="IYG7" s="733"/>
      <c r="IYH7" s="733"/>
      <c r="IYI7" s="733"/>
      <c r="IYJ7" s="733"/>
      <c r="IYK7" s="733"/>
      <c r="IYL7" s="733"/>
      <c r="IYM7" s="733"/>
      <c r="IYN7" s="733"/>
      <c r="IYO7" s="733"/>
      <c r="IYP7" s="733"/>
      <c r="IYQ7" s="733"/>
      <c r="IYR7" s="733"/>
      <c r="IYS7" s="733"/>
      <c r="IYT7" s="733"/>
      <c r="IYU7" s="733"/>
      <c r="IYV7" s="733"/>
      <c r="IYW7" s="733"/>
      <c r="IYX7" s="733"/>
      <c r="IYY7" s="733"/>
      <c r="IYZ7" s="733"/>
      <c r="IZA7" s="733"/>
      <c r="IZB7" s="733"/>
      <c r="IZC7" s="733"/>
      <c r="IZD7" s="733"/>
      <c r="IZE7" s="733"/>
      <c r="IZF7" s="733"/>
      <c r="IZG7" s="733"/>
      <c r="IZH7" s="733"/>
      <c r="IZI7" s="733"/>
      <c r="IZJ7" s="733"/>
      <c r="IZK7" s="733"/>
      <c r="IZL7" s="733"/>
      <c r="IZM7" s="733"/>
      <c r="IZN7" s="733"/>
      <c r="IZO7" s="733"/>
      <c r="IZP7" s="733"/>
      <c r="IZQ7" s="733"/>
      <c r="IZR7" s="733"/>
      <c r="IZS7" s="733"/>
      <c r="IZT7" s="733"/>
      <c r="IZU7" s="733"/>
      <c r="IZV7" s="733"/>
      <c r="IZW7" s="733"/>
      <c r="IZX7" s="733"/>
      <c r="IZY7" s="733"/>
      <c r="IZZ7" s="733"/>
      <c r="JAA7" s="733"/>
      <c r="JAB7" s="733"/>
      <c r="JAC7" s="733"/>
      <c r="JAD7" s="733"/>
      <c r="JAE7" s="733"/>
      <c r="JAF7" s="733"/>
      <c r="JAG7" s="733"/>
      <c r="JAH7" s="733"/>
      <c r="JAI7" s="733"/>
      <c r="JAJ7" s="733"/>
      <c r="JAK7" s="733"/>
      <c r="JAL7" s="733"/>
      <c r="JAM7" s="733"/>
      <c r="JAN7" s="733"/>
      <c r="JAO7" s="733"/>
      <c r="JAP7" s="733"/>
      <c r="JAQ7" s="733"/>
      <c r="JAR7" s="733"/>
      <c r="JAS7" s="733"/>
      <c r="JAT7" s="733"/>
      <c r="JAU7" s="733"/>
      <c r="JAV7" s="733"/>
      <c r="JAW7" s="733"/>
      <c r="JAX7" s="733"/>
      <c r="JAY7" s="733"/>
      <c r="JAZ7" s="733"/>
      <c r="JBA7" s="733"/>
      <c r="JBB7" s="733"/>
      <c r="JBC7" s="733"/>
      <c r="JBD7" s="733"/>
      <c r="JBE7" s="733"/>
      <c r="JBF7" s="733"/>
      <c r="JBG7" s="733"/>
      <c r="JBH7" s="733"/>
      <c r="JBI7" s="733"/>
      <c r="JBJ7" s="733"/>
      <c r="JBK7" s="733"/>
      <c r="JBL7" s="733"/>
      <c r="JBM7" s="733"/>
      <c r="JBN7" s="733"/>
      <c r="JBO7" s="733"/>
      <c r="JBP7" s="733"/>
      <c r="JBQ7" s="733"/>
      <c r="JBR7" s="733"/>
      <c r="JBS7" s="733"/>
      <c r="JBT7" s="733"/>
      <c r="JBU7" s="733"/>
      <c r="JBV7" s="733"/>
      <c r="JBW7" s="733"/>
      <c r="JBX7" s="733"/>
      <c r="JBY7" s="733"/>
      <c r="JBZ7" s="733"/>
      <c r="JCA7" s="733"/>
      <c r="JCB7" s="733"/>
      <c r="JCC7" s="733"/>
      <c r="JCD7" s="733"/>
      <c r="JCE7" s="733"/>
      <c r="JCF7" s="733"/>
      <c r="JCG7" s="733"/>
      <c r="JCH7" s="733"/>
      <c r="JCI7" s="733"/>
      <c r="JCJ7" s="733"/>
      <c r="JCK7" s="733"/>
      <c r="JCL7" s="733"/>
      <c r="JCM7" s="733"/>
      <c r="JCN7" s="733"/>
      <c r="JCO7" s="733"/>
      <c r="JCP7" s="733"/>
      <c r="JCQ7" s="733"/>
      <c r="JCR7" s="733"/>
      <c r="JCS7" s="733"/>
      <c r="JCT7" s="733"/>
      <c r="JCU7" s="733"/>
      <c r="JCV7" s="733"/>
      <c r="JCW7" s="733"/>
      <c r="JCX7" s="733"/>
      <c r="JCY7" s="733"/>
      <c r="JCZ7" s="733"/>
      <c r="JDA7" s="733"/>
      <c r="JDB7" s="733"/>
      <c r="JDC7" s="733"/>
      <c r="JDD7" s="733"/>
      <c r="JDE7" s="733"/>
      <c r="JDF7" s="733"/>
      <c r="JDG7" s="733"/>
      <c r="JDH7" s="733"/>
      <c r="JDI7" s="733"/>
      <c r="JDJ7" s="733"/>
      <c r="JDK7" s="733"/>
      <c r="JDL7" s="733"/>
      <c r="JDM7" s="733"/>
      <c r="JDN7" s="733"/>
      <c r="JDO7" s="733"/>
      <c r="JDP7" s="733"/>
      <c r="JDQ7" s="733"/>
      <c r="JDR7" s="733"/>
      <c r="JDS7" s="733"/>
      <c r="JDT7" s="733"/>
      <c r="JDU7" s="733"/>
      <c r="JDV7" s="733"/>
      <c r="JDW7" s="733"/>
      <c r="JDX7" s="733"/>
      <c r="JDY7" s="733"/>
      <c r="JDZ7" s="733"/>
      <c r="JEA7" s="733"/>
      <c r="JEB7" s="733"/>
      <c r="JEC7" s="733"/>
      <c r="JED7" s="733"/>
      <c r="JEE7" s="733"/>
      <c r="JEF7" s="733"/>
      <c r="JEG7" s="733"/>
      <c r="JEH7" s="733"/>
      <c r="JEI7" s="733"/>
      <c r="JEJ7" s="733"/>
      <c r="JEK7" s="733"/>
      <c r="JEL7" s="733"/>
      <c r="JEM7" s="733"/>
      <c r="JEN7" s="733"/>
      <c r="JEO7" s="733"/>
      <c r="JEP7" s="733"/>
      <c r="JEQ7" s="733"/>
      <c r="JER7" s="733"/>
      <c r="JES7" s="733"/>
      <c r="JET7" s="733"/>
      <c r="JEU7" s="733"/>
      <c r="JEV7" s="733"/>
      <c r="JEW7" s="733"/>
      <c r="JEX7" s="733"/>
      <c r="JEY7" s="733"/>
      <c r="JEZ7" s="733"/>
      <c r="JFA7" s="733"/>
      <c r="JFB7" s="733"/>
      <c r="JFC7" s="733"/>
      <c r="JFD7" s="733"/>
      <c r="JFE7" s="733"/>
      <c r="JFF7" s="733"/>
      <c r="JFG7" s="733"/>
      <c r="JFH7" s="733"/>
      <c r="JFI7" s="733"/>
      <c r="JFJ7" s="733"/>
      <c r="JFK7" s="733"/>
      <c r="JFL7" s="733"/>
      <c r="JFM7" s="733"/>
      <c r="JFN7" s="733"/>
      <c r="JFO7" s="733"/>
      <c r="JFP7" s="733"/>
      <c r="JFQ7" s="733"/>
      <c r="JFR7" s="733"/>
      <c r="JFS7" s="733"/>
      <c r="JFT7" s="733"/>
      <c r="JFU7" s="733"/>
      <c r="JFV7" s="733"/>
      <c r="JFW7" s="733"/>
      <c r="JFX7" s="733"/>
      <c r="JFY7" s="733"/>
      <c r="JFZ7" s="733"/>
      <c r="JGA7" s="733"/>
      <c r="JGB7" s="733"/>
      <c r="JGC7" s="733"/>
      <c r="JGD7" s="733"/>
      <c r="JGE7" s="733"/>
      <c r="JGF7" s="733"/>
      <c r="JGG7" s="733"/>
      <c r="JGH7" s="733"/>
      <c r="JGI7" s="733"/>
      <c r="JGJ7" s="733"/>
      <c r="JGK7" s="733"/>
      <c r="JGL7" s="733"/>
      <c r="JGM7" s="733"/>
      <c r="JGN7" s="733"/>
      <c r="JGO7" s="733"/>
      <c r="JGP7" s="733"/>
      <c r="JGQ7" s="733"/>
      <c r="JGR7" s="733"/>
      <c r="JGS7" s="733"/>
      <c r="JGT7" s="733"/>
      <c r="JGU7" s="733"/>
      <c r="JGV7" s="733"/>
      <c r="JGW7" s="733"/>
      <c r="JGX7" s="733"/>
      <c r="JGY7" s="733"/>
      <c r="JGZ7" s="733"/>
      <c r="JHA7" s="733"/>
      <c r="JHB7" s="733"/>
      <c r="JHC7" s="733"/>
      <c r="JHD7" s="733"/>
      <c r="JHE7" s="733"/>
      <c r="JHF7" s="733"/>
      <c r="JHG7" s="733"/>
      <c r="JHH7" s="733"/>
      <c r="JHI7" s="733"/>
      <c r="JHJ7" s="733"/>
      <c r="JHK7" s="733"/>
      <c r="JHL7" s="733"/>
      <c r="JHM7" s="733"/>
      <c r="JHN7" s="733"/>
      <c r="JHO7" s="733"/>
      <c r="JHP7" s="733"/>
      <c r="JHQ7" s="733"/>
      <c r="JHR7" s="733"/>
      <c r="JHS7" s="733"/>
      <c r="JHT7" s="733"/>
      <c r="JHU7" s="733"/>
      <c r="JHV7" s="733"/>
      <c r="JHW7" s="733"/>
      <c r="JHX7" s="733"/>
      <c r="JHY7" s="733"/>
      <c r="JHZ7" s="733"/>
      <c r="JIA7" s="733"/>
      <c r="JIB7" s="733"/>
      <c r="JIC7" s="733"/>
      <c r="JID7" s="733"/>
      <c r="JIE7" s="733"/>
      <c r="JIF7" s="733"/>
      <c r="JIG7" s="733"/>
      <c r="JIH7" s="733"/>
      <c r="JII7" s="733"/>
      <c r="JIJ7" s="733"/>
      <c r="JIK7" s="733"/>
      <c r="JIL7" s="733"/>
      <c r="JIM7" s="733"/>
      <c r="JIN7" s="733"/>
      <c r="JIO7" s="733"/>
      <c r="JIP7" s="733"/>
      <c r="JIQ7" s="733"/>
      <c r="JIR7" s="733"/>
      <c r="JIS7" s="733"/>
      <c r="JIT7" s="733"/>
      <c r="JIU7" s="733"/>
      <c r="JIV7" s="733"/>
      <c r="JIW7" s="733"/>
      <c r="JIX7" s="733"/>
      <c r="JIY7" s="733"/>
      <c r="JIZ7" s="733"/>
      <c r="JJA7" s="733"/>
      <c r="JJB7" s="733"/>
      <c r="JJC7" s="733"/>
      <c r="JJD7" s="733"/>
      <c r="JJE7" s="733"/>
      <c r="JJF7" s="733"/>
      <c r="JJG7" s="733"/>
      <c r="JJH7" s="733"/>
      <c r="JJI7" s="733"/>
      <c r="JJJ7" s="733"/>
      <c r="JJK7" s="733"/>
      <c r="JJL7" s="733"/>
      <c r="JJM7" s="733"/>
      <c r="JJN7" s="733"/>
      <c r="JJO7" s="733"/>
      <c r="JJP7" s="733"/>
      <c r="JJQ7" s="733"/>
      <c r="JJR7" s="733"/>
      <c r="JJS7" s="733"/>
      <c r="JJT7" s="733"/>
      <c r="JJU7" s="733"/>
      <c r="JJV7" s="733"/>
      <c r="JJW7" s="733"/>
      <c r="JJX7" s="733"/>
      <c r="JJY7" s="733"/>
      <c r="JJZ7" s="733"/>
      <c r="JKA7" s="733"/>
      <c r="JKB7" s="733"/>
      <c r="JKC7" s="733"/>
      <c r="JKD7" s="733"/>
      <c r="JKE7" s="733"/>
      <c r="JKF7" s="733"/>
      <c r="JKG7" s="733"/>
      <c r="JKH7" s="733"/>
      <c r="JKI7" s="733"/>
      <c r="JKJ7" s="733"/>
      <c r="JKK7" s="733"/>
      <c r="JKL7" s="733"/>
      <c r="JKM7" s="733"/>
      <c r="JKN7" s="733"/>
      <c r="JKO7" s="733"/>
      <c r="JKP7" s="733"/>
      <c r="JKQ7" s="733"/>
      <c r="JKR7" s="733"/>
      <c r="JKS7" s="733"/>
      <c r="JKT7" s="733"/>
      <c r="JKU7" s="733"/>
      <c r="JKV7" s="733"/>
      <c r="JKW7" s="733"/>
      <c r="JKX7" s="733"/>
      <c r="JKY7" s="733"/>
      <c r="JKZ7" s="733"/>
      <c r="JLA7" s="733"/>
      <c r="JLB7" s="733"/>
      <c r="JLC7" s="733"/>
      <c r="JLD7" s="733"/>
      <c r="JLE7" s="733"/>
      <c r="JLF7" s="733"/>
      <c r="JLG7" s="733"/>
      <c r="JLH7" s="733"/>
      <c r="JLI7" s="733"/>
      <c r="JLJ7" s="733"/>
      <c r="JLK7" s="733"/>
      <c r="JLL7" s="733"/>
      <c r="JLM7" s="733"/>
      <c r="JLN7" s="733"/>
      <c r="JLO7" s="733"/>
      <c r="JLP7" s="733"/>
      <c r="JLQ7" s="733"/>
      <c r="JLR7" s="733"/>
      <c r="JLS7" s="733"/>
      <c r="JLT7" s="733"/>
      <c r="JLU7" s="733"/>
      <c r="JLV7" s="733"/>
      <c r="JLW7" s="733"/>
      <c r="JLX7" s="733"/>
      <c r="JLY7" s="733"/>
      <c r="JLZ7" s="733"/>
      <c r="JMA7" s="733"/>
      <c r="JMB7" s="733"/>
      <c r="JMC7" s="733"/>
      <c r="JMD7" s="733"/>
      <c r="JME7" s="733"/>
      <c r="JMF7" s="733"/>
      <c r="JMG7" s="733"/>
      <c r="JMH7" s="733"/>
      <c r="JMI7" s="733"/>
      <c r="JMJ7" s="733"/>
      <c r="JMK7" s="733"/>
      <c r="JML7" s="733"/>
      <c r="JMM7" s="733"/>
      <c r="JMN7" s="733"/>
      <c r="JMO7" s="733"/>
      <c r="JMP7" s="733"/>
      <c r="JMQ7" s="733"/>
      <c r="JMR7" s="733"/>
      <c r="JMS7" s="733"/>
      <c r="JMT7" s="733"/>
      <c r="JMU7" s="733"/>
      <c r="JMV7" s="733"/>
      <c r="JMW7" s="733"/>
      <c r="JMX7" s="733"/>
      <c r="JMY7" s="733"/>
      <c r="JMZ7" s="733"/>
      <c r="JNA7" s="733"/>
      <c r="JNB7" s="733"/>
      <c r="JNC7" s="733"/>
      <c r="JND7" s="733"/>
      <c r="JNE7" s="733"/>
      <c r="JNF7" s="733"/>
      <c r="JNG7" s="733"/>
      <c r="JNH7" s="733"/>
      <c r="JNI7" s="733"/>
      <c r="JNJ7" s="733"/>
      <c r="JNK7" s="733"/>
      <c r="JNL7" s="733"/>
      <c r="JNM7" s="733"/>
      <c r="JNN7" s="733"/>
      <c r="JNO7" s="733"/>
      <c r="JNP7" s="733"/>
      <c r="JNQ7" s="733"/>
      <c r="JNR7" s="733"/>
      <c r="JNS7" s="733"/>
      <c r="JNT7" s="733"/>
      <c r="JNU7" s="733"/>
      <c r="JNV7" s="733"/>
      <c r="JNW7" s="733"/>
      <c r="JNX7" s="733"/>
      <c r="JNY7" s="733"/>
      <c r="JNZ7" s="733"/>
      <c r="JOA7" s="733"/>
      <c r="JOB7" s="733"/>
      <c r="JOC7" s="733"/>
      <c r="JOD7" s="733"/>
      <c r="JOE7" s="733"/>
      <c r="JOF7" s="733"/>
      <c r="JOG7" s="733"/>
      <c r="JOH7" s="733"/>
      <c r="JOI7" s="733"/>
      <c r="JOJ7" s="733"/>
      <c r="JOK7" s="733"/>
      <c r="JOL7" s="733"/>
      <c r="JOM7" s="733"/>
      <c r="JON7" s="733"/>
      <c r="JOO7" s="733"/>
      <c r="JOP7" s="733"/>
      <c r="JOQ7" s="733"/>
      <c r="JOR7" s="733"/>
      <c r="JOS7" s="733"/>
      <c r="JOT7" s="733"/>
      <c r="JOU7" s="733"/>
      <c r="JOV7" s="733"/>
      <c r="JOW7" s="733"/>
      <c r="JOX7" s="733"/>
      <c r="JOY7" s="733"/>
      <c r="JOZ7" s="733"/>
      <c r="JPA7" s="733"/>
      <c r="JPB7" s="733"/>
      <c r="JPC7" s="733"/>
      <c r="JPD7" s="733"/>
      <c r="JPE7" s="733"/>
      <c r="JPF7" s="733"/>
      <c r="JPG7" s="733"/>
      <c r="JPH7" s="733"/>
      <c r="JPI7" s="733"/>
      <c r="JPJ7" s="733"/>
      <c r="JPK7" s="733"/>
      <c r="JPL7" s="733"/>
      <c r="JPM7" s="733"/>
      <c r="JPN7" s="733"/>
      <c r="JPO7" s="733"/>
      <c r="JPP7" s="733"/>
      <c r="JPQ7" s="733"/>
      <c r="JPR7" s="733"/>
      <c r="JPS7" s="733"/>
      <c r="JPT7" s="733"/>
      <c r="JPU7" s="733"/>
      <c r="JPV7" s="733"/>
      <c r="JPW7" s="733"/>
      <c r="JPX7" s="733"/>
      <c r="JPY7" s="733"/>
      <c r="JPZ7" s="733"/>
      <c r="JQA7" s="733"/>
      <c r="JQB7" s="733"/>
      <c r="JQC7" s="733"/>
      <c r="JQD7" s="733"/>
      <c r="JQE7" s="733"/>
      <c r="JQF7" s="733"/>
      <c r="JQG7" s="733"/>
      <c r="JQH7" s="733"/>
      <c r="JQI7" s="733"/>
      <c r="JQJ7" s="733"/>
      <c r="JQK7" s="733"/>
      <c r="JQL7" s="733"/>
      <c r="JQM7" s="733"/>
      <c r="JQN7" s="733"/>
      <c r="JQO7" s="733"/>
      <c r="JQP7" s="733"/>
      <c r="JQQ7" s="733"/>
      <c r="JQR7" s="733"/>
      <c r="JQS7" s="733"/>
      <c r="JQT7" s="733"/>
      <c r="JQU7" s="733"/>
      <c r="JQV7" s="733"/>
      <c r="JQW7" s="733"/>
      <c r="JQX7" s="733"/>
      <c r="JQY7" s="733"/>
      <c r="JQZ7" s="733"/>
      <c r="JRA7" s="733"/>
      <c r="JRB7" s="733"/>
      <c r="JRC7" s="733"/>
      <c r="JRD7" s="733"/>
      <c r="JRE7" s="733"/>
      <c r="JRF7" s="733"/>
      <c r="JRG7" s="733"/>
      <c r="JRH7" s="733"/>
      <c r="JRI7" s="733"/>
      <c r="JRJ7" s="733"/>
      <c r="JRK7" s="733"/>
      <c r="JRL7" s="733"/>
      <c r="JRM7" s="733"/>
      <c r="JRN7" s="733"/>
      <c r="JRO7" s="733"/>
      <c r="JRP7" s="733"/>
      <c r="JRQ7" s="733"/>
      <c r="JRR7" s="733"/>
      <c r="JRS7" s="733"/>
      <c r="JRT7" s="733"/>
      <c r="JRU7" s="733"/>
      <c r="JRV7" s="733"/>
      <c r="JRW7" s="733"/>
      <c r="JRX7" s="733"/>
      <c r="JRY7" s="733"/>
      <c r="JRZ7" s="733"/>
      <c r="JSA7" s="733"/>
      <c r="JSB7" s="733"/>
      <c r="JSC7" s="733"/>
      <c r="JSD7" s="733"/>
      <c r="JSE7" s="733"/>
      <c r="JSF7" s="733"/>
      <c r="JSG7" s="733"/>
      <c r="JSH7" s="733"/>
      <c r="JSI7" s="733"/>
      <c r="JSJ7" s="733"/>
      <c r="JSK7" s="733"/>
      <c r="JSL7" s="733"/>
      <c r="JSM7" s="733"/>
      <c r="JSN7" s="733"/>
      <c r="JSO7" s="733"/>
      <c r="JSP7" s="733"/>
      <c r="JSQ7" s="733"/>
      <c r="JSR7" s="733"/>
      <c r="JSS7" s="733"/>
      <c r="JST7" s="733"/>
      <c r="JSU7" s="733"/>
      <c r="JSV7" s="733"/>
      <c r="JSW7" s="733"/>
      <c r="JSX7" s="733"/>
      <c r="JSY7" s="733"/>
      <c r="JSZ7" s="733"/>
      <c r="JTA7" s="733"/>
      <c r="JTB7" s="733"/>
      <c r="JTC7" s="733"/>
      <c r="JTD7" s="733"/>
      <c r="JTE7" s="733"/>
      <c r="JTF7" s="733"/>
      <c r="JTG7" s="733"/>
      <c r="JTH7" s="733"/>
      <c r="JTI7" s="733"/>
      <c r="JTJ7" s="733"/>
      <c r="JTK7" s="733"/>
      <c r="JTL7" s="733"/>
      <c r="JTM7" s="733"/>
      <c r="JTN7" s="733"/>
      <c r="JTO7" s="733"/>
      <c r="JTP7" s="733"/>
      <c r="JTQ7" s="733"/>
      <c r="JTR7" s="733"/>
      <c r="JTS7" s="733"/>
      <c r="JTT7" s="733"/>
      <c r="JTU7" s="733"/>
      <c r="JTV7" s="733"/>
      <c r="JTW7" s="733"/>
      <c r="JTX7" s="733"/>
      <c r="JTY7" s="733"/>
      <c r="JTZ7" s="733"/>
      <c r="JUA7" s="733"/>
      <c r="JUB7" s="733"/>
      <c r="JUC7" s="733"/>
      <c r="JUD7" s="733"/>
      <c r="JUE7" s="733"/>
      <c r="JUF7" s="733"/>
      <c r="JUG7" s="733"/>
      <c r="JUH7" s="733"/>
      <c r="JUI7" s="733"/>
      <c r="JUJ7" s="733"/>
      <c r="JUK7" s="733"/>
      <c r="JUL7" s="733"/>
      <c r="JUM7" s="733"/>
      <c r="JUN7" s="733"/>
      <c r="JUO7" s="733"/>
      <c r="JUP7" s="733"/>
      <c r="JUQ7" s="733"/>
      <c r="JUR7" s="733"/>
      <c r="JUS7" s="733"/>
      <c r="JUT7" s="733"/>
      <c r="JUU7" s="733"/>
      <c r="JUV7" s="733"/>
      <c r="JUW7" s="733"/>
      <c r="JUX7" s="733"/>
      <c r="JUY7" s="733"/>
      <c r="JUZ7" s="733"/>
      <c r="JVA7" s="733"/>
      <c r="JVB7" s="733"/>
      <c r="JVC7" s="733"/>
      <c r="JVD7" s="733"/>
      <c r="JVE7" s="733"/>
      <c r="JVF7" s="733"/>
      <c r="JVG7" s="733"/>
      <c r="JVH7" s="733"/>
      <c r="JVI7" s="733"/>
      <c r="JVJ7" s="733"/>
      <c r="JVK7" s="733"/>
      <c r="JVL7" s="733"/>
      <c r="JVM7" s="733"/>
      <c r="JVN7" s="733"/>
      <c r="JVO7" s="733"/>
      <c r="JVP7" s="733"/>
      <c r="JVQ7" s="733"/>
      <c r="JVR7" s="733"/>
      <c r="JVS7" s="733"/>
      <c r="JVT7" s="733"/>
      <c r="JVU7" s="733"/>
      <c r="JVV7" s="733"/>
      <c r="JVW7" s="733"/>
      <c r="JVX7" s="733"/>
      <c r="JVY7" s="733"/>
      <c r="JVZ7" s="733"/>
      <c r="JWA7" s="733"/>
      <c r="JWB7" s="733"/>
      <c r="JWC7" s="733"/>
      <c r="JWD7" s="733"/>
      <c r="JWE7" s="733"/>
      <c r="JWF7" s="733"/>
      <c r="JWG7" s="733"/>
      <c r="JWH7" s="733"/>
      <c r="JWI7" s="733"/>
      <c r="JWJ7" s="733"/>
      <c r="JWK7" s="733"/>
      <c r="JWL7" s="733"/>
      <c r="JWM7" s="733"/>
      <c r="JWN7" s="733"/>
      <c r="JWO7" s="733"/>
      <c r="JWP7" s="733"/>
      <c r="JWQ7" s="733"/>
      <c r="JWR7" s="733"/>
      <c r="JWS7" s="733"/>
      <c r="JWT7" s="733"/>
      <c r="JWU7" s="733"/>
      <c r="JWV7" s="733"/>
      <c r="JWW7" s="733"/>
      <c r="JWX7" s="733"/>
      <c r="JWY7" s="733"/>
      <c r="JWZ7" s="733"/>
      <c r="JXA7" s="733"/>
      <c r="JXB7" s="733"/>
      <c r="JXC7" s="733"/>
      <c r="JXD7" s="733"/>
      <c r="JXE7" s="733"/>
      <c r="JXF7" s="733"/>
      <c r="JXG7" s="733"/>
      <c r="JXH7" s="733"/>
      <c r="JXI7" s="733"/>
      <c r="JXJ7" s="733"/>
      <c r="JXK7" s="733"/>
      <c r="JXL7" s="733"/>
      <c r="JXM7" s="733"/>
      <c r="JXN7" s="733"/>
      <c r="JXO7" s="733"/>
      <c r="JXP7" s="733"/>
      <c r="JXQ7" s="733"/>
      <c r="JXR7" s="733"/>
      <c r="JXS7" s="733"/>
      <c r="JXT7" s="733"/>
      <c r="JXU7" s="733"/>
      <c r="JXV7" s="733"/>
      <c r="JXW7" s="733"/>
      <c r="JXX7" s="733"/>
      <c r="JXY7" s="733"/>
      <c r="JXZ7" s="733"/>
      <c r="JYA7" s="733"/>
      <c r="JYB7" s="733"/>
      <c r="JYC7" s="733"/>
      <c r="JYD7" s="733"/>
      <c r="JYE7" s="733"/>
      <c r="JYF7" s="733"/>
      <c r="JYG7" s="733"/>
      <c r="JYH7" s="733"/>
      <c r="JYI7" s="733"/>
      <c r="JYJ7" s="733"/>
      <c r="JYK7" s="733"/>
      <c r="JYL7" s="733"/>
      <c r="JYM7" s="733"/>
      <c r="JYN7" s="733"/>
      <c r="JYO7" s="733"/>
      <c r="JYP7" s="733"/>
      <c r="JYQ7" s="733"/>
      <c r="JYR7" s="733"/>
      <c r="JYS7" s="733"/>
      <c r="JYT7" s="733"/>
      <c r="JYU7" s="733"/>
      <c r="JYV7" s="733"/>
      <c r="JYW7" s="733"/>
      <c r="JYX7" s="733"/>
      <c r="JYY7" s="733"/>
      <c r="JYZ7" s="733"/>
      <c r="JZA7" s="733"/>
      <c r="JZB7" s="733"/>
      <c r="JZC7" s="733"/>
      <c r="JZD7" s="733"/>
      <c r="JZE7" s="733"/>
      <c r="JZF7" s="733"/>
      <c r="JZG7" s="733"/>
      <c r="JZH7" s="733"/>
      <c r="JZI7" s="733"/>
      <c r="JZJ7" s="733"/>
      <c r="JZK7" s="733"/>
      <c r="JZL7" s="733"/>
      <c r="JZM7" s="733"/>
      <c r="JZN7" s="733"/>
      <c r="JZO7" s="733"/>
      <c r="JZP7" s="733"/>
      <c r="JZQ7" s="733"/>
      <c r="JZR7" s="733"/>
      <c r="JZS7" s="733"/>
      <c r="JZT7" s="733"/>
      <c r="JZU7" s="733"/>
      <c r="JZV7" s="733"/>
      <c r="JZW7" s="733"/>
      <c r="JZX7" s="733"/>
      <c r="JZY7" s="733"/>
      <c r="JZZ7" s="733"/>
      <c r="KAA7" s="733"/>
      <c r="KAB7" s="733"/>
      <c r="KAC7" s="733"/>
      <c r="KAD7" s="733"/>
      <c r="KAE7" s="733"/>
      <c r="KAF7" s="733"/>
      <c r="KAG7" s="733"/>
      <c r="KAH7" s="733"/>
      <c r="KAI7" s="733"/>
      <c r="KAJ7" s="733"/>
      <c r="KAK7" s="733"/>
      <c r="KAL7" s="733"/>
      <c r="KAM7" s="733"/>
      <c r="KAN7" s="733"/>
      <c r="KAO7" s="733"/>
      <c r="KAP7" s="733"/>
      <c r="KAQ7" s="733"/>
      <c r="KAR7" s="733"/>
      <c r="KAS7" s="733"/>
      <c r="KAT7" s="733"/>
      <c r="KAU7" s="733"/>
      <c r="KAV7" s="733"/>
      <c r="KAW7" s="733"/>
      <c r="KAX7" s="733"/>
      <c r="KAY7" s="733"/>
      <c r="KAZ7" s="733"/>
      <c r="KBA7" s="733"/>
      <c r="KBB7" s="733"/>
      <c r="KBC7" s="733"/>
      <c r="KBD7" s="733"/>
      <c r="KBE7" s="733"/>
      <c r="KBF7" s="733"/>
      <c r="KBG7" s="733"/>
      <c r="KBH7" s="733"/>
      <c r="KBI7" s="733"/>
      <c r="KBJ7" s="733"/>
      <c r="KBK7" s="733"/>
      <c r="KBL7" s="733"/>
      <c r="KBM7" s="733"/>
      <c r="KBN7" s="733"/>
      <c r="KBO7" s="733"/>
      <c r="KBP7" s="733"/>
      <c r="KBQ7" s="733"/>
      <c r="KBR7" s="733"/>
      <c r="KBS7" s="733"/>
      <c r="KBT7" s="733"/>
      <c r="KBU7" s="733"/>
      <c r="KBV7" s="733"/>
      <c r="KBW7" s="733"/>
      <c r="KBX7" s="733"/>
      <c r="KBY7" s="733"/>
      <c r="KBZ7" s="733"/>
      <c r="KCA7" s="733"/>
      <c r="KCB7" s="733"/>
      <c r="KCC7" s="733"/>
      <c r="KCD7" s="733"/>
      <c r="KCE7" s="733"/>
      <c r="KCF7" s="733"/>
      <c r="KCG7" s="733"/>
      <c r="KCH7" s="733"/>
      <c r="KCI7" s="733"/>
      <c r="KCJ7" s="733"/>
      <c r="KCK7" s="733"/>
      <c r="KCL7" s="733"/>
      <c r="KCM7" s="733"/>
      <c r="KCN7" s="733"/>
      <c r="KCO7" s="733"/>
      <c r="KCP7" s="733"/>
      <c r="KCQ7" s="733"/>
      <c r="KCR7" s="733"/>
      <c r="KCS7" s="733"/>
      <c r="KCT7" s="733"/>
      <c r="KCU7" s="733"/>
      <c r="KCV7" s="733"/>
      <c r="KCW7" s="733"/>
      <c r="KCX7" s="733"/>
      <c r="KCY7" s="733"/>
      <c r="KCZ7" s="733"/>
      <c r="KDA7" s="733"/>
      <c r="KDB7" s="733"/>
      <c r="KDC7" s="733"/>
      <c r="KDD7" s="733"/>
      <c r="KDE7" s="733"/>
      <c r="KDF7" s="733"/>
      <c r="KDG7" s="733"/>
      <c r="KDH7" s="733"/>
      <c r="KDI7" s="733"/>
      <c r="KDJ7" s="733"/>
      <c r="KDK7" s="733"/>
      <c r="KDL7" s="733"/>
      <c r="KDM7" s="733"/>
      <c r="KDN7" s="733"/>
      <c r="KDO7" s="733"/>
      <c r="KDP7" s="733"/>
      <c r="KDQ7" s="733"/>
      <c r="KDR7" s="733"/>
      <c r="KDS7" s="733"/>
      <c r="KDT7" s="733"/>
      <c r="KDU7" s="733"/>
      <c r="KDV7" s="733"/>
      <c r="KDW7" s="733"/>
      <c r="KDX7" s="733"/>
      <c r="KDY7" s="733"/>
      <c r="KDZ7" s="733"/>
      <c r="KEA7" s="733"/>
      <c r="KEB7" s="733"/>
      <c r="KEC7" s="733"/>
      <c r="KED7" s="733"/>
      <c r="KEE7" s="733"/>
      <c r="KEF7" s="733"/>
      <c r="KEG7" s="733"/>
      <c r="KEH7" s="733"/>
      <c r="KEI7" s="733"/>
      <c r="KEJ7" s="733"/>
      <c r="KEK7" s="733"/>
      <c r="KEL7" s="733"/>
      <c r="KEM7" s="733"/>
      <c r="KEN7" s="733"/>
      <c r="KEO7" s="733"/>
      <c r="KEP7" s="733"/>
      <c r="KEQ7" s="733"/>
      <c r="KER7" s="733"/>
      <c r="KES7" s="733"/>
      <c r="KET7" s="733"/>
      <c r="KEU7" s="733"/>
      <c r="KEV7" s="733"/>
      <c r="KEW7" s="733"/>
      <c r="KEX7" s="733"/>
      <c r="KEY7" s="733"/>
      <c r="KEZ7" s="733"/>
      <c r="KFA7" s="733"/>
      <c r="KFB7" s="733"/>
      <c r="KFC7" s="733"/>
      <c r="KFD7" s="733"/>
      <c r="KFE7" s="733"/>
      <c r="KFF7" s="733"/>
      <c r="KFG7" s="733"/>
      <c r="KFH7" s="733"/>
      <c r="KFI7" s="733"/>
      <c r="KFJ7" s="733"/>
      <c r="KFK7" s="733"/>
      <c r="KFL7" s="733"/>
      <c r="KFM7" s="733"/>
      <c r="KFN7" s="733"/>
      <c r="KFO7" s="733"/>
      <c r="KFP7" s="733"/>
      <c r="KFQ7" s="733"/>
      <c r="KFR7" s="733"/>
      <c r="KFS7" s="733"/>
      <c r="KFT7" s="733"/>
      <c r="KFU7" s="733"/>
      <c r="KFV7" s="733"/>
      <c r="KFW7" s="733"/>
      <c r="KFX7" s="733"/>
      <c r="KFY7" s="733"/>
      <c r="KFZ7" s="733"/>
      <c r="KGA7" s="733"/>
      <c r="KGB7" s="733"/>
      <c r="KGC7" s="733"/>
      <c r="KGD7" s="733"/>
      <c r="KGE7" s="733"/>
      <c r="KGF7" s="733"/>
      <c r="KGG7" s="733"/>
      <c r="KGH7" s="733"/>
      <c r="KGI7" s="733"/>
      <c r="KGJ7" s="733"/>
      <c r="KGK7" s="733"/>
      <c r="KGL7" s="733"/>
      <c r="KGM7" s="733"/>
      <c r="KGN7" s="733"/>
      <c r="KGO7" s="733"/>
      <c r="KGP7" s="733"/>
      <c r="KGQ7" s="733"/>
      <c r="KGR7" s="733"/>
      <c r="KGS7" s="733"/>
      <c r="KGT7" s="733"/>
      <c r="KGU7" s="733"/>
      <c r="KGV7" s="733"/>
      <c r="KGW7" s="733"/>
      <c r="KGX7" s="733"/>
      <c r="KGY7" s="733"/>
      <c r="KGZ7" s="733"/>
      <c r="KHA7" s="733"/>
      <c r="KHB7" s="733"/>
      <c r="KHC7" s="733"/>
      <c r="KHD7" s="733"/>
      <c r="KHE7" s="733"/>
      <c r="KHF7" s="733"/>
      <c r="KHG7" s="733"/>
      <c r="KHH7" s="733"/>
      <c r="KHI7" s="733"/>
      <c r="KHJ7" s="733"/>
      <c r="KHK7" s="733"/>
      <c r="KHL7" s="733"/>
      <c r="KHM7" s="733"/>
      <c r="KHN7" s="733"/>
      <c r="KHO7" s="733"/>
      <c r="KHP7" s="733"/>
      <c r="KHQ7" s="733"/>
      <c r="KHR7" s="733"/>
      <c r="KHS7" s="733"/>
      <c r="KHT7" s="733"/>
      <c r="KHU7" s="733"/>
      <c r="KHV7" s="733"/>
      <c r="KHW7" s="733"/>
      <c r="KHX7" s="733"/>
      <c r="KHY7" s="733"/>
      <c r="KHZ7" s="733"/>
      <c r="KIA7" s="733"/>
      <c r="KIB7" s="733"/>
      <c r="KIC7" s="733"/>
      <c r="KID7" s="733"/>
      <c r="KIE7" s="733"/>
      <c r="KIF7" s="733"/>
      <c r="KIG7" s="733"/>
      <c r="KIH7" s="733"/>
      <c r="KII7" s="733"/>
      <c r="KIJ7" s="733"/>
      <c r="KIK7" s="733"/>
      <c r="KIL7" s="733"/>
      <c r="KIM7" s="733"/>
      <c r="KIN7" s="733"/>
      <c r="KIO7" s="733"/>
      <c r="KIP7" s="733"/>
      <c r="KIQ7" s="733"/>
      <c r="KIR7" s="733"/>
      <c r="KIS7" s="733"/>
      <c r="KIT7" s="733"/>
      <c r="KIU7" s="733"/>
      <c r="KIV7" s="733"/>
      <c r="KIW7" s="733"/>
      <c r="KIX7" s="733"/>
      <c r="KIY7" s="733"/>
      <c r="KIZ7" s="733"/>
      <c r="KJA7" s="733"/>
      <c r="KJB7" s="733"/>
      <c r="KJC7" s="733"/>
      <c r="KJD7" s="733"/>
      <c r="KJE7" s="733"/>
      <c r="KJF7" s="733"/>
      <c r="KJG7" s="733"/>
      <c r="KJH7" s="733"/>
      <c r="KJI7" s="733"/>
      <c r="KJJ7" s="733"/>
      <c r="KJK7" s="733"/>
      <c r="KJL7" s="733"/>
      <c r="KJM7" s="733"/>
      <c r="KJN7" s="733"/>
      <c r="KJO7" s="733"/>
      <c r="KJP7" s="733"/>
      <c r="KJQ7" s="733"/>
      <c r="KJR7" s="733"/>
      <c r="KJS7" s="733"/>
      <c r="KJT7" s="733"/>
      <c r="KJU7" s="733"/>
      <c r="KJV7" s="733"/>
      <c r="KJW7" s="733"/>
      <c r="KJX7" s="733"/>
      <c r="KJY7" s="733"/>
      <c r="KJZ7" s="733"/>
      <c r="KKA7" s="733"/>
      <c r="KKB7" s="733"/>
      <c r="KKC7" s="733"/>
      <c r="KKD7" s="733"/>
      <c r="KKE7" s="733"/>
      <c r="KKF7" s="733"/>
      <c r="KKG7" s="733"/>
      <c r="KKH7" s="733"/>
      <c r="KKI7" s="733"/>
      <c r="KKJ7" s="733"/>
      <c r="KKK7" s="733"/>
      <c r="KKL7" s="733"/>
      <c r="KKM7" s="733"/>
      <c r="KKN7" s="733"/>
      <c r="KKO7" s="733"/>
      <c r="KKP7" s="733"/>
      <c r="KKQ7" s="733"/>
      <c r="KKR7" s="733"/>
      <c r="KKS7" s="733"/>
      <c r="KKT7" s="733"/>
      <c r="KKU7" s="733"/>
      <c r="KKV7" s="733"/>
      <c r="KKW7" s="733"/>
      <c r="KKX7" s="733"/>
      <c r="KKY7" s="733"/>
      <c r="KKZ7" s="733"/>
      <c r="KLA7" s="733"/>
      <c r="KLB7" s="733"/>
      <c r="KLC7" s="733"/>
      <c r="KLD7" s="733"/>
      <c r="KLE7" s="733"/>
      <c r="KLF7" s="733"/>
      <c r="KLG7" s="733"/>
      <c r="KLH7" s="733"/>
      <c r="KLI7" s="733"/>
      <c r="KLJ7" s="733"/>
      <c r="KLK7" s="733"/>
      <c r="KLL7" s="733"/>
      <c r="KLM7" s="733"/>
      <c r="KLN7" s="733"/>
      <c r="KLO7" s="733"/>
      <c r="KLP7" s="733"/>
      <c r="KLQ7" s="733"/>
      <c r="KLR7" s="733"/>
      <c r="KLS7" s="733"/>
      <c r="KLT7" s="733"/>
      <c r="KLU7" s="733"/>
      <c r="KLV7" s="733"/>
      <c r="KLW7" s="733"/>
      <c r="KLX7" s="733"/>
      <c r="KLY7" s="733"/>
      <c r="KLZ7" s="733"/>
      <c r="KMA7" s="733"/>
      <c r="KMB7" s="733"/>
      <c r="KMC7" s="733"/>
      <c r="KMD7" s="733"/>
      <c r="KME7" s="733"/>
      <c r="KMF7" s="733"/>
      <c r="KMG7" s="733"/>
      <c r="KMH7" s="733"/>
      <c r="KMI7" s="733"/>
      <c r="KMJ7" s="733"/>
      <c r="KMK7" s="733"/>
      <c r="KML7" s="733"/>
      <c r="KMM7" s="733"/>
      <c r="KMN7" s="733"/>
      <c r="KMO7" s="733"/>
      <c r="KMP7" s="733"/>
      <c r="KMQ7" s="733"/>
      <c r="KMR7" s="733"/>
      <c r="KMS7" s="733"/>
      <c r="KMT7" s="733"/>
      <c r="KMU7" s="733"/>
      <c r="KMV7" s="733"/>
      <c r="KMW7" s="733"/>
      <c r="KMX7" s="733"/>
      <c r="KMY7" s="733"/>
      <c r="KMZ7" s="733"/>
      <c r="KNA7" s="733"/>
      <c r="KNB7" s="733"/>
      <c r="KNC7" s="733"/>
      <c r="KND7" s="733"/>
      <c r="KNE7" s="733"/>
      <c r="KNF7" s="733"/>
      <c r="KNG7" s="733"/>
      <c r="KNH7" s="733"/>
      <c r="KNI7" s="733"/>
      <c r="KNJ7" s="733"/>
      <c r="KNK7" s="733"/>
      <c r="KNL7" s="733"/>
      <c r="KNM7" s="733"/>
      <c r="KNN7" s="733"/>
      <c r="KNO7" s="733"/>
      <c r="KNP7" s="733"/>
      <c r="KNQ7" s="733"/>
      <c r="KNR7" s="733"/>
      <c r="KNS7" s="733"/>
      <c r="KNT7" s="733"/>
      <c r="KNU7" s="733"/>
      <c r="KNV7" s="733"/>
      <c r="KNW7" s="733"/>
      <c r="KNX7" s="733"/>
      <c r="KNY7" s="733"/>
      <c r="KNZ7" s="733"/>
      <c r="KOA7" s="733"/>
      <c r="KOB7" s="733"/>
      <c r="KOC7" s="733"/>
      <c r="KOD7" s="733"/>
      <c r="KOE7" s="733"/>
      <c r="KOF7" s="733"/>
      <c r="KOG7" s="733"/>
      <c r="KOH7" s="733"/>
      <c r="KOI7" s="733"/>
      <c r="KOJ7" s="733"/>
      <c r="KOK7" s="733"/>
      <c r="KOL7" s="733"/>
      <c r="KOM7" s="733"/>
      <c r="KON7" s="733"/>
      <c r="KOO7" s="733"/>
      <c r="KOP7" s="733"/>
      <c r="KOQ7" s="733"/>
      <c r="KOR7" s="733"/>
      <c r="KOS7" s="733"/>
      <c r="KOT7" s="733"/>
      <c r="KOU7" s="733"/>
      <c r="KOV7" s="733"/>
      <c r="KOW7" s="733"/>
      <c r="KOX7" s="733"/>
      <c r="KOY7" s="733"/>
      <c r="KOZ7" s="733"/>
      <c r="KPA7" s="733"/>
      <c r="KPB7" s="733"/>
      <c r="KPC7" s="733"/>
      <c r="KPD7" s="733"/>
      <c r="KPE7" s="733"/>
      <c r="KPF7" s="733"/>
      <c r="KPG7" s="733"/>
      <c r="KPH7" s="733"/>
      <c r="KPI7" s="733"/>
      <c r="KPJ7" s="733"/>
      <c r="KPK7" s="733"/>
      <c r="KPL7" s="733"/>
      <c r="KPM7" s="733"/>
      <c r="KPN7" s="733"/>
      <c r="KPO7" s="733"/>
      <c r="KPP7" s="733"/>
      <c r="KPQ7" s="733"/>
      <c r="KPR7" s="733"/>
      <c r="KPS7" s="733"/>
      <c r="KPT7" s="733"/>
      <c r="KPU7" s="733"/>
      <c r="KPV7" s="733"/>
      <c r="KPW7" s="733"/>
      <c r="KPX7" s="733"/>
      <c r="KPY7" s="733"/>
      <c r="KPZ7" s="733"/>
      <c r="KQA7" s="733"/>
      <c r="KQB7" s="733"/>
      <c r="KQC7" s="733"/>
      <c r="KQD7" s="733"/>
      <c r="KQE7" s="733"/>
      <c r="KQF7" s="733"/>
      <c r="KQG7" s="733"/>
      <c r="KQH7" s="733"/>
      <c r="KQI7" s="733"/>
      <c r="KQJ7" s="733"/>
      <c r="KQK7" s="733"/>
      <c r="KQL7" s="733"/>
      <c r="KQM7" s="733"/>
      <c r="KQN7" s="733"/>
      <c r="KQO7" s="733"/>
      <c r="KQP7" s="733"/>
      <c r="KQQ7" s="733"/>
      <c r="KQR7" s="733"/>
      <c r="KQS7" s="733"/>
      <c r="KQT7" s="733"/>
      <c r="KQU7" s="733"/>
      <c r="KQV7" s="733"/>
      <c r="KQW7" s="733"/>
      <c r="KQX7" s="733"/>
      <c r="KQY7" s="733"/>
      <c r="KQZ7" s="733"/>
      <c r="KRA7" s="733"/>
      <c r="KRB7" s="733"/>
      <c r="KRC7" s="733"/>
      <c r="KRD7" s="733"/>
      <c r="KRE7" s="733"/>
      <c r="KRF7" s="733"/>
      <c r="KRG7" s="733"/>
      <c r="KRH7" s="733"/>
      <c r="KRI7" s="733"/>
      <c r="KRJ7" s="733"/>
      <c r="KRK7" s="733"/>
      <c r="KRL7" s="733"/>
      <c r="KRM7" s="733"/>
      <c r="KRN7" s="733"/>
      <c r="KRO7" s="733"/>
      <c r="KRP7" s="733"/>
      <c r="KRQ7" s="733"/>
      <c r="KRR7" s="733"/>
      <c r="KRS7" s="733"/>
      <c r="KRT7" s="733"/>
      <c r="KRU7" s="733"/>
      <c r="KRV7" s="733"/>
      <c r="KRW7" s="733"/>
      <c r="KRX7" s="733"/>
      <c r="KRY7" s="733"/>
      <c r="KRZ7" s="733"/>
      <c r="KSA7" s="733"/>
      <c r="KSB7" s="733"/>
      <c r="KSC7" s="733"/>
      <c r="KSD7" s="733"/>
      <c r="KSE7" s="733"/>
      <c r="KSF7" s="733"/>
      <c r="KSG7" s="733"/>
      <c r="KSH7" s="733"/>
      <c r="KSI7" s="733"/>
      <c r="KSJ7" s="733"/>
      <c r="KSK7" s="733"/>
      <c r="KSL7" s="733"/>
      <c r="KSM7" s="733"/>
      <c r="KSN7" s="733"/>
      <c r="KSO7" s="733"/>
      <c r="KSP7" s="733"/>
      <c r="KSQ7" s="733"/>
      <c r="KSR7" s="733"/>
      <c r="KSS7" s="733"/>
      <c r="KST7" s="733"/>
      <c r="KSU7" s="733"/>
      <c r="KSV7" s="733"/>
      <c r="KSW7" s="733"/>
      <c r="KSX7" s="733"/>
      <c r="KSY7" s="733"/>
      <c r="KSZ7" s="733"/>
      <c r="KTA7" s="733"/>
      <c r="KTB7" s="733"/>
      <c r="KTC7" s="733"/>
      <c r="KTD7" s="733"/>
      <c r="KTE7" s="733"/>
      <c r="KTF7" s="733"/>
      <c r="KTG7" s="733"/>
      <c r="KTH7" s="733"/>
      <c r="KTI7" s="733"/>
      <c r="KTJ7" s="733"/>
      <c r="KTK7" s="733"/>
      <c r="KTL7" s="733"/>
      <c r="KTM7" s="733"/>
      <c r="KTN7" s="733"/>
      <c r="KTO7" s="733"/>
      <c r="KTP7" s="733"/>
      <c r="KTQ7" s="733"/>
      <c r="KTR7" s="733"/>
      <c r="KTS7" s="733"/>
      <c r="KTT7" s="733"/>
      <c r="KTU7" s="733"/>
      <c r="KTV7" s="733"/>
      <c r="KTW7" s="733"/>
      <c r="KTX7" s="733"/>
      <c r="KTY7" s="733"/>
      <c r="KTZ7" s="733"/>
      <c r="KUA7" s="733"/>
      <c r="KUB7" s="733"/>
      <c r="KUC7" s="733"/>
      <c r="KUD7" s="733"/>
      <c r="KUE7" s="733"/>
      <c r="KUF7" s="733"/>
      <c r="KUG7" s="733"/>
      <c r="KUH7" s="733"/>
      <c r="KUI7" s="733"/>
      <c r="KUJ7" s="733"/>
      <c r="KUK7" s="733"/>
      <c r="KUL7" s="733"/>
      <c r="KUM7" s="733"/>
      <c r="KUN7" s="733"/>
      <c r="KUO7" s="733"/>
      <c r="KUP7" s="733"/>
      <c r="KUQ7" s="733"/>
      <c r="KUR7" s="733"/>
      <c r="KUS7" s="733"/>
      <c r="KUT7" s="733"/>
      <c r="KUU7" s="733"/>
      <c r="KUV7" s="733"/>
      <c r="KUW7" s="733"/>
      <c r="KUX7" s="733"/>
      <c r="KUY7" s="733"/>
      <c r="KUZ7" s="733"/>
      <c r="KVA7" s="733"/>
      <c r="KVB7" s="733"/>
      <c r="KVC7" s="733"/>
      <c r="KVD7" s="733"/>
      <c r="KVE7" s="733"/>
      <c r="KVF7" s="733"/>
      <c r="KVG7" s="733"/>
      <c r="KVH7" s="733"/>
      <c r="KVI7" s="733"/>
      <c r="KVJ7" s="733"/>
      <c r="KVK7" s="733"/>
      <c r="KVL7" s="733"/>
      <c r="KVM7" s="733"/>
      <c r="KVN7" s="733"/>
      <c r="KVO7" s="733"/>
      <c r="KVP7" s="733"/>
      <c r="KVQ7" s="733"/>
      <c r="KVR7" s="733"/>
      <c r="KVS7" s="733"/>
      <c r="KVT7" s="733"/>
      <c r="KVU7" s="733"/>
      <c r="KVV7" s="733"/>
      <c r="KVW7" s="733"/>
      <c r="KVX7" s="733"/>
      <c r="KVY7" s="733"/>
      <c r="KVZ7" s="733"/>
      <c r="KWA7" s="733"/>
      <c r="KWB7" s="733"/>
      <c r="KWC7" s="733"/>
      <c r="KWD7" s="733"/>
      <c r="KWE7" s="733"/>
      <c r="KWF7" s="733"/>
      <c r="KWG7" s="733"/>
      <c r="KWH7" s="733"/>
      <c r="KWI7" s="733"/>
      <c r="KWJ7" s="733"/>
      <c r="KWK7" s="733"/>
      <c r="KWL7" s="733"/>
      <c r="KWM7" s="733"/>
      <c r="KWN7" s="733"/>
      <c r="KWO7" s="733"/>
      <c r="KWP7" s="733"/>
      <c r="KWQ7" s="733"/>
      <c r="KWR7" s="733"/>
      <c r="KWS7" s="733"/>
      <c r="KWT7" s="733"/>
      <c r="KWU7" s="733"/>
      <c r="KWV7" s="733"/>
      <c r="KWW7" s="733"/>
      <c r="KWX7" s="733"/>
      <c r="KWY7" s="733"/>
      <c r="KWZ7" s="733"/>
      <c r="KXA7" s="733"/>
      <c r="KXB7" s="733"/>
      <c r="KXC7" s="733"/>
      <c r="KXD7" s="733"/>
      <c r="KXE7" s="733"/>
      <c r="KXF7" s="733"/>
      <c r="KXG7" s="733"/>
      <c r="KXH7" s="733"/>
      <c r="KXI7" s="733"/>
      <c r="KXJ7" s="733"/>
      <c r="KXK7" s="733"/>
      <c r="KXL7" s="733"/>
      <c r="KXM7" s="733"/>
      <c r="KXN7" s="733"/>
      <c r="KXO7" s="733"/>
      <c r="KXP7" s="733"/>
      <c r="KXQ7" s="733"/>
      <c r="KXR7" s="733"/>
      <c r="KXS7" s="733"/>
      <c r="KXT7" s="733"/>
      <c r="KXU7" s="733"/>
      <c r="KXV7" s="733"/>
      <c r="KXW7" s="733"/>
      <c r="KXX7" s="733"/>
      <c r="KXY7" s="733"/>
      <c r="KXZ7" s="733"/>
      <c r="KYA7" s="733"/>
      <c r="KYB7" s="733"/>
      <c r="KYC7" s="733"/>
      <c r="KYD7" s="733"/>
      <c r="KYE7" s="733"/>
      <c r="KYF7" s="733"/>
      <c r="KYG7" s="733"/>
      <c r="KYH7" s="733"/>
      <c r="KYI7" s="733"/>
      <c r="KYJ7" s="733"/>
      <c r="KYK7" s="733"/>
      <c r="KYL7" s="733"/>
      <c r="KYM7" s="733"/>
      <c r="KYN7" s="733"/>
      <c r="KYO7" s="733"/>
      <c r="KYP7" s="733"/>
      <c r="KYQ7" s="733"/>
      <c r="KYR7" s="733"/>
      <c r="KYS7" s="733"/>
      <c r="KYT7" s="733"/>
      <c r="KYU7" s="733"/>
      <c r="KYV7" s="733"/>
      <c r="KYW7" s="733"/>
      <c r="KYX7" s="733"/>
      <c r="KYY7" s="733"/>
      <c r="KYZ7" s="733"/>
      <c r="KZA7" s="733"/>
      <c r="KZB7" s="733"/>
      <c r="KZC7" s="733"/>
      <c r="KZD7" s="733"/>
      <c r="KZE7" s="733"/>
      <c r="KZF7" s="733"/>
      <c r="KZG7" s="733"/>
      <c r="KZH7" s="733"/>
      <c r="KZI7" s="733"/>
      <c r="KZJ7" s="733"/>
      <c r="KZK7" s="733"/>
      <c r="KZL7" s="733"/>
      <c r="KZM7" s="733"/>
      <c r="KZN7" s="733"/>
      <c r="KZO7" s="733"/>
      <c r="KZP7" s="733"/>
      <c r="KZQ7" s="733"/>
      <c r="KZR7" s="733"/>
      <c r="KZS7" s="733"/>
      <c r="KZT7" s="733"/>
      <c r="KZU7" s="733"/>
      <c r="KZV7" s="733"/>
      <c r="KZW7" s="733"/>
      <c r="KZX7" s="733"/>
      <c r="KZY7" s="733"/>
      <c r="KZZ7" s="733"/>
      <c r="LAA7" s="733"/>
      <c r="LAB7" s="733"/>
      <c r="LAC7" s="733"/>
      <c r="LAD7" s="733"/>
      <c r="LAE7" s="733"/>
      <c r="LAF7" s="733"/>
      <c r="LAG7" s="733"/>
      <c r="LAH7" s="733"/>
      <c r="LAI7" s="733"/>
      <c r="LAJ7" s="733"/>
      <c r="LAK7" s="733"/>
      <c r="LAL7" s="733"/>
      <c r="LAM7" s="733"/>
      <c r="LAN7" s="733"/>
      <c r="LAO7" s="733"/>
      <c r="LAP7" s="733"/>
      <c r="LAQ7" s="733"/>
      <c r="LAR7" s="733"/>
      <c r="LAS7" s="733"/>
      <c r="LAT7" s="733"/>
      <c r="LAU7" s="733"/>
      <c r="LAV7" s="733"/>
      <c r="LAW7" s="733"/>
      <c r="LAX7" s="733"/>
      <c r="LAY7" s="733"/>
      <c r="LAZ7" s="733"/>
      <c r="LBA7" s="733"/>
      <c r="LBB7" s="733"/>
      <c r="LBC7" s="733"/>
      <c r="LBD7" s="733"/>
      <c r="LBE7" s="733"/>
      <c r="LBF7" s="733"/>
      <c r="LBG7" s="733"/>
      <c r="LBH7" s="733"/>
      <c r="LBI7" s="733"/>
      <c r="LBJ7" s="733"/>
      <c r="LBK7" s="733"/>
      <c r="LBL7" s="733"/>
      <c r="LBM7" s="733"/>
      <c r="LBN7" s="733"/>
      <c r="LBO7" s="733"/>
      <c r="LBP7" s="733"/>
      <c r="LBQ7" s="733"/>
      <c r="LBR7" s="733"/>
      <c r="LBS7" s="733"/>
      <c r="LBT7" s="733"/>
      <c r="LBU7" s="733"/>
      <c r="LBV7" s="733"/>
      <c r="LBW7" s="733"/>
      <c r="LBX7" s="733"/>
      <c r="LBY7" s="733"/>
      <c r="LBZ7" s="733"/>
      <c r="LCA7" s="733"/>
      <c r="LCB7" s="733"/>
      <c r="LCC7" s="733"/>
      <c r="LCD7" s="733"/>
      <c r="LCE7" s="733"/>
      <c r="LCF7" s="733"/>
      <c r="LCG7" s="733"/>
      <c r="LCH7" s="733"/>
      <c r="LCI7" s="733"/>
      <c r="LCJ7" s="733"/>
      <c r="LCK7" s="733"/>
      <c r="LCL7" s="733"/>
      <c r="LCM7" s="733"/>
      <c r="LCN7" s="733"/>
      <c r="LCO7" s="733"/>
      <c r="LCP7" s="733"/>
      <c r="LCQ7" s="733"/>
      <c r="LCR7" s="733"/>
      <c r="LCS7" s="733"/>
      <c r="LCT7" s="733"/>
      <c r="LCU7" s="733"/>
      <c r="LCV7" s="733"/>
      <c r="LCW7" s="733"/>
      <c r="LCX7" s="733"/>
      <c r="LCY7" s="733"/>
      <c r="LCZ7" s="733"/>
      <c r="LDA7" s="733"/>
      <c r="LDB7" s="733"/>
      <c r="LDC7" s="733"/>
      <c r="LDD7" s="733"/>
      <c r="LDE7" s="733"/>
      <c r="LDF7" s="733"/>
      <c r="LDG7" s="733"/>
      <c r="LDH7" s="733"/>
      <c r="LDI7" s="733"/>
      <c r="LDJ7" s="733"/>
      <c r="LDK7" s="733"/>
      <c r="LDL7" s="733"/>
      <c r="LDM7" s="733"/>
      <c r="LDN7" s="733"/>
      <c r="LDO7" s="733"/>
      <c r="LDP7" s="733"/>
      <c r="LDQ7" s="733"/>
      <c r="LDR7" s="733"/>
      <c r="LDS7" s="733"/>
      <c r="LDT7" s="733"/>
      <c r="LDU7" s="733"/>
      <c r="LDV7" s="733"/>
      <c r="LDW7" s="733"/>
      <c r="LDX7" s="733"/>
      <c r="LDY7" s="733"/>
      <c r="LDZ7" s="733"/>
      <c r="LEA7" s="733"/>
      <c r="LEB7" s="733"/>
      <c r="LEC7" s="733"/>
      <c r="LED7" s="733"/>
      <c r="LEE7" s="733"/>
      <c r="LEF7" s="733"/>
      <c r="LEG7" s="733"/>
      <c r="LEH7" s="733"/>
      <c r="LEI7" s="733"/>
      <c r="LEJ7" s="733"/>
      <c r="LEK7" s="733"/>
      <c r="LEL7" s="733"/>
      <c r="LEM7" s="733"/>
      <c r="LEN7" s="733"/>
      <c r="LEO7" s="733"/>
      <c r="LEP7" s="733"/>
      <c r="LEQ7" s="733"/>
      <c r="LER7" s="733"/>
      <c r="LES7" s="733"/>
      <c r="LET7" s="733"/>
      <c r="LEU7" s="733"/>
      <c r="LEV7" s="733"/>
      <c r="LEW7" s="733"/>
      <c r="LEX7" s="733"/>
      <c r="LEY7" s="733"/>
      <c r="LEZ7" s="733"/>
      <c r="LFA7" s="733"/>
      <c r="LFB7" s="733"/>
      <c r="LFC7" s="733"/>
      <c r="LFD7" s="733"/>
      <c r="LFE7" s="733"/>
      <c r="LFF7" s="733"/>
      <c r="LFG7" s="733"/>
      <c r="LFH7" s="733"/>
      <c r="LFI7" s="733"/>
      <c r="LFJ7" s="733"/>
      <c r="LFK7" s="733"/>
      <c r="LFL7" s="733"/>
      <c r="LFM7" s="733"/>
      <c r="LFN7" s="733"/>
      <c r="LFO7" s="733"/>
      <c r="LFP7" s="733"/>
      <c r="LFQ7" s="733"/>
      <c r="LFR7" s="733"/>
      <c r="LFS7" s="733"/>
      <c r="LFT7" s="733"/>
      <c r="LFU7" s="733"/>
      <c r="LFV7" s="733"/>
      <c r="LFW7" s="733"/>
      <c r="LFX7" s="733"/>
      <c r="LFY7" s="733"/>
      <c r="LFZ7" s="733"/>
      <c r="LGA7" s="733"/>
      <c r="LGB7" s="733"/>
      <c r="LGC7" s="733"/>
      <c r="LGD7" s="733"/>
      <c r="LGE7" s="733"/>
      <c r="LGF7" s="733"/>
      <c r="LGG7" s="733"/>
      <c r="LGH7" s="733"/>
      <c r="LGI7" s="733"/>
      <c r="LGJ7" s="733"/>
      <c r="LGK7" s="733"/>
      <c r="LGL7" s="733"/>
      <c r="LGM7" s="733"/>
      <c r="LGN7" s="733"/>
      <c r="LGO7" s="733"/>
      <c r="LGP7" s="733"/>
      <c r="LGQ7" s="733"/>
      <c r="LGR7" s="733"/>
      <c r="LGS7" s="733"/>
      <c r="LGT7" s="733"/>
      <c r="LGU7" s="733"/>
      <c r="LGV7" s="733"/>
      <c r="LGW7" s="733"/>
      <c r="LGX7" s="733"/>
      <c r="LGY7" s="733"/>
      <c r="LGZ7" s="733"/>
      <c r="LHA7" s="733"/>
      <c r="LHB7" s="733"/>
      <c r="LHC7" s="733"/>
      <c r="LHD7" s="733"/>
      <c r="LHE7" s="733"/>
      <c r="LHF7" s="733"/>
      <c r="LHG7" s="733"/>
      <c r="LHH7" s="733"/>
      <c r="LHI7" s="733"/>
      <c r="LHJ7" s="733"/>
      <c r="LHK7" s="733"/>
      <c r="LHL7" s="733"/>
      <c r="LHM7" s="733"/>
      <c r="LHN7" s="733"/>
      <c r="LHO7" s="733"/>
      <c r="LHP7" s="733"/>
      <c r="LHQ7" s="733"/>
      <c r="LHR7" s="733"/>
      <c r="LHS7" s="733"/>
      <c r="LHT7" s="733"/>
      <c r="LHU7" s="733"/>
      <c r="LHV7" s="733"/>
      <c r="LHW7" s="733"/>
      <c r="LHX7" s="733"/>
      <c r="LHY7" s="733"/>
      <c r="LHZ7" s="733"/>
      <c r="LIA7" s="733"/>
      <c r="LIB7" s="733"/>
      <c r="LIC7" s="733"/>
      <c r="LID7" s="733"/>
      <c r="LIE7" s="733"/>
      <c r="LIF7" s="733"/>
      <c r="LIG7" s="733"/>
      <c r="LIH7" s="733"/>
      <c r="LII7" s="733"/>
      <c r="LIJ7" s="733"/>
      <c r="LIK7" s="733"/>
      <c r="LIL7" s="733"/>
      <c r="LIM7" s="733"/>
      <c r="LIN7" s="733"/>
      <c r="LIO7" s="733"/>
      <c r="LIP7" s="733"/>
      <c r="LIQ7" s="733"/>
      <c r="LIR7" s="733"/>
      <c r="LIS7" s="733"/>
      <c r="LIT7" s="733"/>
      <c r="LIU7" s="733"/>
      <c r="LIV7" s="733"/>
      <c r="LIW7" s="733"/>
      <c r="LIX7" s="733"/>
      <c r="LIY7" s="733"/>
      <c r="LIZ7" s="733"/>
      <c r="LJA7" s="733"/>
      <c r="LJB7" s="733"/>
      <c r="LJC7" s="733"/>
      <c r="LJD7" s="733"/>
      <c r="LJE7" s="733"/>
      <c r="LJF7" s="733"/>
      <c r="LJG7" s="733"/>
      <c r="LJH7" s="733"/>
      <c r="LJI7" s="733"/>
      <c r="LJJ7" s="733"/>
      <c r="LJK7" s="733"/>
      <c r="LJL7" s="733"/>
      <c r="LJM7" s="733"/>
      <c r="LJN7" s="733"/>
      <c r="LJO7" s="733"/>
      <c r="LJP7" s="733"/>
      <c r="LJQ7" s="733"/>
      <c r="LJR7" s="733"/>
      <c r="LJS7" s="733"/>
      <c r="LJT7" s="733"/>
      <c r="LJU7" s="733"/>
      <c r="LJV7" s="733"/>
      <c r="LJW7" s="733"/>
      <c r="LJX7" s="733"/>
      <c r="LJY7" s="733"/>
      <c r="LJZ7" s="733"/>
      <c r="LKA7" s="733"/>
      <c r="LKB7" s="733"/>
      <c r="LKC7" s="733"/>
      <c r="LKD7" s="733"/>
      <c r="LKE7" s="733"/>
      <c r="LKF7" s="733"/>
      <c r="LKG7" s="733"/>
      <c r="LKH7" s="733"/>
      <c r="LKI7" s="733"/>
      <c r="LKJ7" s="733"/>
      <c r="LKK7" s="733"/>
      <c r="LKL7" s="733"/>
      <c r="LKM7" s="733"/>
      <c r="LKN7" s="733"/>
      <c r="LKO7" s="733"/>
      <c r="LKP7" s="733"/>
      <c r="LKQ7" s="733"/>
      <c r="LKR7" s="733"/>
      <c r="LKS7" s="733"/>
      <c r="LKT7" s="733"/>
      <c r="LKU7" s="733"/>
      <c r="LKV7" s="733"/>
      <c r="LKW7" s="733"/>
      <c r="LKX7" s="733"/>
      <c r="LKY7" s="733"/>
      <c r="LKZ7" s="733"/>
      <c r="LLA7" s="733"/>
      <c r="LLB7" s="733"/>
      <c r="LLC7" s="733"/>
      <c r="LLD7" s="733"/>
      <c r="LLE7" s="733"/>
      <c r="LLF7" s="733"/>
      <c r="LLG7" s="733"/>
      <c r="LLH7" s="733"/>
      <c r="LLI7" s="733"/>
      <c r="LLJ7" s="733"/>
      <c r="LLK7" s="733"/>
      <c r="LLL7" s="733"/>
      <c r="LLM7" s="733"/>
      <c r="LLN7" s="733"/>
      <c r="LLO7" s="733"/>
      <c r="LLP7" s="733"/>
      <c r="LLQ7" s="733"/>
      <c r="LLR7" s="733"/>
      <c r="LLS7" s="733"/>
      <c r="LLT7" s="733"/>
      <c r="LLU7" s="733"/>
      <c r="LLV7" s="733"/>
      <c r="LLW7" s="733"/>
      <c r="LLX7" s="733"/>
      <c r="LLY7" s="733"/>
      <c r="LLZ7" s="733"/>
      <c r="LMA7" s="733"/>
      <c r="LMB7" s="733"/>
      <c r="LMC7" s="733"/>
      <c r="LMD7" s="733"/>
      <c r="LME7" s="733"/>
      <c r="LMF7" s="733"/>
      <c r="LMG7" s="733"/>
      <c r="LMH7" s="733"/>
      <c r="LMI7" s="733"/>
      <c r="LMJ7" s="733"/>
      <c r="LMK7" s="733"/>
      <c r="LML7" s="733"/>
      <c r="LMM7" s="733"/>
      <c r="LMN7" s="733"/>
      <c r="LMO7" s="733"/>
      <c r="LMP7" s="733"/>
      <c r="LMQ7" s="733"/>
      <c r="LMR7" s="733"/>
      <c r="LMS7" s="733"/>
      <c r="LMT7" s="733"/>
      <c r="LMU7" s="733"/>
      <c r="LMV7" s="733"/>
      <c r="LMW7" s="733"/>
      <c r="LMX7" s="733"/>
      <c r="LMY7" s="733"/>
      <c r="LMZ7" s="733"/>
      <c r="LNA7" s="733"/>
      <c r="LNB7" s="733"/>
      <c r="LNC7" s="733"/>
      <c r="LND7" s="733"/>
      <c r="LNE7" s="733"/>
      <c r="LNF7" s="733"/>
      <c r="LNG7" s="733"/>
      <c r="LNH7" s="733"/>
      <c r="LNI7" s="733"/>
      <c r="LNJ7" s="733"/>
      <c r="LNK7" s="733"/>
      <c r="LNL7" s="733"/>
      <c r="LNM7" s="733"/>
      <c r="LNN7" s="733"/>
      <c r="LNO7" s="733"/>
      <c r="LNP7" s="733"/>
      <c r="LNQ7" s="733"/>
      <c r="LNR7" s="733"/>
      <c r="LNS7" s="733"/>
      <c r="LNT7" s="733"/>
      <c r="LNU7" s="733"/>
      <c r="LNV7" s="733"/>
      <c r="LNW7" s="733"/>
      <c r="LNX7" s="733"/>
      <c r="LNY7" s="733"/>
      <c r="LNZ7" s="733"/>
      <c r="LOA7" s="733"/>
      <c r="LOB7" s="733"/>
      <c r="LOC7" s="733"/>
      <c r="LOD7" s="733"/>
      <c r="LOE7" s="733"/>
      <c r="LOF7" s="733"/>
      <c r="LOG7" s="733"/>
      <c r="LOH7" s="733"/>
      <c r="LOI7" s="733"/>
      <c r="LOJ7" s="733"/>
      <c r="LOK7" s="733"/>
      <c r="LOL7" s="733"/>
      <c r="LOM7" s="733"/>
      <c r="LON7" s="733"/>
      <c r="LOO7" s="733"/>
      <c r="LOP7" s="733"/>
      <c r="LOQ7" s="733"/>
      <c r="LOR7" s="733"/>
      <c r="LOS7" s="733"/>
      <c r="LOT7" s="733"/>
      <c r="LOU7" s="733"/>
      <c r="LOV7" s="733"/>
      <c r="LOW7" s="733"/>
      <c r="LOX7" s="733"/>
      <c r="LOY7" s="733"/>
      <c r="LOZ7" s="733"/>
      <c r="LPA7" s="733"/>
      <c r="LPB7" s="733"/>
      <c r="LPC7" s="733"/>
      <c r="LPD7" s="733"/>
      <c r="LPE7" s="733"/>
      <c r="LPF7" s="733"/>
      <c r="LPG7" s="733"/>
      <c r="LPH7" s="733"/>
      <c r="LPI7" s="733"/>
      <c r="LPJ7" s="733"/>
      <c r="LPK7" s="733"/>
      <c r="LPL7" s="733"/>
      <c r="LPM7" s="733"/>
      <c r="LPN7" s="733"/>
      <c r="LPO7" s="733"/>
      <c r="LPP7" s="733"/>
      <c r="LPQ7" s="733"/>
      <c r="LPR7" s="733"/>
      <c r="LPS7" s="733"/>
      <c r="LPT7" s="733"/>
      <c r="LPU7" s="733"/>
      <c r="LPV7" s="733"/>
      <c r="LPW7" s="733"/>
      <c r="LPX7" s="733"/>
      <c r="LPY7" s="733"/>
      <c r="LPZ7" s="733"/>
      <c r="LQA7" s="733"/>
      <c r="LQB7" s="733"/>
      <c r="LQC7" s="733"/>
      <c r="LQD7" s="733"/>
      <c r="LQE7" s="733"/>
      <c r="LQF7" s="733"/>
      <c r="LQG7" s="733"/>
      <c r="LQH7" s="733"/>
      <c r="LQI7" s="733"/>
      <c r="LQJ7" s="733"/>
      <c r="LQK7" s="733"/>
      <c r="LQL7" s="733"/>
      <c r="LQM7" s="733"/>
      <c r="LQN7" s="733"/>
      <c r="LQO7" s="733"/>
      <c r="LQP7" s="733"/>
      <c r="LQQ7" s="733"/>
      <c r="LQR7" s="733"/>
      <c r="LQS7" s="733"/>
      <c r="LQT7" s="733"/>
      <c r="LQU7" s="733"/>
      <c r="LQV7" s="733"/>
      <c r="LQW7" s="733"/>
      <c r="LQX7" s="733"/>
      <c r="LQY7" s="733"/>
      <c r="LQZ7" s="733"/>
      <c r="LRA7" s="733"/>
      <c r="LRB7" s="733"/>
      <c r="LRC7" s="733"/>
      <c r="LRD7" s="733"/>
      <c r="LRE7" s="733"/>
      <c r="LRF7" s="733"/>
      <c r="LRG7" s="733"/>
      <c r="LRH7" s="733"/>
      <c r="LRI7" s="733"/>
      <c r="LRJ7" s="733"/>
      <c r="LRK7" s="733"/>
      <c r="LRL7" s="733"/>
      <c r="LRM7" s="733"/>
      <c r="LRN7" s="733"/>
      <c r="LRO7" s="733"/>
      <c r="LRP7" s="733"/>
      <c r="LRQ7" s="733"/>
      <c r="LRR7" s="733"/>
      <c r="LRS7" s="733"/>
      <c r="LRT7" s="733"/>
      <c r="LRU7" s="733"/>
      <c r="LRV7" s="733"/>
      <c r="LRW7" s="733"/>
      <c r="LRX7" s="733"/>
      <c r="LRY7" s="733"/>
      <c r="LRZ7" s="733"/>
      <c r="LSA7" s="733"/>
      <c r="LSB7" s="733"/>
      <c r="LSC7" s="733"/>
      <c r="LSD7" s="733"/>
      <c r="LSE7" s="733"/>
      <c r="LSF7" s="733"/>
      <c r="LSG7" s="733"/>
      <c r="LSH7" s="733"/>
      <c r="LSI7" s="733"/>
      <c r="LSJ7" s="733"/>
      <c r="LSK7" s="733"/>
      <c r="LSL7" s="733"/>
      <c r="LSM7" s="733"/>
      <c r="LSN7" s="733"/>
      <c r="LSO7" s="733"/>
      <c r="LSP7" s="733"/>
      <c r="LSQ7" s="733"/>
      <c r="LSR7" s="733"/>
      <c r="LSS7" s="733"/>
      <c r="LST7" s="733"/>
      <c r="LSU7" s="733"/>
      <c r="LSV7" s="733"/>
      <c r="LSW7" s="733"/>
      <c r="LSX7" s="733"/>
      <c r="LSY7" s="733"/>
      <c r="LSZ7" s="733"/>
      <c r="LTA7" s="733"/>
      <c r="LTB7" s="733"/>
      <c r="LTC7" s="733"/>
      <c r="LTD7" s="733"/>
      <c r="LTE7" s="733"/>
      <c r="LTF7" s="733"/>
      <c r="LTG7" s="733"/>
      <c r="LTH7" s="733"/>
      <c r="LTI7" s="733"/>
      <c r="LTJ7" s="733"/>
      <c r="LTK7" s="733"/>
      <c r="LTL7" s="733"/>
      <c r="LTM7" s="733"/>
      <c r="LTN7" s="733"/>
      <c r="LTO7" s="733"/>
      <c r="LTP7" s="733"/>
      <c r="LTQ7" s="733"/>
      <c r="LTR7" s="733"/>
      <c r="LTS7" s="733"/>
      <c r="LTT7" s="733"/>
      <c r="LTU7" s="733"/>
      <c r="LTV7" s="733"/>
      <c r="LTW7" s="733"/>
      <c r="LTX7" s="733"/>
      <c r="LTY7" s="733"/>
      <c r="LTZ7" s="733"/>
      <c r="LUA7" s="733"/>
      <c r="LUB7" s="733"/>
      <c r="LUC7" s="733"/>
      <c r="LUD7" s="733"/>
      <c r="LUE7" s="733"/>
      <c r="LUF7" s="733"/>
      <c r="LUG7" s="733"/>
      <c r="LUH7" s="733"/>
      <c r="LUI7" s="733"/>
      <c r="LUJ7" s="733"/>
      <c r="LUK7" s="733"/>
      <c r="LUL7" s="733"/>
      <c r="LUM7" s="733"/>
      <c r="LUN7" s="733"/>
      <c r="LUO7" s="733"/>
      <c r="LUP7" s="733"/>
      <c r="LUQ7" s="733"/>
      <c r="LUR7" s="733"/>
      <c r="LUS7" s="733"/>
      <c r="LUT7" s="733"/>
      <c r="LUU7" s="733"/>
      <c r="LUV7" s="733"/>
      <c r="LUW7" s="733"/>
      <c r="LUX7" s="733"/>
      <c r="LUY7" s="733"/>
      <c r="LUZ7" s="733"/>
      <c r="LVA7" s="733"/>
      <c r="LVB7" s="733"/>
      <c r="LVC7" s="733"/>
      <c r="LVD7" s="733"/>
      <c r="LVE7" s="733"/>
      <c r="LVF7" s="733"/>
      <c r="LVG7" s="733"/>
      <c r="LVH7" s="733"/>
      <c r="LVI7" s="733"/>
      <c r="LVJ7" s="733"/>
      <c r="LVK7" s="733"/>
      <c r="LVL7" s="733"/>
      <c r="LVM7" s="733"/>
      <c r="LVN7" s="733"/>
      <c r="LVO7" s="733"/>
      <c r="LVP7" s="733"/>
      <c r="LVQ7" s="733"/>
      <c r="LVR7" s="733"/>
      <c r="LVS7" s="733"/>
      <c r="LVT7" s="733"/>
      <c r="LVU7" s="733"/>
      <c r="LVV7" s="733"/>
      <c r="LVW7" s="733"/>
      <c r="LVX7" s="733"/>
      <c r="LVY7" s="733"/>
      <c r="LVZ7" s="733"/>
      <c r="LWA7" s="733"/>
      <c r="LWB7" s="733"/>
      <c r="LWC7" s="733"/>
      <c r="LWD7" s="733"/>
      <c r="LWE7" s="733"/>
      <c r="LWF7" s="733"/>
      <c r="LWG7" s="733"/>
      <c r="LWH7" s="733"/>
      <c r="LWI7" s="733"/>
      <c r="LWJ7" s="733"/>
      <c r="LWK7" s="733"/>
      <c r="LWL7" s="733"/>
      <c r="LWM7" s="733"/>
      <c r="LWN7" s="733"/>
      <c r="LWO7" s="733"/>
      <c r="LWP7" s="733"/>
      <c r="LWQ7" s="733"/>
      <c r="LWR7" s="733"/>
      <c r="LWS7" s="733"/>
      <c r="LWT7" s="733"/>
      <c r="LWU7" s="733"/>
      <c r="LWV7" s="733"/>
      <c r="LWW7" s="733"/>
      <c r="LWX7" s="733"/>
      <c r="LWY7" s="733"/>
      <c r="LWZ7" s="733"/>
      <c r="LXA7" s="733"/>
      <c r="LXB7" s="733"/>
      <c r="LXC7" s="733"/>
      <c r="LXD7" s="733"/>
      <c r="LXE7" s="733"/>
      <c r="LXF7" s="733"/>
      <c r="LXG7" s="733"/>
      <c r="LXH7" s="733"/>
      <c r="LXI7" s="733"/>
      <c r="LXJ7" s="733"/>
      <c r="LXK7" s="733"/>
      <c r="LXL7" s="733"/>
      <c r="LXM7" s="733"/>
      <c r="LXN7" s="733"/>
      <c r="LXO7" s="733"/>
      <c r="LXP7" s="733"/>
      <c r="LXQ7" s="733"/>
      <c r="LXR7" s="733"/>
      <c r="LXS7" s="733"/>
      <c r="LXT7" s="733"/>
      <c r="LXU7" s="733"/>
      <c r="LXV7" s="733"/>
      <c r="LXW7" s="733"/>
      <c r="LXX7" s="733"/>
      <c r="LXY7" s="733"/>
      <c r="LXZ7" s="733"/>
      <c r="LYA7" s="733"/>
      <c r="LYB7" s="733"/>
      <c r="LYC7" s="733"/>
      <c r="LYD7" s="733"/>
      <c r="LYE7" s="733"/>
      <c r="LYF7" s="733"/>
      <c r="LYG7" s="733"/>
      <c r="LYH7" s="733"/>
      <c r="LYI7" s="733"/>
      <c r="LYJ7" s="733"/>
      <c r="LYK7" s="733"/>
      <c r="LYL7" s="733"/>
      <c r="LYM7" s="733"/>
      <c r="LYN7" s="733"/>
      <c r="LYO7" s="733"/>
      <c r="LYP7" s="733"/>
      <c r="LYQ7" s="733"/>
      <c r="LYR7" s="733"/>
      <c r="LYS7" s="733"/>
      <c r="LYT7" s="733"/>
      <c r="LYU7" s="733"/>
      <c r="LYV7" s="733"/>
      <c r="LYW7" s="733"/>
      <c r="LYX7" s="733"/>
      <c r="LYY7" s="733"/>
      <c r="LYZ7" s="733"/>
      <c r="LZA7" s="733"/>
      <c r="LZB7" s="733"/>
      <c r="LZC7" s="733"/>
      <c r="LZD7" s="733"/>
      <c r="LZE7" s="733"/>
      <c r="LZF7" s="733"/>
      <c r="LZG7" s="733"/>
      <c r="LZH7" s="733"/>
      <c r="LZI7" s="733"/>
      <c r="LZJ7" s="733"/>
      <c r="LZK7" s="733"/>
      <c r="LZL7" s="733"/>
      <c r="LZM7" s="733"/>
      <c r="LZN7" s="733"/>
      <c r="LZO7" s="733"/>
      <c r="LZP7" s="733"/>
      <c r="LZQ7" s="733"/>
      <c r="LZR7" s="733"/>
      <c r="LZS7" s="733"/>
      <c r="LZT7" s="733"/>
      <c r="LZU7" s="733"/>
      <c r="LZV7" s="733"/>
      <c r="LZW7" s="733"/>
      <c r="LZX7" s="733"/>
      <c r="LZY7" s="733"/>
      <c r="LZZ7" s="733"/>
      <c r="MAA7" s="733"/>
      <c r="MAB7" s="733"/>
      <c r="MAC7" s="733"/>
      <c r="MAD7" s="733"/>
      <c r="MAE7" s="733"/>
      <c r="MAF7" s="733"/>
      <c r="MAG7" s="733"/>
      <c r="MAH7" s="733"/>
      <c r="MAI7" s="733"/>
      <c r="MAJ7" s="733"/>
      <c r="MAK7" s="733"/>
      <c r="MAL7" s="733"/>
      <c r="MAM7" s="733"/>
      <c r="MAN7" s="733"/>
      <c r="MAO7" s="733"/>
      <c r="MAP7" s="733"/>
      <c r="MAQ7" s="733"/>
      <c r="MAR7" s="733"/>
      <c r="MAS7" s="733"/>
      <c r="MAT7" s="733"/>
      <c r="MAU7" s="733"/>
      <c r="MAV7" s="733"/>
      <c r="MAW7" s="733"/>
      <c r="MAX7" s="733"/>
      <c r="MAY7" s="733"/>
      <c r="MAZ7" s="733"/>
      <c r="MBA7" s="733"/>
      <c r="MBB7" s="733"/>
      <c r="MBC7" s="733"/>
      <c r="MBD7" s="733"/>
      <c r="MBE7" s="733"/>
      <c r="MBF7" s="733"/>
      <c r="MBG7" s="733"/>
      <c r="MBH7" s="733"/>
      <c r="MBI7" s="733"/>
      <c r="MBJ7" s="733"/>
      <c r="MBK7" s="733"/>
      <c r="MBL7" s="733"/>
      <c r="MBM7" s="733"/>
      <c r="MBN7" s="733"/>
      <c r="MBO7" s="733"/>
      <c r="MBP7" s="733"/>
      <c r="MBQ7" s="733"/>
      <c r="MBR7" s="733"/>
      <c r="MBS7" s="733"/>
      <c r="MBT7" s="733"/>
      <c r="MBU7" s="733"/>
      <c r="MBV7" s="733"/>
      <c r="MBW7" s="733"/>
      <c r="MBX7" s="733"/>
      <c r="MBY7" s="733"/>
      <c r="MBZ7" s="733"/>
      <c r="MCA7" s="733"/>
      <c r="MCB7" s="733"/>
      <c r="MCC7" s="733"/>
      <c r="MCD7" s="733"/>
      <c r="MCE7" s="733"/>
      <c r="MCF7" s="733"/>
      <c r="MCG7" s="733"/>
      <c r="MCH7" s="733"/>
      <c r="MCI7" s="733"/>
      <c r="MCJ7" s="733"/>
      <c r="MCK7" s="733"/>
      <c r="MCL7" s="733"/>
      <c r="MCM7" s="733"/>
      <c r="MCN7" s="733"/>
      <c r="MCO7" s="733"/>
      <c r="MCP7" s="733"/>
      <c r="MCQ7" s="733"/>
      <c r="MCR7" s="733"/>
      <c r="MCS7" s="733"/>
      <c r="MCT7" s="733"/>
      <c r="MCU7" s="733"/>
      <c r="MCV7" s="733"/>
      <c r="MCW7" s="733"/>
      <c r="MCX7" s="733"/>
      <c r="MCY7" s="733"/>
      <c r="MCZ7" s="733"/>
      <c r="MDA7" s="733"/>
      <c r="MDB7" s="733"/>
      <c r="MDC7" s="733"/>
      <c r="MDD7" s="733"/>
      <c r="MDE7" s="733"/>
      <c r="MDF7" s="733"/>
      <c r="MDG7" s="733"/>
      <c r="MDH7" s="733"/>
      <c r="MDI7" s="733"/>
      <c r="MDJ7" s="733"/>
      <c r="MDK7" s="733"/>
      <c r="MDL7" s="733"/>
      <c r="MDM7" s="733"/>
      <c r="MDN7" s="733"/>
      <c r="MDO7" s="733"/>
      <c r="MDP7" s="733"/>
      <c r="MDQ7" s="733"/>
      <c r="MDR7" s="733"/>
      <c r="MDS7" s="733"/>
      <c r="MDT7" s="733"/>
      <c r="MDU7" s="733"/>
      <c r="MDV7" s="733"/>
      <c r="MDW7" s="733"/>
      <c r="MDX7" s="733"/>
      <c r="MDY7" s="733"/>
      <c r="MDZ7" s="733"/>
      <c r="MEA7" s="733"/>
      <c r="MEB7" s="733"/>
      <c r="MEC7" s="733"/>
      <c r="MED7" s="733"/>
      <c r="MEE7" s="733"/>
      <c r="MEF7" s="733"/>
      <c r="MEG7" s="733"/>
      <c r="MEH7" s="733"/>
      <c r="MEI7" s="733"/>
      <c r="MEJ7" s="733"/>
      <c r="MEK7" s="733"/>
      <c r="MEL7" s="733"/>
      <c r="MEM7" s="733"/>
      <c r="MEN7" s="733"/>
      <c r="MEO7" s="733"/>
      <c r="MEP7" s="733"/>
      <c r="MEQ7" s="733"/>
      <c r="MER7" s="733"/>
      <c r="MES7" s="733"/>
      <c r="MET7" s="733"/>
      <c r="MEU7" s="733"/>
      <c r="MEV7" s="733"/>
      <c r="MEW7" s="733"/>
      <c r="MEX7" s="733"/>
      <c r="MEY7" s="733"/>
      <c r="MEZ7" s="733"/>
      <c r="MFA7" s="733"/>
      <c r="MFB7" s="733"/>
      <c r="MFC7" s="733"/>
      <c r="MFD7" s="733"/>
      <c r="MFE7" s="733"/>
      <c r="MFF7" s="733"/>
      <c r="MFG7" s="733"/>
      <c r="MFH7" s="733"/>
      <c r="MFI7" s="733"/>
      <c r="MFJ7" s="733"/>
      <c r="MFK7" s="733"/>
      <c r="MFL7" s="733"/>
      <c r="MFM7" s="733"/>
      <c r="MFN7" s="733"/>
      <c r="MFO7" s="733"/>
      <c r="MFP7" s="733"/>
      <c r="MFQ7" s="733"/>
      <c r="MFR7" s="733"/>
      <c r="MFS7" s="733"/>
      <c r="MFT7" s="733"/>
      <c r="MFU7" s="733"/>
      <c r="MFV7" s="733"/>
      <c r="MFW7" s="733"/>
      <c r="MFX7" s="733"/>
      <c r="MFY7" s="733"/>
      <c r="MFZ7" s="733"/>
      <c r="MGA7" s="733"/>
      <c r="MGB7" s="733"/>
      <c r="MGC7" s="733"/>
      <c r="MGD7" s="733"/>
      <c r="MGE7" s="733"/>
      <c r="MGF7" s="733"/>
      <c r="MGG7" s="733"/>
      <c r="MGH7" s="733"/>
      <c r="MGI7" s="733"/>
      <c r="MGJ7" s="733"/>
      <c r="MGK7" s="733"/>
      <c r="MGL7" s="733"/>
      <c r="MGM7" s="733"/>
      <c r="MGN7" s="733"/>
      <c r="MGO7" s="733"/>
      <c r="MGP7" s="733"/>
      <c r="MGQ7" s="733"/>
      <c r="MGR7" s="733"/>
      <c r="MGS7" s="733"/>
      <c r="MGT7" s="733"/>
      <c r="MGU7" s="733"/>
      <c r="MGV7" s="733"/>
      <c r="MGW7" s="733"/>
      <c r="MGX7" s="733"/>
      <c r="MGY7" s="733"/>
      <c r="MGZ7" s="733"/>
      <c r="MHA7" s="733"/>
      <c r="MHB7" s="733"/>
      <c r="MHC7" s="733"/>
      <c r="MHD7" s="733"/>
      <c r="MHE7" s="733"/>
      <c r="MHF7" s="733"/>
      <c r="MHG7" s="733"/>
      <c r="MHH7" s="733"/>
      <c r="MHI7" s="733"/>
      <c r="MHJ7" s="733"/>
      <c r="MHK7" s="733"/>
      <c r="MHL7" s="733"/>
      <c r="MHM7" s="733"/>
      <c r="MHN7" s="733"/>
      <c r="MHO7" s="733"/>
      <c r="MHP7" s="733"/>
      <c r="MHQ7" s="733"/>
      <c r="MHR7" s="733"/>
      <c r="MHS7" s="733"/>
      <c r="MHT7" s="733"/>
      <c r="MHU7" s="733"/>
      <c r="MHV7" s="733"/>
      <c r="MHW7" s="733"/>
      <c r="MHX7" s="733"/>
      <c r="MHY7" s="733"/>
      <c r="MHZ7" s="733"/>
      <c r="MIA7" s="733"/>
      <c r="MIB7" s="733"/>
      <c r="MIC7" s="733"/>
      <c r="MID7" s="733"/>
      <c r="MIE7" s="733"/>
      <c r="MIF7" s="733"/>
      <c r="MIG7" s="733"/>
      <c r="MIH7" s="733"/>
      <c r="MII7" s="733"/>
      <c r="MIJ7" s="733"/>
      <c r="MIK7" s="733"/>
      <c r="MIL7" s="733"/>
      <c r="MIM7" s="733"/>
      <c r="MIN7" s="733"/>
      <c r="MIO7" s="733"/>
      <c r="MIP7" s="733"/>
      <c r="MIQ7" s="733"/>
      <c r="MIR7" s="733"/>
      <c r="MIS7" s="733"/>
      <c r="MIT7" s="733"/>
      <c r="MIU7" s="733"/>
      <c r="MIV7" s="733"/>
      <c r="MIW7" s="733"/>
      <c r="MIX7" s="733"/>
      <c r="MIY7" s="733"/>
      <c r="MIZ7" s="733"/>
      <c r="MJA7" s="733"/>
      <c r="MJB7" s="733"/>
      <c r="MJC7" s="733"/>
      <c r="MJD7" s="733"/>
      <c r="MJE7" s="733"/>
      <c r="MJF7" s="733"/>
      <c r="MJG7" s="733"/>
      <c r="MJH7" s="733"/>
      <c r="MJI7" s="733"/>
      <c r="MJJ7" s="733"/>
      <c r="MJK7" s="733"/>
      <c r="MJL7" s="733"/>
      <c r="MJM7" s="733"/>
      <c r="MJN7" s="733"/>
      <c r="MJO7" s="733"/>
      <c r="MJP7" s="733"/>
      <c r="MJQ7" s="733"/>
      <c r="MJR7" s="733"/>
      <c r="MJS7" s="733"/>
      <c r="MJT7" s="733"/>
      <c r="MJU7" s="733"/>
      <c r="MJV7" s="733"/>
      <c r="MJW7" s="733"/>
      <c r="MJX7" s="733"/>
      <c r="MJY7" s="733"/>
      <c r="MJZ7" s="733"/>
      <c r="MKA7" s="733"/>
      <c r="MKB7" s="733"/>
      <c r="MKC7" s="733"/>
      <c r="MKD7" s="733"/>
      <c r="MKE7" s="733"/>
      <c r="MKF7" s="733"/>
      <c r="MKG7" s="733"/>
      <c r="MKH7" s="733"/>
      <c r="MKI7" s="733"/>
      <c r="MKJ7" s="733"/>
      <c r="MKK7" s="733"/>
      <c r="MKL7" s="733"/>
      <c r="MKM7" s="733"/>
      <c r="MKN7" s="733"/>
      <c r="MKO7" s="733"/>
      <c r="MKP7" s="733"/>
      <c r="MKQ7" s="733"/>
      <c r="MKR7" s="733"/>
      <c r="MKS7" s="733"/>
      <c r="MKT7" s="733"/>
      <c r="MKU7" s="733"/>
      <c r="MKV7" s="733"/>
      <c r="MKW7" s="733"/>
      <c r="MKX7" s="733"/>
      <c r="MKY7" s="733"/>
      <c r="MKZ7" s="733"/>
      <c r="MLA7" s="733"/>
      <c r="MLB7" s="733"/>
      <c r="MLC7" s="733"/>
      <c r="MLD7" s="733"/>
      <c r="MLE7" s="733"/>
      <c r="MLF7" s="733"/>
      <c r="MLG7" s="733"/>
      <c r="MLH7" s="733"/>
      <c r="MLI7" s="733"/>
      <c r="MLJ7" s="733"/>
      <c r="MLK7" s="733"/>
      <c r="MLL7" s="733"/>
      <c r="MLM7" s="733"/>
      <c r="MLN7" s="733"/>
      <c r="MLO7" s="733"/>
      <c r="MLP7" s="733"/>
      <c r="MLQ7" s="733"/>
      <c r="MLR7" s="733"/>
      <c r="MLS7" s="733"/>
      <c r="MLT7" s="733"/>
      <c r="MLU7" s="733"/>
      <c r="MLV7" s="733"/>
      <c r="MLW7" s="733"/>
      <c r="MLX7" s="733"/>
      <c r="MLY7" s="733"/>
      <c r="MLZ7" s="733"/>
      <c r="MMA7" s="733"/>
      <c r="MMB7" s="733"/>
      <c r="MMC7" s="733"/>
      <c r="MMD7" s="733"/>
      <c r="MME7" s="733"/>
      <c r="MMF7" s="733"/>
      <c r="MMG7" s="733"/>
      <c r="MMH7" s="733"/>
      <c r="MMI7" s="733"/>
      <c r="MMJ7" s="733"/>
      <c r="MMK7" s="733"/>
      <c r="MML7" s="733"/>
      <c r="MMM7" s="733"/>
      <c r="MMN7" s="733"/>
      <c r="MMO7" s="733"/>
      <c r="MMP7" s="733"/>
      <c r="MMQ7" s="733"/>
      <c r="MMR7" s="733"/>
      <c r="MMS7" s="733"/>
      <c r="MMT7" s="733"/>
      <c r="MMU7" s="733"/>
      <c r="MMV7" s="733"/>
      <c r="MMW7" s="733"/>
      <c r="MMX7" s="733"/>
      <c r="MMY7" s="733"/>
      <c r="MMZ7" s="733"/>
      <c r="MNA7" s="733"/>
      <c r="MNB7" s="733"/>
      <c r="MNC7" s="733"/>
      <c r="MND7" s="733"/>
      <c r="MNE7" s="733"/>
      <c r="MNF7" s="733"/>
      <c r="MNG7" s="733"/>
      <c r="MNH7" s="733"/>
      <c r="MNI7" s="733"/>
      <c r="MNJ7" s="733"/>
      <c r="MNK7" s="733"/>
      <c r="MNL7" s="733"/>
      <c r="MNM7" s="733"/>
      <c r="MNN7" s="733"/>
      <c r="MNO7" s="733"/>
      <c r="MNP7" s="733"/>
      <c r="MNQ7" s="733"/>
      <c r="MNR7" s="733"/>
      <c r="MNS7" s="733"/>
      <c r="MNT7" s="733"/>
      <c r="MNU7" s="733"/>
      <c r="MNV7" s="733"/>
      <c r="MNW7" s="733"/>
      <c r="MNX7" s="733"/>
      <c r="MNY7" s="733"/>
      <c r="MNZ7" s="733"/>
      <c r="MOA7" s="733"/>
      <c r="MOB7" s="733"/>
      <c r="MOC7" s="733"/>
      <c r="MOD7" s="733"/>
      <c r="MOE7" s="733"/>
      <c r="MOF7" s="733"/>
      <c r="MOG7" s="733"/>
      <c r="MOH7" s="733"/>
      <c r="MOI7" s="733"/>
      <c r="MOJ7" s="733"/>
      <c r="MOK7" s="733"/>
      <c r="MOL7" s="733"/>
      <c r="MOM7" s="733"/>
      <c r="MON7" s="733"/>
      <c r="MOO7" s="733"/>
      <c r="MOP7" s="733"/>
      <c r="MOQ7" s="733"/>
      <c r="MOR7" s="733"/>
      <c r="MOS7" s="733"/>
      <c r="MOT7" s="733"/>
      <c r="MOU7" s="733"/>
      <c r="MOV7" s="733"/>
      <c r="MOW7" s="733"/>
      <c r="MOX7" s="733"/>
      <c r="MOY7" s="733"/>
      <c r="MOZ7" s="733"/>
      <c r="MPA7" s="733"/>
      <c r="MPB7" s="733"/>
      <c r="MPC7" s="733"/>
      <c r="MPD7" s="733"/>
      <c r="MPE7" s="733"/>
      <c r="MPF7" s="733"/>
      <c r="MPG7" s="733"/>
      <c r="MPH7" s="733"/>
      <c r="MPI7" s="733"/>
      <c r="MPJ7" s="733"/>
      <c r="MPK7" s="733"/>
      <c r="MPL7" s="733"/>
      <c r="MPM7" s="733"/>
      <c r="MPN7" s="733"/>
      <c r="MPO7" s="733"/>
      <c r="MPP7" s="733"/>
      <c r="MPQ7" s="733"/>
      <c r="MPR7" s="733"/>
      <c r="MPS7" s="733"/>
      <c r="MPT7" s="733"/>
      <c r="MPU7" s="733"/>
      <c r="MPV7" s="733"/>
      <c r="MPW7" s="733"/>
      <c r="MPX7" s="733"/>
      <c r="MPY7" s="733"/>
      <c r="MPZ7" s="733"/>
      <c r="MQA7" s="733"/>
      <c r="MQB7" s="733"/>
      <c r="MQC7" s="733"/>
      <c r="MQD7" s="733"/>
      <c r="MQE7" s="733"/>
      <c r="MQF7" s="733"/>
      <c r="MQG7" s="733"/>
      <c r="MQH7" s="733"/>
      <c r="MQI7" s="733"/>
      <c r="MQJ7" s="733"/>
      <c r="MQK7" s="733"/>
      <c r="MQL7" s="733"/>
      <c r="MQM7" s="733"/>
      <c r="MQN7" s="733"/>
      <c r="MQO7" s="733"/>
      <c r="MQP7" s="733"/>
      <c r="MQQ7" s="733"/>
      <c r="MQR7" s="733"/>
      <c r="MQS7" s="733"/>
      <c r="MQT7" s="733"/>
      <c r="MQU7" s="733"/>
      <c r="MQV7" s="733"/>
      <c r="MQW7" s="733"/>
      <c r="MQX7" s="733"/>
      <c r="MQY7" s="733"/>
      <c r="MQZ7" s="733"/>
      <c r="MRA7" s="733"/>
      <c r="MRB7" s="733"/>
      <c r="MRC7" s="733"/>
      <c r="MRD7" s="733"/>
      <c r="MRE7" s="733"/>
      <c r="MRF7" s="733"/>
      <c r="MRG7" s="733"/>
      <c r="MRH7" s="733"/>
      <c r="MRI7" s="733"/>
      <c r="MRJ7" s="733"/>
      <c r="MRK7" s="733"/>
      <c r="MRL7" s="733"/>
      <c r="MRM7" s="733"/>
      <c r="MRN7" s="733"/>
      <c r="MRO7" s="733"/>
      <c r="MRP7" s="733"/>
      <c r="MRQ7" s="733"/>
      <c r="MRR7" s="733"/>
      <c r="MRS7" s="733"/>
      <c r="MRT7" s="733"/>
      <c r="MRU7" s="733"/>
      <c r="MRV7" s="733"/>
      <c r="MRW7" s="733"/>
      <c r="MRX7" s="733"/>
      <c r="MRY7" s="733"/>
      <c r="MRZ7" s="733"/>
      <c r="MSA7" s="733"/>
      <c r="MSB7" s="733"/>
      <c r="MSC7" s="733"/>
      <c r="MSD7" s="733"/>
      <c r="MSE7" s="733"/>
      <c r="MSF7" s="733"/>
      <c r="MSG7" s="733"/>
      <c r="MSH7" s="733"/>
      <c r="MSI7" s="733"/>
      <c r="MSJ7" s="733"/>
      <c r="MSK7" s="733"/>
      <c r="MSL7" s="733"/>
      <c r="MSM7" s="733"/>
      <c r="MSN7" s="733"/>
      <c r="MSO7" s="733"/>
      <c r="MSP7" s="733"/>
      <c r="MSQ7" s="733"/>
      <c r="MSR7" s="733"/>
      <c r="MSS7" s="733"/>
      <c r="MST7" s="733"/>
      <c r="MSU7" s="733"/>
      <c r="MSV7" s="733"/>
      <c r="MSW7" s="733"/>
      <c r="MSX7" s="733"/>
      <c r="MSY7" s="733"/>
      <c r="MSZ7" s="733"/>
      <c r="MTA7" s="733"/>
      <c r="MTB7" s="733"/>
      <c r="MTC7" s="733"/>
      <c r="MTD7" s="733"/>
      <c r="MTE7" s="733"/>
      <c r="MTF7" s="733"/>
      <c r="MTG7" s="733"/>
      <c r="MTH7" s="733"/>
      <c r="MTI7" s="733"/>
      <c r="MTJ7" s="733"/>
      <c r="MTK7" s="733"/>
      <c r="MTL7" s="733"/>
      <c r="MTM7" s="733"/>
      <c r="MTN7" s="733"/>
      <c r="MTO7" s="733"/>
      <c r="MTP7" s="733"/>
      <c r="MTQ7" s="733"/>
      <c r="MTR7" s="733"/>
      <c r="MTS7" s="733"/>
      <c r="MTT7" s="733"/>
      <c r="MTU7" s="733"/>
      <c r="MTV7" s="733"/>
      <c r="MTW7" s="733"/>
      <c r="MTX7" s="733"/>
      <c r="MTY7" s="733"/>
      <c r="MTZ7" s="733"/>
      <c r="MUA7" s="733"/>
      <c r="MUB7" s="733"/>
      <c r="MUC7" s="733"/>
      <c r="MUD7" s="733"/>
      <c r="MUE7" s="733"/>
      <c r="MUF7" s="733"/>
      <c r="MUG7" s="733"/>
      <c r="MUH7" s="733"/>
      <c r="MUI7" s="733"/>
      <c r="MUJ7" s="733"/>
      <c r="MUK7" s="733"/>
      <c r="MUL7" s="733"/>
      <c r="MUM7" s="733"/>
      <c r="MUN7" s="733"/>
      <c r="MUO7" s="733"/>
      <c r="MUP7" s="733"/>
      <c r="MUQ7" s="733"/>
      <c r="MUR7" s="733"/>
      <c r="MUS7" s="733"/>
      <c r="MUT7" s="733"/>
      <c r="MUU7" s="733"/>
      <c r="MUV7" s="733"/>
      <c r="MUW7" s="733"/>
      <c r="MUX7" s="733"/>
      <c r="MUY7" s="733"/>
      <c r="MUZ7" s="733"/>
      <c r="MVA7" s="733"/>
      <c r="MVB7" s="733"/>
      <c r="MVC7" s="733"/>
      <c r="MVD7" s="733"/>
      <c r="MVE7" s="733"/>
      <c r="MVF7" s="733"/>
      <c r="MVG7" s="733"/>
      <c r="MVH7" s="733"/>
      <c r="MVI7" s="733"/>
      <c r="MVJ7" s="733"/>
      <c r="MVK7" s="733"/>
      <c r="MVL7" s="733"/>
      <c r="MVM7" s="733"/>
      <c r="MVN7" s="733"/>
      <c r="MVO7" s="733"/>
      <c r="MVP7" s="733"/>
      <c r="MVQ7" s="733"/>
      <c r="MVR7" s="733"/>
      <c r="MVS7" s="733"/>
      <c r="MVT7" s="733"/>
      <c r="MVU7" s="733"/>
      <c r="MVV7" s="733"/>
      <c r="MVW7" s="733"/>
      <c r="MVX7" s="733"/>
      <c r="MVY7" s="733"/>
      <c r="MVZ7" s="733"/>
      <c r="MWA7" s="733"/>
      <c r="MWB7" s="733"/>
      <c r="MWC7" s="733"/>
      <c r="MWD7" s="733"/>
      <c r="MWE7" s="733"/>
      <c r="MWF7" s="733"/>
      <c r="MWG7" s="733"/>
      <c r="MWH7" s="733"/>
      <c r="MWI7" s="733"/>
      <c r="MWJ7" s="733"/>
      <c r="MWK7" s="733"/>
      <c r="MWL7" s="733"/>
      <c r="MWM7" s="733"/>
      <c r="MWN7" s="733"/>
      <c r="MWO7" s="733"/>
      <c r="MWP7" s="733"/>
      <c r="MWQ7" s="733"/>
      <c r="MWR7" s="733"/>
      <c r="MWS7" s="733"/>
      <c r="MWT7" s="733"/>
      <c r="MWU7" s="733"/>
      <c r="MWV7" s="733"/>
      <c r="MWW7" s="733"/>
      <c r="MWX7" s="733"/>
      <c r="MWY7" s="733"/>
      <c r="MWZ7" s="733"/>
      <c r="MXA7" s="733"/>
      <c r="MXB7" s="733"/>
      <c r="MXC7" s="733"/>
      <c r="MXD7" s="733"/>
      <c r="MXE7" s="733"/>
      <c r="MXF7" s="733"/>
      <c r="MXG7" s="733"/>
      <c r="MXH7" s="733"/>
      <c r="MXI7" s="733"/>
      <c r="MXJ7" s="733"/>
      <c r="MXK7" s="733"/>
      <c r="MXL7" s="733"/>
      <c r="MXM7" s="733"/>
      <c r="MXN7" s="733"/>
      <c r="MXO7" s="733"/>
      <c r="MXP7" s="733"/>
      <c r="MXQ7" s="733"/>
      <c r="MXR7" s="733"/>
      <c r="MXS7" s="733"/>
      <c r="MXT7" s="733"/>
      <c r="MXU7" s="733"/>
      <c r="MXV7" s="733"/>
      <c r="MXW7" s="733"/>
      <c r="MXX7" s="733"/>
      <c r="MXY7" s="733"/>
      <c r="MXZ7" s="733"/>
      <c r="MYA7" s="733"/>
      <c r="MYB7" s="733"/>
      <c r="MYC7" s="733"/>
      <c r="MYD7" s="733"/>
      <c r="MYE7" s="733"/>
      <c r="MYF7" s="733"/>
      <c r="MYG7" s="733"/>
      <c r="MYH7" s="733"/>
      <c r="MYI7" s="733"/>
      <c r="MYJ7" s="733"/>
      <c r="MYK7" s="733"/>
      <c r="MYL7" s="733"/>
      <c r="MYM7" s="733"/>
      <c r="MYN7" s="733"/>
      <c r="MYO7" s="733"/>
      <c r="MYP7" s="733"/>
      <c r="MYQ7" s="733"/>
      <c r="MYR7" s="733"/>
      <c r="MYS7" s="733"/>
      <c r="MYT7" s="733"/>
      <c r="MYU7" s="733"/>
      <c r="MYV7" s="733"/>
      <c r="MYW7" s="733"/>
      <c r="MYX7" s="733"/>
      <c r="MYY7" s="733"/>
      <c r="MYZ7" s="733"/>
      <c r="MZA7" s="733"/>
      <c r="MZB7" s="733"/>
      <c r="MZC7" s="733"/>
      <c r="MZD7" s="733"/>
      <c r="MZE7" s="733"/>
      <c r="MZF7" s="733"/>
      <c r="MZG7" s="733"/>
      <c r="MZH7" s="733"/>
      <c r="MZI7" s="733"/>
      <c r="MZJ7" s="733"/>
      <c r="MZK7" s="733"/>
      <c r="MZL7" s="733"/>
      <c r="MZM7" s="733"/>
      <c r="MZN7" s="733"/>
      <c r="MZO7" s="733"/>
      <c r="MZP7" s="733"/>
      <c r="MZQ7" s="733"/>
      <c r="MZR7" s="733"/>
      <c r="MZS7" s="733"/>
      <c r="MZT7" s="733"/>
      <c r="MZU7" s="733"/>
      <c r="MZV7" s="733"/>
      <c r="MZW7" s="733"/>
      <c r="MZX7" s="733"/>
      <c r="MZY7" s="733"/>
      <c r="MZZ7" s="733"/>
      <c r="NAA7" s="733"/>
      <c r="NAB7" s="733"/>
      <c r="NAC7" s="733"/>
      <c r="NAD7" s="733"/>
      <c r="NAE7" s="733"/>
      <c r="NAF7" s="733"/>
      <c r="NAG7" s="733"/>
      <c r="NAH7" s="733"/>
      <c r="NAI7" s="733"/>
      <c r="NAJ7" s="733"/>
      <c r="NAK7" s="733"/>
      <c r="NAL7" s="733"/>
      <c r="NAM7" s="733"/>
      <c r="NAN7" s="733"/>
      <c r="NAO7" s="733"/>
      <c r="NAP7" s="733"/>
      <c r="NAQ7" s="733"/>
      <c r="NAR7" s="733"/>
      <c r="NAS7" s="733"/>
      <c r="NAT7" s="733"/>
      <c r="NAU7" s="733"/>
      <c r="NAV7" s="733"/>
      <c r="NAW7" s="733"/>
      <c r="NAX7" s="733"/>
      <c r="NAY7" s="733"/>
      <c r="NAZ7" s="733"/>
      <c r="NBA7" s="733"/>
      <c r="NBB7" s="733"/>
      <c r="NBC7" s="733"/>
      <c r="NBD7" s="733"/>
      <c r="NBE7" s="733"/>
      <c r="NBF7" s="733"/>
      <c r="NBG7" s="733"/>
      <c r="NBH7" s="733"/>
      <c r="NBI7" s="733"/>
      <c r="NBJ7" s="733"/>
      <c r="NBK7" s="733"/>
      <c r="NBL7" s="733"/>
      <c r="NBM7" s="733"/>
      <c r="NBN7" s="733"/>
      <c r="NBO7" s="733"/>
      <c r="NBP7" s="733"/>
      <c r="NBQ7" s="733"/>
      <c r="NBR7" s="733"/>
      <c r="NBS7" s="733"/>
      <c r="NBT7" s="733"/>
      <c r="NBU7" s="733"/>
      <c r="NBV7" s="733"/>
      <c r="NBW7" s="733"/>
      <c r="NBX7" s="733"/>
      <c r="NBY7" s="733"/>
      <c r="NBZ7" s="733"/>
      <c r="NCA7" s="733"/>
      <c r="NCB7" s="733"/>
      <c r="NCC7" s="733"/>
      <c r="NCD7" s="733"/>
      <c r="NCE7" s="733"/>
      <c r="NCF7" s="733"/>
      <c r="NCG7" s="733"/>
      <c r="NCH7" s="733"/>
      <c r="NCI7" s="733"/>
      <c r="NCJ7" s="733"/>
      <c r="NCK7" s="733"/>
      <c r="NCL7" s="733"/>
      <c r="NCM7" s="733"/>
      <c r="NCN7" s="733"/>
      <c r="NCO7" s="733"/>
      <c r="NCP7" s="733"/>
      <c r="NCQ7" s="733"/>
      <c r="NCR7" s="733"/>
      <c r="NCS7" s="733"/>
      <c r="NCT7" s="733"/>
      <c r="NCU7" s="733"/>
      <c r="NCV7" s="733"/>
      <c r="NCW7" s="733"/>
      <c r="NCX7" s="733"/>
      <c r="NCY7" s="733"/>
      <c r="NCZ7" s="733"/>
      <c r="NDA7" s="733"/>
      <c r="NDB7" s="733"/>
      <c r="NDC7" s="733"/>
      <c r="NDD7" s="733"/>
      <c r="NDE7" s="733"/>
      <c r="NDF7" s="733"/>
      <c r="NDG7" s="733"/>
      <c r="NDH7" s="733"/>
      <c r="NDI7" s="733"/>
      <c r="NDJ7" s="733"/>
      <c r="NDK7" s="733"/>
      <c r="NDL7" s="733"/>
      <c r="NDM7" s="733"/>
      <c r="NDN7" s="733"/>
      <c r="NDO7" s="733"/>
      <c r="NDP7" s="733"/>
      <c r="NDQ7" s="733"/>
      <c r="NDR7" s="733"/>
      <c r="NDS7" s="733"/>
      <c r="NDT7" s="733"/>
      <c r="NDU7" s="733"/>
      <c r="NDV7" s="733"/>
      <c r="NDW7" s="733"/>
      <c r="NDX7" s="733"/>
      <c r="NDY7" s="733"/>
      <c r="NDZ7" s="733"/>
      <c r="NEA7" s="733"/>
      <c r="NEB7" s="733"/>
      <c r="NEC7" s="733"/>
      <c r="NED7" s="733"/>
      <c r="NEE7" s="733"/>
      <c r="NEF7" s="733"/>
      <c r="NEG7" s="733"/>
      <c r="NEH7" s="733"/>
      <c r="NEI7" s="733"/>
      <c r="NEJ7" s="733"/>
      <c r="NEK7" s="733"/>
      <c r="NEL7" s="733"/>
      <c r="NEM7" s="733"/>
      <c r="NEN7" s="733"/>
      <c r="NEO7" s="733"/>
      <c r="NEP7" s="733"/>
      <c r="NEQ7" s="733"/>
      <c r="NER7" s="733"/>
      <c r="NES7" s="733"/>
      <c r="NET7" s="733"/>
      <c r="NEU7" s="733"/>
      <c r="NEV7" s="733"/>
      <c r="NEW7" s="733"/>
      <c r="NEX7" s="733"/>
      <c r="NEY7" s="733"/>
      <c r="NEZ7" s="733"/>
      <c r="NFA7" s="733"/>
      <c r="NFB7" s="733"/>
      <c r="NFC7" s="733"/>
      <c r="NFD7" s="733"/>
      <c r="NFE7" s="733"/>
      <c r="NFF7" s="733"/>
      <c r="NFG7" s="733"/>
      <c r="NFH7" s="733"/>
      <c r="NFI7" s="733"/>
      <c r="NFJ7" s="733"/>
      <c r="NFK7" s="733"/>
      <c r="NFL7" s="733"/>
      <c r="NFM7" s="733"/>
      <c r="NFN7" s="733"/>
      <c r="NFO7" s="733"/>
      <c r="NFP7" s="733"/>
      <c r="NFQ7" s="733"/>
      <c r="NFR7" s="733"/>
      <c r="NFS7" s="733"/>
      <c r="NFT7" s="733"/>
      <c r="NFU7" s="733"/>
      <c r="NFV7" s="733"/>
      <c r="NFW7" s="733"/>
      <c r="NFX7" s="733"/>
      <c r="NFY7" s="733"/>
      <c r="NFZ7" s="733"/>
      <c r="NGA7" s="733"/>
      <c r="NGB7" s="733"/>
      <c r="NGC7" s="733"/>
      <c r="NGD7" s="733"/>
      <c r="NGE7" s="733"/>
      <c r="NGF7" s="733"/>
      <c r="NGG7" s="733"/>
      <c r="NGH7" s="733"/>
      <c r="NGI7" s="733"/>
      <c r="NGJ7" s="733"/>
      <c r="NGK7" s="733"/>
      <c r="NGL7" s="733"/>
      <c r="NGM7" s="733"/>
      <c r="NGN7" s="733"/>
      <c r="NGO7" s="733"/>
      <c r="NGP7" s="733"/>
      <c r="NGQ7" s="733"/>
      <c r="NGR7" s="733"/>
      <c r="NGS7" s="733"/>
      <c r="NGT7" s="733"/>
      <c r="NGU7" s="733"/>
      <c r="NGV7" s="733"/>
      <c r="NGW7" s="733"/>
      <c r="NGX7" s="733"/>
      <c r="NGY7" s="733"/>
      <c r="NGZ7" s="733"/>
      <c r="NHA7" s="733"/>
      <c r="NHB7" s="733"/>
      <c r="NHC7" s="733"/>
      <c r="NHD7" s="733"/>
      <c r="NHE7" s="733"/>
      <c r="NHF7" s="733"/>
      <c r="NHG7" s="733"/>
      <c r="NHH7" s="733"/>
      <c r="NHI7" s="733"/>
      <c r="NHJ7" s="733"/>
      <c r="NHK7" s="733"/>
      <c r="NHL7" s="733"/>
      <c r="NHM7" s="733"/>
      <c r="NHN7" s="733"/>
      <c r="NHO7" s="733"/>
      <c r="NHP7" s="733"/>
      <c r="NHQ7" s="733"/>
      <c r="NHR7" s="733"/>
      <c r="NHS7" s="733"/>
      <c r="NHT7" s="733"/>
      <c r="NHU7" s="733"/>
      <c r="NHV7" s="733"/>
      <c r="NHW7" s="733"/>
      <c r="NHX7" s="733"/>
      <c r="NHY7" s="733"/>
      <c r="NHZ7" s="733"/>
      <c r="NIA7" s="733"/>
      <c r="NIB7" s="733"/>
      <c r="NIC7" s="733"/>
      <c r="NID7" s="733"/>
      <c r="NIE7" s="733"/>
      <c r="NIF7" s="733"/>
      <c r="NIG7" s="733"/>
      <c r="NIH7" s="733"/>
      <c r="NII7" s="733"/>
      <c r="NIJ7" s="733"/>
      <c r="NIK7" s="733"/>
      <c r="NIL7" s="733"/>
      <c r="NIM7" s="733"/>
      <c r="NIN7" s="733"/>
      <c r="NIO7" s="733"/>
      <c r="NIP7" s="733"/>
      <c r="NIQ7" s="733"/>
      <c r="NIR7" s="733"/>
      <c r="NIS7" s="733"/>
      <c r="NIT7" s="733"/>
      <c r="NIU7" s="733"/>
      <c r="NIV7" s="733"/>
      <c r="NIW7" s="733"/>
      <c r="NIX7" s="733"/>
      <c r="NIY7" s="733"/>
      <c r="NIZ7" s="733"/>
      <c r="NJA7" s="733"/>
      <c r="NJB7" s="733"/>
      <c r="NJC7" s="733"/>
      <c r="NJD7" s="733"/>
      <c r="NJE7" s="733"/>
      <c r="NJF7" s="733"/>
      <c r="NJG7" s="733"/>
      <c r="NJH7" s="733"/>
      <c r="NJI7" s="733"/>
      <c r="NJJ7" s="733"/>
      <c r="NJK7" s="733"/>
      <c r="NJL7" s="733"/>
      <c r="NJM7" s="733"/>
      <c r="NJN7" s="733"/>
      <c r="NJO7" s="733"/>
      <c r="NJP7" s="733"/>
      <c r="NJQ7" s="733"/>
      <c r="NJR7" s="733"/>
      <c r="NJS7" s="733"/>
      <c r="NJT7" s="733"/>
      <c r="NJU7" s="733"/>
      <c r="NJV7" s="733"/>
      <c r="NJW7" s="733"/>
      <c r="NJX7" s="733"/>
      <c r="NJY7" s="733"/>
      <c r="NJZ7" s="733"/>
      <c r="NKA7" s="733"/>
      <c r="NKB7" s="733"/>
      <c r="NKC7" s="733"/>
      <c r="NKD7" s="733"/>
      <c r="NKE7" s="733"/>
      <c r="NKF7" s="733"/>
      <c r="NKG7" s="733"/>
      <c r="NKH7" s="733"/>
      <c r="NKI7" s="733"/>
      <c r="NKJ7" s="733"/>
      <c r="NKK7" s="733"/>
      <c r="NKL7" s="733"/>
      <c r="NKM7" s="733"/>
      <c r="NKN7" s="733"/>
      <c r="NKO7" s="733"/>
      <c r="NKP7" s="733"/>
      <c r="NKQ7" s="733"/>
      <c r="NKR7" s="733"/>
      <c r="NKS7" s="733"/>
      <c r="NKT7" s="733"/>
      <c r="NKU7" s="733"/>
      <c r="NKV7" s="733"/>
      <c r="NKW7" s="733"/>
      <c r="NKX7" s="733"/>
      <c r="NKY7" s="733"/>
      <c r="NKZ7" s="733"/>
      <c r="NLA7" s="733"/>
      <c r="NLB7" s="733"/>
      <c r="NLC7" s="733"/>
      <c r="NLD7" s="733"/>
      <c r="NLE7" s="733"/>
      <c r="NLF7" s="733"/>
      <c r="NLG7" s="733"/>
      <c r="NLH7" s="733"/>
      <c r="NLI7" s="733"/>
      <c r="NLJ7" s="733"/>
      <c r="NLK7" s="733"/>
      <c r="NLL7" s="733"/>
      <c r="NLM7" s="733"/>
      <c r="NLN7" s="733"/>
      <c r="NLO7" s="733"/>
      <c r="NLP7" s="733"/>
      <c r="NLQ7" s="733"/>
      <c r="NLR7" s="733"/>
      <c r="NLS7" s="733"/>
      <c r="NLT7" s="733"/>
      <c r="NLU7" s="733"/>
      <c r="NLV7" s="733"/>
      <c r="NLW7" s="733"/>
      <c r="NLX7" s="733"/>
      <c r="NLY7" s="733"/>
      <c r="NLZ7" s="733"/>
      <c r="NMA7" s="733"/>
      <c r="NMB7" s="733"/>
      <c r="NMC7" s="733"/>
      <c r="NMD7" s="733"/>
      <c r="NME7" s="733"/>
      <c r="NMF7" s="733"/>
      <c r="NMG7" s="733"/>
      <c r="NMH7" s="733"/>
      <c r="NMI7" s="733"/>
      <c r="NMJ7" s="733"/>
      <c r="NMK7" s="733"/>
      <c r="NML7" s="733"/>
      <c r="NMM7" s="733"/>
      <c r="NMN7" s="733"/>
      <c r="NMO7" s="733"/>
      <c r="NMP7" s="733"/>
      <c r="NMQ7" s="733"/>
      <c r="NMR7" s="733"/>
      <c r="NMS7" s="733"/>
      <c r="NMT7" s="733"/>
      <c r="NMU7" s="733"/>
      <c r="NMV7" s="733"/>
      <c r="NMW7" s="733"/>
      <c r="NMX7" s="733"/>
      <c r="NMY7" s="733"/>
      <c r="NMZ7" s="733"/>
      <c r="NNA7" s="733"/>
      <c r="NNB7" s="733"/>
      <c r="NNC7" s="733"/>
      <c r="NND7" s="733"/>
      <c r="NNE7" s="733"/>
      <c r="NNF7" s="733"/>
      <c r="NNG7" s="733"/>
      <c r="NNH7" s="733"/>
      <c r="NNI7" s="733"/>
      <c r="NNJ7" s="733"/>
      <c r="NNK7" s="733"/>
      <c r="NNL7" s="733"/>
      <c r="NNM7" s="733"/>
      <c r="NNN7" s="733"/>
      <c r="NNO7" s="733"/>
      <c r="NNP7" s="733"/>
      <c r="NNQ7" s="733"/>
      <c r="NNR7" s="733"/>
      <c r="NNS7" s="733"/>
      <c r="NNT7" s="733"/>
      <c r="NNU7" s="733"/>
      <c r="NNV7" s="733"/>
      <c r="NNW7" s="733"/>
      <c r="NNX7" s="733"/>
      <c r="NNY7" s="733"/>
      <c r="NNZ7" s="733"/>
      <c r="NOA7" s="733"/>
      <c r="NOB7" s="733"/>
      <c r="NOC7" s="733"/>
      <c r="NOD7" s="733"/>
      <c r="NOE7" s="733"/>
      <c r="NOF7" s="733"/>
      <c r="NOG7" s="733"/>
      <c r="NOH7" s="733"/>
      <c r="NOI7" s="733"/>
      <c r="NOJ7" s="733"/>
      <c r="NOK7" s="733"/>
      <c r="NOL7" s="733"/>
      <c r="NOM7" s="733"/>
      <c r="NON7" s="733"/>
      <c r="NOO7" s="733"/>
      <c r="NOP7" s="733"/>
      <c r="NOQ7" s="733"/>
      <c r="NOR7" s="733"/>
      <c r="NOS7" s="733"/>
      <c r="NOT7" s="733"/>
      <c r="NOU7" s="733"/>
      <c r="NOV7" s="733"/>
      <c r="NOW7" s="733"/>
      <c r="NOX7" s="733"/>
      <c r="NOY7" s="733"/>
      <c r="NOZ7" s="733"/>
      <c r="NPA7" s="733"/>
      <c r="NPB7" s="733"/>
      <c r="NPC7" s="733"/>
      <c r="NPD7" s="733"/>
      <c r="NPE7" s="733"/>
      <c r="NPF7" s="733"/>
      <c r="NPG7" s="733"/>
      <c r="NPH7" s="733"/>
      <c r="NPI7" s="733"/>
      <c r="NPJ7" s="733"/>
      <c r="NPK7" s="733"/>
      <c r="NPL7" s="733"/>
      <c r="NPM7" s="733"/>
      <c r="NPN7" s="733"/>
      <c r="NPO7" s="733"/>
      <c r="NPP7" s="733"/>
      <c r="NPQ7" s="733"/>
      <c r="NPR7" s="733"/>
      <c r="NPS7" s="733"/>
      <c r="NPT7" s="733"/>
      <c r="NPU7" s="733"/>
      <c r="NPV7" s="733"/>
      <c r="NPW7" s="733"/>
      <c r="NPX7" s="733"/>
      <c r="NPY7" s="733"/>
      <c r="NPZ7" s="733"/>
      <c r="NQA7" s="733"/>
      <c r="NQB7" s="733"/>
      <c r="NQC7" s="733"/>
      <c r="NQD7" s="733"/>
      <c r="NQE7" s="733"/>
      <c r="NQF7" s="733"/>
      <c r="NQG7" s="733"/>
      <c r="NQH7" s="733"/>
      <c r="NQI7" s="733"/>
      <c r="NQJ7" s="733"/>
      <c r="NQK7" s="733"/>
      <c r="NQL7" s="733"/>
      <c r="NQM7" s="733"/>
      <c r="NQN7" s="733"/>
      <c r="NQO7" s="733"/>
      <c r="NQP7" s="733"/>
      <c r="NQQ7" s="733"/>
      <c r="NQR7" s="733"/>
      <c r="NQS7" s="733"/>
      <c r="NQT7" s="733"/>
      <c r="NQU7" s="733"/>
      <c r="NQV7" s="733"/>
      <c r="NQW7" s="733"/>
      <c r="NQX7" s="733"/>
      <c r="NQY7" s="733"/>
      <c r="NQZ7" s="733"/>
      <c r="NRA7" s="733"/>
      <c r="NRB7" s="733"/>
      <c r="NRC7" s="733"/>
      <c r="NRD7" s="733"/>
      <c r="NRE7" s="733"/>
      <c r="NRF7" s="733"/>
      <c r="NRG7" s="733"/>
      <c r="NRH7" s="733"/>
      <c r="NRI7" s="733"/>
      <c r="NRJ7" s="733"/>
      <c r="NRK7" s="733"/>
      <c r="NRL7" s="733"/>
      <c r="NRM7" s="733"/>
      <c r="NRN7" s="733"/>
      <c r="NRO7" s="733"/>
      <c r="NRP7" s="733"/>
      <c r="NRQ7" s="733"/>
      <c r="NRR7" s="733"/>
      <c r="NRS7" s="733"/>
      <c r="NRT7" s="733"/>
      <c r="NRU7" s="733"/>
      <c r="NRV7" s="733"/>
      <c r="NRW7" s="733"/>
      <c r="NRX7" s="733"/>
      <c r="NRY7" s="733"/>
      <c r="NRZ7" s="733"/>
      <c r="NSA7" s="733"/>
      <c r="NSB7" s="733"/>
      <c r="NSC7" s="733"/>
      <c r="NSD7" s="733"/>
      <c r="NSE7" s="733"/>
      <c r="NSF7" s="733"/>
      <c r="NSG7" s="733"/>
      <c r="NSH7" s="733"/>
      <c r="NSI7" s="733"/>
      <c r="NSJ7" s="733"/>
      <c r="NSK7" s="733"/>
      <c r="NSL7" s="733"/>
      <c r="NSM7" s="733"/>
      <c r="NSN7" s="733"/>
      <c r="NSO7" s="733"/>
      <c r="NSP7" s="733"/>
      <c r="NSQ7" s="733"/>
      <c r="NSR7" s="733"/>
      <c r="NSS7" s="733"/>
      <c r="NST7" s="733"/>
      <c r="NSU7" s="733"/>
      <c r="NSV7" s="733"/>
      <c r="NSW7" s="733"/>
      <c r="NSX7" s="733"/>
      <c r="NSY7" s="733"/>
      <c r="NSZ7" s="733"/>
      <c r="NTA7" s="733"/>
      <c r="NTB7" s="733"/>
      <c r="NTC7" s="733"/>
      <c r="NTD7" s="733"/>
      <c r="NTE7" s="733"/>
      <c r="NTF7" s="733"/>
      <c r="NTG7" s="733"/>
      <c r="NTH7" s="733"/>
      <c r="NTI7" s="733"/>
      <c r="NTJ7" s="733"/>
      <c r="NTK7" s="733"/>
      <c r="NTL7" s="733"/>
      <c r="NTM7" s="733"/>
      <c r="NTN7" s="733"/>
      <c r="NTO7" s="733"/>
      <c r="NTP7" s="733"/>
      <c r="NTQ7" s="733"/>
      <c r="NTR7" s="733"/>
      <c r="NTS7" s="733"/>
      <c r="NTT7" s="733"/>
      <c r="NTU7" s="733"/>
      <c r="NTV7" s="733"/>
      <c r="NTW7" s="733"/>
      <c r="NTX7" s="733"/>
      <c r="NTY7" s="733"/>
      <c r="NTZ7" s="733"/>
      <c r="NUA7" s="733"/>
      <c r="NUB7" s="733"/>
      <c r="NUC7" s="733"/>
      <c r="NUD7" s="733"/>
      <c r="NUE7" s="733"/>
      <c r="NUF7" s="733"/>
      <c r="NUG7" s="733"/>
      <c r="NUH7" s="733"/>
      <c r="NUI7" s="733"/>
      <c r="NUJ7" s="733"/>
      <c r="NUK7" s="733"/>
      <c r="NUL7" s="733"/>
      <c r="NUM7" s="733"/>
      <c r="NUN7" s="733"/>
      <c r="NUO7" s="733"/>
      <c r="NUP7" s="733"/>
      <c r="NUQ7" s="733"/>
      <c r="NUR7" s="733"/>
      <c r="NUS7" s="733"/>
      <c r="NUT7" s="733"/>
      <c r="NUU7" s="733"/>
      <c r="NUV7" s="733"/>
      <c r="NUW7" s="733"/>
      <c r="NUX7" s="733"/>
      <c r="NUY7" s="733"/>
      <c r="NUZ7" s="733"/>
      <c r="NVA7" s="733"/>
      <c r="NVB7" s="733"/>
      <c r="NVC7" s="733"/>
      <c r="NVD7" s="733"/>
      <c r="NVE7" s="733"/>
      <c r="NVF7" s="733"/>
      <c r="NVG7" s="733"/>
      <c r="NVH7" s="733"/>
      <c r="NVI7" s="733"/>
      <c r="NVJ7" s="733"/>
      <c r="NVK7" s="733"/>
      <c r="NVL7" s="733"/>
      <c r="NVM7" s="733"/>
      <c r="NVN7" s="733"/>
      <c r="NVO7" s="733"/>
      <c r="NVP7" s="733"/>
      <c r="NVQ7" s="733"/>
      <c r="NVR7" s="733"/>
      <c r="NVS7" s="733"/>
      <c r="NVT7" s="733"/>
      <c r="NVU7" s="733"/>
      <c r="NVV7" s="733"/>
      <c r="NVW7" s="733"/>
      <c r="NVX7" s="733"/>
      <c r="NVY7" s="733"/>
      <c r="NVZ7" s="733"/>
      <c r="NWA7" s="733"/>
      <c r="NWB7" s="733"/>
      <c r="NWC7" s="733"/>
      <c r="NWD7" s="733"/>
      <c r="NWE7" s="733"/>
      <c r="NWF7" s="733"/>
      <c r="NWG7" s="733"/>
      <c r="NWH7" s="733"/>
      <c r="NWI7" s="733"/>
      <c r="NWJ7" s="733"/>
      <c r="NWK7" s="733"/>
      <c r="NWL7" s="733"/>
      <c r="NWM7" s="733"/>
      <c r="NWN7" s="733"/>
      <c r="NWO7" s="733"/>
      <c r="NWP7" s="733"/>
      <c r="NWQ7" s="733"/>
      <c r="NWR7" s="733"/>
      <c r="NWS7" s="733"/>
      <c r="NWT7" s="733"/>
      <c r="NWU7" s="733"/>
      <c r="NWV7" s="733"/>
      <c r="NWW7" s="733"/>
      <c r="NWX7" s="733"/>
      <c r="NWY7" s="733"/>
      <c r="NWZ7" s="733"/>
      <c r="NXA7" s="733"/>
      <c r="NXB7" s="733"/>
      <c r="NXC7" s="733"/>
      <c r="NXD7" s="733"/>
      <c r="NXE7" s="733"/>
      <c r="NXF7" s="733"/>
      <c r="NXG7" s="733"/>
      <c r="NXH7" s="733"/>
      <c r="NXI7" s="733"/>
      <c r="NXJ7" s="733"/>
      <c r="NXK7" s="733"/>
      <c r="NXL7" s="733"/>
      <c r="NXM7" s="733"/>
      <c r="NXN7" s="733"/>
      <c r="NXO7" s="733"/>
      <c r="NXP7" s="733"/>
      <c r="NXQ7" s="733"/>
      <c r="NXR7" s="733"/>
      <c r="NXS7" s="733"/>
      <c r="NXT7" s="733"/>
      <c r="NXU7" s="733"/>
      <c r="NXV7" s="733"/>
      <c r="NXW7" s="733"/>
      <c r="NXX7" s="733"/>
      <c r="NXY7" s="733"/>
      <c r="NXZ7" s="733"/>
      <c r="NYA7" s="733"/>
      <c r="NYB7" s="733"/>
      <c r="NYC7" s="733"/>
      <c r="NYD7" s="733"/>
      <c r="NYE7" s="733"/>
      <c r="NYF7" s="733"/>
      <c r="NYG7" s="733"/>
      <c r="NYH7" s="733"/>
      <c r="NYI7" s="733"/>
      <c r="NYJ7" s="733"/>
      <c r="NYK7" s="733"/>
      <c r="NYL7" s="733"/>
      <c r="NYM7" s="733"/>
      <c r="NYN7" s="733"/>
      <c r="NYO7" s="733"/>
      <c r="NYP7" s="733"/>
      <c r="NYQ7" s="733"/>
      <c r="NYR7" s="733"/>
      <c r="NYS7" s="733"/>
      <c r="NYT7" s="733"/>
      <c r="NYU7" s="733"/>
      <c r="NYV7" s="733"/>
      <c r="NYW7" s="733"/>
      <c r="NYX7" s="733"/>
      <c r="NYY7" s="733"/>
      <c r="NYZ7" s="733"/>
      <c r="NZA7" s="733"/>
      <c r="NZB7" s="733"/>
      <c r="NZC7" s="733"/>
      <c r="NZD7" s="733"/>
      <c r="NZE7" s="733"/>
      <c r="NZF7" s="733"/>
      <c r="NZG7" s="733"/>
      <c r="NZH7" s="733"/>
      <c r="NZI7" s="733"/>
      <c r="NZJ7" s="733"/>
      <c r="NZK7" s="733"/>
      <c r="NZL7" s="733"/>
      <c r="NZM7" s="733"/>
      <c r="NZN7" s="733"/>
      <c r="NZO7" s="733"/>
      <c r="NZP7" s="733"/>
      <c r="NZQ7" s="733"/>
      <c r="NZR7" s="733"/>
      <c r="NZS7" s="733"/>
      <c r="NZT7" s="733"/>
      <c r="NZU7" s="733"/>
      <c r="NZV7" s="733"/>
      <c r="NZW7" s="733"/>
      <c r="NZX7" s="733"/>
      <c r="NZY7" s="733"/>
      <c r="NZZ7" s="733"/>
      <c r="OAA7" s="733"/>
      <c r="OAB7" s="733"/>
      <c r="OAC7" s="733"/>
      <c r="OAD7" s="733"/>
      <c r="OAE7" s="733"/>
      <c r="OAF7" s="733"/>
      <c r="OAG7" s="733"/>
      <c r="OAH7" s="733"/>
      <c r="OAI7" s="733"/>
      <c r="OAJ7" s="733"/>
      <c r="OAK7" s="733"/>
      <c r="OAL7" s="733"/>
      <c r="OAM7" s="733"/>
      <c r="OAN7" s="733"/>
      <c r="OAO7" s="733"/>
      <c r="OAP7" s="733"/>
      <c r="OAQ7" s="733"/>
      <c r="OAR7" s="733"/>
      <c r="OAS7" s="733"/>
      <c r="OAT7" s="733"/>
      <c r="OAU7" s="733"/>
      <c r="OAV7" s="733"/>
      <c r="OAW7" s="733"/>
      <c r="OAX7" s="733"/>
      <c r="OAY7" s="733"/>
      <c r="OAZ7" s="733"/>
      <c r="OBA7" s="733"/>
      <c r="OBB7" s="733"/>
      <c r="OBC7" s="733"/>
      <c r="OBD7" s="733"/>
      <c r="OBE7" s="733"/>
      <c r="OBF7" s="733"/>
      <c r="OBG7" s="733"/>
      <c r="OBH7" s="733"/>
      <c r="OBI7" s="733"/>
      <c r="OBJ7" s="733"/>
      <c r="OBK7" s="733"/>
      <c r="OBL7" s="733"/>
      <c r="OBM7" s="733"/>
      <c r="OBN7" s="733"/>
      <c r="OBO7" s="733"/>
      <c r="OBP7" s="733"/>
      <c r="OBQ7" s="733"/>
      <c r="OBR7" s="733"/>
      <c r="OBS7" s="733"/>
      <c r="OBT7" s="733"/>
      <c r="OBU7" s="733"/>
      <c r="OBV7" s="733"/>
      <c r="OBW7" s="733"/>
      <c r="OBX7" s="733"/>
      <c r="OBY7" s="733"/>
      <c r="OBZ7" s="733"/>
      <c r="OCA7" s="733"/>
      <c r="OCB7" s="733"/>
      <c r="OCC7" s="733"/>
      <c r="OCD7" s="733"/>
      <c r="OCE7" s="733"/>
      <c r="OCF7" s="733"/>
      <c r="OCG7" s="733"/>
      <c r="OCH7" s="733"/>
      <c r="OCI7" s="733"/>
      <c r="OCJ7" s="733"/>
      <c r="OCK7" s="733"/>
      <c r="OCL7" s="733"/>
      <c r="OCM7" s="733"/>
      <c r="OCN7" s="733"/>
      <c r="OCO7" s="733"/>
      <c r="OCP7" s="733"/>
      <c r="OCQ7" s="733"/>
      <c r="OCR7" s="733"/>
      <c r="OCS7" s="733"/>
      <c r="OCT7" s="733"/>
      <c r="OCU7" s="733"/>
      <c r="OCV7" s="733"/>
      <c r="OCW7" s="733"/>
      <c r="OCX7" s="733"/>
      <c r="OCY7" s="733"/>
      <c r="OCZ7" s="733"/>
      <c r="ODA7" s="733"/>
      <c r="ODB7" s="733"/>
      <c r="ODC7" s="733"/>
      <c r="ODD7" s="733"/>
      <c r="ODE7" s="733"/>
      <c r="ODF7" s="733"/>
      <c r="ODG7" s="733"/>
      <c r="ODH7" s="733"/>
      <c r="ODI7" s="733"/>
      <c r="ODJ7" s="733"/>
      <c r="ODK7" s="733"/>
      <c r="ODL7" s="733"/>
      <c r="ODM7" s="733"/>
      <c r="ODN7" s="733"/>
      <c r="ODO7" s="733"/>
      <c r="ODP7" s="733"/>
      <c r="ODQ7" s="733"/>
      <c r="ODR7" s="733"/>
      <c r="ODS7" s="733"/>
      <c r="ODT7" s="733"/>
      <c r="ODU7" s="733"/>
      <c r="ODV7" s="733"/>
      <c r="ODW7" s="733"/>
      <c r="ODX7" s="733"/>
      <c r="ODY7" s="733"/>
      <c r="ODZ7" s="733"/>
      <c r="OEA7" s="733"/>
      <c r="OEB7" s="733"/>
      <c r="OEC7" s="733"/>
      <c r="OED7" s="733"/>
      <c r="OEE7" s="733"/>
      <c r="OEF7" s="733"/>
      <c r="OEG7" s="733"/>
      <c r="OEH7" s="733"/>
      <c r="OEI7" s="733"/>
      <c r="OEJ7" s="733"/>
      <c r="OEK7" s="733"/>
      <c r="OEL7" s="733"/>
      <c r="OEM7" s="733"/>
      <c r="OEN7" s="733"/>
      <c r="OEO7" s="733"/>
      <c r="OEP7" s="733"/>
      <c r="OEQ7" s="733"/>
      <c r="OER7" s="733"/>
      <c r="OES7" s="733"/>
      <c r="OET7" s="733"/>
      <c r="OEU7" s="733"/>
      <c r="OEV7" s="733"/>
      <c r="OEW7" s="733"/>
      <c r="OEX7" s="733"/>
      <c r="OEY7" s="733"/>
      <c r="OEZ7" s="733"/>
      <c r="OFA7" s="733"/>
      <c r="OFB7" s="733"/>
      <c r="OFC7" s="733"/>
      <c r="OFD7" s="733"/>
      <c r="OFE7" s="733"/>
      <c r="OFF7" s="733"/>
      <c r="OFG7" s="733"/>
      <c r="OFH7" s="733"/>
      <c r="OFI7" s="733"/>
      <c r="OFJ7" s="733"/>
      <c r="OFK7" s="733"/>
      <c r="OFL7" s="733"/>
      <c r="OFM7" s="733"/>
      <c r="OFN7" s="733"/>
      <c r="OFO7" s="733"/>
      <c r="OFP7" s="733"/>
      <c r="OFQ7" s="733"/>
      <c r="OFR7" s="733"/>
      <c r="OFS7" s="733"/>
      <c r="OFT7" s="733"/>
      <c r="OFU7" s="733"/>
      <c r="OFV7" s="733"/>
      <c r="OFW7" s="733"/>
      <c r="OFX7" s="733"/>
      <c r="OFY7" s="733"/>
      <c r="OFZ7" s="733"/>
      <c r="OGA7" s="733"/>
      <c r="OGB7" s="733"/>
      <c r="OGC7" s="733"/>
      <c r="OGD7" s="733"/>
      <c r="OGE7" s="733"/>
      <c r="OGF7" s="733"/>
      <c r="OGG7" s="733"/>
      <c r="OGH7" s="733"/>
      <c r="OGI7" s="733"/>
      <c r="OGJ7" s="733"/>
      <c r="OGK7" s="733"/>
      <c r="OGL7" s="733"/>
      <c r="OGM7" s="733"/>
      <c r="OGN7" s="733"/>
      <c r="OGO7" s="733"/>
      <c r="OGP7" s="733"/>
      <c r="OGQ7" s="733"/>
      <c r="OGR7" s="733"/>
      <c r="OGS7" s="733"/>
      <c r="OGT7" s="733"/>
      <c r="OGU7" s="733"/>
      <c r="OGV7" s="733"/>
      <c r="OGW7" s="733"/>
      <c r="OGX7" s="733"/>
      <c r="OGY7" s="733"/>
      <c r="OGZ7" s="733"/>
      <c r="OHA7" s="733"/>
      <c r="OHB7" s="733"/>
      <c r="OHC7" s="733"/>
      <c r="OHD7" s="733"/>
      <c r="OHE7" s="733"/>
      <c r="OHF7" s="733"/>
      <c r="OHG7" s="733"/>
      <c r="OHH7" s="733"/>
      <c r="OHI7" s="733"/>
      <c r="OHJ7" s="733"/>
      <c r="OHK7" s="733"/>
      <c r="OHL7" s="733"/>
      <c r="OHM7" s="733"/>
      <c r="OHN7" s="733"/>
      <c r="OHO7" s="733"/>
      <c r="OHP7" s="733"/>
      <c r="OHQ7" s="733"/>
      <c r="OHR7" s="733"/>
      <c r="OHS7" s="733"/>
      <c r="OHT7" s="733"/>
      <c r="OHU7" s="733"/>
      <c r="OHV7" s="733"/>
      <c r="OHW7" s="733"/>
      <c r="OHX7" s="733"/>
      <c r="OHY7" s="733"/>
      <c r="OHZ7" s="733"/>
      <c r="OIA7" s="733"/>
      <c r="OIB7" s="733"/>
      <c r="OIC7" s="733"/>
      <c r="OID7" s="733"/>
      <c r="OIE7" s="733"/>
      <c r="OIF7" s="733"/>
      <c r="OIG7" s="733"/>
      <c r="OIH7" s="733"/>
      <c r="OII7" s="733"/>
      <c r="OIJ7" s="733"/>
      <c r="OIK7" s="733"/>
      <c r="OIL7" s="733"/>
      <c r="OIM7" s="733"/>
      <c r="OIN7" s="733"/>
      <c r="OIO7" s="733"/>
      <c r="OIP7" s="733"/>
      <c r="OIQ7" s="733"/>
      <c r="OIR7" s="733"/>
      <c r="OIS7" s="733"/>
      <c r="OIT7" s="733"/>
      <c r="OIU7" s="733"/>
      <c r="OIV7" s="733"/>
      <c r="OIW7" s="733"/>
      <c r="OIX7" s="733"/>
      <c r="OIY7" s="733"/>
      <c r="OIZ7" s="733"/>
      <c r="OJA7" s="733"/>
      <c r="OJB7" s="733"/>
      <c r="OJC7" s="733"/>
      <c r="OJD7" s="733"/>
      <c r="OJE7" s="733"/>
      <c r="OJF7" s="733"/>
      <c r="OJG7" s="733"/>
      <c r="OJH7" s="733"/>
      <c r="OJI7" s="733"/>
      <c r="OJJ7" s="733"/>
      <c r="OJK7" s="733"/>
      <c r="OJL7" s="733"/>
      <c r="OJM7" s="733"/>
      <c r="OJN7" s="733"/>
      <c r="OJO7" s="733"/>
      <c r="OJP7" s="733"/>
      <c r="OJQ7" s="733"/>
      <c r="OJR7" s="733"/>
      <c r="OJS7" s="733"/>
      <c r="OJT7" s="733"/>
      <c r="OJU7" s="733"/>
      <c r="OJV7" s="733"/>
      <c r="OJW7" s="733"/>
      <c r="OJX7" s="733"/>
      <c r="OJY7" s="733"/>
      <c r="OJZ7" s="733"/>
      <c r="OKA7" s="733"/>
      <c r="OKB7" s="733"/>
      <c r="OKC7" s="733"/>
      <c r="OKD7" s="733"/>
      <c r="OKE7" s="733"/>
      <c r="OKF7" s="733"/>
      <c r="OKG7" s="733"/>
      <c r="OKH7" s="733"/>
      <c r="OKI7" s="733"/>
      <c r="OKJ7" s="733"/>
      <c r="OKK7" s="733"/>
      <c r="OKL7" s="733"/>
      <c r="OKM7" s="733"/>
      <c r="OKN7" s="733"/>
      <c r="OKO7" s="733"/>
      <c r="OKP7" s="733"/>
      <c r="OKQ7" s="733"/>
      <c r="OKR7" s="733"/>
      <c r="OKS7" s="733"/>
      <c r="OKT7" s="733"/>
      <c r="OKU7" s="733"/>
      <c r="OKV7" s="733"/>
      <c r="OKW7" s="733"/>
      <c r="OKX7" s="733"/>
      <c r="OKY7" s="733"/>
      <c r="OKZ7" s="733"/>
      <c r="OLA7" s="733"/>
      <c r="OLB7" s="733"/>
      <c r="OLC7" s="733"/>
      <c r="OLD7" s="733"/>
      <c r="OLE7" s="733"/>
      <c r="OLF7" s="733"/>
      <c r="OLG7" s="733"/>
      <c r="OLH7" s="733"/>
      <c r="OLI7" s="733"/>
      <c r="OLJ7" s="733"/>
      <c r="OLK7" s="733"/>
      <c r="OLL7" s="733"/>
      <c r="OLM7" s="733"/>
      <c r="OLN7" s="733"/>
      <c r="OLO7" s="733"/>
      <c r="OLP7" s="733"/>
      <c r="OLQ7" s="733"/>
      <c r="OLR7" s="733"/>
      <c r="OLS7" s="733"/>
      <c r="OLT7" s="733"/>
      <c r="OLU7" s="733"/>
      <c r="OLV7" s="733"/>
      <c r="OLW7" s="733"/>
      <c r="OLX7" s="733"/>
      <c r="OLY7" s="733"/>
      <c r="OLZ7" s="733"/>
      <c r="OMA7" s="733"/>
      <c r="OMB7" s="733"/>
      <c r="OMC7" s="733"/>
      <c r="OMD7" s="733"/>
      <c r="OME7" s="733"/>
      <c r="OMF7" s="733"/>
      <c r="OMG7" s="733"/>
      <c r="OMH7" s="733"/>
      <c r="OMI7" s="733"/>
      <c r="OMJ7" s="733"/>
      <c r="OMK7" s="733"/>
      <c r="OML7" s="733"/>
      <c r="OMM7" s="733"/>
      <c r="OMN7" s="733"/>
      <c r="OMO7" s="733"/>
      <c r="OMP7" s="733"/>
      <c r="OMQ7" s="733"/>
      <c r="OMR7" s="733"/>
      <c r="OMS7" s="733"/>
      <c r="OMT7" s="733"/>
      <c r="OMU7" s="733"/>
      <c r="OMV7" s="733"/>
      <c r="OMW7" s="733"/>
      <c r="OMX7" s="733"/>
      <c r="OMY7" s="733"/>
      <c r="OMZ7" s="733"/>
      <c r="ONA7" s="733"/>
      <c r="ONB7" s="733"/>
      <c r="ONC7" s="733"/>
      <c r="OND7" s="733"/>
      <c r="ONE7" s="733"/>
      <c r="ONF7" s="733"/>
      <c r="ONG7" s="733"/>
      <c r="ONH7" s="733"/>
      <c r="ONI7" s="733"/>
      <c r="ONJ7" s="733"/>
      <c r="ONK7" s="733"/>
      <c r="ONL7" s="733"/>
      <c r="ONM7" s="733"/>
      <c r="ONN7" s="733"/>
      <c r="ONO7" s="733"/>
      <c r="ONP7" s="733"/>
      <c r="ONQ7" s="733"/>
      <c r="ONR7" s="733"/>
      <c r="ONS7" s="733"/>
      <c r="ONT7" s="733"/>
      <c r="ONU7" s="733"/>
      <c r="ONV7" s="733"/>
      <c r="ONW7" s="733"/>
      <c r="ONX7" s="733"/>
      <c r="ONY7" s="733"/>
      <c r="ONZ7" s="733"/>
      <c r="OOA7" s="733"/>
      <c r="OOB7" s="733"/>
      <c r="OOC7" s="733"/>
      <c r="OOD7" s="733"/>
      <c r="OOE7" s="733"/>
      <c r="OOF7" s="733"/>
      <c r="OOG7" s="733"/>
      <c r="OOH7" s="733"/>
      <c r="OOI7" s="733"/>
      <c r="OOJ7" s="733"/>
      <c r="OOK7" s="733"/>
      <c r="OOL7" s="733"/>
      <c r="OOM7" s="733"/>
      <c r="OON7" s="733"/>
      <c r="OOO7" s="733"/>
      <c r="OOP7" s="733"/>
      <c r="OOQ7" s="733"/>
      <c r="OOR7" s="733"/>
      <c r="OOS7" s="733"/>
      <c r="OOT7" s="733"/>
      <c r="OOU7" s="733"/>
      <c r="OOV7" s="733"/>
      <c r="OOW7" s="733"/>
      <c r="OOX7" s="733"/>
      <c r="OOY7" s="733"/>
      <c r="OOZ7" s="733"/>
      <c r="OPA7" s="733"/>
      <c r="OPB7" s="733"/>
      <c r="OPC7" s="733"/>
      <c r="OPD7" s="733"/>
      <c r="OPE7" s="733"/>
      <c r="OPF7" s="733"/>
      <c r="OPG7" s="733"/>
      <c r="OPH7" s="733"/>
      <c r="OPI7" s="733"/>
      <c r="OPJ7" s="733"/>
      <c r="OPK7" s="733"/>
      <c r="OPL7" s="733"/>
      <c r="OPM7" s="733"/>
      <c r="OPN7" s="733"/>
      <c r="OPO7" s="733"/>
      <c r="OPP7" s="733"/>
      <c r="OPQ7" s="733"/>
      <c r="OPR7" s="733"/>
      <c r="OPS7" s="733"/>
      <c r="OPT7" s="733"/>
      <c r="OPU7" s="733"/>
      <c r="OPV7" s="733"/>
      <c r="OPW7" s="733"/>
      <c r="OPX7" s="733"/>
      <c r="OPY7" s="733"/>
      <c r="OPZ7" s="733"/>
      <c r="OQA7" s="733"/>
      <c r="OQB7" s="733"/>
      <c r="OQC7" s="733"/>
      <c r="OQD7" s="733"/>
      <c r="OQE7" s="733"/>
      <c r="OQF7" s="733"/>
      <c r="OQG7" s="733"/>
      <c r="OQH7" s="733"/>
      <c r="OQI7" s="733"/>
      <c r="OQJ7" s="733"/>
      <c r="OQK7" s="733"/>
      <c r="OQL7" s="733"/>
      <c r="OQM7" s="733"/>
      <c r="OQN7" s="733"/>
      <c r="OQO7" s="733"/>
      <c r="OQP7" s="733"/>
      <c r="OQQ7" s="733"/>
      <c r="OQR7" s="733"/>
      <c r="OQS7" s="733"/>
      <c r="OQT7" s="733"/>
      <c r="OQU7" s="733"/>
      <c r="OQV7" s="733"/>
      <c r="OQW7" s="733"/>
      <c r="OQX7" s="733"/>
      <c r="OQY7" s="733"/>
      <c r="OQZ7" s="733"/>
      <c r="ORA7" s="733"/>
      <c r="ORB7" s="733"/>
      <c r="ORC7" s="733"/>
      <c r="ORD7" s="733"/>
      <c r="ORE7" s="733"/>
      <c r="ORF7" s="733"/>
      <c r="ORG7" s="733"/>
      <c r="ORH7" s="733"/>
      <c r="ORI7" s="733"/>
      <c r="ORJ7" s="733"/>
      <c r="ORK7" s="733"/>
      <c r="ORL7" s="733"/>
      <c r="ORM7" s="733"/>
      <c r="ORN7" s="733"/>
      <c r="ORO7" s="733"/>
      <c r="ORP7" s="733"/>
      <c r="ORQ7" s="733"/>
      <c r="ORR7" s="733"/>
      <c r="ORS7" s="733"/>
      <c r="ORT7" s="733"/>
      <c r="ORU7" s="733"/>
      <c r="ORV7" s="733"/>
      <c r="ORW7" s="733"/>
      <c r="ORX7" s="733"/>
      <c r="ORY7" s="733"/>
      <c r="ORZ7" s="733"/>
      <c r="OSA7" s="733"/>
      <c r="OSB7" s="733"/>
      <c r="OSC7" s="733"/>
      <c r="OSD7" s="733"/>
      <c r="OSE7" s="733"/>
      <c r="OSF7" s="733"/>
      <c r="OSG7" s="733"/>
      <c r="OSH7" s="733"/>
      <c r="OSI7" s="733"/>
      <c r="OSJ7" s="733"/>
      <c r="OSK7" s="733"/>
      <c r="OSL7" s="733"/>
      <c r="OSM7" s="733"/>
      <c r="OSN7" s="733"/>
      <c r="OSO7" s="733"/>
      <c r="OSP7" s="733"/>
      <c r="OSQ7" s="733"/>
      <c r="OSR7" s="733"/>
      <c r="OSS7" s="733"/>
      <c r="OST7" s="733"/>
      <c r="OSU7" s="733"/>
      <c r="OSV7" s="733"/>
      <c r="OSW7" s="733"/>
      <c r="OSX7" s="733"/>
      <c r="OSY7" s="733"/>
      <c r="OSZ7" s="733"/>
      <c r="OTA7" s="733"/>
      <c r="OTB7" s="733"/>
      <c r="OTC7" s="733"/>
      <c r="OTD7" s="733"/>
      <c r="OTE7" s="733"/>
      <c r="OTF7" s="733"/>
      <c r="OTG7" s="733"/>
      <c r="OTH7" s="733"/>
      <c r="OTI7" s="733"/>
      <c r="OTJ7" s="733"/>
      <c r="OTK7" s="733"/>
      <c r="OTL7" s="733"/>
      <c r="OTM7" s="733"/>
      <c r="OTN7" s="733"/>
      <c r="OTO7" s="733"/>
      <c r="OTP7" s="733"/>
      <c r="OTQ7" s="733"/>
      <c r="OTR7" s="733"/>
      <c r="OTS7" s="733"/>
      <c r="OTT7" s="733"/>
      <c r="OTU7" s="733"/>
      <c r="OTV7" s="733"/>
      <c r="OTW7" s="733"/>
      <c r="OTX7" s="733"/>
      <c r="OTY7" s="733"/>
      <c r="OTZ7" s="733"/>
      <c r="OUA7" s="733"/>
      <c r="OUB7" s="733"/>
      <c r="OUC7" s="733"/>
      <c r="OUD7" s="733"/>
      <c r="OUE7" s="733"/>
      <c r="OUF7" s="733"/>
      <c r="OUG7" s="733"/>
      <c r="OUH7" s="733"/>
      <c r="OUI7" s="733"/>
      <c r="OUJ7" s="733"/>
      <c r="OUK7" s="733"/>
      <c r="OUL7" s="733"/>
      <c r="OUM7" s="733"/>
      <c r="OUN7" s="733"/>
      <c r="OUO7" s="733"/>
      <c r="OUP7" s="733"/>
      <c r="OUQ7" s="733"/>
      <c r="OUR7" s="733"/>
      <c r="OUS7" s="733"/>
      <c r="OUT7" s="733"/>
      <c r="OUU7" s="733"/>
      <c r="OUV7" s="733"/>
      <c r="OUW7" s="733"/>
      <c r="OUX7" s="733"/>
      <c r="OUY7" s="733"/>
      <c r="OUZ7" s="733"/>
      <c r="OVA7" s="733"/>
      <c r="OVB7" s="733"/>
      <c r="OVC7" s="733"/>
      <c r="OVD7" s="733"/>
      <c r="OVE7" s="733"/>
      <c r="OVF7" s="733"/>
      <c r="OVG7" s="733"/>
      <c r="OVH7" s="733"/>
      <c r="OVI7" s="733"/>
      <c r="OVJ7" s="733"/>
      <c r="OVK7" s="733"/>
      <c r="OVL7" s="733"/>
      <c r="OVM7" s="733"/>
      <c r="OVN7" s="733"/>
      <c r="OVO7" s="733"/>
      <c r="OVP7" s="733"/>
      <c r="OVQ7" s="733"/>
      <c r="OVR7" s="733"/>
      <c r="OVS7" s="733"/>
      <c r="OVT7" s="733"/>
      <c r="OVU7" s="733"/>
      <c r="OVV7" s="733"/>
      <c r="OVW7" s="733"/>
      <c r="OVX7" s="733"/>
      <c r="OVY7" s="733"/>
      <c r="OVZ7" s="733"/>
      <c r="OWA7" s="733"/>
      <c r="OWB7" s="733"/>
      <c r="OWC7" s="733"/>
      <c r="OWD7" s="733"/>
      <c r="OWE7" s="733"/>
      <c r="OWF7" s="733"/>
      <c r="OWG7" s="733"/>
      <c r="OWH7" s="733"/>
      <c r="OWI7" s="733"/>
      <c r="OWJ7" s="733"/>
      <c r="OWK7" s="733"/>
      <c r="OWL7" s="733"/>
      <c r="OWM7" s="733"/>
      <c r="OWN7" s="733"/>
      <c r="OWO7" s="733"/>
      <c r="OWP7" s="733"/>
      <c r="OWQ7" s="733"/>
      <c r="OWR7" s="733"/>
      <c r="OWS7" s="733"/>
      <c r="OWT7" s="733"/>
      <c r="OWU7" s="733"/>
      <c r="OWV7" s="733"/>
      <c r="OWW7" s="733"/>
      <c r="OWX7" s="733"/>
      <c r="OWY7" s="733"/>
      <c r="OWZ7" s="733"/>
      <c r="OXA7" s="733"/>
      <c r="OXB7" s="733"/>
      <c r="OXC7" s="733"/>
      <c r="OXD7" s="733"/>
      <c r="OXE7" s="733"/>
      <c r="OXF7" s="733"/>
      <c r="OXG7" s="733"/>
      <c r="OXH7" s="733"/>
      <c r="OXI7" s="733"/>
      <c r="OXJ7" s="733"/>
      <c r="OXK7" s="733"/>
      <c r="OXL7" s="733"/>
      <c r="OXM7" s="733"/>
      <c r="OXN7" s="733"/>
      <c r="OXO7" s="733"/>
      <c r="OXP7" s="733"/>
      <c r="OXQ7" s="733"/>
      <c r="OXR7" s="733"/>
      <c r="OXS7" s="733"/>
      <c r="OXT7" s="733"/>
      <c r="OXU7" s="733"/>
      <c r="OXV7" s="733"/>
      <c r="OXW7" s="733"/>
      <c r="OXX7" s="733"/>
      <c r="OXY7" s="733"/>
      <c r="OXZ7" s="733"/>
      <c r="OYA7" s="733"/>
      <c r="OYB7" s="733"/>
      <c r="OYC7" s="733"/>
      <c r="OYD7" s="733"/>
      <c r="OYE7" s="733"/>
      <c r="OYF7" s="733"/>
      <c r="OYG7" s="733"/>
      <c r="OYH7" s="733"/>
      <c r="OYI7" s="733"/>
      <c r="OYJ7" s="733"/>
      <c r="OYK7" s="733"/>
      <c r="OYL7" s="733"/>
      <c r="OYM7" s="733"/>
      <c r="OYN7" s="733"/>
      <c r="OYO7" s="733"/>
      <c r="OYP7" s="733"/>
      <c r="OYQ7" s="733"/>
      <c r="OYR7" s="733"/>
      <c r="OYS7" s="733"/>
      <c r="OYT7" s="733"/>
      <c r="OYU7" s="733"/>
      <c r="OYV7" s="733"/>
      <c r="OYW7" s="733"/>
      <c r="OYX7" s="733"/>
      <c r="OYY7" s="733"/>
      <c r="OYZ7" s="733"/>
      <c r="OZA7" s="733"/>
      <c r="OZB7" s="733"/>
      <c r="OZC7" s="733"/>
      <c r="OZD7" s="733"/>
      <c r="OZE7" s="733"/>
      <c r="OZF7" s="733"/>
      <c r="OZG7" s="733"/>
      <c r="OZH7" s="733"/>
      <c r="OZI7" s="733"/>
      <c r="OZJ7" s="733"/>
      <c r="OZK7" s="733"/>
      <c r="OZL7" s="733"/>
      <c r="OZM7" s="733"/>
      <c r="OZN7" s="733"/>
      <c r="OZO7" s="733"/>
      <c r="OZP7" s="733"/>
      <c r="OZQ7" s="733"/>
      <c r="OZR7" s="733"/>
      <c r="OZS7" s="733"/>
      <c r="OZT7" s="733"/>
      <c r="OZU7" s="733"/>
      <c r="OZV7" s="733"/>
      <c r="OZW7" s="733"/>
      <c r="OZX7" s="733"/>
      <c r="OZY7" s="733"/>
      <c r="OZZ7" s="733"/>
      <c r="PAA7" s="733"/>
      <c r="PAB7" s="733"/>
      <c r="PAC7" s="733"/>
      <c r="PAD7" s="733"/>
      <c r="PAE7" s="733"/>
      <c r="PAF7" s="733"/>
      <c r="PAG7" s="733"/>
      <c r="PAH7" s="733"/>
      <c r="PAI7" s="733"/>
      <c r="PAJ7" s="733"/>
      <c r="PAK7" s="733"/>
      <c r="PAL7" s="733"/>
      <c r="PAM7" s="733"/>
      <c r="PAN7" s="733"/>
      <c r="PAO7" s="733"/>
      <c r="PAP7" s="733"/>
      <c r="PAQ7" s="733"/>
      <c r="PAR7" s="733"/>
      <c r="PAS7" s="733"/>
      <c r="PAT7" s="733"/>
      <c r="PAU7" s="733"/>
      <c r="PAV7" s="733"/>
      <c r="PAW7" s="733"/>
      <c r="PAX7" s="733"/>
      <c r="PAY7" s="733"/>
      <c r="PAZ7" s="733"/>
      <c r="PBA7" s="733"/>
      <c r="PBB7" s="733"/>
      <c r="PBC7" s="733"/>
      <c r="PBD7" s="733"/>
      <c r="PBE7" s="733"/>
      <c r="PBF7" s="733"/>
      <c r="PBG7" s="733"/>
      <c r="PBH7" s="733"/>
      <c r="PBI7" s="733"/>
      <c r="PBJ7" s="733"/>
      <c r="PBK7" s="733"/>
      <c r="PBL7" s="733"/>
      <c r="PBM7" s="733"/>
      <c r="PBN7" s="733"/>
      <c r="PBO7" s="733"/>
      <c r="PBP7" s="733"/>
      <c r="PBQ7" s="733"/>
      <c r="PBR7" s="733"/>
      <c r="PBS7" s="733"/>
      <c r="PBT7" s="733"/>
      <c r="PBU7" s="733"/>
      <c r="PBV7" s="733"/>
      <c r="PBW7" s="733"/>
      <c r="PBX7" s="733"/>
      <c r="PBY7" s="733"/>
      <c r="PBZ7" s="733"/>
      <c r="PCA7" s="733"/>
      <c r="PCB7" s="733"/>
      <c r="PCC7" s="733"/>
      <c r="PCD7" s="733"/>
      <c r="PCE7" s="733"/>
      <c r="PCF7" s="733"/>
      <c r="PCG7" s="733"/>
      <c r="PCH7" s="733"/>
      <c r="PCI7" s="733"/>
      <c r="PCJ7" s="733"/>
      <c r="PCK7" s="733"/>
      <c r="PCL7" s="733"/>
      <c r="PCM7" s="733"/>
      <c r="PCN7" s="733"/>
      <c r="PCO7" s="733"/>
      <c r="PCP7" s="733"/>
      <c r="PCQ7" s="733"/>
      <c r="PCR7" s="733"/>
      <c r="PCS7" s="733"/>
      <c r="PCT7" s="733"/>
      <c r="PCU7" s="733"/>
      <c r="PCV7" s="733"/>
      <c r="PCW7" s="733"/>
      <c r="PCX7" s="733"/>
      <c r="PCY7" s="733"/>
      <c r="PCZ7" s="733"/>
      <c r="PDA7" s="733"/>
      <c r="PDB7" s="733"/>
      <c r="PDC7" s="733"/>
      <c r="PDD7" s="733"/>
      <c r="PDE7" s="733"/>
      <c r="PDF7" s="733"/>
      <c r="PDG7" s="733"/>
      <c r="PDH7" s="733"/>
      <c r="PDI7" s="733"/>
      <c r="PDJ7" s="733"/>
      <c r="PDK7" s="733"/>
      <c r="PDL7" s="733"/>
      <c r="PDM7" s="733"/>
      <c r="PDN7" s="733"/>
      <c r="PDO7" s="733"/>
      <c r="PDP7" s="733"/>
      <c r="PDQ7" s="733"/>
      <c r="PDR7" s="733"/>
      <c r="PDS7" s="733"/>
      <c r="PDT7" s="733"/>
      <c r="PDU7" s="733"/>
      <c r="PDV7" s="733"/>
      <c r="PDW7" s="733"/>
      <c r="PDX7" s="733"/>
      <c r="PDY7" s="733"/>
      <c r="PDZ7" s="733"/>
      <c r="PEA7" s="733"/>
      <c r="PEB7" s="733"/>
      <c r="PEC7" s="733"/>
      <c r="PED7" s="733"/>
      <c r="PEE7" s="733"/>
      <c r="PEF7" s="733"/>
      <c r="PEG7" s="733"/>
      <c r="PEH7" s="733"/>
      <c r="PEI7" s="733"/>
      <c r="PEJ7" s="733"/>
      <c r="PEK7" s="733"/>
      <c r="PEL7" s="733"/>
      <c r="PEM7" s="733"/>
      <c r="PEN7" s="733"/>
      <c r="PEO7" s="733"/>
      <c r="PEP7" s="733"/>
      <c r="PEQ7" s="733"/>
      <c r="PER7" s="733"/>
      <c r="PES7" s="733"/>
      <c r="PET7" s="733"/>
      <c r="PEU7" s="733"/>
      <c r="PEV7" s="733"/>
      <c r="PEW7" s="733"/>
      <c r="PEX7" s="733"/>
      <c r="PEY7" s="733"/>
      <c r="PEZ7" s="733"/>
      <c r="PFA7" s="733"/>
      <c r="PFB7" s="733"/>
      <c r="PFC7" s="733"/>
      <c r="PFD7" s="733"/>
      <c r="PFE7" s="733"/>
      <c r="PFF7" s="733"/>
      <c r="PFG7" s="733"/>
      <c r="PFH7" s="733"/>
      <c r="PFI7" s="733"/>
      <c r="PFJ7" s="733"/>
      <c r="PFK7" s="733"/>
      <c r="PFL7" s="733"/>
      <c r="PFM7" s="733"/>
      <c r="PFN7" s="733"/>
      <c r="PFO7" s="733"/>
      <c r="PFP7" s="733"/>
      <c r="PFQ7" s="733"/>
      <c r="PFR7" s="733"/>
      <c r="PFS7" s="733"/>
      <c r="PFT7" s="733"/>
      <c r="PFU7" s="733"/>
      <c r="PFV7" s="733"/>
      <c r="PFW7" s="733"/>
      <c r="PFX7" s="733"/>
      <c r="PFY7" s="733"/>
      <c r="PFZ7" s="733"/>
      <c r="PGA7" s="733"/>
      <c r="PGB7" s="733"/>
      <c r="PGC7" s="733"/>
      <c r="PGD7" s="733"/>
      <c r="PGE7" s="733"/>
      <c r="PGF7" s="733"/>
      <c r="PGG7" s="733"/>
      <c r="PGH7" s="733"/>
      <c r="PGI7" s="733"/>
      <c r="PGJ7" s="733"/>
      <c r="PGK7" s="733"/>
      <c r="PGL7" s="733"/>
      <c r="PGM7" s="733"/>
      <c r="PGN7" s="733"/>
      <c r="PGO7" s="733"/>
      <c r="PGP7" s="733"/>
      <c r="PGQ7" s="733"/>
      <c r="PGR7" s="733"/>
      <c r="PGS7" s="733"/>
      <c r="PGT7" s="733"/>
      <c r="PGU7" s="733"/>
      <c r="PGV7" s="733"/>
      <c r="PGW7" s="733"/>
      <c r="PGX7" s="733"/>
      <c r="PGY7" s="733"/>
      <c r="PGZ7" s="733"/>
      <c r="PHA7" s="733"/>
      <c r="PHB7" s="733"/>
      <c r="PHC7" s="733"/>
      <c r="PHD7" s="733"/>
      <c r="PHE7" s="733"/>
      <c r="PHF7" s="733"/>
      <c r="PHG7" s="733"/>
      <c r="PHH7" s="733"/>
      <c r="PHI7" s="733"/>
      <c r="PHJ7" s="733"/>
      <c r="PHK7" s="733"/>
      <c r="PHL7" s="733"/>
      <c r="PHM7" s="733"/>
      <c r="PHN7" s="733"/>
      <c r="PHO7" s="733"/>
      <c r="PHP7" s="733"/>
      <c r="PHQ7" s="733"/>
      <c r="PHR7" s="733"/>
      <c r="PHS7" s="733"/>
      <c r="PHT7" s="733"/>
      <c r="PHU7" s="733"/>
      <c r="PHV7" s="733"/>
      <c r="PHW7" s="733"/>
      <c r="PHX7" s="733"/>
      <c r="PHY7" s="733"/>
      <c r="PHZ7" s="733"/>
      <c r="PIA7" s="733"/>
      <c r="PIB7" s="733"/>
      <c r="PIC7" s="733"/>
      <c r="PID7" s="733"/>
      <c r="PIE7" s="733"/>
      <c r="PIF7" s="733"/>
      <c r="PIG7" s="733"/>
      <c r="PIH7" s="733"/>
      <c r="PII7" s="733"/>
      <c r="PIJ7" s="733"/>
      <c r="PIK7" s="733"/>
      <c r="PIL7" s="733"/>
      <c r="PIM7" s="733"/>
      <c r="PIN7" s="733"/>
      <c r="PIO7" s="733"/>
      <c r="PIP7" s="733"/>
      <c r="PIQ7" s="733"/>
      <c r="PIR7" s="733"/>
      <c r="PIS7" s="733"/>
      <c r="PIT7" s="733"/>
      <c r="PIU7" s="733"/>
      <c r="PIV7" s="733"/>
      <c r="PIW7" s="733"/>
      <c r="PIX7" s="733"/>
      <c r="PIY7" s="733"/>
      <c r="PIZ7" s="733"/>
      <c r="PJA7" s="733"/>
      <c r="PJB7" s="733"/>
      <c r="PJC7" s="733"/>
      <c r="PJD7" s="733"/>
      <c r="PJE7" s="733"/>
      <c r="PJF7" s="733"/>
      <c r="PJG7" s="733"/>
      <c r="PJH7" s="733"/>
      <c r="PJI7" s="733"/>
      <c r="PJJ7" s="733"/>
      <c r="PJK7" s="733"/>
      <c r="PJL7" s="733"/>
      <c r="PJM7" s="733"/>
      <c r="PJN7" s="733"/>
      <c r="PJO7" s="733"/>
      <c r="PJP7" s="733"/>
      <c r="PJQ7" s="733"/>
      <c r="PJR7" s="733"/>
      <c r="PJS7" s="733"/>
      <c r="PJT7" s="733"/>
      <c r="PJU7" s="733"/>
      <c r="PJV7" s="733"/>
      <c r="PJW7" s="733"/>
      <c r="PJX7" s="733"/>
      <c r="PJY7" s="733"/>
      <c r="PJZ7" s="733"/>
      <c r="PKA7" s="733"/>
      <c r="PKB7" s="733"/>
      <c r="PKC7" s="733"/>
      <c r="PKD7" s="733"/>
      <c r="PKE7" s="733"/>
      <c r="PKF7" s="733"/>
      <c r="PKG7" s="733"/>
      <c r="PKH7" s="733"/>
      <c r="PKI7" s="733"/>
      <c r="PKJ7" s="733"/>
      <c r="PKK7" s="733"/>
      <c r="PKL7" s="733"/>
      <c r="PKM7" s="733"/>
      <c r="PKN7" s="733"/>
      <c r="PKO7" s="733"/>
      <c r="PKP7" s="733"/>
      <c r="PKQ7" s="733"/>
      <c r="PKR7" s="733"/>
      <c r="PKS7" s="733"/>
      <c r="PKT7" s="733"/>
      <c r="PKU7" s="733"/>
      <c r="PKV7" s="733"/>
      <c r="PKW7" s="733"/>
      <c r="PKX7" s="733"/>
      <c r="PKY7" s="733"/>
      <c r="PKZ7" s="733"/>
      <c r="PLA7" s="733"/>
      <c r="PLB7" s="733"/>
      <c r="PLC7" s="733"/>
      <c r="PLD7" s="733"/>
      <c r="PLE7" s="733"/>
      <c r="PLF7" s="733"/>
      <c r="PLG7" s="733"/>
      <c r="PLH7" s="733"/>
      <c r="PLI7" s="733"/>
      <c r="PLJ7" s="733"/>
      <c r="PLK7" s="733"/>
      <c r="PLL7" s="733"/>
      <c r="PLM7" s="733"/>
      <c r="PLN7" s="733"/>
      <c r="PLO7" s="733"/>
      <c r="PLP7" s="733"/>
      <c r="PLQ7" s="733"/>
      <c r="PLR7" s="733"/>
      <c r="PLS7" s="733"/>
      <c r="PLT7" s="733"/>
      <c r="PLU7" s="733"/>
      <c r="PLV7" s="733"/>
      <c r="PLW7" s="733"/>
      <c r="PLX7" s="733"/>
      <c r="PLY7" s="733"/>
      <c r="PLZ7" s="733"/>
      <c r="PMA7" s="733"/>
      <c r="PMB7" s="733"/>
      <c r="PMC7" s="733"/>
      <c r="PMD7" s="733"/>
      <c r="PME7" s="733"/>
      <c r="PMF7" s="733"/>
      <c r="PMG7" s="733"/>
      <c r="PMH7" s="733"/>
      <c r="PMI7" s="733"/>
      <c r="PMJ7" s="733"/>
      <c r="PMK7" s="733"/>
      <c r="PML7" s="733"/>
      <c r="PMM7" s="733"/>
      <c r="PMN7" s="733"/>
      <c r="PMO7" s="733"/>
      <c r="PMP7" s="733"/>
      <c r="PMQ7" s="733"/>
      <c r="PMR7" s="733"/>
      <c r="PMS7" s="733"/>
      <c r="PMT7" s="733"/>
      <c r="PMU7" s="733"/>
      <c r="PMV7" s="733"/>
      <c r="PMW7" s="733"/>
      <c r="PMX7" s="733"/>
      <c r="PMY7" s="733"/>
      <c r="PMZ7" s="733"/>
      <c r="PNA7" s="733"/>
      <c r="PNB7" s="733"/>
      <c r="PNC7" s="733"/>
      <c r="PND7" s="733"/>
      <c r="PNE7" s="733"/>
      <c r="PNF7" s="733"/>
      <c r="PNG7" s="733"/>
      <c r="PNH7" s="733"/>
      <c r="PNI7" s="733"/>
      <c r="PNJ7" s="733"/>
      <c r="PNK7" s="733"/>
      <c r="PNL7" s="733"/>
      <c r="PNM7" s="733"/>
      <c r="PNN7" s="733"/>
      <c r="PNO7" s="733"/>
      <c r="PNP7" s="733"/>
      <c r="PNQ7" s="733"/>
      <c r="PNR7" s="733"/>
      <c r="PNS7" s="733"/>
      <c r="PNT7" s="733"/>
      <c r="PNU7" s="733"/>
      <c r="PNV7" s="733"/>
      <c r="PNW7" s="733"/>
      <c r="PNX7" s="733"/>
      <c r="PNY7" s="733"/>
      <c r="PNZ7" s="733"/>
      <c r="POA7" s="733"/>
      <c r="POB7" s="733"/>
      <c r="POC7" s="733"/>
      <c r="POD7" s="733"/>
      <c r="POE7" s="733"/>
      <c r="POF7" s="733"/>
      <c r="POG7" s="733"/>
      <c r="POH7" s="733"/>
      <c r="POI7" s="733"/>
      <c r="POJ7" s="733"/>
      <c r="POK7" s="733"/>
      <c r="POL7" s="733"/>
      <c r="POM7" s="733"/>
      <c r="PON7" s="733"/>
      <c r="POO7" s="733"/>
      <c r="POP7" s="733"/>
      <c r="POQ7" s="733"/>
      <c r="POR7" s="733"/>
      <c r="POS7" s="733"/>
      <c r="POT7" s="733"/>
      <c r="POU7" s="733"/>
      <c r="POV7" s="733"/>
      <c r="POW7" s="733"/>
      <c r="POX7" s="733"/>
      <c r="POY7" s="733"/>
      <c r="POZ7" s="733"/>
      <c r="PPA7" s="733"/>
      <c r="PPB7" s="733"/>
      <c r="PPC7" s="733"/>
      <c r="PPD7" s="733"/>
      <c r="PPE7" s="733"/>
      <c r="PPF7" s="733"/>
      <c r="PPG7" s="733"/>
      <c r="PPH7" s="733"/>
      <c r="PPI7" s="733"/>
      <c r="PPJ7" s="733"/>
      <c r="PPK7" s="733"/>
      <c r="PPL7" s="733"/>
      <c r="PPM7" s="733"/>
      <c r="PPN7" s="733"/>
      <c r="PPO7" s="733"/>
      <c r="PPP7" s="733"/>
      <c r="PPQ7" s="733"/>
      <c r="PPR7" s="733"/>
      <c r="PPS7" s="733"/>
      <c r="PPT7" s="733"/>
      <c r="PPU7" s="733"/>
      <c r="PPV7" s="733"/>
      <c r="PPW7" s="733"/>
      <c r="PPX7" s="733"/>
      <c r="PPY7" s="733"/>
      <c r="PPZ7" s="733"/>
      <c r="PQA7" s="733"/>
      <c r="PQB7" s="733"/>
      <c r="PQC7" s="733"/>
      <c r="PQD7" s="733"/>
      <c r="PQE7" s="733"/>
      <c r="PQF7" s="733"/>
      <c r="PQG7" s="733"/>
      <c r="PQH7" s="733"/>
      <c r="PQI7" s="733"/>
      <c r="PQJ7" s="733"/>
      <c r="PQK7" s="733"/>
      <c r="PQL7" s="733"/>
      <c r="PQM7" s="733"/>
      <c r="PQN7" s="733"/>
      <c r="PQO7" s="733"/>
      <c r="PQP7" s="733"/>
      <c r="PQQ7" s="733"/>
      <c r="PQR7" s="733"/>
      <c r="PQS7" s="733"/>
      <c r="PQT7" s="733"/>
      <c r="PQU7" s="733"/>
      <c r="PQV7" s="733"/>
      <c r="PQW7" s="733"/>
      <c r="PQX7" s="733"/>
      <c r="PQY7" s="733"/>
      <c r="PQZ7" s="733"/>
      <c r="PRA7" s="733"/>
      <c r="PRB7" s="733"/>
      <c r="PRC7" s="733"/>
      <c r="PRD7" s="733"/>
      <c r="PRE7" s="733"/>
      <c r="PRF7" s="733"/>
      <c r="PRG7" s="733"/>
      <c r="PRH7" s="733"/>
      <c r="PRI7" s="733"/>
      <c r="PRJ7" s="733"/>
      <c r="PRK7" s="733"/>
      <c r="PRL7" s="733"/>
      <c r="PRM7" s="733"/>
      <c r="PRN7" s="733"/>
      <c r="PRO7" s="733"/>
      <c r="PRP7" s="733"/>
      <c r="PRQ7" s="733"/>
      <c r="PRR7" s="733"/>
      <c r="PRS7" s="733"/>
      <c r="PRT7" s="733"/>
      <c r="PRU7" s="733"/>
      <c r="PRV7" s="733"/>
      <c r="PRW7" s="733"/>
      <c r="PRX7" s="733"/>
      <c r="PRY7" s="733"/>
      <c r="PRZ7" s="733"/>
      <c r="PSA7" s="733"/>
      <c r="PSB7" s="733"/>
      <c r="PSC7" s="733"/>
      <c r="PSD7" s="733"/>
      <c r="PSE7" s="733"/>
      <c r="PSF7" s="733"/>
      <c r="PSG7" s="733"/>
      <c r="PSH7" s="733"/>
      <c r="PSI7" s="733"/>
      <c r="PSJ7" s="733"/>
      <c r="PSK7" s="733"/>
      <c r="PSL7" s="733"/>
      <c r="PSM7" s="733"/>
      <c r="PSN7" s="733"/>
      <c r="PSO7" s="733"/>
      <c r="PSP7" s="733"/>
      <c r="PSQ7" s="733"/>
      <c r="PSR7" s="733"/>
      <c r="PSS7" s="733"/>
      <c r="PST7" s="733"/>
      <c r="PSU7" s="733"/>
      <c r="PSV7" s="733"/>
      <c r="PSW7" s="733"/>
      <c r="PSX7" s="733"/>
      <c r="PSY7" s="733"/>
      <c r="PSZ7" s="733"/>
      <c r="PTA7" s="733"/>
      <c r="PTB7" s="733"/>
      <c r="PTC7" s="733"/>
      <c r="PTD7" s="733"/>
      <c r="PTE7" s="733"/>
      <c r="PTF7" s="733"/>
      <c r="PTG7" s="733"/>
      <c r="PTH7" s="733"/>
      <c r="PTI7" s="733"/>
      <c r="PTJ7" s="733"/>
      <c r="PTK7" s="733"/>
      <c r="PTL7" s="733"/>
      <c r="PTM7" s="733"/>
      <c r="PTN7" s="733"/>
      <c r="PTO7" s="733"/>
      <c r="PTP7" s="733"/>
      <c r="PTQ7" s="733"/>
      <c r="PTR7" s="733"/>
      <c r="PTS7" s="733"/>
      <c r="PTT7" s="733"/>
      <c r="PTU7" s="733"/>
      <c r="PTV7" s="733"/>
      <c r="PTW7" s="733"/>
      <c r="PTX7" s="733"/>
      <c r="PTY7" s="733"/>
      <c r="PTZ7" s="733"/>
      <c r="PUA7" s="733"/>
      <c r="PUB7" s="733"/>
      <c r="PUC7" s="733"/>
      <c r="PUD7" s="733"/>
      <c r="PUE7" s="733"/>
      <c r="PUF7" s="733"/>
      <c r="PUG7" s="733"/>
      <c r="PUH7" s="733"/>
      <c r="PUI7" s="733"/>
      <c r="PUJ7" s="733"/>
      <c r="PUK7" s="733"/>
      <c r="PUL7" s="733"/>
      <c r="PUM7" s="733"/>
      <c r="PUN7" s="733"/>
      <c r="PUO7" s="733"/>
      <c r="PUP7" s="733"/>
      <c r="PUQ7" s="733"/>
      <c r="PUR7" s="733"/>
      <c r="PUS7" s="733"/>
      <c r="PUT7" s="733"/>
      <c r="PUU7" s="733"/>
      <c r="PUV7" s="733"/>
      <c r="PUW7" s="733"/>
      <c r="PUX7" s="733"/>
      <c r="PUY7" s="733"/>
      <c r="PUZ7" s="733"/>
      <c r="PVA7" s="733"/>
      <c r="PVB7" s="733"/>
      <c r="PVC7" s="733"/>
      <c r="PVD7" s="733"/>
      <c r="PVE7" s="733"/>
      <c r="PVF7" s="733"/>
      <c r="PVG7" s="733"/>
      <c r="PVH7" s="733"/>
      <c r="PVI7" s="733"/>
      <c r="PVJ7" s="733"/>
      <c r="PVK7" s="733"/>
      <c r="PVL7" s="733"/>
      <c r="PVM7" s="733"/>
      <c r="PVN7" s="733"/>
      <c r="PVO7" s="733"/>
      <c r="PVP7" s="733"/>
      <c r="PVQ7" s="733"/>
      <c r="PVR7" s="733"/>
      <c r="PVS7" s="733"/>
      <c r="PVT7" s="733"/>
      <c r="PVU7" s="733"/>
      <c r="PVV7" s="733"/>
      <c r="PVW7" s="733"/>
      <c r="PVX7" s="733"/>
      <c r="PVY7" s="733"/>
      <c r="PVZ7" s="733"/>
      <c r="PWA7" s="733"/>
      <c r="PWB7" s="733"/>
      <c r="PWC7" s="733"/>
      <c r="PWD7" s="733"/>
      <c r="PWE7" s="733"/>
      <c r="PWF7" s="733"/>
      <c r="PWG7" s="733"/>
      <c r="PWH7" s="733"/>
      <c r="PWI7" s="733"/>
      <c r="PWJ7" s="733"/>
      <c r="PWK7" s="733"/>
      <c r="PWL7" s="733"/>
      <c r="PWM7" s="733"/>
      <c r="PWN7" s="733"/>
      <c r="PWO7" s="733"/>
      <c r="PWP7" s="733"/>
      <c r="PWQ7" s="733"/>
      <c r="PWR7" s="733"/>
      <c r="PWS7" s="733"/>
      <c r="PWT7" s="733"/>
      <c r="PWU7" s="733"/>
      <c r="PWV7" s="733"/>
      <c r="PWW7" s="733"/>
      <c r="PWX7" s="733"/>
      <c r="PWY7" s="733"/>
      <c r="PWZ7" s="733"/>
      <c r="PXA7" s="733"/>
      <c r="PXB7" s="733"/>
      <c r="PXC7" s="733"/>
      <c r="PXD7" s="733"/>
      <c r="PXE7" s="733"/>
      <c r="PXF7" s="733"/>
      <c r="PXG7" s="733"/>
      <c r="PXH7" s="733"/>
      <c r="PXI7" s="733"/>
      <c r="PXJ7" s="733"/>
      <c r="PXK7" s="733"/>
      <c r="PXL7" s="733"/>
      <c r="PXM7" s="733"/>
      <c r="PXN7" s="733"/>
      <c r="PXO7" s="733"/>
      <c r="PXP7" s="733"/>
      <c r="PXQ7" s="733"/>
      <c r="PXR7" s="733"/>
      <c r="PXS7" s="733"/>
      <c r="PXT7" s="733"/>
      <c r="PXU7" s="733"/>
      <c r="PXV7" s="733"/>
      <c r="PXW7" s="733"/>
      <c r="PXX7" s="733"/>
      <c r="PXY7" s="733"/>
      <c r="PXZ7" s="733"/>
      <c r="PYA7" s="733"/>
      <c r="PYB7" s="733"/>
      <c r="PYC7" s="733"/>
      <c r="PYD7" s="733"/>
      <c r="PYE7" s="733"/>
      <c r="PYF7" s="733"/>
      <c r="PYG7" s="733"/>
      <c r="PYH7" s="733"/>
      <c r="PYI7" s="733"/>
      <c r="PYJ7" s="733"/>
      <c r="PYK7" s="733"/>
      <c r="PYL7" s="733"/>
      <c r="PYM7" s="733"/>
      <c r="PYN7" s="733"/>
      <c r="PYO7" s="733"/>
      <c r="PYP7" s="733"/>
      <c r="PYQ7" s="733"/>
      <c r="PYR7" s="733"/>
      <c r="PYS7" s="733"/>
      <c r="PYT7" s="733"/>
      <c r="PYU7" s="733"/>
      <c r="PYV7" s="733"/>
      <c r="PYW7" s="733"/>
      <c r="PYX7" s="733"/>
      <c r="PYY7" s="733"/>
      <c r="PYZ7" s="733"/>
      <c r="PZA7" s="733"/>
      <c r="PZB7" s="733"/>
      <c r="PZC7" s="733"/>
      <c r="PZD7" s="733"/>
      <c r="PZE7" s="733"/>
      <c r="PZF7" s="733"/>
      <c r="PZG7" s="733"/>
      <c r="PZH7" s="733"/>
      <c r="PZI7" s="733"/>
      <c r="PZJ7" s="733"/>
      <c r="PZK7" s="733"/>
      <c r="PZL7" s="733"/>
      <c r="PZM7" s="733"/>
      <c r="PZN7" s="733"/>
      <c r="PZO7" s="733"/>
      <c r="PZP7" s="733"/>
      <c r="PZQ7" s="733"/>
      <c r="PZR7" s="733"/>
      <c r="PZS7" s="733"/>
      <c r="PZT7" s="733"/>
      <c r="PZU7" s="733"/>
      <c r="PZV7" s="733"/>
      <c r="PZW7" s="733"/>
      <c r="PZX7" s="733"/>
      <c r="PZY7" s="733"/>
      <c r="PZZ7" s="733"/>
      <c r="QAA7" s="733"/>
      <c r="QAB7" s="733"/>
      <c r="QAC7" s="733"/>
      <c r="QAD7" s="733"/>
      <c r="QAE7" s="733"/>
      <c r="QAF7" s="733"/>
      <c r="QAG7" s="733"/>
      <c r="QAH7" s="733"/>
      <c r="QAI7" s="733"/>
      <c r="QAJ7" s="733"/>
      <c r="QAK7" s="733"/>
      <c r="QAL7" s="733"/>
      <c r="QAM7" s="733"/>
      <c r="QAN7" s="733"/>
      <c r="QAO7" s="733"/>
      <c r="QAP7" s="733"/>
      <c r="QAQ7" s="733"/>
      <c r="QAR7" s="733"/>
      <c r="QAS7" s="733"/>
      <c r="QAT7" s="733"/>
      <c r="QAU7" s="733"/>
      <c r="QAV7" s="733"/>
      <c r="QAW7" s="733"/>
      <c r="QAX7" s="733"/>
      <c r="QAY7" s="733"/>
      <c r="QAZ7" s="733"/>
      <c r="QBA7" s="733"/>
      <c r="QBB7" s="733"/>
      <c r="QBC7" s="733"/>
      <c r="QBD7" s="733"/>
      <c r="QBE7" s="733"/>
      <c r="QBF7" s="733"/>
      <c r="QBG7" s="733"/>
      <c r="QBH7" s="733"/>
      <c r="QBI7" s="733"/>
      <c r="QBJ7" s="733"/>
      <c r="QBK7" s="733"/>
      <c r="QBL7" s="733"/>
      <c r="QBM7" s="733"/>
      <c r="QBN7" s="733"/>
      <c r="QBO7" s="733"/>
      <c r="QBP7" s="733"/>
      <c r="QBQ7" s="733"/>
      <c r="QBR7" s="733"/>
      <c r="QBS7" s="733"/>
      <c r="QBT7" s="733"/>
      <c r="QBU7" s="733"/>
      <c r="QBV7" s="733"/>
      <c r="QBW7" s="733"/>
      <c r="QBX7" s="733"/>
      <c r="QBY7" s="733"/>
      <c r="QBZ7" s="733"/>
      <c r="QCA7" s="733"/>
      <c r="QCB7" s="733"/>
      <c r="QCC7" s="733"/>
      <c r="QCD7" s="733"/>
      <c r="QCE7" s="733"/>
      <c r="QCF7" s="733"/>
      <c r="QCG7" s="733"/>
      <c r="QCH7" s="733"/>
      <c r="QCI7" s="733"/>
      <c r="QCJ7" s="733"/>
      <c r="QCK7" s="733"/>
      <c r="QCL7" s="733"/>
      <c r="QCM7" s="733"/>
      <c r="QCN7" s="733"/>
      <c r="QCO7" s="733"/>
      <c r="QCP7" s="733"/>
      <c r="QCQ7" s="733"/>
      <c r="QCR7" s="733"/>
      <c r="QCS7" s="733"/>
      <c r="QCT7" s="733"/>
      <c r="QCU7" s="733"/>
      <c r="QCV7" s="733"/>
      <c r="QCW7" s="733"/>
      <c r="QCX7" s="733"/>
      <c r="QCY7" s="733"/>
      <c r="QCZ7" s="733"/>
      <c r="QDA7" s="733"/>
      <c r="QDB7" s="733"/>
      <c r="QDC7" s="733"/>
      <c r="QDD7" s="733"/>
      <c r="QDE7" s="733"/>
      <c r="QDF7" s="733"/>
      <c r="QDG7" s="733"/>
      <c r="QDH7" s="733"/>
      <c r="QDI7" s="733"/>
      <c r="QDJ7" s="733"/>
      <c r="QDK7" s="733"/>
      <c r="QDL7" s="733"/>
      <c r="QDM7" s="733"/>
      <c r="QDN7" s="733"/>
      <c r="QDO7" s="733"/>
      <c r="QDP7" s="733"/>
      <c r="QDQ7" s="733"/>
      <c r="QDR7" s="733"/>
      <c r="QDS7" s="733"/>
      <c r="QDT7" s="733"/>
      <c r="QDU7" s="733"/>
      <c r="QDV7" s="733"/>
      <c r="QDW7" s="733"/>
      <c r="QDX7" s="733"/>
      <c r="QDY7" s="733"/>
      <c r="QDZ7" s="733"/>
      <c r="QEA7" s="733"/>
      <c r="QEB7" s="733"/>
      <c r="QEC7" s="733"/>
      <c r="QED7" s="733"/>
      <c r="QEE7" s="733"/>
      <c r="QEF7" s="733"/>
      <c r="QEG7" s="733"/>
      <c r="QEH7" s="733"/>
      <c r="QEI7" s="733"/>
      <c r="QEJ7" s="733"/>
      <c r="QEK7" s="733"/>
      <c r="QEL7" s="733"/>
      <c r="QEM7" s="733"/>
      <c r="QEN7" s="733"/>
      <c r="QEO7" s="733"/>
      <c r="QEP7" s="733"/>
      <c r="QEQ7" s="733"/>
      <c r="QER7" s="733"/>
      <c r="QES7" s="733"/>
      <c r="QET7" s="733"/>
      <c r="QEU7" s="733"/>
      <c r="QEV7" s="733"/>
      <c r="QEW7" s="733"/>
      <c r="QEX7" s="733"/>
      <c r="QEY7" s="733"/>
      <c r="QEZ7" s="733"/>
      <c r="QFA7" s="733"/>
      <c r="QFB7" s="733"/>
      <c r="QFC7" s="733"/>
      <c r="QFD7" s="733"/>
      <c r="QFE7" s="733"/>
      <c r="QFF7" s="733"/>
      <c r="QFG7" s="733"/>
      <c r="QFH7" s="733"/>
      <c r="QFI7" s="733"/>
      <c r="QFJ7" s="733"/>
      <c r="QFK7" s="733"/>
      <c r="QFL7" s="733"/>
      <c r="QFM7" s="733"/>
      <c r="QFN7" s="733"/>
      <c r="QFO7" s="733"/>
      <c r="QFP7" s="733"/>
      <c r="QFQ7" s="733"/>
      <c r="QFR7" s="733"/>
      <c r="QFS7" s="733"/>
      <c r="QFT7" s="733"/>
      <c r="QFU7" s="733"/>
      <c r="QFV7" s="733"/>
      <c r="QFW7" s="733"/>
      <c r="QFX7" s="733"/>
      <c r="QFY7" s="733"/>
      <c r="QFZ7" s="733"/>
      <c r="QGA7" s="733"/>
      <c r="QGB7" s="733"/>
      <c r="QGC7" s="733"/>
      <c r="QGD7" s="733"/>
      <c r="QGE7" s="733"/>
      <c r="QGF7" s="733"/>
      <c r="QGG7" s="733"/>
      <c r="QGH7" s="733"/>
      <c r="QGI7" s="733"/>
      <c r="QGJ7" s="733"/>
      <c r="QGK7" s="733"/>
      <c r="QGL7" s="733"/>
      <c r="QGM7" s="733"/>
      <c r="QGN7" s="733"/>
      <c r="QGO7" s="733"/>
      <c r="QGP7" s="733"/>
      <c r="QGQ7" s="733"/>
      <c r="QGR7" s="733"/>
      <c r="QGS7" s="733"/>
      <c r="QGT7" s="733"/>
      <c r="QGU7" s="733"/>
      <c r="QGV7" s="733"/>
      <c r="QGW7" s="733"/>
      <c r="QGX7" s="733"/>
      <c r="QGY7" s="733"/>
      <c r="QGZ7" s="733"/>
      <c r="QHA7" s="733"/>
      <c r="QHB7" s="733"/>
      <c r="QHC7" s="733"/>
      <c r="QHD7" s="733"/>
      <c r="QHE7" s="733"/>
      <c r="QHF7" s="733"/>
      <c r="QHG7" s="733"/>
      <c r="QHH7" s="733"/>
      <c r="QHI7" s="733"/>
      <c r="QHJ7" s="733"/>
      <c r="QHK7" s="733"/>
      <c r="QHL7" s="733"/>
      <c r="QHM7" s="733"/>
      <c r="QHN7" s="733"/>
      <c r="QHO7" s="733"/>
      <c r="QHP7" s="733"/>
      <c r="QHQ7" s="733"/>
      <c r="QHR7" s="733"/>
      <c r="QHS7" s="733"/>
      <c r="QHT7" s="733"/>
      <c r="QHU7" s="733"/>
      <c r="QHV7" s="733"/>
      <c r="QHW7" s="733"/>
      <c r="QHX7" s="733"/>
      <c r="QHY7" s="733"/>
      <c r="QHZ7" s="733"/>
      <c r="QIA7" s="733"/>
      <c r="QIB7" s="733"/>
      <c r="QIC7" s="733"/>
      <c r="QID7" s="733"/>
      <c r="QIE7" s="733"/>
      <c r="QIF7" s="733"/>
      <c r="QIG7" s="733"/>
      <c r="QIH7" s="733"/>
      <c r="QII7" s="733"/>
      <c r="QIJ7" s="733"/>
      <c r="QIK7" s="733"/>
      <c r="QIL7" s="733"/>
      <c r="QIM7" s="733"/>
      <c r="QIN7" s="733"/>
      <c r="QIO7" s="733"/>
      <c r="QIP7" s="733"/>
      <c r="QIQ7" s="733"/>
      <c r="QIR7" s="733"/>
      <c r="QIS7" s="733"/>
      <c r="QIT7" s="733"/>
      <c r="QIU7" s="733"/>
      <c r="QIV7" s="733"/>
      <c r="QIW7" s="733"/>
      <c r="QIX7" s="733"/>
      <c r="QIY7" s="733"/>
      <c r="QIZ7" s="733"/>
      <c r="QJA7" s="733"/>
      <c r="QJB7" s="733"/>
      <c r="QJC7" s="733"/>
      <c r="QJD7" s="733"/>
      <c r="QJE7" s="733"/>
      <c r="QJF7" s="733"/>
      <c r="QJG7" s="733"/>
      <c r="QJH7" s="733"/>
      <c r="QJI7" s="733"/>
      <c r="QJJ7" s="733"/>
      <c r="QJK7" s="733"/>
      <c r="QJL7" s="733"/>
      <c r="QJM7" s="733"/>
      <c r="QJN7" s="733"/>
      <c r="QJO7" s="733"/>
      <c r="QJP7" s="733"/>
      <c r="QJQ7" s="733"/>
      <c r="QJR7" s="733"/>
      <c r="QJS7" s="733"/>
      <c r="QJT7" s="733"/>
      <c r="QJU7" s="733"/>
      <c r="QJV7" s="733"/>
      <c r="QJW7" s="733"/>
      <c r="QJX7" s="733"/>
      <c r="QJY7" s="733"/>
      <c r="QJZ7" s="733"/>
      <c r="QKA7" s="733"/>
      <c r="QKB7" s="733"/>
      <c r="QKC7" s="733"/>
      <c r="QKD7" s="733"/>
      <c r="QKE7" s="733"/>
      <c r="QKF7" s="733"/>
      <c r="QKG7" s="733"/>
      <c r="QKH7" s="733"/>
      <c r="QKI7" s="733"/>
      <c r="QKJ7" s="733"/>
      <c r="QKK7" s="733"/>
      <c r="QKL7" s="733"/>
      <c r="QKM7" s="733"/>
      <c r="QKN7" s="733"/>
      <c r="QKO7" s="733"/>
      <c r="QKP7" s="733"/>
      <c r="QKQ7" s="733"/>
      <c r="QKR7" s="733"/>
      <c r="QKS7" s="733"/>
      <c r="QKT7" s="733"/>
      <c r="QKU7" s="733"/>
      <c r="QKV7" s="733"/>
      <c r="QKW7" s="733"/>
      <c r="QKX7" s="733"/>
      <c r="QKY7" s="733"/>
      <c r="QKZ7" s="733"/>
      <c r="QLA7" s="733"/>
      <c r="QLB7" s="733"/>
      <c r="QLC7" s="733"/>
      <c r="QLD7" s="733"/>
      <c r="QLE7" s="733"/>
      <c r="QLF7" s="733"/>
      <c r="QLG7" s="733"/>
      <c r="QLH7" s="733"/>
      <c r="QLI7" s="733"/>
      <c r="QLJ7" s="733"/>
      <c r="QLK7" s="733"/>
      <c r="QLL7" s="733"/>
      <c r="QLM7" s="733"/>
      <c r="QLN7" s="733"/>
      <c r="QLO7" s="733"/>
      <c r="QLP7" s="733"/>
      <c r="QLQ7" s="733"/>
      <c r="QLR7" s="733"/>
      <c r="QLS7" s="733"/>
      <c r="QLT7" s="733"/>
      <c r="QLU7" s="733"/>
      <c r="QLV7" s="733"/>
      <c r="QLW7" s="733"/>
      <c r="QLX7" s="733"/>
      <c r="QLY7" s="733"/>
      <c r="QLZ7" s="733"/>
      <c r="QMA7" s="733"/>
      <c r="QMB7" s="733"/>
      <c r="QMC7" s="733"/>
      <c r="QMD7" s="733"/>
      <c r="QME7" s="733"/>
      <c r="QMF7" s="733"/>
      <c r="QMG7" s="733"/>
      <c r="QMH7" s="733"/>
      <c r="QMI7" s="733"/>
      <c r="QMJ7" s="733"/>
      <c r="QMK7" s="733"/>
      <c r="QML7" s="733"/>
      <c r="QMM7" s="733"/>
      <c r="QMN7" s="733"/>
      <c r="QMO7" s="733"/>
      <c r="QMP7" s="733"/>
      <c r="QMQ7" s="733"/>
      <c r="QMR7" s="733"/>
      <c r="QMS7" s="733"/>
      <c r="QMT7" s="733"/>
      <c r="QMU7" s="733"/>
      <c r="QMV7" s="733"/>
      <c r="QMW7" s="733"/>
      <c r="QMX7" s="733"/>
      <c r="QMY7" s="733"/>
      <c r="QMZ7" s="733"/>
      <c r="QNA7" s="733"/>
      <c r="QNB7" s="733"/>
      <c r="QNC7" s="733"/>
      <c r="QND7" s="733"/>
      <c r="QNE7" s="733"/>
      <c r="QNF7" s="733"/>
      <c r="QNG7" s="733"/>
      <c r="QNH7" s="733"/>
      <c r="QNI7" s="733"/>
      <c r="QNJ7" s="733"/>
      <c r="QNK7" s="733"/>
      <c r="QNL7" s="733"/>
      <c r="QNM7" s="733"/>
      <c r="QNN7" s="733"/>
      <c r="QNO7" s="733"/>
      <c r="QNP7" s="733"/>
      <c r="QNQ7" s="733"/>
      <c r="QNR7" s="733"/>
      <c r="QNS7" s="733"/>
      <c r="QNT7" s="733"/>
      <c r="QNU7" s="733"/>
      <c r="QNV7" s="733"/>
      <c r="QNW7" s="733"/>
      <c r="QNX7" s="733"/>
      <c r="QNY7" s="733"/>
      <c r="QNZ7" s="733"/>
      <c r="QOA7" s="733"/>
      <c r="QOB7" s="733"/>
      <c r="QOC7" s="733"/>
      <c r="QOD7" s="733"/>
      <c r="QOE7" s="733"/>
      <c r="QOF7" s="733"/>
      <c r="QOG7" s="733"/>
      <c r="QOH7" s="733"/>
      <c r="QOI7" s="733"/>
      <c r="QOJ7" s="733"/>
      <c r="QOK7" s="733"/>
      <c r="QOL7" s="733"/>
      <c r="QOM7" s="733"/>
      <c r="QON7" s="733"/>
      <c r="QOO7" s="733"/>
      <c r="QOP7" s="733"/>
      <c r="QOQ7" s="733"/>
      <c r="QOR7" s="733"/>
      <c r="QOS7" s="733"/>
      <c r="QOT7" s="733"/>
      <c r="QOU7" s="733"/>
      <c r="QOV7" s="733"/>
      <c r="QOW7" s="733"/>
      <c r="QOX7" s="733"/>
      <c r="QOY7" s="733"/>
      <c r="QOZ7" s="733"/>
      <c r="QPA7" s="733"/>
      <c r="QPB7" s="733"/>
      <c r="QPC7" s="733"/>
      <c r="QPD7" s="733"/>
      <c r="QPE7" s="733"/>
      <c r="QPF7" s="733"/>
      <c r="QPG7" s="733"/>
      <c r="QPH7" s="733"/>
      <c r="QPI7" s="733"/>
      <c r="QPJ7" s="733"/>
      <c r="QPK7" s="733"/>
      <c r="QPL7" s="733"/>
      <c r="QPM7" s="733"/>
      <c r="QPN7" s="733"/>
      <c r="QPO7" s="733"/>
      <c r="QPP7" s="733"/>
      <c r="QPQ7" s="733"/>
      <c r="QPR7" s="733"/>
      <c r="QPS7" s="733"/>
      <c r="QPT7" s="733"/>
      <c r="QPU7" s="733"/>
      <c r="QPV7" s="733"/>
      <c r="QPW7" s="733"/>
      <c r="QPX7" s="733"/>
      <c r="QPY7" s="733"/>
      <c r="QPZ7" s="733"/>
      <c r="QQA7" s="733"/>
      <c r="QQB7" s="733"/>
      <c r="QQC7" s="733"/>
      <c r="QQD7" s="733"/>
      <c r="QQE7" s="733"/>
      <c r="QQF7" s="733"/>
      <c r="QQG7" s="733"/>
      <c r="QQH7" s="733"/>
      <c r="QQI7" s="733"/>
      <c r="QQJ7" s="733"/>
      <c r="QQK7" s="733"/>
      <c r="QQL7" s="733"/>
      <c r="QQM7" s="733"/>
      <c r="QQN7" s="733"/>
      <c r="QQO7" s="733"/>
      <c r="QQP7" s="733"/>
      <c r="QQQ7" s="733"/>
      <c r="QQR7" s="733"/>
      <c r="QQS7" s="733"/>
      <c r="QQT7" s="733"/>
      <c r="QQU7" s="733"/>
      <c r="QQV7" s="733"/>
      <c r="QQW7" s="733"/>
      <c r="QQX7" s="733"/>
      <c r="QQY7" s="733"/>
      <c r="QQZ7" s="733"/>
      <c r="QRA7" s="733"/>
      <c r="QRB7" s="733"/>
      <c r="QRC7" s="733"/>
      <c r="QRD7" s="733"/>
      <c r="QRE7" s="733"/>
      <c r="QRF7" s="733"/>
      <c r="QRG7" s="733"/>
      <c r="QRH7" s="733"/>
      <c r="QRI7" s="733"/>
      <c r="QRJ7" s="733"/>
      <c r="QRK7" s="733"/>
      <c r="QRL7" s="733"/>
      <c r="QRM7" s="733"/>
      <c r="QRN7" s="733"/>
      <c r="QRO7" s="733"/>
      <c r="QRP7" s="733"/>
      <c r="QRQ7" s="733"/>
      <c r="QRR7" s="733"/>
      <c r="QRS7" s="733"/>
      <c r="QRT7" s="733"/>
      <c r="QRU7" s="733"/>
      <c r="QRV7" s="733"/>
      <c r="QRW7" s="733"/>
      <c r="QRX7" s="733"/>
      <c r="QRY7" s="733"/>
      <c r="QRZ7" s="733"/>
      <c r="QSA7" s="733"/>
      <c r="QSB7" s="733"/>
      <c r="QSC7" s="733"/>
      <c r="QSD7" s="733"/>
      <c r="QSE7" s="733"/>
      <c r="QSF7" s="733"/>
      <c r="QSG7" s="733"/>
      <c r="QSH7" s="733"/>
      <c r="QSI7" s="733"/>
      <c r="QSJ7" s="733"/>
      <c r="QSK7" s="733"/>
      <c r="QSL7" s="733"/>
      <c r="QSM7" s="733"/>
      <c r="QSN7" s="733"/>
      <c r="QSO7" s="733"/>
      <c r="QSP7" s="733"/>
      <c r="QSQ7" s="733"/>
      <c r="QSR7" s="733"/>
      <c r="QSS7" s="733"/>
      <c r="QST7" s="733"/>
      <c r="QSU7" s="733"/>
      <c r="QSV7" s="733"/>
      <c r="QSW7" s="733"/>
      <c r="QSX7" s="733"/>
      <c r="QSY7" s="733"/>
      <c r="QSZ7" s="733"/>
      <c r="QTA7" s="733"/>
      <c r="QTB7" s="733"/>
      <c r="QTC7" s="733"/>
      <c r="QTD7" s="733"/>
      <c r="QTE7" s="733"/>
      <c r="QTF7" s="733"/>
      <c r="QTG7" s="733"/>
      <c r="QTH7" s="733"/>
      <c r="QTI7" s="733"/>
      <c r="QTJ7" s="733"/>
      <c r="QTK7" s="733"/>
      <c r="QTL7" s="733"/>
      <c r="QTM7" s="733"/>
      <c r="QTN7" s="733"/>
      <c r="QTO7" s="733"/>
      <c r="QTP7" s="733"/>
      <c r="QTQ7" s="733"/>
      <c r="QTR7" s="733"/>
      <c r="QTS7" s="733"/>
      <c r="QTT7" s="733"/>
      <c r="QTU7" s="733"/>
      <c r="QTV7" s="733"/>
      <c r="QTW7" s="733"/>
      <c r="QTX7" s="733"/>
      <c r="QTY7" s="733"/>
      <c r="QTZ7" s="733"/>
      <c r="QUA7" s="733"/>
      <c r="QUB7" s="733"/>
      <c r="QUC7" s="733"/>
      <c r="QUD7" s="733"/>
      <c r="QUE7" s="733"/>
      <c r="QUF7" s="733"/>
      <c r="QUG7" s="733"/>
      <c r="QUH7" s="733"/>
      <c r="QUI7" s="733"/>
      <c r="QUJ7" s="733"/>
      <c r="QUK7" s="733"/>
      <c r="QUL7" s="733"/>
      <c r="QUM7" s="733"/>
      <c r="QUN7" s="733"/>
      <c r="QUO7" s="733"/>
      <c r="QUP7" s="733"/>
      <c r="QUQ7" s="733"/>
      <c r="QUR7" s="733"/>
      <c r="QUS7" s="733"/>
      <c r="QUT7" s="733"/>
      <c r="QUU7" s="733"/>
      <c r="QUV7" s="733"/>
      <c r="QUW7" s="733"/>
      <c r="QUX7" s="733"/>
      <c r="QUY7" s="733"/>
      <c r="QUZ7" s="733"/>
      <c r="QVA7" s="733"/>
      <c r="QVB7" s="733"/>
      <c r="QVC7" s="733"/>
      <c r="QVD7" s="733"/>
      <c r="QVE7" s="733"/>
      <c r="QVF7" s="733"/>
      <c r="QVG7" s="733"/>
      <c r="QVH7" s="733"/>
      <c r="QVI7" s="733"/>
      <c r="QVJ7" s="733"/>
      <c r="QVK7" s="733"/>
      <c r="QVL7" s="733"/>
      <c r="QVM7" s="733"/>
      <c r="QVN7" s="733"/>
      <c r="QVO7" s="733"/>
      <c r="QVP7" s="733"/>
      <c r="QVQ7" s="733"/>
      <c r="QVR7" s="733"/>
      <c r="QVS7" s="733"/>
      <c r="QVT7" s="733"/>
      <c r="QVU7" s="733"/>
      <c r="QVV7" s="733"/>
      <c r="QVW7" s="733"/>
      <c r="QVX7" s="733"/>
      <c r="QVY7" s="733"/>
      <c r="QVZ7" s="733"/>
      <c r="QWA7" s="733"/>
      <c r="QWB7" s="733"/>
      <c r="QWC7" s="733"/>
      <c r="QWD7" s="733"/>
      <c r="QWE7" s="733"/>
      <c r="QWF7" s="733"/>
      <c r="QWG7" s="733"/>
      <c r="QWH7" s="733"/>
      <c r="QWI7" s="733"/>
      <c r="QWJ7" s="733"/>
      <c r="QWK7" s="733"/>
      <c r="QWL7" s="733"/>
      <c r="QWM7" s="733"/>
      <c r="QWN7" s="733"/>
      <c r="QWO7" s="733"/>
      <c r="QWP7" s="733"/>
      <c r="QWQ7" s="733"/>
      <c r="QWR7" s="733"/>
      <c r="QWS7" s="733"/>
      <c r="QWT7" s="733"/>
      <c r="QWU7" s="733"/>
      <c r="QWV7" s="733"/>
      <c r="QWW7" s="733"/>
      <c r="QWX7" s="733"/>
      <c r="QWY7" s="733"/>
      <c r="QWZ7" s="733"/>
      <c r="QXA7" s="733"/>
      <c r="QXB7" s="733"/>
      <c r="QXC7" s="733"/>
      <c r="QXD7" s="733"/>
      <c r="QXE7" s="733"/>
      <c r="QXF7" s="733"/>
      <c r="QXG7" s="733"/>
      <c r="QXH7" s="733"/>
      <c r="QXI7" s="733"/>
      <c r="QXJ7" s="733"/>
      <c r="QXK7" s="733"/>
      <c r="QXL7" s="733"/>
      <c r="QXM7" s="733"/>
      <c r="QXN7" s="733"/>
      <c r="QXO7" s="733"/>
      <c r="QXP7" s="733"/>
      <c r="QXQ7" s="733"/>
      <c r="QXR7" s="733"/>
      <c r="QXS7" s="733"/>
      <c r="QXT7" s="733"/>
      <c r="QXU7" s="733"/>
      <c r="QXV7" s="733"/>
      <c r="QXW7" s="733"/>
      <c r="QXX7" s="733"/>
      <c r="QXY7" s="733"/>
      <c r="QXZ7" s="733"/>
      <c r="QYA7" s="733"/>
      <c r="QYB7" s="733"/>
      <c r="QYC7" s="733"/>
      <c r="QYD7" s="733"/>
      <c r="QYE7" s="733"/>
      <c r="QYF7" s="733"/>
      <c r="QYG7" s="733"/>
      <c r="QYH7" s="733"/>
      <c r="QYI7" s="733"/>
      <c r="QYJ7" s="733"/>
      <c r="QYK7" s="733"/>
      <c r="QYL7" s="733"/>
      <c r="QYM7" s="733"/>
      <c r="QYN7" s="733"/>
      <c r="QYO7" s="733"/>
      <c r="QYP7" s="733"/>
      <c r="QYQ7" s="733"/>
      <c r="QYR7" s="733"/>
      <c r="QYS7" s="733"/>
      <c r="QYT7" s="733"/>
      <c r="QYU7" s="733"/>
      <c r="QYV7" s="733"/>
      <c r="QYW7" s="733"/>
      <c r="QYX7" s="733"/>
      <c r="QYY7" s="733"/>
      <c r="QYZ7" s="733"/>
      <c r="QZA7" s="733"/>
      <c r="QZB7" s="733"/>
      <c r="QZC7" s="733"/>
      <c r="QZD7" s="733"/>
      <c r="QZE7" s="733"/>
      <c r="QZF7" s="733"/>
      <c r="QZG7" s="733"/>
      <c r="QZH7" s="733"/>
      <c r="QZI7" s="733"/>
      <c r="QZJ7" s="733"/>
      <c r="QZK7" s="733"/>
      <c r="QZL7" s="733"/>
      <c r="QZM7" s="733"/>
      <c r="QZN7" s="733"/>
      <c r="QZO7" s="733"/>
      <c r="QZP7" s="733"/>
      <c r="QZQ7" s="733"/>
      <c r="QZR7" s="733"/>
      <c r="QZS7" s="733"/>
      <c r="QZT7" s="733"/>
      <c r="QZU7" s="733"/>
      <c r="QZV7" s="733"/>
      <c r="QZW7" s="733"/>
      <c r="QZX7" s="733"/>
      <c r="QZY7" s="733"/>
      <c r="QZZ7" s="733"/>
      <c r="RAA7" s="733"/>
      <c r="RAB7" s="733"/>
      <c r="RAC7" s="733"/>
      <c r="RAD7" s="733"/>
      <c r="RAE7" s="733"/>
      <c r="RAF7" s="733"/>
      <c r="RAG7" s="733"/>
      <c r="RAH7" s="733"/>
      <c r="RAI7" s="733"/>
      <c r="RAJ7" s="733"/>
      <c r="RAK7" s="733"/>
      <c r="RAL7" s="733"/>
      <c r="RAM7" s="733"/>
      <c r="RAN7" s="733"/>
      <c r="RAO7" s="733"/>
      <c r="RAP7" s="733"/>
      <c r="RAQ7" s="733"/>
      <c r="RAR7" s="733"/>
      <c r="RAS7" s="733"/>
      <c r="RAT7" s="733"/>
      <c r="RAU7" s="733"/>
      <c r="RAV7" s="733"/>
      <c r="RAW7" s="733"/>
      <c r="RAX7" s="733"/>
      <c r="RAY7" s="733"/>
      <c r="RAZ7" s="733"/>
      <c r="RBA7" s="733"/>
      <c r="RBB7" s="733"/>
      <c r="RBC7" s="733"/>
      <c r="RBD7" s="733"/>
      <c r="RBE7" s="733"/>
      <c r="RBF7" s="733"/>
      <c r="RBG7" s="733"/>
      <c r="RBH7" s="733"/>
      <c r="RBI7" s="733"/>
      <c r="RBJ7" s="733"/>
      <c r="RBK7" s="733"/>
      <c r="RBL7" s="733"/>
      <c r="RBM7" s="733"/>
      <c r="RBN7" s="733"/>
      <c r="RBO7" s="733"/>
      <c r="RBP7" s="733"/>
      <c r="RBQ7" s="733"/>
      <c r="RBR7" s="733"/>
      <c r="RBS7" s="733"/>
      <c r="RBT7" s="733"/>
      <c r="RBU7" s="733"/>
      <c r="RBV7" s="733"/>
      <c r="RBW7" s="733"/>
      <c r="RBX7" s="733"/>
      <c r="RBY7" s="733"/>
      <c r="RBZ7" s="733"/>
      <c r="RCA7" s="733"/>
      <c r="RCB7" s="733"/>
      <c r="RCC7" s="733"/>
      <c r="RCD7" s="733"/>
      <c r="RCE7" s="733"/>
      <c r="RCF7" s="733"/>
      <c r="RCG7" s="733"/>
      <c r="RCH7" s="733"/>
      <c r="RCI7" s="733"/>
      <c r="RCJ7" s="733"/>
      <c r="RCK7" s="733"/>
      <c r="RCL7" s="733"/>
      <c r="RCM7" s="733"/>
      <c r="RCN7" s="733"/>
      <c r="RCO7" s="733"/>
      <c r="RCP7" s="733"/>
      <c r="RCQ7" s="733"/>
      <c r="RCR7" s="733"/>
      <c r="RCS7" s="733"/>
      <c r="RCT7" s="733"/>
      <c r="RCU7" s="733"/>
      <c r="RCV7" s="733"/>
      <c r="RCW7" s="733"/>
      <c r="RCX7" s="733"/>
      <c r="RCY7" s="733"/>
      <c r="RCZ7" s="733"/>
      <c r="RDA7" s="733"/>
      <c r="RDB7" s="733"/>
      <c r="RDC7" s="733"/>
      <c r="RDD7" s="733"/>
      <c r="RDE7" s="733"/>
      <c r="RDF7" s="733"/>
      <c r="RDG7" s="733"/>
      <c r="RDH7" s="733"/>
      <c r="RDI7" s="733"/>
      <c r="RDJ7" s="733"/>
      <c r="RDK7" s="733"/>
      <c r="RDL7" s="733"/>
      <c r="RDM7" s="733"/>
      <c r="RDN7" s="733"/>
      <c r="RDO7" s="733"/>
      <c r="RDP7" s="733"/>
      <c r="RDQ7" s="733"/>
      <c r="RDR7" s="733"/>
      <c r="RDS7" s="733"/>
      <c r="RDT7" s="733"/>
      <c r="RDU7" s="733"/>
      <c r="RDV7" s="733"/>
      <c r="RDW7" s="733"/>
      <c r="RDX7" s="733"/>
      <c r="RDY7" s="733"/>
      <c r="RDZ7" s="733"/>
      <c r="REA7" s="733"/>
      <c r="REB7" s="733"/>
      <c r="REC7" s="733"/>
      <c r="RED7" s="733"/>
      <c r="REE7" s="733"/>
      <c r="REF7" s="733"/>
      <c r="REG7" s="733"/>
      <c r="REH7" s="733"/>
      <c r="REI7" s="733"/>
      <c r="REJ7" s="733"/>
      <c r="REK7" s="733"/>
      <c r="REL7" s="733"/>
      <c r="REM7" s="733"/>
      <c r="REN7" s="733"/>
      <c r="REO7" s="733"/>
      <c r="REP7" s="733"/>
      <c r="REQ7" s="733"/>
      <c r="RER7" s="733"/>
      <c r="RES7" s="733"/>
      <c r="RET7" s="733"/>
      <c r="REU7" s="733"/>
      <c r="REV7" s="733"/>
      <c r="REW7" s="733"/>
      <c r="REX7" s="733"/>
      <c r="REY7" s="733"/>
      <c r="REZ7" s="733"/>
      <c r="RFA7" s="733"/>
      <c r="RFB7" s="733"/>
      <c r="RFC7" s="733"/>
      <c r="RFD7" s="733"/>
      <c r="RFE7" s="733"/>
      <c r="RFF7" s="733"/>
      <c r="RFG7" s="733"/>
      <c r="RFH7" s="733"/>
      <c r="RFI7" s="733"/>
      <c r="RFJ7" s="733"/>
      <c r="RFK7" s="733"/>
      <c r="RFL7" s="733"/>
      <c r="RFM7" s="733"/>
      <c r="RFN7" s="733"/>
      <c r="RFO7" s="733"/>
      <c r="RFP7" s="733"/>
      <c r="RFQ7" s="733"/>
      <c r="RFR7" s="733"/>
      <c r="RFS7" s="733"/>
      <c r="RFT7" s="733"/>
      <c r="RFU7" s="733"/>
      <c r="RFV7" s="733"/>
      <c r="RFW7" s="733"/>
      <c r="RFX7" s="733"/>
      <c r="RFY7" s="733"/>
      <c r="RFZ7" s="733"/>
      <c r="RGA7" s="733"/>
      <c r="RGB7" s="733"/>
      <c r="RGC7" s="733"/>
      <c r="RGD7" s="733"/>
      <c r="RGE7" s="733"/>
      <c r="RGF7" s="733"/>
      <c r="RGG7" s="733"/>
      <c r="RGH7" s="733"/>
      <c r="RGI7" s="733"/>
      <c r="RGJ7" s="733"/>
      <c r="RGK7" s="733"/>
      <c r="RGL7" s="733"/>
      <c r="RGM7" s="733"/>
      <c r="RGN7" s="733"/>
      <c r="RGO7" s="733"/>
      <c r="RGP7" s="733"/>
      <c r="RGQ7" s="733"/>
      <c r="RGR7" s="733"/>
      <c r="RGS7" s="733"/>
      <c r="RGT7" s="733"/>
      <c r="RGU7" s="733"/>
      <c r="RGV7" s="733"/>
      <c r="RGW7" s="733"/>
      <c r="RGX7" s="733"/>
      <c r="RGY7" s="733"/>
      <c r="RGZ7" s="733"/>
      <c r="RHA7" s="733"/>
      <c r="RHB7" s="733"/>
      <c r="RHC7" s="733"/>
      <c r="RHD7" s="733"/>
      <c r="RHE7" s="733"/>
      <c r="RHF7" s="733"/>
      <c r="RHG7" s="733"/>
      <c r="RHH7" s="733"/>
      <c r="RHI7" s="733"/>
      <c r="RHJ7" s="733"/>
      <c r="RHK7" s="733"/>
      <c r="RHL7" s="733"/>
      <c r="RHM7" s="733"/>
      <c r="RHN7" s="733"/>
      <c r="RHO7" s="733"/>
      <c r="RHP7" s="733"/>
      <c r="RHQ7" s="733"/>
      <c r="RHR7" s="733"/>
      <c r="RHS7" s="733"/>
      <c r="RHT7" s="733"/>
      <c r="RHU7" s="733"/>
      <c r="RHV7" s="733"/>
      <c r="RHW7" s="733"/>
      <c r="RHX7" s="733"/>
      <c r="RHY7" s="733"/>
      <c r="RHZ7" s="733"/>
      <c r="RIA7" s="733"/>
      <c r="RIB7" s="733"/>
      <c r="RIC7" s="733"/>
      <c r="RID7" s="733"/>
      <c r="RIE7" s="733"/>
      <c r="RIF7" s="733"/>
      <c r="RIG7" s="733"/>
      <c r="RIH7" s="733"/>
      <c r="RII7" s="733"/>
      <c r="RIJ7" s="733"/>
      <c r="RIK7" s="733"/>
      <c r="RIL7" s="733"/>
      <c r="RIM7" s="733"/>
      <c r="RIN7" s="733"/>
      <c r="RIO7" s="733"/>
      <c r="RIP7" s="733"/>
      <c r="RIQ7" s="733"/>
      <c r="RIR7" s="733"/>
      <c r="RIS7" s="733"/>
      <c r="RIT7" s="733"/>
      <c r="RIU7" s="733"/>
      <c r="RIV7" s="733"/>
      <c r="RIW7" s="733"/>
      <c r="RIX7" s="733"/>
      <c r="RIY7" s="733"/>
      <c r="RIZ7" s="733"/>
      <c r="RJA7" s="733"/>
      <c r="RJB7" s="733"/>
      <c r="RJC7" s="733"/>
      <c r="RJD7" s="733"/>
      <c r="RJE7" s="733"/>
      <c r="RJF7" s="733"/>
      <c r="RJG7" s="733"/>
      <c r="RJH7" s="733"/>
      <c r="RJI7" s="733"/>
      <c r="RJJ7" s="733"/>
      <c r="RJK7" s="733"/>
      <c r="RJL7" s="733"/>
      <c r="RJM7" s="733"/>
      <c r="RJN7" s="733"/>
      <c r="RJO7" s="733"/>
      <c r="RJP7" s="733"/>
      <c r="RJQ7" s="733"/>
      <c r="RJR7" s="733"/>
      <c r="RJS7" s="733"/>
      <c r="RJT7" s="733"/>
      <c r="RJU7" s="733"/>
      <c r="RJV7" s="733"/>
      <c r="RJW7" s="733"/>
      <c r="RJX7" s="733"/>
      <c r="RJY7" s="733"/>
      <c r="RJZ7" s="733"/>
      <c r="RKA7" s="733"/>
      <c r="RKB7" s="733"/>
      <c r="RKC7" s="733"/>
      <c r="RKD7" s="733"/>
      <c r="RKE7" s="733"/>
      <c r="RKF7" s="733"/>
      <c r="RKG7" s="733"/>
      <c r="RKH7" s="733"/>
      <c r="RKI7" s="733"/>
      <c r="RKJ7" s="733"/>
      <c r="RKK7" s="733"/>
      <c r="RKL7" s="733"/>
      <c r="RKM7" s="733"/>
      <c r="RKN7" s="733"/>
      <c r="RKO7" s="733"/>
      <c r="RKP7" s="733"/>
      <c r="RKQ7" s="733"/>
      <c r="RKR7" s="733"/>
      <c r="RKS7" s="733"/>
      <c r="RKT7" s="733"/>
      <c r="RKU7" s="733"/>
      <c r="RKV7" s="733"/>
      <c r="RKW7" s="733"/>
      <c r="RKX7" s="733"/>
      <c r="RKY7" s="733"/>
      <c r="RKZ7" s="733"/>
      <c r="RLA7" s="733"/>
      <c r="RLB7" s="733"/>
      <c r="RLC7" s="733"/>
      <c r="RLD7" s="733"/>
      <c r="RLE7" s="733"/>
      <c r="RLF7" s="733"/>
      <c r="RLG7" s="733"/>
      <c r="RLH7" s="733"/>
      <c r="RLI7" s="733"/>
      <c r="RLJ7" s="733"/>
      <c r="RLK7" s="733"/>
      <c r="RLL7" s="733"/>
      <c r="RLM7" s="733"/>
      <c r="RLN7" s="733"/>
      <c r="RLO7" s="733"/>
      <c r="RLP7" s="733"/>
      <c r="RLQ7" s="733"/>
      <c r="RLR7" s="733"/>
      <c r="RLS7" s="733"/>
      <c r="RLT7" s="733"/>
      <c r="RLU7" s="733"/>
      <c r="RLV7" s="733"/>
      <c r="RLW7" s="733"/>
      <c r="RLX7" s="733"/>
      <c r="RLY7" s="733"/>
      <c r="RLZ7" s="733"/>
      <c r="RMA7" s="733"/>
      <c r="RMB7" s="733"/>
      <c r="RMC7" s="733"/>
      <c r="RMD7" s="733"/>
      <c r="RME7" s="733"/>
      <c r="RMF7" s="733"/>
      <c r="RMG7" s="733"/>
      <c r="RMH7" s="733"/>
      <c r="RMI7" s="733"/>
      <c r="RMJ7" s="733"/>
      <c r="RMK7" s="733"/>
      <c r="RML7" s="733"/>
      <c r="RMM7" s="733"/>
      <c r="RMN7" s="733"/>
      <c r="RMO7" s="733"/>
      <c r="RMP7" s="733"/>
      <c r="RMQ7" s="733"/>
      <c r="RMR7" s="733"/>
      <c r="RMS7" s="733"/>
      <c r="RMT7" s="733"/>
      <c r="RMU7" s="733"/>
      <c r="RMV7" s="733"/>
      <c r="RMW7" s="733"/>
      <c r="RMX7" s="733"/>
      <c r="RMY7" s="733"/>
      <c r="RMZ7" s="733"/>
      <c r="RNA7" s="733"/>
      <c r="RNB7" s="733"/>
      <c r="RNC7" s="733"/>
      <c r="RND7" s="733"/>
      <c r="RNE7" s="733"/>
      <c r="RNF7" s="733"/>
      <c r="RNG7" s="733"/>
      <c r="RNH7" s="733"/>
      <c r="RNI7" s="733"/>
      <c r="RNJ7" s="733"/>
      <c r="RNK7" s="733"/>
      <c r="RNL7" s="733"/>
      <c r="RNM7" s="733"/>
      <c r="RNN7" s="733"/>
      <c r="RNO7" s="733"/>
      <c r="RNP7" s="733"/>
      <c r="RNQ7" s="733"/>
      <c r="RNR7" s="733"/>
      <c r="RNS7" s="733"/>
      <c r="RNT7" s="733"/>
      <c r="RNU7" s="733"/>
      <c r="RNV7" s="733"/>
      <c r="RNW7" s="733"/>
      <c r="RNX7" s="733"/>
      <c r="RNY7" s="733"/>
      <c r="RNZ7" s="733"/>
      <c r="ROA7" s="733"/>
      <c r="ROB7" s="733"/>
      <c r="ROC7" s="733"/>
      <c r="ROD7" s="733"/>
      <c r="ROE7" s="733"/>
      <c r="ROF7" s="733"/>
      <c r="ROG7" s="733"/>
      <c r="ROH7" s="733"/>
      <c r="ROI7" s="733"/>
      <c r="ROJ7" s="733"/>
      <c r="ROK7" s="733"/>
      <c r="ROL7" s="733"/>
      <c r="ROM7" s="733"/>
      <c r="RON7" s="733"/>
      <c r="ROO7" s="733"/>
      <c r="ROP7" s="733"/>
      <c r="ROQ7" s="733"/>
      <c r="ROR7" s="733"/>
      <c r="ROS7" s="733"/>
      <c r="ROT7" s="733"/>
      <c r="ROU7" s="733"/>
      <c r="ROV7" s="733"/>
      <c r="ROW7" s="733"/>
      <c r="ROX7" s="733"/>
      <c r="ROY7" s="733"/>
      <c r="ROZ7" s="733"/>
      <c r="RPA7" s="733"/>
      <c r="RPB7" s="733"/>
      <c r="RPC7" s="733"/>
      <c r="RPD7" s="733"/>
      <c r="RPE7" s="733"/>
      <c r="RPF7" s="733"/>
      <c r="RPG7" s="733"/>
      <c r="RPH7" s="733"/>
      <c r="RPI7" s="733"/>
      <c r="RPJ7" s="733"/>
      <c r="RPK7" s="733"/>
      <c r="RPL7" s="733"/>
      <c r="RPM7" s="733"/>
      <c r="RPN7" s="733"/>
      <c r="RPO7" s="733"/>
      <c r="RPP7" s="733"/>
      <c r="RPQ7" s="733"/>
      <c r="RPR7" s="733"/>
      <c r="RPS7" s="733"/>
      <c r="RPT7" s="733"/>
      <c r="RPU7" s="733"/>
      <c r="RPV7" s="733"/>
      <c r="RPW7" s="733"/>
      <c r="RPX7" s="733"/>
      <c r="RPY7" s="733"/>
      <c r="RPZ7" s="733"/>
      <c r="RQA7" s="733"/>
      <c r="RQB7" s="733"/>
      <c r="RQC7" s="733"/>
      <c r="RQD7" s="733"/>
      <c r="RQE7" s="733"/>
      <c r="RQF7" s="733"/>
      <c r="RQG7" s="733"/>
      <c r="RQH7" s="733"/>
      <c r="RQI7" s="733"/>
      <c r="RQJ7" s="733"/>
      <c r="RQK7" s="733"/>
      <c r="RQL7" s="733"/>
      <c r="RQM7" s="733"/>
      <c r="RQN7" s="733"/>
      <c r="RQO7" s="733"/>
      <c r="RQP7" s="733"/>
      <c r="RQQ7" s="733"/>
      <c r="RQR7" s="733"/>
      <c r="RQS7" s="733"/>
      <c r="RQT7" s="733"/>
      <c r="RQU7" s="733"/>
      <c r="RQV7" s="733"/>
      <c r="RQW7" s="733"/>
      <c r="RQX7" s="733"/>
      <c r="RQY7" s="733"/>
      <c r="RQZ7" s="733"/>
      <c r="RRA7" s="733"/>
      <c r="RRB7" s="733"/>
      <c r="RRC7" s="733"/>
      <c r="RRD7" s="733"/>
      <c r="RRE7" s="733"/>
      <c r="RRF7" s="733"/>
      <c r="RRG7" s="733"/>
      <c r="RRH7" s="733"/>
      <c r="RRI7" s="733"/>
      <c r="RRJ7" s="733"/>
      <c r="RRK7" s="733"/>
      <c r="RRL7" s="733"/>
      <c r="RRM7" s="733"/>
      <c r="RRN7" s="733"/>
      <c r="RRO7" s="733"/>
      <c r="RRP7" s="733"/>
      <c r="RRQ7" s="733"/>
      <c r="RRR7" s="733"/>
      <c r="RRS7" s="733"/>
      <c r="RRT7" s="733"/>
      <c r="RRU7" s="733"/>
      <c r="RRV7" s="733"/>
      <c r="RRW7" s="733"/>
      <c r="RRX7" s="733"/>
      <c r="RRY7" s="733"/>
      <c r="RRZ7" s="733"/>
      <c r="RSA7" s="733"/>
      <c r="RSB7" s="733"/>
      <c r="RSC7" s="733"/>
      <c r="RSD7" s="733"/>
      <c r="RSE7" s="733"/>
      <c r="RSF7" s="733"/>
      <c r="RSG7" s="733"/>
      <c r="RSH7" s="733"/>
      <c r="RSI7" s="733"/>
      <c r="RSJ7" s="733"/>
      <c r="RSK7" s="733"/>
      <c r="RSL7" s="733"/>
      <c r="RSM7" s="733"/>
      <c r="RSN7" s="733"/>
      <c r="RSO7" s="733"/>
      <c r="RSP7" s="733"/>
      <c r="RSQ7" s="733"/>
      <c r="RSR7" s="733"/>
      <c r="RSS7" s="733"/>
      <c r="RST7" s="733"/>
      <c r="RSU7" s="733"/>
      <c r="RSV7" s="733"/>
      <c r="RSW7" s="733"/>
      <c r="RSX7" s="733"/>
      <c r="RSY7" s="733"/>
      <c r="RSZ7" s="733"/>
      <c r="RTA7" s="733"/>
      <c r="RTB7" s="733"/>
      <c r="RTC7" s="733"/>
      <c r="RTD7" s="733"/>
      <c r="RTE7" s="733"/>
      <c r="RTF7" s="733"/>
      <c r="RTG7" s="733"/>
      <c r="RTH7" s="733"/>
      <c r="RTI7" s="733"/>
      <c r="RTJ7" s="733"/>
      <c r="RTK7" s="733"/>
      <c r="RTL7" s="733"/>
      <c r="RTM7" s="733"/>
      <c r="RTN7" s="733"/>
      <c r="RTO7" s="733"/>
      <c r="RTP7" s="733"/>
      <c r="RTQ7" s="733"/>
      <c r="RTR7" s="733"/>
      <c r="RTS7" s="733"/>
      <c r="RTT7" s="733"/>
      <c r="RTU7" s="733"/>
      <c r="RTV7" s="733"/>
      <c r="RTW7" s="733"/>
      <c r="RTX7" s="733"/>
      <c r="RTY7" s="733"/>
      <c r="RTZ7" s="733"/>
      <c r="RUA7" s="733"/>
      <c r="RUB7" s="733"/>
      <c r="RUC7" s="733"/>
      <c r="RUD7" s="733"/>
      <c r="RUE7" s="733"/>
      <c r="RUF7" s="733"/>
      <c r="RUG7" s="733"/>
      <c r="RUH7" s="733"/>
      <c r="RUI7" s="733"/>
      <c r="RUJ7" s="733"/>
      <c r="RUK7" s="733"/>
      <c r="RUL7" s="733"/>
      <c r="RUM7" s="733"/>
      <c r="RUN7" s="733"/>
      <c r="RUO7" s="733"/>
      <c r="RUP7" s="733"/>
      <c r="RUQ7" s="733"/>
      <c r="RUR7" s="733"/>
      <c r="RUS7" s="733"/>
      <c r="RUT7" s="733"/>
      <c r="RUU7" s="733"/>
      <c r="RUV7" s="733"/>
      <c r="RUW7" s="733"/>
      <c r="RUX7" s="733"/>
      <c r="RUY7" s="733"/>
      <c r="RUZ7" s="733"/>
      <c r="RVA7" s="733"/>
      <c r="RVB7" s="733"/>
      <c r="RVC7" s="733"/>
      <c r="RVD7" s="733"/>
      <c r="RVE7" s="733"/>
      <c r="RVF7" s="733"/>
      <c r="RVG7" s="733"/>
      <c r="RVH7" s="733"/>
      <c r="RVI7" s="733"/>
      <c r="RVJ7" s="733"/>
      <c r="RVK7" s="733"/>
      <c r="RVL7" s="733"/>
      <c r="RVM7" s="733"/>
      <c r="RVN7" s="733"/>
      <c r="RVO7" s="733"/>
      <c r="RVP7" s="733"/>
      <c r="RVQ7" s="733"/>
      <c r="RVR7" s="733"/>
      <c r="RVS7" s="733"/>
      <c r="RVT7" s="733"/>
      <c r="RVU7" s="733"/>
      <c r="RVV7" s="733"/>
      <c r="RVW7" s="733"/>
      <c r="RVX7" s="733"/>
      <c r="RVY7" s="733"/>
      <c r="RVZ7" s="733"/>
      <c r="RWA7" s="733"/>
      <c r="RWB7" s="733"/>
      <c r="RWC7" s="733"/>
      <c r="RWD7" s="733"/>
      <c r="RWE7" s="733"/>
      <c r="RWF7" s="733"/>
      <c r="RWG7" s="733"/>
      <c r="RWH7" s="733"/>
      <c r="RWI7" s="733"/>
      <c r="RWJ7" s="733"/>
      <c r="RWK7" s="733"/>
      <c r="RWL7" s="733"/>
      <c r="RWM7" s="733"/>
      <c r="RWN7" s="733"/>
      <c r="RWO7" s="733"/>
      <c r="RWP7" s="733"/>
      <c r="RWQ7" s="733"/>
      <c r="RWR7" s="733"/>
      <c r="RWS7" s="733"/>
      <c r="RWT7" s="733"/>
      <c r="RWU7" s="733"/>
      <c r="RWV7" s="733"/>
      <c r="RWW7" s="733"/>
      <c r="RWX7" s="733"/>
      <c r="RWY7" s="733"/>
      <c r="RWZ7" s="733"/>
      <c r="RXA7" s="733"/>
      <c r="RXB7" s="733"/>
      <c r="RXC7" s="733"/>
      <c r="RXD7" s="733"/>
      <c r="RXE7" s="733"/>
      <c r="RXF7" s="733"/>
      <c r="RXG7" s="733"/>
      <c r="RXH7" s="733"/>
      <c r="RXI7" s="733"/>
      <c r="RXJ7" s="733"/>
      <c r="RXK7" s="733"/>
      <c r="RXL7" s="733"/>
      <c r="RXM7" s="733"/>
      <c r="RXN7" s="733"/>
      <c r="RXO7" s="733"/>
      <c r="RXP7" s="733"/>
      <c r="RXQ7" s="733"/>
      <c r="RXR7" s="733"/>
      <c r="RXS7" s="733"/>
      <c r="RXT7" s="733"/>
      <c r="RXU7" s="733"/>
      <c r="RXV7" s="733"/>
      <c r="RXW7" s="733"/>
      <c r="RXX7" s="733"/>
      <c r="RXY7" s="733"/>
      <c r="RXZ7" s="733"/>
      <c r="RYA7" s="733"/>
      <c r="RYB7" s="733"/>
      <c r="RYC7" s="733"/>
      <c r="RYD7" s="733"/>
      <c r="RYE7" s="733"/>
      <c r="RYF7" s="733"/>
      <c r="RYG7" s="733"/>
      <c r="RYH7" s="733"/>
      <c r="RYI7" s="733"/>
      <c r="RYJ7" s="733"/>
      <c r="RYK7" s="733"/>
      <c r="RYL7" s="733"/>
      <c r="RYM7" s="733"/>
      <c r="RYN7" s="733"/>
      <c r="RYO7" s="733"/>
      <c r="RYP7" s="733"/>
      <c r="RYQ7" s="733"/>
      <c r="RYR7" s="733"/>
      <c r="RYS7" s="733"/>
      <c r="RYT7" s="733"/>
      <c r="RYU7" s="733"/>
      <c r="RYV7" s="733"/>
      <c r="RYW7" s="733"/>
      <c r="RYX7" s="733"/>
      <c r="RYY7" s="733"/>
      <c r="RYZ7" s="733"/>
      <c r="RZA7" s="733"/>
      <c r="RZB7" s="733"/>
      <c r="RZC7" s="733"/>
      <c r="RZD7" s="733"/>
      <c r="RZE7" s="733"/>
      <c r="RZF7" s="733"/>
      <c r="RZG7" s="733"/>
      <c r="RZH7" s="733"/>
      <c r="RZI7" s="733"/>
      <c r="RZJ7" s="733"/>
      <c r="RZK7" s="733"/>
      <c r="RZL7" s="733"/>
      <c r="RZM7" s="733"/>
      <c r="RZN7" s="733"/>
      <c r="RZO7" s="733"/>
      <c r="RZP7" s="733"/>
      <c r="RZQ7" s="733"/>
      <c r="RZR7" s="733"/>
      <c r="RZS7" s="733"/>
      <c r="RZT7" s="733"/>
      <c r="RZU7" s="733"/>
      <c r="RZV7" s="733"/>
      <c r="RZW7" s="733"/>
      <c r="RZX7" s="733"/>
      <c r="RZY7" s="733"/>
      <c r="RZZ7" s="733"/>
      <c r="SAA7" s="733"/>
      <c r="SAB7" s="733"/>
      <c r="SAC7" s="733"/>
      <c r="SAD7" s="733"/>
      <c r="SAE7" s="733"/>
      <c r="SAF7" s="733"/>
      <c r="SAG7" s="733"/>
      <c r="SAH7" s="733"/>
      <c r="SAI7" s="733"/>
      <c r="SAJ7" s="733"/>
      <c r="SAK7" s="733"/>
      <c r="SAL7" s="733"/>
      <c r="SAM7" s="733"/>
      <c r="SAN7" s="733"/>
      <c r="SAO7" s="733"/>
      <c r="SAP7" s="733"/>
      <c r="SAQ7" s="733"/>
      <c r="SAR7" s="733"/>
      <c r="SAS7" s="733"/>
      <c r="SAT7" s="733"/>
      <c r="SAU7" s="733"/>
      <c r="SAV7" s="733"/>
      <c r="SAW7" s="733"/>
      <c r="SAX7" s="733"/>
      <c r="SAY7" s="733"/>
      <c r="SAZ7" s="733"/>
      <c r="SBA7" s="733"/>
      <c r="SBB7" s="733"/>
      <c r="SBC7" s="733"/>
      <c r="SBD7" s="733"/>
      <c r="SBE7" s="733"/>
      <c r="SBF7" s="733"/>
      <c r="SBG7" s="733"/>
      <c r="SBH7" s="733"/>
      <c r="SBI7" s="733"/>
      <c r="SBJ7" s="733"/>
      <c r="SBK7" s="733"/>
      <c r="SBL7" s="733"/>
      <c r="SBM7" s="733"/>
      <c r="SBN7" s="733"/>
      <c r="SBO7" s="733"/>
      <c r="SBP7" s="733"/>
      <c r="SBQ7" s="733"/>
      <c r="SBR7" s="733"/>
      <c r="SBS7" s="733"/>
      <c r="SBT7" s="733"/>
      <c r="SBU7" s="733"/>
      <c r="SBV7" s="733"/>
      <c r="SBW7" s="733"/>
      <c r="SBX7" s="733"/>
      <c r="SBY7" s="733"/>
      <c r="SBZ7" s="733"/>
      <c r="SCA7" s="733"/>
      <c r="SCB7" s="733"/>
      <c r="SCC7" s="733"/>
      <c r="SCD7" s="733"/>
      <c r="SCE7" s="733"/>
      <c r="SCF7" s="733"/>
      <c r="SCG7" s="733"/>
      <c r="SCH7" s="733"/>
      <c r="SCI7" s="733"/>
      <c r="SCJ7" s="733"/>
      <c r="SCK7" s="733"/>
      <c r="SCL7" s="733"/>
      <c r="SCM7" s="733"/>
      <c r="SCN7" s="733"/>
      <c r="SCO7" s="733"/>
      <c r="SCP7" s="733"/>
      <c r="SCQ7" s="733"/>
      <c r="SCR7" s="733"/>
      <c r="SCS7" s="733"/>
      <c r="SCT7" s="733"/>
      <c r="SCU7" s="733"/>
      <c r="SCV7" s="733"/>
      <c r="SCW7" s="733"/>
      <c r="SCX7" s="733"/>
      <c r="SCY7" s="733"/>
      <c r="SCZ7" s="733"/>
      <c r="SDA7" s="733"/>
      <c r="SDB7" s="733"/>
      <c r="SDC7" s="733"/>
      <c r="SDD7" s="733"/>
      <c r="SDE7" s="733"/>
      <c r="SDF7" s="733"/>
      <c r="SDG7" s="733"/>
      <c r="SDH7" s="733"/>
      <c r="SDI7" s="733"/>
      <c r="SDJ7" s="733"/>
      <c r="SDK7" s="733"/>
      <c r="SDL7" s="733"/>
      <c r="SDM7" s="733"/>
      <c r="SDN7" s="733"/>
      <c r="SDO7" s="733"/>
      <c r="SDP7" s="733"/>
      <c r="SDQ7" s="733"/>
      <c r="SDR7" s="733"/>
      <c r="SDS7" s="733"/>
      <c r="SDT7" s="733"/>
      <c r="SDU7" s="733"/>
      <c r="SDV7" s="733"/>
      <c r="SDW7" s="733"/>
      <c r="SDX7" s="733"/>
      <c r="SDY7" s="733"/>
      <c r="SDZ7" s="733"/>
      <c r="SEA7" s="733"/>
      <c r="SEB7" s="733"/>
      <c r="SEC7" s="733"/>
      <c r="SED7" s="733"/>
      <c r="SEE7" s="733"/>
      <c r="SEF7" s="733"/>
      <c r="SEG7" s="733"/>
      <c r="SEH7" s="733"/>
      <c r="SEI7" s="733"/>
      <c r="SEJ7" s="733"/>
      <c r="SEK7" s="733"/>
      <c r="SEL7" s="733"/>
      <c r="SEM7" s="733"/>
      <c r="SEN7" s="733"/>
      <c r="SEO7" s="733"/>
      <c r="SEP7" s="733"/>
      <c r="SEQ7" s="733"/>
      <c r="SER7" s="733"/>
      <c r="SES7" s="733"/>
      <c r="SET7" s="733"/>
      <c r="SEU7" s="733"/>
      <c r="SEV7" s="733"/>
      <c r="SEW7" s="733"/>
      <c r="SEX7" s="733"/>
      <c r="SEY7" s="733"/>
      <c r="SEZ7" s="733"/>
      <c r="SFA7" s="733"/>
      <c r="SFB7" s="733"/>
      <c r="SFC7" s="733"/>
      <c r="SFD7" s="733"/>
      <c r="SFE7" s="733"/>
      <c r="SFF7" s="733"/>
      <c r="SFG7" s="733"/>
      <c r="SFH7" s="733"/>
      <c r="SFI7" s="733"/>
      <c r="SFJ7" s="733"/>
      <c r="SFK7" s="733"/>
      <c r="SFL7" s="733"/>
      <c r="SFM7" s="733"/>
      <c r="SFN7" s="733"/>
      <c r="SFO7" s="733"/>
      <c r="SFP7" s="733"/>
      <c r="SFQ7" s="733"/>
      <c r="SFR7" s="733"/>
      <c r="SFS7" s="733"/>
      <c r="SFT7" s="733"/>
      <c r="SFU7" s="733"/>
      <c r="SFV7" s="733"/>
      <c r="SFW7" s="733"/>
      <c r="SFX7" s="733"/>
      <c r="SFY7" s="733"/>
      <c r="SFZ7" s="733"/>
      <c r="SGA7" s="733"/>
      <c r="SGB7" s="733"/>
      <c r="SGC7" s="733"/>
      <c r="SGD7" s="733"/>
      <c r="SGE7" s="733"/>
      <c r="SGF7" s="733"/>
      <c r="SGG7" s="733"/>
      <c r="SGH7" s="733"/>
      <c r="SGI7" s="733"/>
      <c r="SGJ7" s="733"/>
      <c r="SGK7" s="733"/>
      <c r="SGL7" s="733"/>
      <c r="SGM7" s="733"/>
      <c r="SGN7" s="733"/>
      <c r="SGO7" s="733"/>
      <c r="SGP7" s="733"/>
      <c r="SGQ7" s="733"/>
      <c r="SGR7" s="733"/>
      <c r="SGS7" s="733"/>
      <c r="SGT7" s="733"/>
      <c r="SGU7" s="733"/>
      <c r="SGV7" s="733"/>
      <c r="SGW7" s="733"/>
      <c r="SGX7" s="733"/>
      <c r="SGY7" s="733"/>
      <c r="SGZ7" s="733"/>
      <c r="SHA7" s="733"/>
      <c r="SHB7" s="733"/>
      <c r="SHC7" s="733"/>
      <c r="SHD7" s="733"/>
      <c r="SHE7" s="733"/>
      <c r="SHF7" s="733"/>
      <c r="SHG7" s="733"/>
      <c r="SHH7" s="733"/>
      <c r="SHI7" s="733"/>
      <c r="SHJ7" s="733"/>
      <c r="SHK7" s="733"/>
      <c r="SHL7" s="733"/>
      <c r="SHM7" s="733"/>
      <c r="SHN7" s="733"/>
      <c r="SHO7" s="733"/>
      <c r="SHP7" s="733"/>
      <c r="SHQ7" s="733"/>
      <c r="SHR7" s="733"/>
      <c r="SHS7" s="733"/>
      <c r="SHT7" s="733"/>
      <c r="SHU7" s="733"/>
      <c r="SHV7" s="733"/>
      <c r="SHW7" s="733"/>
      <c r="SHX7" s="733"/>
      <c r="SHY7" s="733"/>
      <c r="SHZ7" s="733"/>
      <c r="SIA7" s="733"/>
      <c r="SIB7" s="733"/>
      <c r="SIC7" s="733"/>
      <c r="SID7" s="733"/>
      <c r="SIE7" s="733"/>
      <c r="SIF7" s="733"/>
      <c r="SIG7" s="733"/>
      <c r="SIH7" s="733"/>
      <c r="SII7" s="733"/>
      <c r="SIJ7" s="733"/>
      <c r="SIK7" s="733"/>
      <c r="SIL7" s="733"/>
      <c r="SIM7" s="733"/>
      <c r="SIN7" s="733"/>
      <c r="SIO7" s="733"/>
      <c r="SIP7" s="733"/>
      <c r="SIQ7" s="733"/>
      <c r="SIR7" s="733"/>
      <c r="SIS7" s="733"/>
      <c r="SIT7" s="733"/>
      <c r="SIU7" s="733"/>
      <c r="SIV7" s="733"/>
      <c r="SIW7" s="733"/>
      <c r="SIX7" s="733"/>
      <c r="SIY7" s="733"/>
      <c r="SIZ7" s="733"/>
      <c r="SJA7" s="733"/>
      <c r="SJB7" s="733"/>
      <c r="SJC7" s="733"/>
      <c r="SJD7" s="733"/>
      <c r="SJE7" s="733"/>
      <c r="SJF7" s="733"/>
      <c r="SJG7" s="733"/>
      <c r="SJH7" s="733"/>
      <c r="SJI7" s="733"/>
      <c r="SJJ7" s="733"/>
      <c r="SJK7" s="733"/>
      <c r="SJL7" s="733"/>
      <c r="SJM7" s="733"/>
      <c r="SJN7" s="733"/>
      <c r="SJO7" s="733"/>
      <c r="SJP7" s="733"/>
      <c r="SJQ7" s="733"/>
      <c r="SJR7" s="733"/>
      <c r="SJS7" s="733"/>
      <c r="SJT7" s="733"/>
      <c r="SJU7" s="733"/>
      <c r="SJV7" s="733"/>
      <c r="SJW7" s="733"/>
      <c r="SJX7" s="733"/>
      <c r="SJY7" s="733"/>
      <c r="SJZ7" s="733"/>
      <c r="SKA7" s="733"/>
      <c r="SKB7" s="733"/>
      <c r="SKC7" s="733"/>
      <c r="SKD7" s="733"/>
      <c r="SKE7" s="733"/>
      <c r="SKF7" s="733"/>
      <c r="SKG7" s="733"/>
      <c r="SKH7" s="733"/>
      <c r="SKI7" s="733"/>
      <c r="SKJ7" s="733"/>
      <c r="SKK7" s="733"/>
      <c r="SKL7" s="733"/>
      <c r="SKM7" s="733"/>
      <c r="SKN7" s="733"/>
      <c r="SKO7" s="733"/>
      <c r="SKP7" s="733"/>
      <c r="SKQ7" s="733"/>
      <c r="SKR7" s="733"/>
      <c r="SKS7" s="733"/>
      <c r="SKT7" s="733"/>
      <c r="SKU7" s="733"/>
      <c r="SKV7" s="733"/>
      <c r="SKW7" s="733"/>
      <c r="SKX7" s="733"/>
      <c r="SKY7" s="733"/>
      <c r="SKZ7" s="733"/>
      <c r="SLA7" s="733"/>
      <c r="SLB7" s="733"/>
      <c r="SLC7" s="733"/>
      <c r="SLD7" s="733"/>
      <c r="SLE7" s="733"/>
      <c r="SLF7" s="733"/>
      <c r="SLG7" s="733"/>
      <c r="SLH7" s="733"/>
      <c r="SLI7" s="733"/>
      <c r="SLJ7" s="733"/>
      <c r="SLK7" s="733"/>
      <c r="SLL7" s="733"/>
      <c r="SLM7" s="733"/>
      <c r="SLN7" s="733"/>
      <c r="SLO7" s="733"/>
      <c r="SLP7" s="733"/>
      <c r="SLQ7" s="733"/>
      <c r="SLR7" s="733"/>
      <c r="SLS7" s="733"/>
      <c r="SLT7" s="733"/>
      <c r="SLU7" s="733"/>
      <c r="SLV7" s="733"/>
      <c r="SLW7" s="733"/>
      <c r="SLX7" s="733"/>
      <c r="SLY7" s="733"/>
      <c r="SLZ7" s="733"/>
      <c r="SMA7" s="733"/>
      <c r="SMB7" s="733"/>
      <c r="SMC7" s="733"/>
      <c r="SMD7" s="733"/>
      <c r="SME7" s="733"/>
      <c r="SMF7" s="733"/>
      <c r="SMG7" s="733"/>
      <c r="SMH7" s="733"/>
      <c r="SMI7" s="733"/>
      <c r="SMJ7" s="733"/>
      <c r="SMK7" s="733"/>
      <c r="SML7" s="733"/>
      <c r="SMM7" s="733"/>
      <c r="SMN7" s="733"/>
      <c r="SMO7" s="733"/>
      <c r="SMP7" s="733"/>
      <c r="SMQ7" s="733"/>
      <c r="SMR7" s="733"/>
      <c r="SMS7" s="733"/>
      <c r="SMT7" s="733"/>
      <c r="SMU7" s="733"/>
      <c r="SMV7" s="733"/>
      <c r="SMW7" s="733"/>
      <c r="SMX7" s="733"/>
      <c r="SMY7" s="733"/>
      <c r="SMZ7" s="733"/>
      <c r="SNA7" s="733"/>
      <c r="SNB7" s="733"/>
      <c r="SNC7" s="733"/>
      <c r="SND7" s="733"/>
      <c r="SNE7" s="733"/>
      <c r="SNF7" s="733"/>
      <c r="SNG7" s="733"/>
      <c r="SNH7" s="733"/>
      <c r="SNI7" s="733"/>
      <c r="SNJ7" s="733"/>
      <c r="SNK7" s="733"/>
      <c r="SNL7" s="733"/>
      <c r="SNM7" s="733"/>
      <c r="SNN7" s="733"/>
      <c r="SNO7" s="733"/>
      <c r="SNP7" s="733"/>
      <c r="SNQ7" s="733"/>
      <c r="SNR7" s="733"/>
      <c r="SNS7" s="733"/>
      <c r="SNT7" s="733"/>
      <c r="SNU7" s="733"/>
      <c r="SNV7" s="733"/>
      <c r="SNW7" s="733"/>
      <c r="SNX7" s="733"/>
      <c r="SNY7" s="733"/>
      <c r="SNZ7" s="733"/>
      <c r="SOA7" s="733"/>
      <c r="SOB7" s="733"/>
      <c r="SOC7" s="733"/>
      <c r="SOD7" s="733"/>
      <c r="SOE7" s="733"/>
      <c r="SOF7" s="733"/>
      <c r="SOG7" s="733"/>
      <c r="SOH7" s="733"/>
      <c r="SOI7" s="733"/>
      <c r="SOJ7" s="733"/>
      <c r="SOK7" s="733"/>
      <c r="SOL7" s="733"/>
      <c r="SOM7" s="733"/>
      <c r="SON7" s="733"/>
      <c r="SOO7" s="733"/>
      <c r="SOP7" s="733"/>
      <c r="SOQ7" s="733"/>
      <c r="SOR7" s="733"/>
      <c r="SOS7" s="733"/>
      <c r="SOT7" s="733"/>
      <c r="SOU7" s="733"/>
      <c r="SOV7" s="733"/>
      <c r="SOW7" s="733"/>
      <c r="SOX7" s="733"/>
      <c r="SOY7" s="733"/>
      <c r="SOZ7" s="733"/>
      <c r="SPA7" s="733"/>
      <c r="SPB7" s="733"/>
      <c r="SPC7" s="733"/>
      <c r="SPD7" s="733"/>
      <c r="SPE7" s="733"/>
      <c r="SPF7" s="733"/>
      <c r="SPG7" s="733"/>
      <c r="SPH7" s="733"/>
      <c r="SPI7" s="733"/>
      <c r="SPJ7" s="733"/>
      <c r="SPK7" s="733"/>
      <c r="SPL7" s="733"/>
      <c r="SPM7" s="733"/>
      <c r="SPN7" s="733"/>
      <c r="SPO7" s="733"/>
      <c r="SPP7" s="733"/>
      <c r="SPQ7" s="733"/>
      <c r="SPR7" s="733"/>
      <c r="SPS7" s="733"/>
      <c r="SPT7" s="733"/>
      <c r="SPU7" s="733"/>
      <c r="SPV7" s="733"/>
      <c r="SPW7" s="733"/>
      <c r="SPX7" s="733"/>
      <c r="SPY7" s="733"/>
      <c r="SPZ7" s="733"/>
      <c r="SQA7" s="733"/>
      <c r="SQB7" s="733"/>
      <c r="SQC7" s="733"/>
      <c r="SQD7" s="733"/>
      <c r="SQE7" s="733"/>
      <c r="SQF7" s="733"/>
      <c r="SQG7" s="733"/>
      <c r="SQH7" s="733"/>
      <c r="SQI7" s="733"/>
      <c r="SQJ7" s="733"/>
      <c r="SQK7" s="733"/>
      <c r="SQL7" s="733"/>
      <c r="SQM7" s="733"/>
      <c r="SQN7" s="733"/>
      <c r="SQO7" s="733"/>
      <c r="SQP7" s="733"/>
      <c r="SQQ7" s="733"/>
      <c r="SQR7" s="733"/>
      <c r="SQS7" s="733"/>
      <c r="SQT7" s="733"/>
      <c r="SQU7" s="733"/>
      <c r="SQV7" s="733"/>
      <c r="SQW7" s="733"/>
      <c r="SQX7" s="733"/>
      <c r="SQY7" s="733"/>
      <c r="SQZ7" s="733"/>
      <c r="SRA7" s="733"/>
      <c r="SRB7" s="733"/>
      <c r="SRC7" s="733"/>
      <c r="SRD7" s="733"/>
      <c r="SRE7" s="733"/>
      <c r="SRF7" s="733"/>
      <c r="SRG7" s="733"/>
      <c r="SRH7" s="733"/>
      <c r="SRI7" s="733"/>
      <c r="SRJ7" s="733"/>
      <c r="SRK7" s="733"/>
      <c r="SRL7" s="733"/>
      <c r="SRM7" s="733"/>
      <c r="SRN7" s="733"/>
      <c r="SRO7" s="733"/>
      <c r="SRP7" s="733"/>
      <c r="SRQ7" s="733"/>
      <c r="SRR7" s="733"/>
      <c r="SRS7" s="733"/>
      <c r="SRT7" s="733"/>
      <c r="SRU7" s="733"/>
      <c r="SRV7" s="733"/>
      <c r="SRW7" s="733"/>
      <c r="SRX7" s="733"/>
      <c r="SRY7" s="733"/>
      <c r="SRZ7" s="733"/>
      <c r="SSA7" s="733"/>
      <c r="SSB7" s="733"/>
      <c r="SSC7" s="733"/>
      <c r="SSD7" s="733"/>
      <c r="SSE7" s="733"/>
      <c r="SSF7" s="733"/>
      <c r="SSG7" s="733"/>
      <c r="SSH7" s="733"/>
      <c r="SSI7" s="733"/>
      <c r="SSJ7" s="733"/>
      <c r="SSK7" s="733"/>
      <c r="SSL7" s="733"/>
      <c r="SSM7" s="733"/>
      <c r="SSN7" s="733"/>
      <c r="SSO7" s="733"/>
      <c r="SSP7" s="733"/>
      <c r="SSQ7" s="733"/>
      <c r="SSR7" s="733"/>
      <c r="SSS7" s="733"/>
      <c r="SST7" s="733"/>
      <c r="SSU7" s="733"/>
      <c r="SSV7" s="733"/>
      <c r="SSW7" s="733"/>
      <c r="SSX7" s="733"/>
      <c r="SSY7" s="733"/>
      <c r="SSZ7" s="733"/>
      <c r="STA7" s="733"/>
      <c r="STB7" s="733"/>
      <c r="STC7" s="733"/>
      <c r="STD7" s="733"/>
      <c r="STE7" s="733"/>
      <c r="STF7" s="733"/>
      <c r="STG7" s="733"/>
      <c r="STH7" s="733"/>
      <c r="STI7" s="733"/>
      <c r="STJ7" s="733"/>
      <c r="STK7" s="733"/>
      <c r="STL7" s="733"/>
      <c r="STM7" s="733"/>
      <c r="STN7" s="733"/>
      <c r="STO7" s="733"/>
      <c r="STP7" s="733"/>
      <c r="STQ7" s="733"/>
      <c r="STR7" s="733"/>
      <c r="STS7" s="733"/>
      <c r="STT7" s="733"/>
      <c r="STU7" s="733"/>
      <c r="STV7" s="733"/>
      <c r="STW7" s="733"/>
      <c r="STX7" s="733"/>
      <c r="STY7" s="733"/>
      <c r="STZ7" s="733"/>
      <c r="SUA7" s="733"/>
      <c r="SUB7" s="733"/>
      <c r="SUC7" s="733"/>
      <c r="SUD7" s="733"/>
      <c r="SUE7" s="733"/>
      <c r="SUF7" s="733"/>
      <c r="SUG7" s="733"/>
      <c r="SUH7" s="733"/>
      <c r="SUI7" s="733"/>
      <c r="SUJ7" s="733"/>
      <c r="SUK7" s="733"/>
      <c r="SUL7" s="733"/>
      <c r="SUM7" s="733"/>
      <c r="SUN7" s="733"/>
      <c r="SUO7" s="733"/>
      <c r="SUP7" s="733"/>
      <c r="SUQ7" s="733"/>
      <c r="SUR7" s="733"/>
      <c r="SUS7" s="733"/>
      <c r="SUT7" s="733"/>
      <c r="SUU7" s="733"/>
      <c r="SUV7" s="733"/>
      <c r="SUW7" s="733"/>
      <c r="SUX7" s="733"/>
      <c r="SUY7" s="733"/>
      <c r="SUZ7" s="733"/>
      <c r="SVA7" s="733"/>
      <c r="SVB7" s="733"/>
      <c r="SVC7" s="733"/>
      <c r="SVD7" s="733"/>
      <c r="SVE7" s="733"/>
      <c r="SVF7" s="733"/>
      <c r="SVG7" s="733"/>
      <c r="SVH7" s="733"/>
      <c r="SVI7" s="733"/>
      <c r="SVJ7" s="733"/>
      <c r="SVK7" s="733"/>
      <c r="SVL7" s="733"/>
      <c r="SVM7" s="733"/>
      <c r="SVN7" s="733"/>
      <c r="SVO7" s="733"/>
      <c r="SVP7" s="733"/>
      <c r="SVQ7" s="733"/>
      <c r="SVR7" s="733"/>
      <c r="SVS7" s="733"/>
      <c r="SVT7" s="733"/>
      <c r="SVU7" s="733"/>
      <c r="SVV7" s="733"/>
      <c r="SVW7" s="733"/>
      <c r="SVX7" s="733"/>
      <c r="SVY7" s="733"/>
      <c r="SVZ7" s="733"/>
      <c r="SWA7" s="733"/>
      <c r="SWB7" s="733"/>
      <c r="SWC7" s="733"/>
      <c r="SWD7" s="733"/>
      <c r="SWE7" s="733"/>
      <c r="SWF7" s="733"/>
      <c r="SWG7" s="733"/>
      <c r="SWH7" s="733"/>
      <c r="SWI7" s="733"/>
      <c r="SWJ7" s="733"/>
      <c r="SWK7" s="733"/>
      <c r="SWL7" s="733"/>
      <c r="SWM7" s="733"/>
      <c r="SWN7" s="733"/>
      <c r="SWO7" s="733"/>
      <c r="SWP7" s="733"/>
      <c r="SWQ7" s="733"/>
      <c r="SWR7" s="733"/>
      <c r="SWS7" s="733"/>
      <c r="SWT7" s="733"/>
      <c r="SWU7" s="733"/>
      <c r="SWV7" s="733"/>
      <c r="SWW7" s="733"/>
      <c r="SWX7" s="733"/>
      <c r="SWY7" s="733"/>
      <c r="SWZ7" s="733"/>
      <c r="SXA7" s="733"/>
      <c r="SXB7" s="733"/>
      <c r="SXC7" s="733"/>
      <c r="SXD7" s="733"/>
      <c r="SXE7" s="733"/>
      <c r="SXF7" s="733"/>
      <c r="SXG7" s="733"/>
      <c r="SXH7" s="733"/>
      <c r="SXI7" s="733"/>
      <c r="SXJ7" s="733"/>
      <c r="SXK7" s="733"/>
      <c r="SXL7" s="733"/>
      <c r="SXM7" s="733"/>
      <c r="SXN7" s="733"/>
      <c r="SXO7" s="733"/>
      <c r="SXP7" s="733"/>
      <c r="SXQ7" s="733"/>
      <c r="SXR7" s="733"/>
      <c r="SXS7" s="733"/>
      <c r="SXT7" s="733"/>
      <c r="SXU7" s="733"/>
      <c r="SXV7" s="733"/>
      <c r="SXW7" s="733"/>
      <c r="SXX7" s="733"/>
      <c r="SXY7" s="733"/>
      <c r="SXZ7" s="733"/>
      <c r="SYA7" s="733"/>
      <c r="SYB7" s="733"/>
      <c r="SYC7" s="733"/>
      <c r="SYD7" s="733"/>
      <c r="SYE7" s="733"/>
      <c r="SYF7" s="733"/>
      <c r="SYG7" s="733"/>
      <c r="SYH7" s="733"/>
      <c r="SYI7" s="733"/>
      <c r="SYJ7" s="733"/>
      <c r="SYK7" s="733"/>
      <c r="SYL7" s="733"/>
      <c r="SYM7" s="733"/>
      <c r="SYN7" s="733"/>
      <c r="SYO7" s="733"/>
      <c r="SYP7" s="733"/>
      <c r="SYQ7" s="733"/>
      <c r="SYR7" s="733"/>
      <c r="SYS7" s="733"/>
      <c r="SYT7" s="733"/>
      <c r="SYU7" s="733"/>
      <c r="SYV7" s="733"/>
      <c r="SYW7" s="733"/>
      <c r="SYX7" s="733"/>
      <c r="SYY7" s="733"/>
      <c r="SYZ7" s="733"/>
      <c r="SZA7" s="733"/>
      <c r="SZB7" s="733"/>
      <c r="SZC7" s="733"/>
      <c r="SZD7" s="733"/>
      <c r="SZE7" s="733"/>
      <c r="SZF7" s="733"/>
      <c r="SZG7" s="733"/>
      <c r="SZH7" s="733"/>
      <c r="SZI7" s="733"/>
      <c r="SZJ7" s="733"/>
      <c r="SZK7" s="733"/>
      <c r="SZL7" s="733"/>
      <c r="SZM7" s="733"/>
      <c r="SZN7" s="733"/>
      <c r="SZO7" s="733"/>
      <c r="SZP7" s="733"/>
      <c r="SZQ7" s="733"/>
      <c r="SZR7" s="733"/>
      <c r="SZS7" s="733"/>
      <c r="SZT7" s="733"/>
      <c r="SZU7" s="733"/>
      <c r="SZV7" s="733"/>
      <c r="SZW7" s="733"/>
      <c r="SZX7" s="733"/>
      <c r="SZY7" s="733"/>
      <c r="SZZ7" s="733"/>
      <c r="TAA7" s="733"/>
      <c r="TAB7" s="733"/>
      <c r="TAC7" s="733"/>
      <c r="TAD7" s="733"/>
      <c r="TAE7" s="733"/>
      <c r="TAF7" s="733"/>
      <c r="TAG7" s="733"/>
      <c r="TAH7" s="733"/>
      <c r="TAI7" s="733"/>
      <c r="TAJ7" s="733"/>
      <c r="TAK7" s="733"/>
      <c r="TAL7" s="733"/>
      <c r="TAM7" s="733"/>
      <c r="TAN7" s="733"/>
      <c r="TAO7" s="733"/>
      <c r="TAP7" s="733"/>
      <c r="TAQ7" s="733"/>
      <c r="TAR7" s="733"/>
      <c r="TAS7" s="733"/>
      <c r="TAT7" s="733"/>
      <c r="TAU7" s="733"/>
      <c r="TAV7" s="733"/>
      <c r="TAW7" s="733"/>
      <c r="TAX7" s="733"/>
      <c r="TAY7" s="733"/>
      <c r="TAZ7" s="733"/>
      <c r="TBA7" s="733"/>
      <c r="TBB7" s="733"/>
      <c r="TBC7" s="733"/>
      <c r="TBD7" s="733"/>
      <c r="TBE7" s="733"/>
      <c r="TBF7" s="733"/>
      <c r="TBG7" s="733"/>
      <c r="TBH7" s="733"/>
      <c r="TBI7" s="733"/>
      <c r="TBJ7" s="733"/>
      <c r="TBK7" s="733"/>
      <c r="TBL7" s="733"/>
      <c r="TBM7" s="733"/>
      <c r="TBN7" s="733"/>
      <c r="TBO7" s="733"/>
      <c r="TBP7" s="733"/>
      <c r="TBQ7" s="733"/>
      <c r="TBR7" s="733"/>
      <c r="TBS7" s="733"/>
      <c r="TBT7" s="733"/>
      <c r="TBU7" s="733"/>
      <c r="TBV7" s="733"/>
      <c r="TBW7" s="733"/>
      <c r="TBX7" s="733"/>
      <c r="TBY7" s="733"/>
      <c r="TBZ7" s="733"/>
      <c r="TCA7" s="733"/>
      <c r="TCB7" s="733"/>
      <c r="TCC7" s="733"/>
      <c r="TCD7" s="733"/>
      <c r="TCE7" s="733"/>
      <c r="TCF7" s="733"/>
      <c r="TCG7" s="733"/>
      <c r="TCH7" s="733"/>
      <c r="TCI7" s="733"/>
      <c r="TCJ7" s="733"/>
      <c r="TCK7" s="733"/>
      <c r="TCL7" s="733"/>
      <c r="TCM7" s="733"/>
      <c r="TCN7" s="733"/>
      <c r="TCO7" s="733"/>
      <c r="TCP7" s="733"/>
      <c r="TCQ7" s="733"/>
      <c r="TCR7" s="733"/>
      <c r="TCS7" s="733"/>
      <c r="TCT7" s="733"/>
      <c r="TCU7" s="733"/>
      <c r="TCV7" s="733"/>
      <c r="TCW7" s="733"/>
      <c r="TCX7" s="733"/>
      <c r="TCY7" s="733"/>
      <c r="TCZ7" s="733"/>
      <c r="TDA7" s="733"/>
      <c r="TDB7" s="733"/>
      <c r="TDC7" s="733"/>
      <c r="TDD7" s="733"/>
      <c r="TDE7" s="733"/>
      <c r="TDF7" s="733"/>
      <c r="TDG7" s="733"/>
      <c r="TDH7" s="733"/>
      <c r="TDI7" s="733"/>
      <c r="TDJ7" s="733"/>
      <c r="TDK7" s="733"/>
      <c r="TDL7" s="733"/>
      <c r="TDM7" s="733"/>
      <c r="TDN7" s="733"/>
      <c r="TDO7" s="733"/>
      <c r="TDP7" s="733"/>
      <c r="TDQ7" s="733"/>
      <c r="TDR7" s="733"/>
      <c r="TDS7" s="733"/>
      <c r="TDT7" s="733"/>
      <c r="TDU7" s="733"/>
      <c r="TDV7" s="733"/>
      <c r="TDW7" s="733"/>
      <c r="TDX7" s="733"/>
      <c r="TDY7" s="733"/>
      <c r="TDZ7" s="733"/>
      <c r="TEA7" s="733"/>
      <c r="TEB7" s="733"/>
      <c r="TEC7" s="733"/>
      <c r="TED7" s="733"/>
      <c r="TEE7" s="733"/>
      <c r="TEF7" s="733"/>
      <c r="TEG7" s="733"/>
      <c r="TEH7" s="733"/>
      <c r="TEI7" s="733"/>
      <c r="TEJ7" s="733"/>
      <c r="TEK7" s="733"/>
      <c r="TEL7" s="733"/>
      <c r="TEM7" s="733"/>
      <c r="TEN7" s="733"/>
      <c r="TEO7" s="733"/>
      <c r="TEP7" s="733"/>
      <c r="TEQ7" s="733"/>
      <c r="TER7" s="733"/>
      <c r="TES7" s="733"/>
      <c r="TET7" s="733"/>
      <c r="TEU7" s="733"/>
      <c r="TEV7" s="733"/>
      <c r="TEW7" s="733"/>
      <c r="TEX7" s="733"/>
      <c r="TEY7" s="733"/>
      <c r="TEZ7" s="733"/>
      <c r="TFA7" s="733"/>
      <c r="TFB7" s="733"/>
      <c r="TFC7" s="733"/>
      <c r="TFD7" s="733"/>
      <c r="TFE7" s="733"/>
      <c r="TFF7" s="733"/>
      <c r="TFG7" s="733"/>
      <c r="TFH7" s="733"/>
      <c r="TFI7" s="733"/>
      <c r="TFJ7" s="733"/>
      <c r="TFK7" s="733"/>
      <c r="TFL7" s="733"/>
      <c r="TFM7" s="733"/>
      <c r="TFN7" s="733"/>
      <c r="TFO7" s="733"/>
      <c r="TFP7" s="733"/>
      <c r="TFQ7" s="733"/>
      <c r="TFR7" s="733"/>
      <c r="TFS7" s="733"/>
      <c r="TFT7" s="733"/>
      <c r="TFU7" s="733"/>
      <c r="TFV7" s="733"/>
      <c r="TFW7" s="733"/>
      <c r="TFX7" s="733"/>
      <c r="TFY7" s="733"/>
      <c r="TFZ7" s="733"/>
      <c r="TGA7" s="733"/>
      <c r="TGB7" s="733"/>
      <c r="TGC7" s="733"/>
      <c r="TGD7" s="733"/>
      <c r="TGE7" s="733"/>
      <c r="TGF7" s="733"/>
      <c r="TGG7" s="733"/>
      <c r="TGH7" s="733"/>
      <c r="TGI7" s="733"/>
      <c r="TGJ7" s="733"/>
      <c r="TGK7" s="733"/>
      <c r="TGL7" s="733"/>
      <c r="TGM7" s="733"/>
      <c r="TGN7" s="733"/>
      <c r="TGO7" s="733"/>
      <c r="TGP7" s="733"/>
      <c r="TGQ7" s="733"/>
      <c r="TGR7" s="733"/>
      <c r="TGS7" s="733"/>
      <c r="TGT7" s="733"/>
      <c r="TGU7" s="733"/>
      <c r="TGV7" s="733"/>
      <c r="TGW7" s="733"/>
      <c r="TGX7" s="733"/>
      <c r="TGY7" s="733"/>
      <c r="TGZ7" s="733"/>
      <c r="THA7" s="733"/>
      <c r="THB7" s="733"/>
      <c r="THC7" s="733"/>
      <c r="THD7" s="733"/>
      <c r="THE7" s="733"/>
      <c r="THF7" s="733"/>
      <c r="THG7" s="733"/>
      <c r="THH7" s="733"/>
      <c r="THI7" s="733"/>
      <c r="THJ7" s="733"/>
      <c r="THK7" s="733"/>
      <c r="THL7" s="733"/>
      <c r="THM7" s="733"/>
      <c r="THN7" s="733"/>
      <c r="THO7" s="733"/>
      <c r="THP7" s="733"/>
      <c r="THQ7" s="733"/>
      <c r="THR7" s="733"/>
      <c r="THS7" s="733"/>
      <c r="THT7" s="733"/>
      <c r="THU7" s="733"/>
      <c r="THV7" s="733"/>
      <c r="THW7" s="733"/>
      <c r="THX7" s="733"/>
      <c r="THY7" s="733"/>
      <c r="THZ7" s="733"/>
      <c r="TIA7" s="733"/>
      <c r="TIB7" s="733"/>
      <c r="TIC7" s="733"/>
      <c r="TID7" s="733"/>
      <c r="TIE7" s="733"/>
      <c r="TIF7" s="733"/>
      <c r="TIG7" s="733"/>
      <c r="TIH7" s="733"/>
      <c r="TII7" s="733"/>
      <c r="TIJ7" s="733"/>
      <c r="TIK7" s="733"/>
      <c r="TIL7" s="733"/>
      <c r="TIM7" s="733"/>
      <c r="TIN7" s="733"/>
      <c r="TIO7" s="733"/>
      <c r="TIP7" s="733"/>
      <c r="TIQ7" s="733"/>
      <c r="TIR7" s="733"/>
      <c r="TIS7" s="733"/>
      <c r="TIT7" s="733"/>
      <c r="TIU7" s="733"/>
      <c r="TIV7" s="733"/>
      <c r="TIW7" s="733"/>
      <c r="TIX7" s="733"/>
      <c r="TIY7" s="733"/>
      <c r="TIZ7" s="733"/>
      <c r="TJA7" s="733"/>
      <c r="TJB7" s="733"/>
      <c r="TJC7" s="733"/>
      <c r="TJD7" s="733"/>
      <c r="TJE7" s="733"/>
      <c r="TJF7" s="733"/>
      <c r="TJG7" s="733"/>
      <c r="TJH7" s="733"/>
      <c r="TJI7" s="733"/>
      <c r="TJJ7" s="733"/>
      <c r="TJK7" s="733"/>
      <c r="TJL7" s="733"/>
      <c r="TJM7" s="733"/>
      <c r="TJN7" s="733"/>
      <c r="TJO7" s="733"/>
      <c r="TJP7" s="733"/>
      <c r="TJQ7" s="733"/>
      <c r="TJR7" s="733"/>
      <c r="TJS7" s="733"/>
      <c r="TJT7" s="733"/>
      <c r="TJU7" s="733"/>
      <c r="TJV7" s="733"/>
      <c r="TJW7" s="733"/>
      <c r="TJX7" s="733"/>
      <c r="TJY7" s="733"/>
      <c r="TJZ7" s="733"/>
      <c r="TKA7" s="733"/>
      <c r="TKB7" s="733"/>
      <c r="TKC7" s="733"/>
      <c r="TKD7" s="733"/>
      <c r="TKE7" s="733"/>
      <c r="TKF7" s="733"/>
      <c r="TKG7" s="733"/>
      <c r="TKH7" s="733"/>
      <c r="TKI7" s="733"/>
      <c r="TKJ7" s="733"/>
      <c r="TKK7" s="733"/>
      <c r="TKL7" s="733"/>
      <c r="TKM7" s="733"/>
      <c r="TKN7" s="733"/>
      <c r="TKO7" s="733"/>
      <c r="TKP7" s="733"/>
      <c r="TKQ7" s="733"/>
      <c r="TKR7" s="733"/>
      <c r="TKS7" s="733"/>
      <c r="TKT7" s="733"/>
      <c r="TKU7" s="733"/>
      <c r="TKV7" s="733"/>
      <c r="TKW7" s="733"/>
      <c r="TKX7" s="733"/>
      <c r="TKY7" s="733"/>
      <c r="TKZ7" s="733"/>
      <c r="TLA7" s="733"/>
      <c r="TLB7" s="733"/>
      <c r="TLC7" s="733"/>
      <c r="TLD7" s="733"/>
      <c r="TLE7" s="733"/>
      <c r="TLF7" s="733"/>
      <c r="TLG7" s="733"/>
      <c r="TLH7" s="733"/>
      <c r="TLI7" s="733"/>
      <c r="TLJ7" s="733"/>
      <c r="TLK7" s="733"/>
      <c r="TLL7" s="733"/>
      <c r="TLM7" s="733"/>
      <c r="TLN7" s="733"/>
      <c r="TLO7" s="733"/>
      <c r="TLP7" s="733"/>
      <c r="TLQ7" s="733"/>
      <c r="TLR7" s="733"/>
      <c r="TLS7" s="733"/>
      <c r="TLT7" s="733"/>
      <c r="TLU7" s="733"/>
      <c r="TLV7" s="733"/>
      <c r="TLW7" s="733"/>
      <c r="TLX7" s="733"/>
      <c r="TLY7" s="733"/>
      <c r="TLZ7" s="733"/>
      <c r="TMA7" s="733"/>
      <c r="TMB7" s="733"/>
      <c r="TMC7" s="733"/>
      <c r="TMD7" s="733"/>
      <c r="TME7" s="733"/>
      <c r="TMF7" s="733"/>
      <c r="TMG7" s="733"/>
      <c r="TMH7" s="733"/>
      <c r="TMI7" s="733"/>
      <c r="TMJ7" s="733"/>
      <c r="TMK7" s="733"/>
      <c r="TML7" s="733"/>
      <c r="TMM7" s="733"/>
      <c r="TMN7" s="733"/>
      <c r="TMO7" s="733"/>
      <c r="TMP7" s="733"/>
      <c r="TMQ7" s="733"/>
      <c r="TMR7" s="733"/>
      <c r="TMS7" s="733"/>
      <c r="TMT7" s="733"/>
      <c r="TMU7" s="733"/>
      <c r="TMV7" s="733"/>
      <c r="TMW7" s="733"/>
      <c r="TMX7" s="733"/>
      <c r="TMY7" s="733"/>
      <c r="TMZ7" s="733"/>
      <c r="TNA7" s="733"/>
      <c r="TNB7" s="733"/>
      <c r="TNC7" s="733"/>
      <c r="TND7" s="733"/>
      <c r="TNE7" s="733"/>
      <c r="TNF7" s="733"/>
      <c r="TNG7" s="733"/>
      <c r="TNH7" s="733"/>
      <c r="TNI7" s="733"/>
      <c r="TNJ7" s="733"/>
      <c r="TNK7" s="733"/>
      <c r="TNL7" s="733"/>
      <c r="TNM7" s="733"/>
      <c r="TNN7" s="733"/>
      <c r="TNO7" s="733"/>
      <c r="TNP7" s="733"/>
      <c r="TNQ7" s="733"/>
      <c r="TNR7" s="733"/>
      <c r="TNS7" s="733"/>
      <c r="TNT7" s="733"/>
      <c r="TNU7" s="733"/>
      <c r="TNV7" s="733"/>
      <c r="TNW7" s="733"/>
      <c r="TNX7" s="733"/>
      <c r="TNY7" s="733"/>
      <c r="TNZ7" s="733"/>
      <c r="TOA7" s="733"/>
      <c r="TOB7" s="733"/>
      <c r="TOC7" s="733"/>
      <c r="TOD7" s="733"/>
      <c r="TOE7" s="733"/>
      <c r="TOF7" s="733"/>
      <c r="TOG7" s="733"/>
      <c r="TOH7" s="733"/>
      <c r="TOI7" s="733"/>
      <c r="TOJ7" s="733"/>
      <c r="TOK7" s="733"/>
      <c r="TOL7" s="733"/>
      <c r="TOM7" s="733"/>
      <c r="TON7" s="733"/>
      <c r="TOO7" s="733"/>
      <c r="TOP7" s="733"/>
      <c r="TOQ7" s="733"/>
      <c r="TOR7" s="733"/>
      <c r="TOS7" s="733"/>
      <c r="TOT7" s="733"/>
      <c r="TOU7" s="733"/>
      <c r="TOV7" s="733"/>
      <c r="TOW7" s="733"/>
      <c r="TOX7" s="733"/>
      <c r="TOY7" s="733"/>
      <c r="TOZ7" s="733"/>
      <c r="TPA7" s="733"/>
      <c r="TPB7" s="733"/>
      <c r="TPC7" s="733"/>
      <c r="TPD7" s="733"/>
      <c r="TPE7" s="733"/>
      <c r="TPF7" s="733"/>
      <c r="TPG7" s="733"/>
      <c r="TPH7" s="733"/>
      <c r="TPI7" s="733"/>
      <c r="TPJ7" s="733"/>
      <c r="TPK7" s="733"/>
      <c r="TPL7" s="733"/>
      <c r="TPM7" s="733"/>
      <c r="TPN7" s="733"/>
      <c r="TPO7" s="733"/>
      <c r="TPP7" s="733"/>
      <c r="TPQ7" s="733"/>
      <c r="TPR7" s="733"/>
      <c r="TPS7" s="733"/>
      <c r="TPT7" s="733"/>
      <c r="TPU7" s="733"/>
      <c r="TPV7" s="733"/>
      <c r="TPW7" s="733"/>
      <c r="TPX7" s="733"/>
      <c r="TPY7" s="733"/>
      <c r="TPZ7" s="733"/>
      <c r="TQA7" s="733"/>
      <c r="TQB7" s="733"/>
      <c r="TQC7" s="733"/>
      <c r="TQD7" s="733"/>
      <c r="TQE7" s="733"/>
      <c r="TQF7" s="733"/>
      <c r="TQG7" s="733"/>
      <c r="TQH7" s="733"/>
      <c r="TQI7" s="733"/>
      <c r="TQJ7" s="733"/>
      <c r="TQK7" s="733"/>
      <c r="TQL7" s="733"/>
      <c r="TQM7" s="733"/>
      <c r="TQN7" s="733"/>
      <c r="TQO7" s="733"/>
      <c r="TQP7" s="733"/>
      <c r="TQQ7" s="733"/>
      <c r="TQR7" s="733"/>
      <c r="TQS7" s="733"/>
      <c r="TQT7" s="733"/>
      <c r="TQU7" s="733"/>
      <c r="TQV7" s="733"/>
      <c r="TQW7" s="733"/>
      <c r="TQX7" s="733"/>
      <c r="TQY7" s="733"/>
      <c r="TQZ7" s="733"/>
      <c r="TRA7" s="733"/>
      <c r="TRB7" s="733"/>
      <c r="TRC7" s="733"/>
      <c r="TRD7" s="733"/>
      <c r="TRE7" s="733"/>
      <c r="TRF7" s="733"/>
      <c r="TRG7" s="733"/>
      <c r="TRH7" s="733"/>
      <c r="TRI7" s="733"/>
      <c r="TRJ7" s="733"/>
      <c r="TRK7" s="733"/>
      <c r="TRL7" s="733"/>
      <c r="TRM7" s="733"/>
      <c r="TRN7" s="733"/>
      <c r="TRO7" s="733"/>
      <c r="TRP7" s="733"/>
      <c r="TRQ7" s="733"/>
      <c r="TRR7" s="733"/>
      <c r="TRS7" s="733"/>
      <c r="TRT7" s="733"/>
      <c r="TRU7" s="733"/>
      <c r="TRV7" s="733"/>
      <c r="TRW7" s="733"/>
      <c r="TRX7" s="733"/>
      <c r="TRY7" s="733"/>
      <c r="TRZ7" s="733"/>
      <c r="TSA7" s="733"/>
      <c r="TSB7" s="733"/>
      <c r="TSC7" s="733"/>
      <c r="TSD7" s="733"/>
      <c r="TSE7" s="733"/>
      <c r="TSF7" s="733"/>
      <c r="TSG7" s="733"/>
      <c r="TSH7" s="733"/>
      <c r="TSI7" s="733"/>
      <c r="TSJ7" s="733"/>
      <c r="TSK7" s="733"/>
      <c r="TSL7" s="733"/>
      <c r="TSM7" s="733"/>
      <c r="TSN7" s="733"/>
      <c r="TSO7" s="733"/>
      <c r="TSP7" s="733"/>
      <c r="TSQ7" s="733"/>
      <c r="TSR7" s="733"/>
      <c r="TSS7" s="733"/>
      <c r="TST7" s="733"/>
      <c r="TSU7" s="733"/>
      <c r="TSV7" s="733"/>
      <c r="TSW7" s="733"/>
      <c r="TSX7" s="733"/>
      <c r="TSY7" s="733"/>
      <c r="TSZ7" s="733"/>
      <c r="TTA7" s="733"/>
      <c r="TTB7" s="733"/>
      <c r="TTC7" s="733"/>
      <c r="TTD7" s="733"/>
      <c r="TTE7" s="733"/>
      <c r="TTF7" s="733"/>
      <c r="TTG7" s="733"/>
      <c r="TTH7" s="733"/>
      <c r="TTI7" s="733"/>
      <c r="TTJ7" s="733"/>
      <c r="TTK7" s="733"/>
      <c r="TTL7" s="733"/>
      <c r="TTM7" s="733"/>
      <c r="TTN7" s="733"/>
      <c r="TTO7" s="733"/>
      <c r="TTP7" s="733"/>
      <c r="TTQ7" s="733"/>
      <c r="TTR7" s="733"/>
      <c r="TTS7" s="733"/>
      <c r="TTT7" s="733"/>
      <c r="TTU7" s="733"/>
      <c r="TTV7" s="733"/>
      <c r="TTW7" s="733"/>
      <c r="TTX7" s="733"/>
      <c r="TTY7" s="733"/>
      <c r="TTZ7" s="733"/>
      <c r="TUA7" s="733"/>
      <c r="TUB7" s="733"/>
      <c r="TUC7" s="733"/>
      <c r="TUD7" s="733"/>
      <c r="TUE7" s="733"/>
      <c r="TUF7" s="733"/>
      <c r="TUG7" s="733"/>
      <c r="TUH7" s="733"/>
      <c r="TUI7" s="733"/>
      <c r="TUJ7" s="733"/>
      <c r="TUK7" s="733"/>
      <c r="TUL7" s="733"/>
      <c r="TUM7" s="733"/>
      <c r="TUN7" s="733"/>
      <c r="TUO7" s="733"/>
      <c r="TUP7" s="733"/>
      <c r="TUQ7" s="733"/>
      <c r="TUR7" s="733"/>
      <c r="TUS7" s="733"/>
      <c r="TUT7" s="733"/>
      <c r="TUU7" s="733"/>
      <c r="TUV7" s="733"/>
      <c r="TUW7" s="733"/>
      <c r="TUX7" s="733"/>
      <c r="TUY7" s="733"/>
      <c r="TUZ7" s="733"/>
      <c r="TVA7" s="733"/>
      <c r="TVB7" s="733"/>
      <c r="TVC7" s="733"/>
      <c r="TVD7" s="733"/>
      <c r="TVE7" s="733"/>
      <c r="TVF7" s="733"/>
      <c r="TVG7" s="733"/>
      <c r="TVH7" s="733"/>
      <c r="TVI7" s="733"/>
      <c r="TVJ7" s="733"/>
      <c r="TVK7" s="733"/>
      <c r="TVL7" s="733"/>
      <c r="TVM7" s="733"/>
      <c r="TVN7" s="733"/>
      <c r="TVO7" s="733"/>
      <c r="TVP7" s="733"/>
      <c r="TVQ7" s="733"/>
      <c r="TVR7" s="733"/>
      <c r="TVS7" s="733"/>
      <c r="TVT7" s="733"/>
      <c r="TVU7" s="733"/>
      <c r="TVV7" s="733"/>
      <c r="TVW7" s="733"/>
      <c r="TVX7" s="733"/>
      <c r="TVY7" s="733"/>
      <c r="TVZ7" s="733"/>
      <c r="TWA7" s="733"/>
      <c r="TWB7" s="733"/>
      <c r="TWC7" s="733"/>
      <c r="TWD7" s="733"/>
      <c r="TWE7" s="733"/>
      <c r="TWF7" s="733"/>
      <c r="TWG7" s="733"/>
      <c r="TWH7" s="733"/>
      <c r="TWI7" s="733"/>
      <c r="TWJ7" s="733"/>
      <c r="TWK7" s="733"/>
      <c r="TWL7" s="733"/>
      <c r="TWM7" s="733"/>
      <c r="TWN7" s="733"/>
      <c r="TWO7" s="733"/>
      <c r="TWP7" s="733"/>
      <c r="TWQ7" s="733"/>
      <c r="TWR7" s="733"/>
      <c r="TWS7" s="733"/>
      <c r="TWT7" s="733"/>
      <c r="TWU7" s="733"/>
      <c r="TWV7" s="733"/>
      <c r="TWW7" s="733"/>
      <c r="TWX7" s="733"/>
      <c r="TWY7" s="733"/>
      <c r="TWZ7" s="733"/>
      <c r="TXA7" s="733"/>
      <c r="TXB7" s="733"/>
      <c r="TXC7" s="733"/>
      <c r="TXD7" s="733"/>
      <c r="TXE7" s="733"/>
      <c r="TXF7" s="733"/>
      <c r="TXG7" s="733"/>
      <c r="TXH7" s="733"/>
      <c r="TXI7" s="733"/>
      <c r="TXJ7" s="733"/>
      <c r="TXK7" s="733"/>
      <c r="TXL7" s="733"/>
      <c r="TXM7" s="733"/>
      <c r="TXN7" s="733"/>
      <c r="TXO7" s="733"/>
      <c r="TXP7" s="733"/>
      <c r="TXQ7" s="733"/>
      <c r="TXR7" s="733"/>
      <c r="TXS7" s="733"/>
      <c r="TXT7" s="733"/>
      <c r="TXU7" s="733"/>
      <c r="TXV7" s="733"/>
      <c r="TXW7" s="733"/>
      <c r="TXX7" s="733"/>
      <c r="TXY7" s="733"/>
      <c r="TXZ7" s="733"/>
      <c r="TYA7" s="733"/>
      <c r="TYB7" s="733"/>
      <c r="TYC7" s="733"/>
      <c r="TYD7" s="733"/>
      <c r="TYE7" s="733"/>
      <c r="TYF7" s="733"/>
      <c r="TYG7" s="733"/>
      <c r="TYH7" s="733"/>
      <c r="TYI7" s="733"/>
      <c r="TYJ7" s="733"/>
      <c r="TYK7" s="733"/>
      <c r="TYL7" s="733"/>
      <c r="TYM7" s="733"/>
      <c r="TYN7" s="733"/>
      <c r="TYO7" s="733"/>
      <c r="TYP7" s="733"/>
      <c r="TYQ7" s="733"/>
      <c r="TYR7" s="733"/>
      <c r="TYS7" s="733"/>
      <c r="TYT7" s="733"/>
      <c r="TYU7" s="733"/>
      <c r="TYV7" s="733"/>
      <c r="TYW7" s="733"/>
      <c r="TYX7" s="733"/>
      <c r="TYY7" s="733"/>
      <c r="TYZ7" s="733"/>
      <c r="TZA7" s="733"/>
      <c r="TZB7" s="733"/>
      <c r="TZC7" s="733"/>
      <c r="TZD7" s="733"/>
      <c r="TZE7" s="733"/>
      <c r="TZF7" s="733"/>
      <c r="TZG7" s="733"/>
      <c r="TZH7" s="733"/>
      <c r="TZI7" s="733"/>
      <c r="TZJ7" s="733"/>
      <c r="TZK7" s="733"/>
      <c r="TZL7" s="733"/>
      <c r="TZM7" s="733"/>
      <c r="TZN7" s="733"/>
      <c r="TZO7" s="733"/>
      <c r="TZP7" s="733"/>
      <c r="TZQ7" s="733"/>
      <c r="TZR7" s="733"/>
      <c r="TZS7" s="733"/>
      <c r="TZT7" s="733"/>
      <c r="TZU7" s="733"/>
      <c r="TZV7" s="733"/>
      <c r="TZW7" s="733"/>
      <c r="TZX7" s="733"/>
      <c r="TZY7" s="733"/>
      <c r="TZZ7" s="733"/>
      <c r="UAA7" s="733"/>
      <c r="UAB7" s="733"/>
      <c r="UAC7" s="733"/>
      <c r="UAD7" s="733"/>
      <c r="UAE7" s="733"/>
      <c r="UAF7" s="733"/>
      <c r="UAG7" s="733"/>
      <c r="UAH7" s="733"/>
      <c r="UAI7" s="733"/>
      <c r="UAJ7" s="733"/>
      <c r="UAK7" s="733"/>
      <c r="UAL7" s="733"/>
      <c r="UAM7" s="733"/>
      <c r="UAN7" s="733"/>
      <c r="UAO7" s="733"/>
      <c r="UAP7" s="733"/>
      <c r="UAQ7" s="733"/>
      <c r="UAR7" s="733"/>
      <c r="UAS7" s="733"/>
      <c r="UAT7" s="733"/>
      <c r="UAU7" s="733"/>
      <c r="UAV7" s="733"/>
      <c r="UAW7" s="733"/>
      <c r="UAX7" s="733"/>
      <c r="UAY7" s="733"/>
      <c r="UAZ7" s="733"/>
      <c r="UBA7" s="733"/>
      <c r="UBB7" s="733"/>
      <c r="UBC7" s="733"/>
      <c r="UBD7" s="733"/>
      <c r="UBE7" s="733"/>
      <c r="UBF7" s="733"/>
      <c r="UBG7" s="733"/>
      <c r="UBH7" s="733"/>
      <c r="UBI7" s="733"/>
      <c r="UBJ7" s="733"/>
      <c r="UBK7" s="733"/>
      <c r="UBL7" s="733"/>
      <c r="UBM7" s="733"/>
      <c r="UBN7" s="733"/>
      <c r="UBO7" s="733"/>
      <c r="UBP7" s="733"/>
      <c r="UBQ7" s="733"/>
      <c r="UBR7" s="733"/>
      <c r="UBS7" s="733"/>
      <c r="UBT7" s="733"/>
      <c r="UBU7" s="733"/>
      <c r="UBV7" s="733"/>
      <c r="UBW7" s="733"/>
      <c r="UBX7" s="733"/>
      <c r="UBY7" s="733"/>
      <c r="UBZ7" s="733"/>
      <c r="UCA7" s="733"/>
      <c r="UCB7" s="733"/>
      <c r="UCC7" s="733"/>
      <c r="UCD7" s="733"/>
      <c r="UCE7" s="733"/>
      <c r="UCF7" s="733"/>
      <c r="UCG7" s="733"/>
      <c r="UCH7" s="733"/>
      <c r="UCI7" s="733"/>
      <c r="UCJ7" s="733"/>
      <c r="UCK7" s="733"/>
      <c r="UCL7" s="733"/>
      <c r="UCM7" s="733"/>
      <c r="UCN7" s="733"/>
      <c r="UCO7" s="733"/>
      <c r="UCP7" s="733"/>
      <c r="UCQ7" s="733"/>
      <c r="UCR7" s="733"/>
      <c r="UCS7" s="733"/>
      <c r="UCT7" s="733"/>
      <c r="UCU7" s="733"/>
      <c r="UCV7" s="733"/>
      <c r="UCW7" s="733"/>
      <c r="UCX7" s="733"/>
      <c r="UCY7" s="733"/>
      <c r="UCZ7" s="733"/>
      <c r="UDA7" s="733"/>
      <c r="UDB7" s="733"/>
      <c r="UDC7" s="733"/>
      <c r="UDD7" s="733"/>
      <c r="UDE7" s="733"/>
      <c r="UDF7" s="733"/>
      <c r="UDG7" s="733"/>
      <c r="UDH7" s="733"/>
      <c r="UDI7" s="733"/>
      <c r="UDJ7" s="733"/>
      <c r="UDK7" s="733"/>
      <c r="UDL7" s="733"/>
      <c r="UDM7" s="733"/>
      <c r="UDN7" s="733"/>
      <c r="UDO7" s="733"/>
      <c r="UDP7" s="733"/>
      <c r="UDQ7" s="733"/>
      <c r="UDR7" s="733"/>
      <c r="UDS7" s="733"/>
      <c r="UDT7" s="733"/>
      <c r="UDU7" s="733"/>
      <c r="UDV7" s="733"/>
      <c r="UDW7" s="733"/>
      <c r="UDX7" s="733"/>
      <c r="UDY7" s="733"/>
      <c r="UDZ7" s="733"/>
      <c r="UEA7" s="733"/>
      <c r="UEB7" s="733"/>
      <c r="UEC7" s="733"/>
      <c r="UED7" s="733"/>
      <c r="UEE7" s="733"/>
      <c r="UEF7" s="733"/>
      <c r="UEG7" s="733"/>
      <c r="UEH7" s="733"/>
      <c r="UEI7" s="733"/>
      <c r="UEJ7" s="733"/>
      <c r="UEK7" s="733"/>
      <c r="UEL7" s="733"/>
      <c r="UEM7" s="733"/>
      <c r="UEN7" s="733"/>
      <c r="UEO7" s="733"/>
      <c r="UEP7" s="733"/>
      <c r="UEQ7" s="733"/>
      <c r="UER7" s="733"/>
      <c r="UES7" s="733"/>
      <c r="UET7" s="733"/>
      <c r="UEU7" s="733"/>
      <c r="UEV7" s="733"/>
      <c r="UEW7" s="733"/>
      <c r="UEX7" s="733"/>
      <c r="UEY7" s="733"/>
      <c r="UEZ7" s="733"/>
      <c r="UFA7" s="733"/>
      <c r="UFB7" s="733"/>
      <c r="UFC7" s="733"/>
      <c r="UFD7" s="733"/>
      <c r="UFE7" s="733"/>
      <c r="UFF7" s="733"/>
      <c r="UFG7" s="733"/>
      <c r="UFH7" s="733"/>
      <c r="UFI7" s="733"/>
      <c r="UFJ7" s="733"/>
      <c r="UFK7" s="733"/>
      <c r="UFL7" s="733"/>
      <c r="UFM7" s="733"/>
      <c r="UFN7" s="733"/>
      <c r="UFO7" s="733"/>
      <c r="UFP7" s="733"/>
      <c r="UFQ7" s="733"/>
      <c r="UFR7" s="733"/>
      <c r="UFS7" s="733"/>
      <c r="UFT7" s="733"/>
      <c r="UFU7" s="733"/>
      <c r="UFV7" s="733"/>
      <c r="UFW7" s="733"/>
      <c r="UFX7" s="733"/>
      <c r="UFY7" s="733"/>
      <c r="UFZ7" s="733"/>
      <c r="UGA7" s="733"/>
      <c r="UGB7" s="733"/>
      <c r="UGC7" s="733"/>
      <c r="UGD7" s="733"/>
      <c r="UGE7" s="733"/>
      <c r="UGF7" s="733"/>
      <c r="UGG7" s="733"/>
      <c r="UGH7" s="733"/>
      <c r="UGI7" s="733"/>
      <c r="UGJ7" s="733"/>
      <c r="UGK7" s="733"/>
      <c r="UGL7" s="733"/>
      <c r="UGM7" s="733"/>
      <c r="UGN7" s="733"/>
      <c r="UGO7" s="733"/>
      <c r="UGP7" s="733"/>
      <c r="UGQ7" s="733"/>
      <c r="UGR7" s="733"/>
      <c r="UGS7" s="733"/>
      <c r="UGT7" s="733"/>
      <c r="UGU7" s="733"/>
      <c r="UGV7" s="733"/>
      <c r="UGW7" s="733"/>
      <c r="UGX7" s="733"/>
      <c r="UGY7" s="733"/>
      <c r="UGZ7" s="733"/>
      <c r="UHA7" s="733"/>
      <c r="UHB7" s="733"/>
      <c r="UHC7" s="733"/>
      <c r="UHD7" s="733"/>
      <c r="UHE7" s="733"/>
      <c r="UHF7" s="733"/>
      <c r="UHG7" s="733"/>
      <c r="UHH7" s="733"/>
      <c r="UHI7" s="733"/>
      <c r="UHJ7" s="733"/>
      <c r="UHK7" s="733"/>
      <c r="UHL7" s="733"/>
      <c r="UHM7" s="733"/>
      <c r="UHN7" s="733"/>
      <c r="UHO7" s="733"/>
      <c r="UHP7" s="733"/>
      <c r="UHQ7" s="733"/>
      <c r="UHR7" s="733"/>
      <c r="UHS7" s="733"/>
      <c r="UHT7" s="733"/>
      <c r="UHU7" s="733"/>
      <c r="UHV7" s="733"/>
      <c r="UHW7" s="733"/>
      <c r="UHX7" s="733"/>
      <c r="UHY7" s="733"/>
      <c r="UHZ7" s="733"/>
      <c r="UIA7" s="733"/>
      <c r="UIB7" s="733"/>
      <c r="UIC7" s="733"/>
      <c r="UID7" s="733"/>
      <c r="UIE7" s="733"/>
      <c r="UIF7" s="733"/>
      <c r="UIG7" s="733"/>
      <c r="UIH7" s="733"/>
      <c r="UII7" s="733"/>
      <c r="UIJ7" s="733"/>
      <c r="UIK7" s="733"/>
      <c r="UIL7" s="733"/>
      <c r="UIM7" s="733"/>
      <c r="UIN7" s="733"/>
      <c r="UIO7" s="733"/>
      <c r="UIP7" s="733"/>
      <c r="UIQ7" s="733"/>
      <c r="UIR7" s="733"/>
      <c r="UIS7" s="733"/>
      <c r="UIT7" s="733"/>
      <c r="UIU7" s="733"/>
      <c r="UIV7" s="733"/>
      <c r="UIW7" s="733"/>
      <c r="UIX7" s="733"/>
      <c r="UIY7" s="733"/>
      <c r="UIZ7" s="733"/>
      <c r="UJA7" s="733"/>
      <c r="UJB7" s="733"/>
      <c r="UJC7" s="733"/>
      <c r="UJD7" s="733"/>
      <c r="UJE7" s="733"/>
      <c r="UJF7" s="733"/>
      <c r="UJG7" s="733"/>
      <c r="UJH7" s="733"/>
      <c r="UJI7" s="733"/>
      <c r="UJJ7" s="733"/>
      <c r="UJK7" s="733"/>
      <c r="UJL7" s="733"/>
      <c r="UJM7" s="733"/>
      <c r="UJN7" s="733"/>
      <c r="UJO7" s="733"/>
      <c r="UJP7" s="733"/>
      <c r="UJQ7" s="733"/>
      <c r="UJR7" s="733"/>
      <c r="UJS7" s="733"/>
      <c r="UJT7" s="733"/>
      <c r="UJU7" s="733"/>
      <c r="UJV7" s="733"/>
      <c r="UJW7" s="733"/>
      <c r="UJX7" s="733"/>
      <c r="UJY7" s="733"/>
      <c r="UJZ7" s="733"/>
      <c r="UKA7" s="733"/>
      <c r="UKB7" s="733"/>
      <c r="UKC7" s="733"/>
      <c r="UKD7" s="733"/>
      <c r="UKE7" s="733"/>
      <c r="UKF7" s="733"/>
      <c r="UKG7" s="733"/>
      <c r="UKH7" s="733"/>
      <c r="UKI7" s="733"/>
      <c r="UKJ7" s="733"/>
      <c r="UKK7" s="733"/>
      <c r="UKL7" s="733"/>
      <c r="UKM7" s="733"/>
      <c r="UKN7" s="733"/>
      <c r="UKO7" s="733"/>
      <c r="UKP7" s="733"/>
      <c r="UKQ7" s="733"/>
      <c r="UKR7" s="733"/>
      <c r="UKS7" s="733"/>
      <c r="UKT7" s="733"/>
      <c r="UKU7" s="733"/>
      <c r="UKV7" s="733"/>
      <c r="UKW7" s="733"/>
      <c r="UKX7" s="733"/>
      <c r="UKY7" s="733"/>
      <c r="UKZ7" s="733"/>
      <c r="ULA7" s="733"/>
      <c r="ULB7" s="733"/>
      <c r="ULC7" s="733"/>
      <c r="ULD7" s="733"/>
      <c r="ULE7" s="733"/>
      <c r="ULF7" s="733"/>
      <c r="ULG7" s="733"/>
      <c r="ULH7" s="733"/>
      <c r="ULI7" s="733"/>
      <c r="ULJ7" s="733"/>
      <c r="ULK7" s="733"/>
      <c r="ULL7" s="733"/>
      <c r="ULM7" s="733"/>
      <c r="ULN7" s="733"/>
      <c r="ULO7" s="733"/>
      <c r="ULP7" s="733"/>
      <c r="ULQ7" s="733"/>
      <c r="ULR7" s="733"/>
      <c r="ULS7" s="733"/>
      <c r="ULT7" s="733"/>
      <c r="ULU7" s="733"/>
      <c r="ULV7" s="733"/>
      <c r="ULW7" s="733"/>
      <c r="ULX7" s="733"/>
      <c r="ULY7" s="733"/>
      <c r="ULZ7" s="733"/>
      <c r="UMA7" s="733"/>
      <c r="UMB7" s="733"/>
      <c r="UMC7" s="733"/>
      <c r="UMD7" s="733"/>
      <c r="UME7" s="733"/>
      <c r="UMF7" s="733"/>
      <c r="UMG7" s="733"/>
      <c r="UMH7" s="733"/>
      <c r="UMI7" s="733"/>
      <c r="UMJ7" s="733"/>
      <c r="UMK7" s="733"/>
      <c r="UML7" s="733"/>
      <c r="UMM7" s="733"/>
      <c r="UMN7" s="733"/>
      <c r="UMO7" s="733"/>
      <c r="UMP7" s="733"/>
      <c r="UMQ7" s="733"/>
      <c r="UMR7" s="733"/>
      <c r="UMS7" s="733"/>
      <c r="UMT7" s="733"/>
      <c r="UMU7" s="733"/>
      <c r="UMV7" s="733"/>
      <c r="UMW7" s="733"/>
      <c r="UMX7" s="733"/>
      <c r="UMY7" s="733"/>
      <c r="UMZ7" s="733"/>
      <c r="UNA7" s="733"/>
      <c r="UNB7" s="733"/>
      <c r="UNC7" s="733"/>
      <c r="UND7" s="733"/>
      <c r="UNE7" s="733"/>
      <c r="UNF7" s="733"/>
      <c r="UNG7" s="733"/>
      <c r="UNH7" s="733"/>
      <c r="UNI7" s="733"/>
      <c r="UNJ7" s="733"/>
      <c r="UNK7" s="733"/>
      <c r="UNL7" s="733"/>
      <c r="UNM7" s="733"/>
      <c r="UNN7" s="733"/>
      <c r="UNO7" s="733"/>
      <c r="UNP7" s="733"/>
      <c r="UNQ7" s="733"/>
      <c r="UNR7" s="733"/>
      <c r="UNS7" s="733"/>
      <c r="UNT7" s="733"/>
      <c r="UNU7" s="733"/>
      <c r="UNV7" s="733"/>
      <c r="UNW7" s="733"/>
      <c r="UNX7" s="733"/>
      <c r="UNY7" s="733"/>
      <c r="UNZ7" s="733"/>
      <c r="UOA7" s="733"/>
      <c r="UOB7" s="733"/>
      <c r="UOC7" s="733"/>
      <c r="UOD7" s="733"/>
      <c r="UOE7" s="733"/>
      <c r="UOF7" s="733"/>
      <c r="UOG7" s="733"/>
      <c r="UOH7" s="733"/>
      <c r="UOI7" s="733"/>
      <c r="UOJ7" s="733"/>
      <c r="UOK7" s="733"/>
      <c r="UOL7" s="733"/>
      <c r="UOM7" s="733"/>
      <c r="UON7" s="733"/>
      <c r="UOO7" s="733"/>
      <c r="UOP7" s="733"/>
      <c r="UOQ7" s="733"/>
      <c r="UOR7" s="733"/>
      <c r="UOS7" s="733"/>
      <c r="UOT7" s="733"/>
      <c r="UOU7" s="733"/>
      <c r="UOV7" s="733"/>
      <c r="UOW7" s="733"/>
      <c r="UOX7" s="733"/>
      <c r="UOY7" s="733"/>
      <c r="UOZ7" s="733"/>
      <c r="UPA7" s="733"/>
      <c r="UPB7" s="733"/>
      <c r="UPC7" s="733"/>
      <c r="UPD7" s="733"/>
      <c r="UPE7" s="733"/>
      <c r="UPF7" s="733"/>
      <c r="UPG7" s="733"/>
      <c r="UPH7" s="733"/>
      <c r="UPI7" s="733"/>
      <c r="UPJ7" s="733"/>
      <c r="UPK7" s="733"/>
      <c r="UPL7" s="733"/>
      <c r="UPM7" s="733"/>
      <c r="UPN7" s="733"/>
      <c r="UPO7" s="733"/>
      <c r="UPP7" s="733"/>
      <c r="UPQ7" s="733"/>
      <c r="UPR7" s="733"/>
      <c r="UPS7" s="733"/>
      <c r="UPT7" s="733"/>
      <c r="UPU7" s="733"/>
      <c r="UPV7" s="733"/>
      <c r="UPW7" s="733"/>
      <c r="UPX7" s="733"/>
      <c r="UPY7" s="733"/>
      <c r="UPZ7" s="733"/>
      <c r="UQA7" s="733"/>
      <c r="UQB7" s="733"/>
      <c r="UQC7" s="733"/>
      <c r="UQD7" s="733"/>
      <c r="UQE7" s="733"/>
      <c r="UQF7" s="733"/>
      <c r="UQG7" s="733"/>
      <c r="UQH7" s="733"/>
      <c r="UQI7" s="733"/>
      <c r="UQJ7" s="733"/>
      <c r="UQK7" s="733"/>
      <c r="UQL7" s="733"/>
      <c r="UQM7" s="733"/>
      <c r="UQN7" s="733"/>
      <c r="UQO7" s="733"/>
      <c r="UQP7" s="733"/>
      <c r="UQQ7" s="733"/>
      <c r="UQR7" s="733"/>
      <c r="UQS7" s="733"/>
      <c r="UQT7" s="733"/>
      <c r="UQU7" s="733"/>
      <c r="UQV7" s="733"/>
      <c r="UQW7" s="733"/>
      <c r="UQX7" s="733"/>
      <c r="UQY7" s="733"/>
      <c r="UQZ7" s="733"/>
      <c r="URA7" s="733"/>
      <c r="URB7" s="733"/>
      <c r="URC7" s="733"/>
      <c r="URD7" s="733"/>
      <c r="URE7" s="733"/>
      <c r="URF7" s="733"/>
      <c r="URG7" s="733"/>
      <c r="URH7" s="733"/>
      <c r="URI7" s="733"/>
      <c r="URJ7" s="733"/>
      <c r="URK7" s="733"/>
      <c r="URL7" s="733"/>
      <c r="URM7" s="733"/>
      <c r="URN7" s="733"/>
      <c r="URO7" s="733"/>
      <c r="URP7" s="733"/>
      <c r="URQ7" s="733"/>
      <c r="URR7" s="733"/>
      <c r="URS7" s="733"/>
      <c r="URT7" s="733"/>
      <c r="URU7" s="733"/>
      <c r="URV7" s="733"/>
      <c r="URW7" s="733"/>
      <c r="URX7" s="733"/>
      <c r="URY7" s="733"/>
      <c r="URZ7" s="733"/>
      <c r="USA7" s="733"/>
      <c r="USB7" s="733"/>
      <c r="USC7" s="733"/>
      <c r="USD7" s="733"/>
      <c r="USE7" s="733"/>
      <c r="USF7" s="733"/>
      <c r="USG7" s="733"/>
      <c r="USH7" s="733"/>
      <c r="USI7" s="733"/>
      <c r="USJ7" s="733"/>
      <c r="USK7" s="733"/>
      <c r="USL7" s="733"/>
      <c r="USM7" s="733"/>
      <c r="USN7" s="733"/>
      <c r="USO7" s="733"/>
      <c r="USP7" s="733"/>
      <c r="USQ7" s="733"/>
      <c r="USR7" s="733"/>
      <c r="USS7" s="733"/>
      <c r="UST7" s="733"/>
      <c r="USU7" s="733"/>
      <c r="USV7" s="733"/>
      <c r="USW7" s="733"/>
      <c r="USX7" s="733"/>
      <c r="USY7" s="733"/>
      <c r="USZ7" s="733"/>
      <c r="UTA7" s="733"/>
      <c r="UTB7" s="733"/>
      <c r="UTC7" s="733"/>
      <c r="UTD7" s="733"/>
      <c r="UTE7" s="733"/>
      <c r="UTF7" s="733"/>
      <c r="UTG7" s="733"/>
      <c r="UTH7" s="733"/>
      <c r="UTI7" s="733"/>
      <c r="UTJ7" s="733"/>
      <c r="UTK7" s="733"/>
      <c r="UTL7" s="733"/>
      <c r="UTM7" s="733"/>
      <c r="UTN7" s="733"/>
      <c r="UTO7" s="733"/>
      <c r="UTP7" s="733"/>
      <c r="UTQ7" s="733"/>
      <c r="UTR7" s="733"/>
      <c r="UTS7" s="733"/>
      <c r="UTT7" s="733"/>
      <c r="UTU7" s="733"/>
      <c r="UTV7" s="733"/>
      <c r="UTW7" s="733"/>
      <c r="UTX7" s="733"/>
      <c r="UTY7" s="733"/>
      <c r="UTZ7" s="733"/>
      <c r="UUA7" s="733"/>
      <c r="UUB7" s="733"/>
      <c r="UUC7" s="733"/>
      <c r="UUD7" s="733"/>
      <c r="UUE7" s="733"/>
      <c r="UUF7" s="733"/>
      <c r="UUG7" s="733"/>
      <c r="UUH7" s="733"/>
      <c r="UUI7" s="733"/>
      <c r="UUJ7" s="733"/>
      <c r="UUK7" s="733"/>
      <c r="UUL7" s="733"/>
      <c r="UUM7" s="733"/>
      <c r="UUN7" s="733"/>
      <c r="UUO7" s="733"/>
      <c r="UUP7" s="733"/>
      <c r="UUQ7" s="733"/>
      <c r="UUR7" s="733"/>
      <c r="UUS7" s="733"/>
      <c r="UUT7" s="733"/>
      <c r="UUU7" s="733"/>
      <c r="UUV7" s="733"/>
      <c r="UUW7" s="733"/>
      <c r="UUX7" s="733"/>
      <c r="UUY7" s="733"/>
      <c r="UUZ7" s="733"/>
      <c r="UVA7" s="733"/>
      <c r="UVB7" s="733"/>
      <c r="UVC7" s="733"/>
      <c r="UVD7" s="733"/>
      <c r="UVE7" s="733"/>
      <c r="UVF7" s="733"/>
      <c r="UVG7" s="733"/>
      <c r="UVH7" s="733"/>
      <c r="UVI7" s="733"/>
      <c r="UVJ7" s="733"/>
      <c r="UVK7" s="733"/>
      <c r="UVL7" s="733"/>
      <c r="UVM7" s="733"/>
      <c r="UVN7" s="733"/>
      <c r="UVO7" s="733"/>
      <c r="UVP7" s="733"/>
      <c r="UVQ7" s="733"/>
      <c r="UVR7" s="733"/>
      <c r="UVS7" s="733"/>
      <c r="UVT7" s="733"/>
      <c r="UVU7" s="733"/>
      <c r="UVV7" s="733"/>
      <c r="UVW7" s="733"/>
      <c r="UVX7" s="733"/>
      <c r="UVY7" s="733"/>
      <c r="UVZ7" s="733"/>
      <c r="UWA7" s="733"/>
      <c r="UWB7" s="733"/>
      <c r="UWC7" s="733"/>
      <c r="UWD7" s="733"/>
      <c r="UWE7" s="733"/>
      <c r="UWF7" s="733"/>
      <c r="UWG7" s="733"/>
      <c r="UWH7" s="733"/>
      <c r="UWI7" s="733"/>
      <c r="UWJ7" s="733"/>
      <c r="UWK7" s="733"/>
      <c r="UWL7" s="733"/>
      <c r="UWM7" s="733"/>
      <c r="UWN7" s="733"/>
      <c r="UWO7" s="733"/>
      <c r="UWP7" s="733"/>
      <c r="UWQ7" s="733"/>
      <c r="UWR7" s="733"/>
      <c r="UWS7" s="733"/>
      <c r="UWT7" s="733"/>
      <c r="UWU7" s="733"/>
      <c r="UWV7" s="733"/>
      <c r="UWW7" s="733"/>
      <c r="UWX7" s="733"/>
      <c r="UWY7" s="733"/>
      <c r="UWZ7" s="733"/>
      <c r="UXA7" s="733"/>
      <c r="UXB7" s="733"/>
      <c r="UXC7" s="733"/>
      <c r="UXD7" s="733"/>
      <c r="UXE7" s="733"/>
      <c r="UXF7" s="733"/>
      <c r="UXG7" s="733"/>
      <c r="UXH7" s="733"/>
      <c r="UXI7" s="733"/>
      <c r="UXJ7" s="733"/>
      <c r="UXK7" s="733"/>
      <c r="UXL7" s="733"/>
      <c r="UXM7" s="733"/>
      <c r="UXN7" s="733"/>
      <c r="UXO7" s="733"/>
      <c r="UXP7" s="733"/>
      <c r="UXQ7" s="733"/>
      <c r="UXR7" s="733"/>
      <c r="UXS7" s="733"/>
      <c r="UXT7" s="733"/>
      <c r="UXU7" s="733"/>
      <c r="UXV7" s="733"/>
      <c r="UXW7" s="733"/>
      <c r="UXX7" s="733"/>
      <c r="UXY7" s="733"/>
      <c r="UXZ7" s="733"/>
      <c r="UYA7" s="733"/>
      <c r="UYB7" s="733"/>
      <c r="UYC7" s="733"/>
      <c r="UYD7" s="733"/>
      <c r="UYE7" s="733"/>
      <c r="UYF7" s="733"/>
      <c r="UYG7" s="733"/>
      <c r="UYH7" s="733"/>
      <c r="UYI7" s="733"/>
      <c r="UYJ7" s="733"/>
      <c r="UYK7" s="733"/>
      <c r="UYL7" s="733"/>
      <c r="UYM7" s="733"/>
      <c r="UYN7" s="733"/>
      <c r="UYO7" s="733"/>
      <c r="UYP7" s="733"/>
      <c r="UYQ7" s="733"/>
      <c r="UYR7" s="733"/>
      <c r="UYS7" s="733"/>
      <c r="UYT7" s="733"/>
      <c r="UYU7" s="733"/>
      <c r="UYV7" s="733"/>
      <c r="UYW7" s="733"/>
      <c r="UYX7" s="733"/>
      <c r="UYY7" s="733"/>
      <c r="UYZ7" s="733"/>
      <c r="UZA7" s="733"/>
      <c r="UZB7" s="733"/>
      <c r="UZC7" s="733"/>
      <c r="UZD7" s="733"/>
      <c r="UZE7" s="733"/>
      <c r="UZF7" s="733"/>
      <c r="UZG7" s="733"/>
      <c r="UZH7" s="733"/>
      <c r="UZI7" s="733"/>
      <c r="UZJ7" s="733"/>
      <c r="UZK7" s="733"/>
      <c r="UZL7" s="733"/>
      <c r="UZM7" s="733"/>
      <c r="UZN7" s="733"/>
      <c r="UZO7" s="733"/>
      <c r="UZP7" s="733"/>
      <c r="UZQ7" s="733"/>
      <c r="UZR7" s="733"/>
      <c r="UZS7" s="733"/>
      <c r="UZT7" s="733"/>
      <c r="UZU7" s="733"/>
      <c r="UZV7" s="733"/>
      <c r="UZW7" s="733"/>
      <c r="UZX7" s="733"/>
      <c r="UZY7" s="733"/>
      <c r="UZZ7" s="733"/>
      <c r="VAA7" s="733"/>
      <c r="VAB7" s="733"/>
      <c r="VAC7" s="733"/>
      <c r="VAD7" s="733"/>
      <c r="VAE7" s="733"/>
      <c r="VAF7" s="733"/>
      <c r="VAG7" s="733"/>
      <c r="VAH7" s="733"/>
      <c r="VAI7" s="733"/>
      <c r="VAJ7" s="733"/>
      <c r="VAK7" s="733"/>
      <c r="VAL7" s="733"/>
      <c r="VAM7" s="733"/>
      <c r="VAN7" s="733"/>
      <c r="VAO7" s="733"/>
      <c r="VAP7" s="733"/>
      <c r="VAQ7" s="733"/>
      <c r="VAR7" s="733"/>
      <c r="VAS7" s="733"/>
      <c r="VAT7" s="733"/>
      <c r="VAU7" s="733"/>
      <c r="VAV7" s="733"/>
      <c r="VAW7" s="733"/>
      <c r="VAX7" s="733"/>
      <c r="VAY7" s="733"/>
      <c r="VAZ7" s="733"/>
      <c r="VBA7" s="733"/>
      <c r="VBB7" s="733"/>
      <c r="VBC7" s="733"/>
      <c r="VBD7" s="733"/>
      <c r="VBE7" s="733"/>
      <c r="VBF7" s="733"/>
      <c r="VBG7" s="733"/>
      <c r="VBH7" s="733"/>
      <c r="VBI7" s="733"/>
      <c r="VBJ7" s="733"/>
      <c r="VBK7" s="733"/>
      <c r="VBL7" s="733"/>
      <c r="VBM7" s="733"/>
      <c r="VBN7" s="733"/>
      <c r="VBO7" s="733"/>
      <c r="VBP7" s="733"/>
      <c r="VBQ7" s="733"/>
      <c r="VBR7" s="733"/>
      <c r="VBS7" s="733"/>
      <c r="VBT7" s="733"/>
      <c r="VBU7" s="733"/>
      <c r="VBV7" s="733"/>
      <c r="VBW7" s="733"/>
      <c r="VBX7" s="733"/>
      <c r="VBY7" s="733"/>
      <c r="VBZ7" s="733"/>
      <c r="VCA7" s="733"/>
      <c r="VCB7" s="733"/>
      <c r="VCC7" s="733"/>
      <c r="VCD7" s="733"/>
      <c r="VCE7" s="733"/>
      <c r="VCF7" s="733"/>
      <c r="VCG7" s="733"/>
      <c r="VCH7" s="733"/>
      <c r="VCI7" s="733"/>
      <c r="VCJ7" s="733"/>
      <c r="VCK7" s="733"/>
      <c r="VCL7" s="733"/>
      <c r="VCM7" s="733"/>
      <c r="VCN7" s="733"/>
      <c r="VCO7" s="733"/>
      <c r="VCP7" s="733"/>
      <c r="VCQ7" s="733"/>
      <c r="VCR7" s="733"/>
      <c r="VCS7" s="733"/>
      <c r="VCT7" s="733"/>
      <c r="VCU7" s="733"/>
      <c r="VCV7" s="733"/>
      <c r="VCW7" s="733"/>
      <c r="VCX7" s="733"/>
      <c r="VCY7" s="733"/>
      <c r="VCZ7" s="733"/>
      <c r="VDA7" s="733"/>
      <c r="VDB7" s="733"/>
      <c r="VDC7" s="733"/>
      <c r="VDD7" s="733"/>
      <c r="VDE7" s="733"/>
      <c r="VDF7" s="733"/>
      <c r="VDG7" s="733"/>
      <c r="VDH7" s="733"/>
      <c r="VDI7" s="733"/>
      <c r="VDJ7" s="733"/>
      <c r="VDK7" s="733"/>
      <c r="VDL7" s="733"/>
      <c r="VDM7" s="733"/>
      <c r="VDN7" s="733"/>
      <c r="VDO7" s="733"/>
      <c r="VDP7" s="733"/>
      <c r="VDQ7" s="733"/>
      <c r="VDR7" s="733"/>
      <c r="VDS7" s="733"/>
      <c r="VDT7" s="733"/>
      <c r="VDU7" s="733"/>
      <c r="VDV7" s="733"/>
      <c r="VDW7" s="733"/>
      <c r="VDX7" s="733"/>
      <c r="VDY7" s="733"/>
      <c r="VDZ7" s="733"/>
      <c r="VEA7" s="733"/>
      <c r="VEB7" s="733"/>
      <c r="VEC7" s="733"/>
      <c r="VED7" s="733"/>
      <c r="VEE7" s="733"/>
      <c r="VEF7" s="733"/>
      <c r="VEG7" s="733"/>
      <c r="VEH7" s="733"/>
      <c r="VEI7" s="733"/>
      <c r="VEJ7" s="733"/>
      <c r="VEK7" s="733"/>
      <c r="VEL7" s="733"/>
      <c r="VEM7" s="733"/>
      <c r="VEN7" s="733"/>
      <c r="VEO7" s="733"/>
      <c r="VEP7" s="733"/>
      <c r="VEQ7" s="733"/>
      <c r="VER7" s="733"/>
      <c r="VES7" s="733"/>
      <c r="VET7" s="733"/>
      <c r="VEU7" s="733"/>
      <c r="VEV7" s="733"/>
      <c r="VEW7" s="733"/>
      <c r="VEX7" s="733"/>
      <c r="VEY7" s="733"/>
      <c r="VEZ7" s="733"/>
      <c r="VFA7" s="733"/>
      <c r="VFB7" s="733"/>
      <c r="VFC7" s="733"/>
      <c r="VFD7" s="733"/>
      <c r="VFE7" s="733"/>
      <c r="VFF7" s="733"/>
      <c r="VFG7" s="733"/>
      <c r="VFH7" s="733"/>
      <c r="VFI7" s="733"/>
      <c r="VFJ7" s="733"/>
      <c r="VFK7" s="733"/>
      <c r="VFL7" s="733"/>
      <c r="VFM7" s="733"/>
      <c r="VFN7" s="733"/>
      <c r="VFO7" s="733"/>
      <c r="VFP7" s="733"/>
      <c r="VFQ7" s="733"/>
      <c r="VFR7" s="733"/>
      <c r="VFS7" s="733"/>
      <c r="VFT7" s="733"/>
      <c r="VFU7" s="733"/>
      <c r="VFV7" s="733"/>
      <c r="VFW7" s="733"/>
      <c r="VFX7" s="733"/>
      <c r="VFY7" s="733"/>
      <c r="VFZ7" s="733"/>
      <c r="VGA7" s="733"/>
      <c r="VGB7" s="733"/>
      <c r="VGC7" s="733"/>
      <c r="VGD7" s="733"/>
      <c r="VGE7" s="733"/>
      <c r="VGF7" s="733"/>
      <c r="VGG7" s="733"/>
      <c r="VGH7" s="733"/>
      <c r="VGI7" s="733"/>
      <c r="VGJ7" s="733"/>
      <c r="VGK7" s="733"/>
      <c r="VGL7" s="733"/>
      <c r="VGM7" s="733"/>
      <c r="VGN7" s="733"/>
      <c r="VGO7" s="733"/>
      <c r="VGP7" s="733"/>
      <c r="VGQ7" s="733"/>
      <c r="VGR7" s="733"/>
      <c r="VGS7" s="733"/>
      <c r="VGT7" s="733"/>
      <c r="VGU7" s="733"/>
      <c r="VGV7" s="733"/>
      <c r="VGW7" s="733"/>
      <c r="VGX7" s="733"/>
      <c r="VGY7" s="733"/>
      <c r="VGZ7" s="733"/>
      <c r="VHA7" s="733"/>
      <c r="VHB7" s="733"/>
      <c r="VHC7" s="733"/>
      <c r="VHD7" s="733"/>
      <c r="VHE7" s="733"/>
      <c r="VHF7" s="733"/>
      <c r="VHG7" s="733"/>
      <c r="VHH7" s="733"/>
      <c r="VHI7" s="733"/>
      <c r="VHJ7" s="733"/>
      <c r="VHK7" s="733"/>
      <c r="VHL7" s="733"/>
      <c r="VHM7" s="733"/>
      <c r="VHN7" s="733"/>
      <c r="VHO7" s="733"/>
      <c r="VHP7" s="733"/>
      <c r="VHQ7" s="733"/>
      <c r="VHR7" s="733"/>
      <c r="VHS7" s="733"/>
      <c r="VHT7" s="733"/>
      <c r="VHU7" s="733"/>
      <c r="VHV7" s="733"/>
      <c r="VHW7" s="733"/>
      <c r="VHX7" s="733"/>
      <c r="VHY7" s="733"/>
      <c r="VHZ7" s="733"/>
      <c r="VIA7" s="733"/>
      <c r="VIB7" s="733"/>
      <c r="VIC7" s="733"/>
      <c r="VID7" s="733"/>
      <c r="VIE7" s="733"/>
      <c r="VIF7" s="733"/>
      <c r="VIG7" s="733"/>
      <c r="VIH7" s="733"/>
      <c r="VII7" s="733"/>
      <c r="VIJ7" s="733"/>
      <c r="VIK7" s="733"/>
      <c r="VIL7" s="733"/>
      <c r="VIM7" s="733"/>
      <c r="VIN7" s="733"/>
      <c r="VIO7" s="733"/>
      <c r="VIP7" s="733"/>
      <c r="VIQ7" s="733"/>
      <c r="VIR7" s="733"/>
      <c r="VIS7" s="733"/>
      <c r="VIT7" s="733"/>
      <c r="VIU7" s="733"/>
      <c r="VIV7" s="733"/>
      <c r="VIW7" s="733"/>
      <c r="VIX7" s="733"/>
      <c r="VIY7" s="733"/>
      <c r="VIZ7" s="733"/>
      <c r="VJA7" s="733"/>
      <c r="VJB7" s="733"/>
      <c r="VJC7" s="733"/>
      <c r="VJD7" s="733"/>
      <c r="VJE7" s="733"/>
      <c r="VJF7" s="733"/>
      <c r="VJG7" s="733"/>
      <c r="VJH7" s="733"/>
      <c r="VJI7" s="733"/>
      <c r="VJJ7" s="733"/>
      <c r="VJK7" s="733"/>
      <c r="VJL7" s="733"/>
      <c r="VJM7" s="733"/>
      <c r="VJN7" s="733"/>
      <c r="VJO7" s="733"/>
      <c r="VJP7" s="733"/>
      <c r="VJQ7" s="733"/>
      <c r="VJR7" s="733"/>
      <c r="VJS7" s="733"/>
      <c r="VJT7" s="733"/>
      <c r="VJU7" s="733"/>
      <c r="VJV7" s="733"/>
      <c r="VJW7" s="733"/>
      <c r="VJX7" s="733"/>
      <c r="VJY7" s="733"/>
      <c r="VJZ7" s="733"/>
      <c r="VKA7" s="733"/>
      <c r="VKB7" s="733"/>
      <c r="VKC7" s="733"/>
      <c r="VKD7" s="733"/>
      <c r="VKE7" s="733"/>
      <c r="VKF7" s="733"/>
      <c r="VKG7" s="733"/>
      <c r="VKH7" s="733"/>
      <c r="VKI7" s="733"/>
      <c r="VKJ7" s="733"/>
      <c r="VKK7" s="733"/>
      <c r="VKL7" s="733"/>
      <c r="VKM7" s="733"/>
      <c r="VKN7" s="733"/>
      <c r="VKO7" s="733"/>
      <c r="VKP7" s="733"/>
      <c r="VKQ7" s="733"/>
      <c r="VKR7" s="733"/>
      <c r="VKS7" s="733"/>
      <c r="VKT7" s="733"/>
      <c r="VKU7" s="733"/>
      <c r="VKV7" s="733"/>
      <c r="VKW7" s="733"/>
      <c r="VKX7" s="733"/>
      <c r="VKY7" s="733"/>
      <c r="VKZ7" s="733"/>
      <c r="VLA7" s="733"/>
      <c r="VLB7" s="733"/>
      <c r="VLC7" s="733"/>
      <c r="VLD7" s="733"/>
      <c r="VLE7" s="733"/>
      <c r="VLF7" s="733"/>
      <c r="VLG7" s="733"/>
      <c r="VLH7" s="733"/>
      <c r="VLI7" s="733"/>
      <c r="VLJ7" s="733"/>
      <c r="VLK7" s="733"/>
      <c r="VLL7" s="733"/>
      <c r="VLM7" s="733"/>
      <c r="VLN7" s="733"/>
      <c r="VLO7" s="733"/>
      <c r="VLP7" s="733"/>
      <c r="VLQ7" s="733"/>
      <c r="VLR7" s="733"/>
      <c r="VLS7" s="733"/>
      <c r="VLT7" s="733"/>
      <c r="VLU7" s="733"/>
      <c r="VLV7" s="733"/>
      <c r="VLW7" s="733"/>
      <c r="VLX7" s="733"/>
      <c r="VLY7" s="733"/>
      <c r="VLZ7" s="733"/>
      <c r="VMA7" s="733"/>
      <c r="VMB7" s="733"/>
      <c r="VMC7" s="733"/>
      <c r="VMD7" s="733"/>
      <c r="VME7" s="733"/>
      <c r="VMF7" s="733"/>
      <c r="VMG7" s="733"/>
      <c r="VMH7" s="733"/>
      <c r="VMI7" s="733"/>
      <c r="VMJ7" s="733"/>
      <c r="VMK7" s="733"/>
      <c r="VML7" s="733"/>
      <c r="VMM7" s="733"/>
      <c r="VMN7" s="733"/>
      <c r="VMO7" s="733"/>
      <c r="VMP7" s="733"/>
      <c r="VMQ7" s="733"/>
      <c r="VMR7" s="733"/>
      <c r="VMS7" s="733"/>
      <c r="VMT7" s="733"/>
      <c r="VMU7" s="733"/>
      <c r="VMV7" s="733"/>
      <c r="VMW7" s="733"/>
      <c r="VMX7" s="733"/>
      <c r="VMY7" s="733"/>
      <c r="VMZ7" s="733"/>
      <c r="VNA7" s="733"/>
      <c r="VNB7" s="733"/>
      <c r="VNC7" s="733"/>
      <c r="VND7" s="733"/>
      <c r="VNE7" s="733"/>
      <c r="VNF7" s="733"/>
      <c r="VNG7" s="733"/>
      <c r="VNH7" s="733"/>
      <c r="VNI7" s="733"/>
      <c r="VNJ7" s="733"/>
      <c r="VNK7" s="733"/>
      <c r="VNL7" s="733"/>
      <c r="VNM7" s="733"/>
      <c r="VNN7" s="733"/>
      <c r="VNO7" s="733"/>
      <c r="VNP7" s="733"/>
      <c r="VNQ7" s="733"/>
      <c r="VNR7" s="733"/>
      <c r="VNS7" s="733"/>
      <c r="VNT7" s="733"/>
      <c r="VNU7" s="733"/>
      <c r="VNV7" s="733"/>
      <c r="VNW7" s="733"/>
      <c r="VNX7" s="733"/>
      <c r="VNY7" s="733"/>
      <c r="VNZ7" s="733"/>
      <c r="VOA7" s="733"/>
      <c r="VOB7" s="733"/>
      <c r="VOC7" s="733"/>
      <c r="VOD7" s="733"/>
      <c r="VOE7" s="733"/>
      <c r="VOF7" s="733"/>
      <c r="VOG7" s="733"/>
      <c r="VOH7" s="733"/>
      <c r="VOI7" s="733"/>
      <c r="VOJ7" s="733"/>
      <c r="VOK7" s="733"/>
      <c r="VOL7" s="733"/>
      <c r="VOM7" s="733"/>
      <c r="VON7" s="733"/>
      <c r="VOO7" s="733"/>
      <c r="VOP7" s="733"/>
      <c r="VOQ7" s="733"/>
      <c r="VOR7" s="733"/>
      <c r="VOS7" s="733"/>
      <c r="VOT7" s="733"/>
      <c r="VOU7" s="733"/>
      <c r="VOV7" s="733"/>
      <c r="VOW7" s="733"/>
      <c r="VOX7" s="733"/>
      <c r="VOY7" s="733"/>
      <c r="VOZ7" s="733"/>
      <c r="VPA7" s="733"/>
      <c r="VPB7" s="733"/>
      <c r="VPC7" s="733"/>
      <c r="VPD7" s="733"/>
      <c r="VPE7" s="733"/>
      <c r="VPF7" s="733"/>
      <c r="VPG7" s="733"/>
      <c r="VPH7" s="733"/>
      <c r="VPI7" s="733"/>
      <c r="VPJ7" s="733"/>
      <c r="VPK7" s="733"/>
      <c r="VPL7" s="733"/>
      <c r="VPM7" s="733"/>
      <c r="VPN7" s="733"/>
      <c r="VPO7" s="733"/>
      <c r="VPP7" s="733"/>
      <c r="VPQ7" s="733"/>
      <c r="VPR7" s="733"/>
      <c r="VPS7" s="733"/>
      <c r="VPT7" s="733"/>
      <c r="VPU7" s="733"/>
      <c r="VPV7" s="733"/>
      <c r="VPW7" s="733"/>
      <c r="VPX7" s="733"/>
      <c r="VPY7" s="733"/>
      <c r="VPZ7" s="733"/>
      <c r="VQA7" s="733"/>
      <c r="VQB7" s="733"/>
      <c r="VQC7" s="733"/>
      <c r="VQD7" s="733"/>
      <c r="VQE7" s="733"/>
      <c r="VQF7" s="733"/>
      <c r="VQG7" s="733"/>
      <c r="VQH7" s="733"/>
      <c r="VQI7" s="733"/>
      <c r="VQJ7" s="733"/>
      <c r="VQK7" s="733"/>
      <c r="VQL7" s="733"/>
      <c r="VQM7" s="733"/>
      <c r="VQN7" s="733"/>
      <c r="VQO7" s="733"/>
      <c r="VQP7" s="733"/>
      <c r="VQQ7" s="733"/>
      <c r="VQR7" s="733"/>
      <c r="VQS7" s="733"/>
      <c r="VQT7" s="733"/>
      <c r="VQU7" s="733"/>
      <c r="VQV7" s="733"/>
      <c r="VQW7" s="733"/>
      <c r="VQX7" s="733"/>
      <c r="VQY7" s="733"/>
      <c r="VQZ7" s="733"/>
      <c r="VRA7" s="733"/>
      <c r="VRB7" s="733"/>
      <c r="VRC7" s="733"/>
      <c r="VRD7" s="733"/>
      <c r="VRE7" s="733"/>
      <c r="VRF7" s="733"/>
      <c r="VRG7" s="733"/>
      <c r="VRH7" s="733"/>
      <c r="VRI7" s="733"/>
      <c r="VRJ7" s="733"/>
      <c r="VRK7" s="733"/>
      <c r="VRL7" s="733"/>
      <c r="VRM7" s="733"/>
      <c r="VRN7" s="733"/>
      <c r="VRO7" s="733"/>
      <c r="VRP7" s="733"/>
      <c r="VRQ7" s="733"/>
      <c r="VRR7" s="733"/>
      <c r="VRS7" s="733"/>
      <c r="VRT7" s="733"/>
      <c r="VRU7" s="733"/>
      <c r="VRV7" s="733"/>
      <c r="VRW7" s="733"/>
      <c r="VRX7" s="733"/>
      <c r="VRY7" s="733"/>
      <c r="VRZ7" s="733"/>
      <c r="VSA7" s="733"/>
      <c r="VSB7" s="733"/>
      <c r="VSC7" s="733"/>
      <c r="VSD7" s="733"/>
      <c r="VSE7" s="733"/>
      <c r="VSF7" s="733"/>
      <c r="VSG7" s="733"/>
      <c r="VSH7" s="733"/>
      <c r="VSI7" s="733"/>
      <c r="VSJ7" s="733"/>
      <c r="VSK7" s="733"/>
      <c r="VSL7" s="733"/>
      <c r="VSM7" s="733"/>
      <c r="VSN7" s="733"/>
      <c r="VSO7" s="733"/>
      <c r="VSP7" s="733"/>
      <c r="VSQ7" s="733"/>
      <c r="VSR7" s="733"/>
      <c r="VSS7" s="733"/>
      <c r="VST7" s="733"/>
      <c r="VSU7" s="733"/>
      <c r="VSV7" s="733"/>
      <c r="VSW7" s="733"/>
      <c r="VSX7" s="733"/>
      <c r="VSY7" s="733"/>
      <c r="VSZ7" s="733"/>
      <c r="VTA7" s="733"/>
      <c r="VTB7" s="733"/>
      <c r="VTC7" s="733"/>
      <c r="VTD7" s="733"/>
      <c r="VTE7" s="733"/>
      <c r="VTF7" s="733"/>
      <c r="VTG7" s="733"/>
      <c r="VTH7" s="733"/>
      <c r="VTI7" s="733"/>
      <c r="VTJ7" s="733"/>
      <c r="VTK7" s="733"/>
      <c r="VTL7" s="733"/>
      <c r="VTM7" s="733"/>
      <c r="VTN7" s="733"/>
      <c r="VTO7" s="733"/>
      <c r="VTP7" s="733"/>
      <c r="VTQ7" s="733"/>
      <c r="VTR7" s="733"/>
      <c r="VTS7" s="733"/>
      <c r="VTT7" s="733"/>
      <c r="VTU7" s="733"/>
      <c r="VTV7" s="733"/>
      <c r="VTW7" s="733"/>
      <c r="VTX7" s="733"/>
      <c r="VTY7" s="733"/>
      <c r="VTZ7" s="733"/>
      <c r="VUA7" s="733"/>
      <c r="VUB7" s="733"/>
      <c r="VUC7" s="733"/>
      <c r="VUD7" s="733"/>
      <c r="VUE7" s="733"/>
      <c r="VUF7" s="733"/>
      <c r="VUG7" s="733"/>
      <c r="VUH7" s="733"/>
      <c r="VUI7" s="733"/>
      <c r="VUJ7" s="733"/>
      <c r="VUK7" s="733"/>
      <c r="VUL7" s="733"/>
      <c r="VUM7" s="733"/>
      <c r="VUN7" s="733"/>
      <c r="VUO7" s="733"/>
      <c r="VUP7" s="733"/>
      <c r="VUQ7" s="733"/>
      <c r="VUR7" s="733"/>
      <c r="VUS7" s="733"/>
      <c r="VUT7" s="733"/>
      <c r="VUU7" s="733"/>
      <c r="VUV7" s="733"/>
      <c r="VUW7" s="733"/>
      <c r="VUX7" s="733"/>
      <c r="VUY7" s="733"/>
      <c r="VUZ7" s="733"/>
      <c r="VVA7" s="733"/>
      <c r="VVB7" s="733"/>
      <c r="VVC7" s="733"/>
      <c r="VVD7" s="733"/>
      <c r="VVE7" s="733"/>
      <c r="VVF7" s="733"/>
      <c r="VVG7" s="733"/>
      <c r="VVH7" s="733"/>
      <c r="VVI7" s="733"/>
      <c r="VVJ7" s="733"/>
      <c r="VVK7" s="733"/>
      <c r="VVL7" s="733"/>
      <c r="VVM7" s="733"/>
      <c r="VVN7" s="733"/>
      <c r="VVO7" s="733"/>
      <c r="VVP7" s="733"/>
      <c r="VVQ7" s="733"/>
      <c r="VVR7" s="733"/>
      <c r="VVS7" s="733"/>
      <c r="VVT7" s="733"/>
      <c r="VVU7" s="733"/>
      <c r="VVV7" s="733"/>
      <c r="VVW7" s="733"/>
      <c r="VVX7" s="733"/>
      <c r="VVY7" s="733"/>
      <c r="VVZ7" s="733"/>
      <c r="VWA7" s="733"/>
      <c r="VWB7" s="733"/>
      <c r="VWC7" s="733"/>
      <c r="VWD7" s="733"/>
      <c r="VWE7" s="733"/>
      <c r="VWF7" s="733"/>
      <c r="VWG7" s="733"/>
      <c r="VWH7" s="733"/>
      <c r="VWI7" s="733"/>
      <c r="VWJ7" s="733"/>
      <c r="VWK7" s="733"/>
      <c r="VWL7" s="733"/>
      <c r="VWM7" s="733"/>
      <c r="VWN7" s="733"/>
      <c r="VWO7" s="733"/>
      <c r="VWP7" s="733"/>
      <c r="VWQ7" s="733"/>
      <c r="VWR7" s="733"/>
      <c r="VWS7" s="733"/>
      <c r="VWT7" s="733"/>
      <c r="VWU7" s="733"/>
      <c r="VWV7" s="733"/>
      <c r="VWW7" s="733"/>
      <c r="VWX7" s="733"/>
      <c r="VWY7" s="733"/>
      <c r="VWZ7" s="733"/>
      <c r="VXA7" s="733"/>
      <c r="VXB7" s="733"/>
      <c r="VXC7" s="733"/>
      <c r="VXD7" s="733"/>
      <c r="VXE7" s="733"/>
      <c r="VXF7" s="733"/>
      <c r="VXG7" s="733"/>
      <c r="VXH7" s="733"/>
      <c r="VXI7" s="733"/>
      <c r="VXJ7" s="733"/>
      <c r="VXK7" s="733"/>
      <c r="VXL7" s="733"/>
      <c r="VXM7" s="733"/>
      <c r="VXN7" s="733"/>
      <c r="VXO7" s="733"/>
      <c r="VXP7" s="733"/>
      <c r="VXQ7" s="733"/>
      <c r="VXR7" s="733"/>
      <c r="VXS7" s="733"/>
      <c r="VXT7" s="733"/>
      <c r="VXU7" s="733"/>
      <c r="VXV7" s="733"/>
      <c r="VXW7" s="733"/>
      <c r="VXX7" s="733"/>
      <c r="VXY7" s="733"/>
      <c r="VXZ7" s="733"/>
      <c r="VYA7" s="733"/>
      <c r="VYB7" s="733"/>
      <c r="VYC7" s="733"/>
      <c r="VYD7" s="733"/>
      <c r="VYE7" s="733"/>
      <c r="VYF7" s="733"/>
      <c r="VYG7" s="733"/>
      <c r="VYH7" s="733"/>
      <c r="VYI7" s="733"/>
      <c r="VYJ7" s="733"/>
      <c r="VYK7" s="733"/>
      <c r="VYL7" s="733"/>
      <c r="VYM7" s="733"/>
      <c r="VYN7" s="733"/>
      <c r="VYO7" s="733"/>
      <c r="VYP7" s="733"/>
      <c r="VYQ7" s="733"/>
      <c r="VYR7" s="733"/>
      <c r="VYS7" s="733"/>
      <c r="VYT7" s="733"/>
      <c r="VYU7" s="733"/>
      <c r="VYV7" s="733"/>
      <c r="VYW7" s="733"/>
      <c r="VYX7" s="733"/>
      <c r="VYY7" s="733"/>
      <c r="VYZ7" s="733"/>
      <c r="VZA7" s="733"/>
      <c r="VZB7" s="733"/>
      <c r="VZC7" s="733"/>
      <c r="VZD7" s="733"/>
      <c r="VZE7" s="733"/>
      <c r="VZF7" s="733"/>
      <c r="VZG7" s="733"/>
      <c r="VZH7" s="733"/>
      <c r="VZI7" s="733"/>
      <c r="VZJ7" s="733"/>
      <c r="VZK7" s="733"/>
      <c r="VZL7" s="733"/>
      <c r="VZM7" s="733"/>
      <c r="VZN7" s="733"/>
      <c r="VZO7" s="733"/>
      <c r="VZP7" s="733"/>
      <c r="VZQ7" s="733"/>
      <c r="VZR7" s="733"/>
      <c r="VZS7" s="733"/>
      <c r="VZT7" s="733"/>
      <c r="VZU7" s="733"/>
      <c r="VZV7" s="733"/>
      <c r="VZW7" s="733"/>
      <c r="VZX7" s="733"/>
      <c r="VZY7" s="733"/>
      <c r="VZZ7" s="733"/>
      <c r="WAA7" s="733"/>
      <c r="WAB7" s="733"/>
      <c r="WAC7" s="733"/>
      <c r="WAD7" s="733"/>
      <c r="WAE7" s="733"/>
      <c r="WAF7" s="733"/>
      <c r="WAG7" s="733"/>
      <c r="WAH7" s="733"/>
      <c r="WAI7" s="733"/>
      <c r="WAJ7" s="733"/>
      <c r="WAK7" s="733"/>
      <c r="WAL7" s="733"/>
      <c r="WAM7" s="733"/>
      <c r="WAN7" s="733"/>
      <c r="WAO7" s="733"/>
      <c r="WAP7" s="733"/>
      <c r="WAQ7" s="733"/>
      <c r="WAR7" s="733"/>
      <c r="WAS7" s="733"/>
      <c r="WAT7" s="733"/>
      <c r="WAU7" s="733"/>
      <c r="WAV7" s="733"/>
      <c r="WAW7" s="733"/>
      <c r="WAX7" s="733"/>
      <c r="WAY7" s="733"/>
      <c r="WAZ7" s="733"/>
      <c r="WBA7" s="733"/>
      <c r="WBB7" s="733"/>
      <c r="WBC7" s="733"/>
      <c r="WBD7" s="733"/>
      <c r="WBE7" s="733"/>
      <c r="WBF7" s="733"/>
      <c r="WBG7" s="733"/>
      <c r="WBH7" s="733"/>
      <c r="WBI7" s="733"/>
      <c r="WBJ7" s="733"/>
      <c r="WBK7" s="733"/>
      <c r="WBL7" s="733"/>
      <c r="WBM7" s="733"/>
      <c r="WBN7" s="733"/>
      <c r="WBO7" s="733"/>
      <c r="WBP7" s="733"/>
      <c r="WBQ7" s="733"/>
      <c r="WBR7" s="733"/>
      <c r="WBS7" s="733"/>
      <c r="WBT7" s="733"/>
      <c r="WBU7" s="733"/>
      <c r="WBV7" s="733"/>
      <c r="WBW7" s="733"/>
      <c r="WBX7" s="733"/>
      <c r="WBY7" s="733"/>
      <c r="WBZ7" s="733"/>
      <c r="WCA7" s="733"/>
      <c r="WCB7" s="733"/>
      <c r="WCC7" s="733"/>
      <c r="WCD7" s="733"/>
      <c r="WCE7" s="733"/>
      <c r="WCF7" s="733"/>
      <c r="WCG7" s="733"/>
      <c r="WCH7" s="733"/>
      <c r="WCI7" s="733"/>
      <c r="WCJ7" s="733"/>
      <c r="WCK7" s="733"/>
      <c r="WCL7" s="733"/>
      <c r="WCM7" s="733"/>
      <c r="WCN7" s="733"/>
      <c r="WCO7" s="733"/>
      <c r="WCP7" s="733"/>
      <c r="WCQ7" s="733"/>
      <c r="WCR7" s="733"/>
      <c r="WCS7" s="733"/>
      <c r="WCT7" s="733"/>
      <c r="WCU7" s="733"/>
      <c r="WCV7" s="733"/>
      <c r="WCW7" s="733"/>
      <c r="WCX7" s="733"/>
      <c r="WCY7" s="733"/>
      <c r="WCZ7" s="733"/>
      <c r="WDA7" s="733"/>
      <c r="WDB7" s="733"/>
      <c r="WDC7" s="733"/>
      <c r="WDD7" s="733"/>
      <c r="WDE7" s="733"/>
      <c r="WDF7" s="733"/>
      <c r="WDG7" s="733"/>
      <c r="WDH7" s="733"/>
      <c r="WDI7" s="733"/>
      <c r="WDJ7" s="733"/>
      <c r="WDK7" s="733"/>
      <c r="WDL7" s="733"/>
      <c r="WDM7" s="733"/>
      <c r="WDN7" s="733"/>
      <c r="WDO7" s="733"/>
      <c r="WDP7" s="733"/>
      <c r="WDQ7" s="733"/>
      <c r="WDR7" s="733"/>
      <c r="WDS7" s="733"/>
      <c r="WDT7" s="733"/>
      <c r="WDU7" s="733"/>
      <c r="WDV7" s="733"/>
      <c r="WDW7" s="733"/>
      <c r="WDX7" s="733"/>
      <c r="WDY7" s="733"/>
      <c r="WDZ7" s="733"/>
      <c r="WEA7" s="733"/>
      <c r="WEB7" s="733"/>
      <c r="WEC7" s="733"/>
      <c r="WED7" s="733"/>
      <c r="WEE7" s="733"/>
      <c r="WEF7" s="733"/>
      <c r="WEG7" s="733"/>
      <c r="WEH7" s="733"/>
      <c r="WEI7" s="733"/>
      <c r="WEJ7" s="733"/>
      <c r="WEK7" s="733"/>
      <c r="WEL7" s="733"/>
      <c r="WEM7" s="733"/>
      <c r="WEN7" s="733"/>
      <c r="WEO7" s="733"/>
      <c r="WEP7" s="733"/>
      <c r="WEQ7" s="733"/>
      <c r="WER7" s="733"/>
      <c r="WES7" s="733"/>
      <c r="WET7" s="733"/>
      <c r="WEU7" s="733"/>
      <c r="WEV7" s="733"/>
      <c r="WEW7" s="733"/>
      <c r="WEX7" s="733"/>
      <c r="WEY7" s="733"/>
      <c r="WEZ7" s="733"/>
      <c r="WFA7" s="733"/>
      <c r="WFB7" s="733"/>
      <c r="WFC7" s="733"/>
      <c r="WFD7" s="733"/>
      <c r="WFE7" s="733"/>
      <c r="WFF7" s="733"/>
      <c r="WFG7" s="733"/>
      <c r="WFH7" s="733"/>
      <c r="WFI7" s="733"/>
      <c r="WFJ7" s="733"/>
      <c r="WFK7" s="733"/>
      <c r="WFL7" s="733"/>
      <c r="WFM7" s="733"/>
      <c r="WFN7" s="733"/>
      <c r="WFO7" s="733"/>
      <c r="WFP7" s="733"/>
      <c r="WFQ7" s="733"/>
      <c r="WFR7" s="733"/>
      <c r="WFS7" s="733"/>
      <c r="WFT7" s="733"/>
      <c r="WFU7" s="733"/>
      <c r="WFV7" s="733"/>
      <c r="WFW7" s="733"/>
      <c r="WFX7" s="733"/>
      <c r="WFY7" s="733"/>
      <c r="WFZ7" s="733"/>
      <c r="WGA7" s="733"/>
      <c r="WGB7" s="733"/>
      <c r="WGC7" s="733"/>
      <c r="WGD7" s="733"/>
      <c r="WGE7" s="733"/>
      <c r="WGF7" s="733"/>
      <c r="WGG7" s="733"/>
      <c r="WGH7" s="733"/>
      <c r="WGI7" s="733"/>
      <c r="WGJ7" s="733"/>
      <c r="WGK7" s="733"/>
      <c r="WGL7" s="733"/>
      <c r="WGM7" s="733"/>
      <c r="WGN7" s="733"/>
      <c r="WGO7" s="733"/>
      <c r="WGP7" s="733"/>
      <c r="WGQ7" s="733"/>
      <c r="WGR7" s="733"/>
      <c r="WGS7" s="733"/>
      <c r="WGT7" s="733"/>
      <c r="WGU7" s="733"/>
      <c r="WGV7" s="733"/>
      <c r="WGW7" s="733"/>
      <c r="WGX7" s="733"/>
      <c r="WGY7" s="733"/>
      <c r="WGZ7" s="733"/>
      <c r="WHA7" s="733"/>
      <c r="WHB7" s="733"/>
      <c r="WHC7" s="733"/>
      <c r="WHD7" s="733"/>
      <c r="WHE7" s="733"/>
      <c r="WHF7" s="733"/>
      <c r="WHG7" s="733"/>
      <c r="WHH7" s="733"/>
      <c r="WHI7" s="733"/>
      <c r="WHJ7" s="733"/>
      <c r="WHK7" s="733"/>
      <c r="WHL7" s="733"/>
      <c r="WHM7" s="733"/>
      <c r="WHN7" s="733"/>
      <c r="WHO7" s="733"/>
      <c r="WHP7" s="733"/>
      <c r="WHQ7" s="733"/>
      <c r="WHR7" s="733"/>
      <c r="WHS7" s="733"/>
      <c r="WHT7" s="733"/>
      <c r="WHU7" s="733"/>
      <c r="WHV7" s="733"/>
      <c r="WHW7" s="733"/>
      <c r="WHX7" s="733"/>
      <c r="WHY7" s="733"/>
      <c r="WHZ7" s="733"/>
      <c r="WIA7" s="733"/>
      <c r="WIB7" s="733"/>
      <c r="WIC7" s="733"/>
      <c r="WID7" s="733"/>
      <c r="WIE7" s="733"/>
      <c r="WIF7" s="733"/>
      <c r="WIG7" s="733"/>
      <c r="WIH7" s="733"/>
      <c r="WII7" s="733"/>
      <c r="WIJ7" s="733"/>
      <c r="WIK7" s="733"/>
      <c r="WIL7" s="733"/>
      <c r="WIM7" s="733"/>
      <c r="WIN7" s="733"/>
      <c r="WIO7" s="733"/>
      <c r="WIP7" s="733"/>
      <c r="WIQ7" s="733"/>
      <c r="WIR7" s="733"/>
      <c r="WIS7" s="733"/>
      <c r="WIT7" s="733"/>
      <c r="WIU7" s="733"/>
      <c r="WIV7" s="733"/>
      <c r="WIW7" s="733"/>
      <c r="WIX7" s="733"/>
      <c r="WIY7" s="733"/>
      <c r="WIZ7" s="733"/>
      <c r="WJA7" s="733"/>
      <c r="WJB7" s="733"/>
      <c r="WJC7" s="733"/>
      <c r="WJD7" s="733"/>
      <c r="WJE7" s="733"/>
      <c r="WJF7" s="733"/>
      <c r="WJG7" s="733"/>
      <c r="WJH7" s="733"/>
      <c r="WJI7" s="733"/>
      <c r="WJJ7" s="733"/>
      <c r="WJK7" s="733"/>
      <c r="WJL7" s="733"/>
      <c r="WJM7" s="733"/>
      <c r="WJN7" s="733"/>
      <c r="WJO7" s="733"/>
      <c r="WJP7" s="733"/>
      <c r="WJQ7" s="733"/>
      <c r="WJR7" s="733"/>
      <c r="WJS7" s="733"/>
      <c r="WJT7" s="733"/>
      <c r="WJU7" s="733"/>
      <c r="WJV7" s="733"/>
      <c r="WJW7" s="733"/>
      <c r="WJX7" s="733"/>
      <c r="WJY7" s="733"/>
      <c r="WJZ7" s="733"/>
      <c r="WKA7" s="733"/>
      <c r="WKB7" s="733"/>
      <c r="WKC7" s="733"/>
      <c r="WKD7" s="733"/>
      <c r="WKE7" s="733"/>
      <c r="WKF7" s="733"/>
      <c r="WKG7" s="733"/>
      <c r="WKH7" s="733"/>
      <c r="WKI7" s="733"/>
      <c r="WKJ7" s="733"/>
      <c r="WKK7" s="733"/>
      <c r="WKL7" s="733"/>
      <c r="WKM7" s="733"/>
      <c r="WKN7" s="733"/>
      <c r="WKO7" s="733"/>
      <c r="WKP7" s="733"/>
      <c r="WKQ7" s="733"/>
      <c r="WKR7" s="733"/>
      <c r="WKS7" s="733"/>
      <c r="WKT7" s="733"/>
      <c r="WKU7" s="733"/>
      <c r="WKV7" s="733"/>
      <c r="WKW7" s="733"/>
      <c r="WKX7" s="733"/>
      <c r="WKY7" s="733"/>
      <c r="WKZ7" s="733"/>
      <c r="WLA7" s="733"/>
      <c r="WLB7" s="733"/>
      <c r="WLC7" s="733"/>
      <c r="WLD7" s="733"/>
      <c r="WLE7" s="733"/>
      <c r="WLF7" s="733"/>
      <c r="WLG7" s="733"/>
      <c r="WLH7" s="733"/>
      <c r="WLI7" s="733"/>
      <c r="WLJ7" s="733"/>
      <c r="WLK7" s="733"/>
      <c r="WLL7" s="733"/>
      <c r="WLM7" s="733"/>
      <c r="WLN7" s="733"/>
      <c r="WLO7" s="733"/>
      <c r="WLP7" s="733"/>
      <c r="WLQ7" s="733"/>
      <c r="WLR7" s="733"/>
      <c r="WLS7" s="733"/>
      <c r="WLT7" s="733"/>
      <c r="WLU7" s="733"/>
      <c r="WLV7" s="733"/>
      <c r="WLW7" s="733"/>
      <c r="WLX7" s="733"/>
      <c r="WLY7" s="733"/>
      <c r="WLZ7" s="733"/>
      <c r="WMA7" s="733"/>
      <c r="WMB7" s="733"/>
      <c r="WMC7" s="733"/>
      <c r="WMD7" s="733"/>
      <c r="WME7" s="733"/>
      <c r="WMF7" s="733"/>
      <c r="WMG7" s="733"/>
      <c r="WMH7" s="733"/>
      <c r="WMI7" s="733"/>
      <c r="WMJ7" s="733"/>
      <c r="WMK7" s="733"/>
      <c r="WML7" s="733"/>
      <c r="WMM7" s="733"/>
      <c r="WMN7" s="733"/>
      <c r="WMO7" s="733"/>
      <c r="WMP7" s="733"/>
      <c r="WMQ7" s="733"/>
      <c r="WMR7" s="733"/>
      <c r="WMS7" s="733"/>
      <c r="WMT7" s="733"/>
      <c r="WMU7" s="733"/>
      <c r="WMV7" s="733"/>
      <c r="WMW7" s="733"/>
      <c r="WMX7" s="733"/>
      <c r="WMY7" s="733"/>
      <c r="WMZ7" s="733"/>
      <c r="WNA7" s="733"/>
      <c r="WNB7" s="733"/>
      <c r="WNC7" s="733"/>
      <c r="WND7" s="733"/>
      <c r="WNE7" s="733"/>
      <c r="WNF7" s="733"/>
      <c r="WNG7" s="733"/>
      <c r="WNH7" s="733"/>
      <c r="WNI7" s="733"/>
      <c r="WNJ7" s="733"/>
      <c r="WNK7" s="733"/>
      <c r="WNL7" s="733"/>
      <c r="WNM7" s="733"/>
      <c r="WNN7" s="733"/>
      <c r="WNO7" s="733"/>
      <c r="WNP7" s="733"/>
      <c r="WNQ7" s="733"/>
      <c r="WNR7" s="733"/>
      <c r="WNS7" s="733"/>
      <c r="WNT7" s="733"/>
      <c r="WNU7" s="733"/>
      <c r="WNV7" s="733"/>
      <c r="WNW7" s="733"/>
      <c r="WNX7" s="733"/>
      <c r="WNY7" s="733"/>
      <c r="WNZ7" s="733"/>
      <c r="WOA7" s="733"/>
      <c r="WOB7" s="733"/>
      <c r="WOC7" s="733"/>
      <c r="WOD7" s="733"/>
      <c r="WOE7" s="733"/>
      <c r="WOF7" s="733"/>
      <c r="WOG7" s="733"/>
      <c r="WOH7" s="733"/>
      <c r="WOI7" s="733"/>
      <c r="WOJ7" s="733"/>
      <c r="WOK7" s="733"/>
      <c r="WOL7" s="733"/>
      <c r="WOM7" s="733"/>
      <c r="WON7" s="733"/>
      <c r="WOO7" s="733"/>
      <c r="WOP7" s="733"/>
      <c r="WOQ7" s="733"/>
      <c r="WOR7" s="733"/>
      <c r="WOS7" s="733"/>
      <c r="WOT7" s="733"/>
      <c r="WOU7" s="733"/>
      <c r="WOV7" s="733"/>
      <c r="WOW7" s="733"/>
      <c r="WOX7" s="733"/>
      <c r="WOY7" s="733"/>
      <c r="WOZ7" s="733"/>
      <c r="WPA7" s="733"/>
      <c r="WPB7" s="733"/>
      <c r="WPC7" s="733"/>
      <c r="WPD7" s="733"/>
      <c r="WPE7" s="733"/>
      <c r="WPF7" s="733"/>
      <c r="WPG7" s="733"/>
      <c r="WPH7" s="733"/>
      <c r="WPI7" s="733"/>
      <c r="WPJ7" s="733"/>
      <c r="WPK7" s="733"/>
      <c r="WPL7" s="733"/>
      <c r="WPM7" s="733"/>
      <c r="WPN7" s="733"/>
      <c r="WPO7" s="733"/>
      <c r="WPP7" s="733"/>
      <c r="WPQ7" s="733"/>
      <c r="WPR7" s="733"/>
      <c r="WPS7" s="733"/>
      <c r="WPT7" s="733"/>
      <c r="WPU7" s="733"/>
      <c r="WPV7" s="733"/>
      <c r="WPW7" s="733"/>
      <c r="WPX7" s="733"/>
      <c r="WPY7" s="733"/>
      <c r="WPZ7" s="733"/>
      <c r="WQA7" s="733"/>
      <c r="WQB7" s="733"/>
      <c r="WQC7" s="733"/>
      <c r="WQD7" s="733"/>
      <c r="WQE7" s="733"/>
      <c r="WQF7" s="733"/>
      <c r="WQG7" s="733"/>
      <c r="WQH7" s="733"/>
      <c r="WQI7" s="733"/>
      <c r="WQJ7" s="733"/>
      <c r="WQK7" s="733"/>
      <c r="WQL7" s="733"/>
      <c r="WQM7" s="733"/>
      <c r="WQN7" s="733"/>
      <c r="WQO7" s="733"/>
      <c r="WQP7" s="733"/>
      <c r="WQQ7" s="733"/>
      <c r="WQR7" s="733"/>
      <c r="WQS7" s="733"/>
      <c r="WQT7" s="733"/>
      <c r="WQU7" s="733"/>
      <c r="WQV7" s="733"/>
      <c r="WQW7" s="733"/>
      <c r="WQX7" s="733"/>
      <c r="WQY7" s="733"/>
      <c r="WQZ7" s="733"/>
      <c r="WRA7" s="733"/>
      <c r="WRB7" s="733"/>
      <c r="WRC7" s="733"/>
      <c r="WRD7" s="733"/>
      <c r="WRE7" s="733"/>
      <c r="WRF7" s="733"/>
      <c r="WRG7" s="733"/>
      <c r="WRH7" s="733"/>
      <c r="WRI7" s="733"/>
      <c r="WRJ7" s="733"/>
      <c r="WRK7" s="733"/>
      <c r="WRL7" s="733"/>
      <c r="WRM7" s="733"/>
      <c r="WRN7" s="733"/>
      <c r="WRO7" s="733"/>
      <c r="WRP7" s="733"/>
      <c r="WRQ7" s="733"/>
      <c r="WRR7" s="733"/>
      <c r="WRS7" s="733"/>
      <c r="WRT7" s="733"/>
      <c r="WRU7" s="733"/>
      <c r="WRV7" s="733"/>
      <c r="WRW7" s="733"/>
      <c r="WRX7" s="733"/>
      <c r="WRY7" s="733"/>
      <c r="WRZ7" s="733"/>
      <c r="WSA7" s="733"/>
      <c r="WSB7" s="733"/>
      <c r="WSC7" s="733"/>
      <c r="WSD7" s="733"/>
      <c r="WSE7" s="733"/>
      <c r="WSF7" s="733"/>
      <c r="WSG7" s="733"/>
      <c r="WSH7" s="733"/>
      <c r="WSI7" s="733"/>
      <c r="WSJ7" s="733"/>
      <c r="WSK7" s="733"/>
      <c r="WSL7" s="733"/>
      <c r="WSM7" s="733"/>
      <c r="WSN7" s="733"/>
      <c r="WSO7" s="733"/>
      <c r="WSP7" s="733"/>
      <c r="WSQ7" s="733"/>
      <c r="WSR7" s="733"/>
      <c r="WSS7" s="733"/>
      <c r="WST7" s="733"/>
      <c r="WSU7" s="733"/>
      <c r="WSV7" s="733"/>
      <c r="WSW7" s="733"/>
      <c r="WSX7" s="733"/>
      <c r="WSY7" s="733"/>
      <c r="WSZ7" s="733"/>
      <c r="WTA7" s="733"/>
      <c r="WTB7" s="733"/>
      <c r="WTC7" s="733"/>
      <c r="WTD7" s="733"/>
      <c r="WTE7" s="733"/>
      <c r="WTF7" s="733"/>
      <c r="WTG7" s="733"/>
      <c r="WTH7" s="733"/>
      <c r="WTI7" s="733"/>
      <c r="WTJ7" s="733"/>
      <c r="WTK7" s="733"/>
      <c r="WTL7" s="733"/>
      <c r="WTM7" s="733"/>
      <c r="WTN7" s="733"/>
      <c r="WTO7" s="733"/>
      <c r="WTP7" s="733"/>
      <c r="WTQ7" s="733"/>
      <c r="WTR7" s="733"/>
      <c r="WTS7" s="733"/>
      <c r="WTT7" s="733"/>
      <c r="WTU7" s="733"/>
      <c r="WTV7" s="733"/>
      <c r="WTW7" s="733"/>
      <c r="WTX7" s="733"/>
      <c r="WTY7" s="733"/>
      <c r="WTZ7" s="733"/>
      <c r="WUA7" s="733"/>
      <c r="WUB7" s="733"/>
      <c r="WUC7" s="733"/>
      <c r="WUD7" s="733"/>
      <c r="WUE7" s="733"/>
      <c r="WUF7" s="733"/>
      <c r="WUG7" s="733"/>
      <c r="WUH7" s="733"/>
      <c r="WUI7" s="733"/>
      <c r="WUJ7" s="733"/>
      <c r="WUK7" s="733"/>
      <c r="WUL7" s="733"/>
      <c r="WUM7" s="733"/>
      <c r="WUN7" s="733"/>
      <c r="WUO7" s="733"/>
      <c r="WUP7" s="733"/>
      <c r="WUQ7" s="733"/>
      <c r="WUR7" s="733"/>
      <c r="WUS7" s="733"/>
      <c r="WUT7" s="733"/>
      <c r="WUU7" s="733"/>
      <c r="WUV7" s="733"/>
      <c r="WUW7" s="733"/>
      <c r="WUX7" s="733"/>
      <c r="WUY7" s="733"/>
      <c r="WUZ7" s="733"/>
      <c r="WVA7" s="733"/>
      <c r="WVB7" s="733"/>
      <c r="WVC7" s="733"/>
      <c r="WVD7" s="733"/>
      <c r="WVE7" s="733"/>
      <c r="WVF7" s="733"/>
      <c r="WVG7" s="733"/>
      <c r="WVH7" s="733"/>
      <c r="WVI7" s="733"/>
      <c r="WVJ7" s="733"/>
      <c r="WVK7" s="733"/>
      <c r="WVL7" s="733"/>
      <c r="WVM7" s="733"/>
      <c r="WVN7" s="733"/>
      <c r="WVO7" s="733"/>
      <c r="WVP7" s="733"/>
      <c r="WVQ7" s="733"/>
      <c r="WVR7" s="733"/>
      <c r="WVS7" s="733"/>
      <c r="WVT7" s="733"/>
      <c r="WVU7" s="733"/>
      <c r="WVV7" s="733"/>
      <c r="WVW7" s="733"/>
      <c r="WVX7" s="733"/>
      <c r="WVY7" s="733"/>
      <c r="WVZ7" s="733"/>
      <c r="WWA7" s="733"/>
      <c r="WWB7" s="733"/>
      <c r="WWC7" s="733"/>
      <c r="WWD7" s="733"/>
      <c r="WWE7" s="733"/>
      <c r="WWF7" s="733"/>
      <c r="WWG7" s="733"/>
      <c r="WWH7" s="733"/>
      <c r="WWI7" s="733"/>
      <c r="WWJ7" s="733"/>
      <c r="WWK7" s="733"/>
      <c r="WWL7" s="733"/>
      <c r="WWM7" s="733"/>
      <c r="WWN7" s="733"/>
      <c r="WWO7" s="733"/>
      <c r="WWP7" s="733"/>
      <c r="WWQ7" s="733"/>
      <c r="WWR7" s="733"/>
      <c r="WWS7" s="733"/>
      <c r="WWT7" s="733"/>
      <c r="WWU7" s="733"/>
      <c r="WWV7" s="733"/>
      <c r="WWW7" s="733"/>
      <c r="WWX7" s="733"/>
      <c r="WWY7" s="733"/>
      <c r="WWZ7" s="733"/>
      <c r="WXA7" s="733"/>
      <c r="WXB7" s="733"/>
      <c r="WXC7" s="733"/>
      <c r="WXD7" s="733"/>
      <c r="WXE7" s="733"/>
      <c r="WXF7" s="733"/>
      <c r="WXG7" s="733"/>
      <c r="WXH7" s="733"/>
      <c r="WXI7" s="733"/>
      <c r="WXJ7" s="733"/>
      <c r="WXK7" s="733"/>
      <c r="WXL7" s="733"/>
      <c r="WXM7" s="733"/>
      <c r="WXN7" s="733"/>
      <c r="WXO7" s="733"/>
      <c r="WXP7" s="733"/>
      <c r="WXQ7" s="733"/>
      <c r="WXR7" s="733"/>
      <c r="WXS7" s="733"/>
      <c r="WXT7" s="733"/>
      <c r="WXU7" s="733"/>
      <c r="WXV7" s="733"/>
      <c r="WXW7" s="733"/>
      <c r="WXX7" s="733"/>
      <c r="WXY7" s="733"/>
      <c r="WXZ7" s="733"/>
      <c r="WYA7" s="733"/>
      <c r="WYB7" s="733"/>
      <c r="WYC7" s="733"/>
      <c r="WYD7" s="733"/>
      <c r="WYE7" s="733"/>
      <c r="WYF7" s="733"/>
      <c r="WYG7" s="733"/>
      <c r="WYH7" s="733"/>
      <c r="WYI7" s="733"/>
      <c r="WYJ7" s="733"/>
      <c r="WYK7" s="733"/>
      <c r="WYL7" s="733"/>
      <c r="WYM7" s="733"/>
      <c r="WYN7" s="733"/>
      <c r="WYO7" s="733"/>
      <c r="WYP7" s="733"/>
      <c r="WYQ7" s="733"/>
      <c r="WYR7" s="733"/>
      <c r="WYS7" s="733"/>
      <c r="WYT7" s="733"/>
      <c r="WYU7" s="733"/>
      <c r="WYV7" s="733"/>
      <c r="WYW7" s="733"/>
      <c r="WYX7" s="733"/>
      <c r="WYY7" s="733"/>
      <c r="WYZ7" s="733"/>
      <c r="WZA7" s="733"/>
      <c r="WZB7" s="733"/>
      <c r="WZC7" s="733"/>
      <c r="WZD7" s="733"/>
      <c r="WZE7" s="733"/>
      <c r="WZF7" s="733"/>
      <c r="WZG7" s="733"/>
      <c r="WZH7" s="733"/>
      <c r="WZI7" s="733"/>
      <c r="WZJ7" s="733"/>
      <c r="WZK7" s="733"/>
      <c r="WZL7" s="733"/>
      <c r="WZM7" s="733"/>
      <c r="WZN7" s="733"/>
      <c r="WZO7" s="733"/>
      <c r="WZP7" s="733"/>
      <c r="WZQ7" s="733"/>
      <c r="WZR7" s="733"/>
      <c r="WZS7" s="733"/>
      <c r="WZT7" s="733"/>
      <c r="WZU7" s="733"/>
      <c r="WZV7" s="733"/>
      <c r="WZW7" s="733"/>
      <c r="WZX7" s="733"/>
      <c r="WZY7" s="733"/>
      <c r="WZZ7" s="733"/>
      <c r="XAA7" s="733"/>
      <c r="XAB7" s="733"/>
      <c r="XAC7" s="733"/>
      <c r="XAD7" s="733"/>
      <c r="XAE7" s="733"/>
      <c r="XAF7" s="733"/>
      <c r="XAG7" s="733"/>
      <c r="XAH7" s="733"/>
      <c r="XAI7" s="733"/>
      <c r="XAJ7" s="733"/>
      <c r="XAK7" s="733"/>
      <c r="XAL7" s="733"/>
      <c r="XAM7" s="733"/>
      <c r="XAN7" s="733"/>
      <c r="XAO7" s="733"/>
      <c r="XAP7" s="733"/>
      <c r="XAQ7" s="733"/>
      <c r="XAR7" s="733"/>
      <c r="XAS7" s="733"/>
      <c r="XAT7" s="733"/>
      <c r="XAU7" s="733"/>
      <c r="XAV7" s="733"/>
      <c r="XAW7" s="733"/>
      <c r="XAX7" s="733"/>
      <c r="XAY7" s="733"/>
      <c r="XAZ7" s="733"/>
      <c r="XBA7" s="733"/>
      <c r="XBB7" s="733"/>
      <c r="XBC7" s="733"/>
      <c r="XBD7" s="733"/>
      <c r="XBE7" s="733"/>
      <c r="XBF7" s="733"/>
      <c r="XBG7" s="733"/>
      <c r="XBH7" s="733"/>
      <c r="XBI7" s="733"/>
      <c r="XBJ7" s="733"/>
      <c r="XBK7" s="733"/>
      <c r="XBL7" s="733"/>
      <c r="XBM7" s="733"/>
      <c r="XBN7" s="733"/>
      <c r="XBO7" s="733"/>
      <c r="XBP7" s="733"/>
      <c r="XBQ7" s="733"/>
      <c r="XBR7" s="733"/>
      <c r="XBS7" s="733"/>
      <c r="XBT7" s="733"/>
      <c r="XBU7" s="733"/>
      <c r="XBV7" s="733"/>
      <c r="XBW7" s="733"/>
      <c r="XBX7" s="733"/>
      <c r="XBY7" s="733"/>
      <c r="XBZ7" s="733"/>
      <c r="XCA7" s="733"/>
      <c r="XCB7" s="733"/>
      <c r="XCC7" s="733"/>
      <c r="XCD7" s="733"/>
      <c r="XCE7" s="733"/>
      <c r="XCF7" s="733"/>
      <c r="XCG7" s="733"/>
      <c r="XCH7" s="733"/>
      <c r="XCI7" s="733"/>
      <c r="XCJ7" s="733"/>
      <c r="XCK7" s="733"/>
      <c r="XCL7" s="733"/>
      <c r="XCM7" s="733"/>
      <c r="XCN7" s="733"/>
      <c r="XCO7" s="733"/>
      <c r="XCP7" s="733"/>
      <c r="XCQ7" s="733"/>
      <c r="XCR7" s="733"/>
      <c r="XCS7" s="733"/>
      <c r="XCT7" s="733"/>
      <c r="XCU7" s="733"/>
      <c r="XCV7" s="733"/>
      <c r="XCW7" s="733"/>
      <c r="XCX7" s="733"/>
      <c r="XCY7" s="733"/>
      <c r="XCZ7" s="733"/>
      <c r="XDA7" s="733"/>
      <c r="XDB7" s="733"/>
      <c r="XDC7" s="733"/>
      <c r="XDD7" s="733"/>
      <c r="XDE7" s="733"/>
      <c r="XDF7" s="733"/>
      <c r="XDG7" s="733"/>
      <c r="XDH7" s="733"/>
      <c r="XDI7" s="733"/>
      <c r="XDJ7" s="733"/>
      <c r="XDK7" s="733"/>
      <c r="XDL7" s="733"/>
      <c r="XDM7" s="733"/>
      <c r="XDN7" s="733"/>
      <c r="XDO7" s="733"/>
      <c r="XDP7" s="733"/>
      <c r="XDQ7" s="733"/>
      <c r="XDR7" s="733"/>
      <c r="XDS7" s="733"/>
      <c r="XDT7" s="733"/>
      <c r="XDU7" s="733"/>
      <c r="XDV7" s="733"/>
      <c r="XDW7" s="733"/>
      <c r="XDX7" s="733"/>
      <c r="XDY7" s="733"/>
      <c r="XDZ7" s="733"/>
      <c r="XEA7" s="733"/>
      <c r="XEB7" s="733"/>
      <c r="XEC7" s="733"/>
      <c r="XED7" s="733"/>
      <c r="XEE7" s="733"/>
      <c r="XEF7" s="733"/>
    </row>
    <row r="8" spans="1:16360" s="1" customFormat="1" ht="45.75" customHeight="1" x14ac:dyDescent="0.2">
      <c r="A8" s="2508"/>
      <c r="B8" s="2505"/>
      <c r="C8" s="2506"/>
      <c r="D8" s="2508"/>
      <c r="E8" s="2505"/>
      <c r="F8" s="2506"/>
      <c r="G8" s="2508"/>
      <c r="H8" s="2505"/>
      <c r="I8" s="2506"/>
      <c r="J8" s="2508"/>
      <c r="K8" s="2508"/>
      <c r="L8" s="2508"/>
      <c r="M8" s="2509"/>
      <c r="N8" s="2508"/>
      <c r="O8" s="2513"/>
      <c r="P8" s="2508"/>
      <c r="Q8" s="2508"/>
      <c r="R8" s="2508"/>
      <c r="S8" s="2508"/>
      <c r="T8" s="2508"/>
      <c r="U8" s="2508"/>
      <c r="V8" s="2509"/>
      <c r="W8" s="2508"/>
      <c r="X8" s="2508"/>
      <c r="Y8" s="1787" t="s">
        <v>269</v>
      </c>
      <c r="Z8" s="1787" t="s">
        <v>29</v>
      </c>
      <c r="AA8" s="1787" t="s">
        <v>30</v>
      </c>
      <c r="AB8" s="1787" t="s">
        <v>31</v>
      </c>
      <c r="AC8" s="1787" t="s">
        <v>32</v>
      </c>
      <c r="AD8" s="1787" t="s">
        <v>33</v>
      </c>
      <c r="AE8" s="1787" t="s">
        <v>34</v>
      </c>
      <c r="AF8" s="1787" t="s">
        <v>35</v>
      </c>
      <c r="AG8" s="1787" t="s">
        <v>36</v>
      </c>
      <c r="AH8" s="1787" t="s">
        <v>37</v>
      </c>
      <c r="AI8" s="1787" t="s">
        <v>38</v>
      </c>
      <c r="AJ8" s="1787" t="s">
        <v>39</v>
      </c>
      <c r="AK8" s="2554"/>
      <c r="AL8" s="2554"/>
      <c r="AM8" s="2515"/>
      <c r="AN8" s="733"/>
      <c r="AO8" s="733"/>
      <c r="AP8" s="733"/>
      <c r="AQ8" s="733"/>
      <c r="AR8" s="733"/>
      <c r="AS8" s="733"/>
      <c r="AT8" s="733"/>
      <c r="AU8" s="733"/>
      <c r="AV8" s="733"/>
      <c r="AW8" s="733"/>
      <c r="AX8" s="733"/>
      <c r="AY8" s="733"/>
      <c r="AZ8" s="733"/>
      <c r="BA8" s="733"/>
      <c r="BB8" s="733"/>
      <c r="BC8" s="733"/>
      <c r="BD8" s="733"/>
      <c r="BE8" s="733"/>
      <c r="BF8" s="733"/>
      <c r="BG8" s="733"/>
      <c r="BH8" s="733"/>
      <c r="BI8" s="733"/>
      <c r="BJ8" s="733"/>
      <c r="BK8" s="733"/>
      <c r="BL8" s="733"/>
      <c r="BM8" s="733"/>
      <c r="BN8" s="733"/>
      <c r="BO8" s="733"/>
      <c r="BP8" s="733"/>
      <c r="BQ8" s="733"/>
      <c r="BR8" s="733"/>
      <c r="BS8" s="733"/>
      <c r="BT8" s="733"/>
      <c r="BU8" s="733"/>
      <c r="BV8" s="733"/>
      <c r="BW8" s="733"/>
      <c r="BX8" s="733"/>
      <c r="BY8" s="733"/>
      <c r="BZ8" s="733"/>
      <c r="CA8" s="733"/>
      <c r="CB8" s="733"/>
      <c r="CC8" s="733"/>
      <c r="CD8" s="733"/>
      <c r="CE8" s="733"/>
      <c r="CF8" s="733"/>
      <c r="CG8" s="733"/>
      <c r="CH8" s="733"/>
      <c r="CI8" s="733"/>
      <c r="CJ8" s="733"/>
      <c r="CK8" s="733"/>
      <c r="CL8" s="733"/>
      <c r="CM8" s="733"/>
      <c r="CN8" s="733"/>
      <c r="CO8" s="733"/>
      <c r="CP8" s="733"/>
      <c r="CQ8" s="733"/>
      <c r="CR8" s="733"/>
      <c r="CS8" s="733"/>
      <c r="CT8" s="733"/>
      <c r="CU8" s="733"/>
      <c r="CV8" s="733"/>
      <c r="CW8" s="733"/>
      <c r="CX8" s="733"/>
      <c r="CY8" s="733"/>
      <c r="CZ8" s="733"/>
      <c r="DA8" s="733"/>
      <c r="DB8" s="733"/>
      <c r="DC8" s="733"/>
      <c r="DD8" s="733"/>
      <c r="DE8" s="733"/>
      <c r="DF8" s="733"/>
      <c r="DG8" s="733"/>
      <c r="DH8" s="733"/>
      <c r="DI8" s="733"/>
      <c r="DJ8" s="733"/>
      <c r="DK8" s="733"/>
      <c r="DL8" s="733"/>
      <c r="DM8" s="733"/>
      <c r="DN8" s="733"/>
      <c r="DO8" s="733"/>
      <c r="DP8" s="733"/>
      <c r="DQ8" s="733"/>
      <c r="DR8" s="733"/>
      <c r="DS8" s="733"/>
      <c r="DT8" s="733"/>
      <c r="DU8" s="733"/>
      <c r="DV8" s="733"/>
      <c r="DW8" s="733"/>
      <c r="DX8" s="733"/>
      <c r="DY8" s="733"/>
      <c r="DZ8" s="733"/>
      <c r="EA8" s="733"/>
      <c r="EB8" s="733"/>
      <c r="EC8" s="733"/>
      <c r="ED8" s="733"/>
      <c r="EE8" s="733"/>
      <c r="EF8" s="733"/>
      <c r="EG8" s="733"/>
      <c r="EH8" s="733"/>
      <c r="EI8" s="733"/>
      <c r="EJ8" s="733"/>
      <c r="EK8" s="733"/>
      <c r="EL8" s="733"/>
      <c r="EM8" s="733"/>
      <c r="EN8" s="733"/>
      <c r="EO8" s="733"/>
      <c r="EP8" s="733"/>
      <c r="EQ8" s="733"/>
      <c r="ER8" s="733"/>
      <c r="ES8" s="733"/>
      <c r="ET8" s="733"/>
      <c r="EU8" s="733"/>
      <c r="EV8" s="733"/>
      <c r="EW8" s="733"/>
      <c r="EX8" s="733"/>
      <c r="EY8" s="733"/>
      <c r="EZ8" s="733"/>
      <c r="FA8" s="733"/>
      <c r="FB8" s="733"/>
      <c r="FC8" s="733"/>
      <c r="FD8" s="733"/>
      <c r="FE8" s="733"/>
      <c r="FF8" s="733"/>
      <c r="FG8" s="733"/>
      <c r="FH8" s="733"/>
      <c r="FI8" s="733"/>
      <c r="FJ8" s="733"/>
      <c r="FK8" s="733"/>
      <c r="FL8" s="733"/>
      <c r="FM8" s="733"/>
      <c r="FN8" s="733"/>
      <c r="FO8" s="733"/>
      <c r="FP8" s="733"/>
      <c r="FQ8" s="733"/>
      <c r="FR8" s="733"/>
      <c r="FS8" s="733"/>
      <c r="FT8" s="733"/>
      <c r="FU8" s="733"/>
      <c r="FV8" s="733"/>
      <c r="FW8" s="733"/>
      <c r="FX8" s="733"/>
      <c r="FY8" s="733"/>
      <c r="FZ8" s="733"/>
      <c r="GA8" s="733"/>
      <c r="GB8" s="733"/>
      <c r="GC8" s="733"/>
      <c r="GD8" s="733"/>
      <c r="GE8" s="733"/>
      <c r="GF8" s="733"/>
      <c r="GG8" s="733"/>
      <c r="GH8" s="733"/>
      <c r="GI8" s="733"/>
      <c r="GJ8" s="733"/>
      <c r="GK8" s="733"/>
      <c r="GL8" s="733"/>
      <c r="GM8" s="733"/>
      <c r="GN8" s="733"/>
      <c r="GO8" s="733"/>
      <c r="GP8" s="733"/>
      <c r="GQ8" s="733"/>
      <c r="GR8" s="733"/>
      <c r="GS8" s="733"/>
      <c r="GT8" s="733"/>
      <c r="GU8" s="733"/>
      <c r="GV8" s="733"/>
      <c r="GW8" s="733"/>
      <c r="GX8" s="733"/>
      <c r="GY8" s="733"/>
      <c r="GZ8" s="733"/>
      <c r="HA8" s="733"/>
      <c r="HB8" s="733"/>
      <c r="HC8" s="733"/>
      <c r="HD8" s="733"/>
      <c r="HE8" s="733"/>
      <c r="HF8" s="733"/>
      <c r="HG8" s="733"/>
      <c r="HH8" s="733"/>
      <c r="HI8" s="733"/>
      <c r="HJ8" s="733"/>
      <c r="HK8" s="733"/>
      <c r="HL8" s="733"/>
      <c r="HM8" s="733"/>
      <c r="HN8" s="733"/>
      <c r="HO8" s="733"/>
      <c r="HP8" s="733"/>
      <c r="HQ8" s="733"/>
      <c r="HR8" s="733"/>
      <c r="HS8" s="733"/>
      <c r="HT8" s="733"/>
      <c r="HU8" s="733"/>
      <c r="HV8" s="733"/>
      <c r="HW8" s="733"/>
      <c r="HX8" s="733"/>
      <c r="HY8" s="733"/>
      <c r="HZ8" s="733"/>
      <c r="IA8" s="733"/>
      <c r="IB8" s="733"/>
      <c r="IC8" s="733"/>
      <c r="ID8" s="733"/>
      <c r="IE8" s="733"/>
      <c r="IF8" s="733"/>
      <c r="IG8" s="733"/>
      <c r="IH8" s="733"/>
      <c r="II8" s="733"/>
      <c r="IJ8" s="733"/>
      <c r="IK8" s="733"/>
      <c r="IL8" s="733"/>
      <c r="IM8" s="733"/>
      <c r="IN8" s="733"/>
      <c r="IO8" s="733"/>
      <c r="IP8" s="733"/>
      <c r="IQ8" s="733"/>
      <c r="IR8" s="733"/>
      <c r="IS8" s="733"/>
      <c r="IT8" s="733"/>
      <c r="IU8" s="733"/>
      <c r="IV8" s="733"/>
      <c r="IW8" s="733"/>
      <c r="IX8" s="733"/>
      <c r="IY8" s="733"/>
      <c r="IZ8" s="733"/>
      <c r="JA8" s="733"/>
      <c r="JB8" s="733"/>
      <c r="JC8" s="733"/>
      <c r="JD8" s="733"/>
      <c r="JE8" s="733"/>
      <c r="JF8" s="733"/>
      <c r="JG8" s="733"/>
      <c r="JH8" s="733"/>
      <c r="JI8" s="733"/>
      <c r="JJ8" s="733"/>
      <c r="JK8" s="733"/>
      <c r="JL8" s="733"/>
      <c r="JM8" s="733"/>
      <c r="JN8" s="733"/>
      <c r="JO8" s="733"/>
      <c r="JP8" s="733"/>
      <c r="JQ8" s="733"/>
      <c r="JR8" s="733"/>
      <c r="JS8" s="733"/>
      <c r="JT8" s="733"/>
      <c r="JU8" s="733"/>
      <c r="JV8" s="733"/>
      <c r="JW8" s="733"/>
      <c r="JX8" s="733"/>
      <c r="JY8" s="733"/>
      <c r="JZ8" s="733"/>
      <c r="KA8" s="733"/>
      <c r="KB8" s="733"/>
      <c r="KC8" s="733"/>
      <c r="KD8" s="733"/>
      <c r="KE8" s="733"/>
      <c r="KF8" s="733"/>
      <c r="KG8" s="733"/>
      <c r="KH8" s="733"/>
      <c r="KI8" s="733"/>
      <c r="KJ8" s="733"/>
      <c r="KK8" s="733"/>
      <c r="KL8" s="733"/>
      <c r="KM8" s="733"/>
      <c r="KN8" s="733"/>
      <c r="KO8" s="733"/>
      <c r="KP8" s="733"/>
      <c r="KQ8" s="733"/>
      <c r="KR8" s="733"/>
      <c r="KS8" s="733"/>
      <c r="KT8" s="733"/>
      <c r="KU8" s="733"/>
      <c r="KV8" s="733"/>
      <c r="KW8" s="733"/>
      <c r="KX8" s="733"/>
      <c r="KY8" s="733"/>
      <c r="KZ8" s="733"/>
      <c r="LA8" s="733"/>
      <c r="LB8" s="733"/>
      <c r="LC8" s="733"/>
      <c r="LD8" s="733"/>
      <c r="LE8" s="733"/>
      <c r="LF8" s="733"/>
      <c r="LG8" s="733"/>
      <c r="LH8" s="733"/>
      <c r="LI8" s="733"/>
      <c r="LJ8" s="733"/>
      <c r="LK8" s="733"/>
      <c r="LL8" s="733"/>
      <c r="LM8" s="733"/>
      <c r="LN8" s="733"/>
      <c r="LO8" s="733"/>
      <c r="LP8" s="733"/>
      <c r="LQ8" s="733"/>
      <c r="LR8" s="733"/>
      <c r="LS8" s="733"/>
      <c r="LT8" s="733"/>
      <c r="LU8" s="733"/>
      <c r="LV8" s="733"/>
      <c r="LW8" s="733"/>
      <c r="LX8" s="733"/>
      <c r="LY8" s="733"/>
      <c r="LZ8" s="733"/>
      <c r="MA8" s="733"/>
      <c r="MB8" s="733"/>
      <c r="MC8" s="733"/>
      <c r="MD8" s="733"/>
      <c r="ME8" s="733"/>
      <c r="MF8" s="733"/>
      <c r="MG8" s="733"/>
      <c r="MH8" s="733"/>
      <c r="MI8" s="733"/>
      <c r="MJ8" s="733"/>
      <c r="MK8" s="733"/>
      <c r="ML8" s="733"/>
      <c r="MM8" s="733"/>
      <c r="MN8" s="733"/>
      <c r="MO8" s="733"/>
      <c r="MP8" s="733"/>
      <c r="MQ8" s="733"/>
      <c r="MR8" s="733"/>
      <c r="MS8" s="733"/>
      <c r="MT8" s="733"/>
      <c r="MU8" s="733"/>
      <c r="MV8" s="733"/>
      <c r="MW8" s="733"/>
      <c r="MX8" s="733"/>
      <c r="MY8" s="733"/>
      <c r="MZ8" s="733"/>
      <c r="NA8" s="733"/>
      <c r="NB8" s="733"/>
      <c r="NC8" s="733"/>
      <c r="ND8" s="733"/>
      <c r="NE8" s="733"/>
      <c r="NF8" s="733"/>
      <c r="NG8" s="733"/>
      <c r="NH8" s="733"/>
      <c r="NI8" s="733"/>
      <c r="NJ8" s="733"/>
      <c r="NK8" s="733"/>
      <c r="NL8" s="733"/>
      <c r="NM8" s="733"/>
      <c r="NN8" s="733"/>
      <c r="NO8" s="733"/>
      <c r="NP8" s="733"/>
      <c r="NQ8" s="733"/>
      <c r="NR8" s="733"/>
      <c r="NS8" s="733"/>
      <c r="NT8" s="733"/>
      <c r="NU8" s="733"/>
      <c r="NV8" s="733"/>
      <c r="NW8" s="733"/>
      <c r="NX8" s="733"/>
      <c r="NY8" s="733"/>
      <c r="NZ8" s="733"/>
      <c r="OA8" s="733"/>
      <c r="OB8" s="733"/>
      <c r="OC8" s="733"/>
      <c r="OD8" s="733"/>
      <c r="OE8" s="733"/>
      <c r="OF8" s="733"/>
      <c r="OG8" s="733"/>
      <c r="OH8" s="733"/>
      <c r="OI8" s="733"/>
      <c r="OJ8" s="733"/>
      <c r="OK8" s="733"/>
      <c r="OL8" s="733"/>
      <c r="OM8" s="733"/>
      <c r="ON8" s="733"/>
      <c r="OO8" s="733"/>
      <c r="OP8" s="733"/>
      <c r="OQ8" s="733"/>
      <c r="OR8" s="733"/>
      <c r="OS8" s="733"/>
      <c r="OT8" s="733"/>
      <c r="OU8" s="733"/>
      <c r="OV8" s="733"/>
      <c r="OW8" s="733"/>
      <c r="OX8" s="733"/>
      <c r="OY8" s="733"/>
      <c r="OZ8" s="733"/>
      <c r="PA8" s="733"/>
      <c r="PB8" s="733"/>
      <c r="PC8" s="733"/>
      <c r="PD8" s="733"/>
      <c r="PE8" s="733"/>
      <c r="PF8" s="733"/>
      <c r="PG8" s="733"/>
      <c r="PH8" s="733"/>
      <c r="PI8" s="733"/>
      <c r="PJ8" s="733"/>
      <c r="PK8" s="733"/>
      <c r="PL8" s="733"/>
      <c r="PM8" s="733"/>
      <c r="PN8" s="733"/>
      <c r="PO8" s="733"/>
      <c r="PP8" s="733"/>
      <c r="PQ8" s="733"/>
      <c r="PR8" s="733"/>
      <c r="PS8" s="733"/>
      <c r="PT8" s="733"/>
      <c r="PU8" s="733"/>
      <c r="PV8" s="733"/>
      <c r="PW8" s="733"/>
      <c r="PX8" s="733"/>
      <c r="PY8" s="733"/>
      <c r="PZ8" s="733"/>
      <c r="QA8" s="733"/>
      <c r="QB8" s="733"/>
      <c r="QC8" s="733"/>
      <c r="QD8" s="733"/>
      <c r="QE8" s="733"/>
      <c r="QF8" s="733"/>
      <c r="QG8" s="733"/>
      <c r="QH8" s="733"/>
      <c r="QI8" s="733"/>
      <c r="QJ8" s="733"/>
      <c r="QK8" s="733"/>
      <c r="QL8" s="733"/>
      <c r="QM8" s="733"/>
      <c r="QN8" s="733"/>
      <c r="QO8" s="733"/>
      <c r="QP8" s="733"/>
      <c r="QQ8" s="733"/>
      <c r="QR8" s="733"/>
      <c r="QS8" s="733"/>
      <c r="QT8" s="733"/>
      <c r="QU8" s="733"/>
      <c r="QV8" s="733"/>
      <c r="QW8" s="733"/>
      <c r="QX8" s="733"/>
      <c r="QY8" s="733"/>
      <c r="QZ8" s="733"/>
      <c r="RA8" s="733"/>
      <c r="RB8" s="733"/>
      <c r="RC8" s="733"/>
      <c r="RD8" s="733"/>
      <c r="RE8" s="733"/>
      <c r="RF8" s="733"/>
      <c r="RG8" s="733"/>
      <c r="RH8" s="733"/>
      <c r="RI8" s="733"/>
      <c r="RJ8" s="733"/>
      <c r="RK8" s="733"/>
      <c r="RL8" s="733"/>
      <c r="RM8" s="733"/>
      <c r="RN8" s="733"/>
      <c r="RO8" s="733"/>
      <c r="RP8" s="733"/>
      <c r="RQ8" s="733"/>
      <c r="RR8" s="733"/>
      <c r="RS8" s="733"/>
      <c r="RT8" s="733"/>
      <c r="RU8" s="733"/>
      <c r="RV8" s="733"/>
      <c r="RW8" s="733"/>
      <c r="RX8" s="733"/>
      <c r="RY8" s="733"/>
      <c r="RZ8" s="733"/>
      <c r="SA8" s="733"/>
      <c r="SB8" s="733"/>
      <c r="SC8" s="733"/>
      <c r="SD8" s="733"/>
      <c r="SE8" s="733"/>
      <c r="SF8" s="733"/>
      <c r="SG8" s="733"/>
      <c r="SH8" s="733"/>
      <c r="SI8" s="733"/>
      <c r="SJ8" s="733"/>
      <c r="SK8" s="733"/>
      <c r="SL8" s="733"/>
      <c r="SM8" s="733"/>
      <c r="SN8" s="733"/>
      <c r="SO8" s="733"/>
      <c r="SP8" s="733"/>
      <c r="SQ8" s="733"/>
      <c r="SR8" s="733"/>
      <c r="SS8" s="733"/>
      <c r="ST8" s="733"/>
      <c r="SU8" s="733"/>
      <c r="SV8" s="733"/>
      <c r="SW8" s="733"/>
      <c r="SX8" s="733"/>
      <c r="SY8" s="733"/>
      <c r="SZ8" s="733"/>
      <c r="TA8" s="733"/>
      <c r="TB8" s="733"/>
      <c r="TC8" s="733"/>
      <c r="TD8" s="733"/>
      <c r="TE8" s="733"/>
      <c r="TF8" s="733"/>
      <c r="TG8" s="733"/>
      <c r="TH8" s="733"/>
      <c r="TI8" s="733"/>
      <c r="TJ8" s="733"/>
      <c r="TK8" s="733"/>
      <c r="TL8" s="733"/>
      <c r="TM8" s="733"/>
      <c r="TN8" s="733"/>
      <c r="TO8" s="733"/>
      <c r="TP8" s="733"/>
      <c r="TQ8" s="733"/>
      <c r="TR8" s="733"/>
      <c r="TS8" s="733"/>
      <c r="TT8" s="733"/>
      <c r="TU8" s="733"/>
      <c r="TV8" s="733"/>
      <c r="TW8" s="733"/>
      <c r="TX8" s="733"/>
      <c r="TY8" s="733"/>
      <c r="TZ8" s="733"/>
      <c r="UA8" s="733"/>
      <c r="UB8" s="733"/>
      <c r="UC8" s="733"/>
      <c r="UD8" s="733"/>
      <c r="UE8" s="733"/>
      <c r="UF8" s="733"/>
      <c r="UG8" s="733"/>
      <c r="UH8" s="733"/>
      <c r="UI8" s="733"/>
      <c r="UJ8" s="733"/>
      <c r="UK8" s="733"/>
      <c r="UL8" s="733"/>
      <c r="UM8" s="733"/>
      <c r="UN8" s="733"/>
      <c r="UO8" s="733"/>
      <c r="UP8" s="733"/>
      <c r="UQ8" s="733"/>
      <c r="UR8" s="733"/>
      <c r="US8" s="733"/>
      <c r="UT8" s="733"/>
      <c r="UU8" s="733"/>
      <c r="UV8" s="733"/>
      <c r="UW8" s="733"/>
      <c r="UX8" s="733"/>
      <c r="UY8" s="733"/>
      <c r="UZ8" s="733"/>
      <c r="VA8" s="733"/>
      <c r="VB8" s="733"/>
      <c r="VC8" s="733"/>
      <c r="VD8" s="733"/>
      <c r="VE8" s="733"/>
      <c r="VF8" s="733"/>
      <c r="VG8" s="733"/>
      <c r="VH8" s="733"/>
      <c r="VI8" s="733"/>
      <c r="VJ8" s="733"/>
      <c r="VK8" s="733"/>
      <c r="VL8" s="733"/>
      <c r="VM8" s="733"/>
      <c r="VN8" s="733"/>
      <c r="VO8" s="733"/>
      <c r="VP8" s="733"/>
      <c r="VQ8" s="733"/>
      <c r="VR8" s="733"/>
      <c r="VS8" s="733"/>
      <c r="VT8" s="733"/>
      <c r="VU8" s="733"/>
      <c r="VV8" s="733"/>
      <c r="VW8" s="733"/>
      <c r="VX8" s="733"/>
      <c r="VY8" s="733"/>
      <c r="VZ8" s="733"/>
      <c r="WA8" s="733"/>
      <c r="WB8" s="733"/>
      <c r="WC8" s="733"/>
      <c r="WD8" s="733"/>
      <c r="WE8" s="733"/>
      <c r="WF8" s="733"/>
      <c r="WG8" s="733"/>
      <c r="WH8" s="733"/>
      <c r="WI8" s="733"/>
      <c r="WJ8" s="733"/>
      <c r="WK8" s="733"/>
      <c r="WL8" s="733"/>
      <c r="WM8" s="733"/>
      <c r="WN8" s="733"/>
      <c r="WO8" s="733"/>
      <c r="WP8" s="733"/>
      <c r="WQ8" s="733"/>
      <c r="WR8" s="733"/>
      <c r="WS8" s="733"/>
      <c r="WT8" s="733"/>
      <c r="WU8" s="733"/>
      <c r="WV8" s="733"/>
      <c r="WW8" s="733"/>
      <c r="WX8" s="733"/>
      <c r="WY8" s="733"/>
      <c r="WZ8" s="733"/>
      <c r="XA8" s="733"/>
      <c r="XB8" s="733"/>
      <c r="XC8" s="733"/>
      <c r="XD8" s="733"/>
      <c r="XE8" s="733"/>
      <c r="XF8" s="733"/>
      <c r="XG8" s="733"/>
      <c r="XH8" s="733"/>
      <c r="XI8" s="733"/>
      <c r="XJ8" s="733"/>
      <c r="XK8" s="733"/>
      <c r="XL8" s="733"/>
      <c r="XM8" s="733"/>
      <c r="XN8" s="733"/>
      <c r="XO8" s="733"/>
      <c r="XP8" s="733"/>
      <c r="XQ8" s="733"/>
      <c r="XR8" s="733"/>
      <c r="XS8" s="733"/>
      <c r="XT8" s="733"/>
      <c r="XU8" s="733"/>
      <c r="XV8" s="733"/>
      <c r="XW8" s="733"/>
      <c r="XX8" s="733"/>
      <c r="XY8" s="733"/>
      <c r="XZ8" s="733"/>
      <c r="YA8" s="733"/>
      <c r="YB8" s="733"/>
      <c r="YC8" s="733"/>
      <c r="YD8" s="733"/>
      <c r="YE8" s="733"/>
      <c r="YF8" s="733"/>
      <c r="YG8" s="733"/>
      <c r="YH8" s="733"/>
      <c r="YI8" s="733"/>
      <c r="YJ8" s="733"/>
      <c r="YK8" s="733"/>
      <c r="YL8" s="733"/>
      <c r="YM8" s="733"/>
      <c r="YN8" s="733"/>
      <c r="YO8" s="733"/>
      <c r="YP8" s="733"/>
      <c r="YQ8" s="733"/>
      <c r="YR8" s="733"/>
      <c r="YS8" s="733"/>
      <c r="YT8" s="733"/>
      <c r="YU8" s="733"/>
      <c r="YV8" s="733"/>
      <c r="YW8" s="733"/>
      <c r="YX8" s="733"/>
      <c r="YY8" s="733"/>
      <c r="YZ8" s="733"/>
      <c r="ZA8" s="733"/>
      <c r="ZB8" s="733"/>
      <c r="ZC8" s="733"/>
      <c r="ZD8" s="733"/>
      <c r="ZE8" s="733"/>
      <c r="ZF8" s="733"/>
      <c r="ZG8" s="733"/>
      <c r="ZH8" s="733"/>
      <c r="ZI8" s="733"/>
      <c r="ZJ8" s="733"/>
      <c r="ZK8" s="733"/>
      <c r="ZL8" s="733"/>
      <c r="ZM8" s="733"/>
      <c r="ZN8" s="733"/>
      <c r="ZO8" s="733"/>
      <c r="ZP8" s="733"/>
      <c r="ZQ8" s="733"/>
      <c r="ZR8" s="733"/>
      <c r="ZS8" s="733"/>
      <c r="ZT8" s="733"/>
      <c r="ZU8" s="733"/>
      <c r="ZV8" s="733"/>
      <c r="ZW8" s="733"/>
      <c r="ZX8" s="733"/>
      <c r="ZY8" s="733"/>
      <c r="ZZ8" s="733"/>
      <c r="AAA8" s="733"/>
      <c r="AAB8" s="733"/>
      <c r="AAC8" s="733"/>
      <c r="AAD8" s="733"/>
      <c r="AAE8" s="733"/>
      <c r="AAF8" s="733"/>
      <c r="AAG8" s="733"/>
      <c r="AAH8" s="733"/>
      <c r="AAI8" s="733"/>
      <c r="AAJ8" s="733"/>
      <c r="AAK8" s="733"/>
      <c r="AAL8" s="733"/>
      <c r="AAM8" s="733"/>
      <c r="AAN8" s="733"/>
      <c r="AAO8" s="733"/>
      <c r="AAP8" s="733"/>
      <c r="AAQ8" s="733"/>
      <c r="AAR8" s="733"/>
      <c r="AAS8" s="733"/>
      <c r="AAT8" s="733"/>
      <c r="AAU8" s="733"/>
      <c r="AAV8" s="733"/>
      <c r="AAW8" s="733"/>
      <c r="AAX8" s="733"/>
      <c r="AAY8" s="733"/>
      <c r="AAZ8" s="733"/>
      <c r="ABA8" s="733"/>
      <c r="ABB8" s="733"/>
      <c r="ABC8" s="733"/>
      <c r="ABD8" s="733"/>
      <c r="ABE8" s="733"/>
      <c r="ABF8" s="733"/>
      <c r="ABG8" s="733"/>
      <c r="ABH8" s="733"/>
      <c r="ABI8" s="733"/>
      <c r="ABJ8" s="733"/>
      <c r="ABK8" s="733"/>
      <c r="ABL8" s="733"/>
      <c r="ABM8" s="733"/>
      <c r="ABN8" s="733"/>
      <c r="ABO8" s="733"/>
      <c r="ABP8" s="733"/>
      <c r="ABQ8" s="733"/>
      <c r="ABR8" s="733"/>
      <c r="ABS8" s="733"/>
      <c r="ABT8" s="733"/>
      <c r="ABU8" s="733"/>
      <c r="ABV8" s="733"/>
      <c r="ABW8" s="733"/>
      <c r="ABX8" s="733"/>
      <c r="ABY8" s="733"/>
      <c r="ABZ8" s="733"/>
      <c r="ACA8" s="733"/>
      <c r="ACB8" s="733"/>
      <c r="ACC8" s="733"/>
      <c r="ACD8" s="733"/>
      <c r="ACE8" s="733"/>
      <c r="ACF8" s="733"/>
      <c r="ACG8" s="733"/>
      <c r="ACH8" s="733"/>
      <c r="ACI8" s="733"/>
      <c r="ACJ8" s="733"/>
      <c r="ACK8" s="733"/>
      <c r="ACL8" s="733"/>
      <c r="ACM8" s="733"/>
      <c r="ACN8" s="733"/>
      <c r="ACO8" s="733"/>
      <c r="ACP8" s="733"/>
      <c r="ACQ8" s="733"/>
      <c r="ACR8" s="733"/>
      <c r="ACS8" s="733"/>
      <c r="ACT8" s="733"/>
      <c r="ACU8" s="733"/>
      <c r="ACV8" s="733"/>
      <c r="ACW8" s="733"/>
      <c r="ACX8" s="733"/>
      <c r="ACY8" s="733"/>
      <c r="ACZ8" s="733"/>
      <c r="ADA8" s="733"/>
      <c r="ADB8" s="733"/>
      <c r="ADC8" s="733"/>
      <c r="ADD8" s="733"/>
      <c r="ADE8" s="733"/>
      <c r="ADF8" s="733"/>
      <c r="ADG8" s="733"/>
      <c r="ADH8" s="733"/>
      <c r="ADI8" s="733"/>
      <c r="ADJ8" s="733"/>
      <c r="ADK8" s="733"/>
      <c r="ADL8" s="733"/>
      <c r="ADM8" s="733"/>
      <c r="ADN8" s="733"/>
      <c r="ADO8" s="733"/>
      <c r="ADP8" s="733"/>
      <c r="ADQ8" s="733"/>
      <c r="ADR8" s="733"/>
      <c r="ADS8" s="733"/>
      <c r="ADT8" s="733"/>
      <c r="ADU8" s="733"/>
      <c r="ADV8" s="733"/>
      <c r="ADW8" s="733"/>
      <c r="ADX8" s="733"/>
      <c r="ADY8" s="733"/>
      <c r="ADZ8" s="733"/>
      <c r="AEA8" s="733"/>
      <c r="AEB8" s="733"/>
      <c r="AEC8" s="733"/>
      <c r="AED8" s="733"/>
      <c r="AEE8" s="733"/>
      <c r="AEF8" s="733"/>
      <c r="AEG8" s="733"/>
      <c r="AEH8" s="733"/>
      <c r="AEI8" s="733"/>
      <c r="AEJ8" s="733"/>
      <c r="AEK8" s="733"/>
      <c r="AEL8" s="733"/>
      <c r="AEM8" s="733"/>
      <c r="AEN8" s="733"/>
      <c r="AEO8" s="733"/>
      <c r="AEP8" s="733"/>
      <c r="AEQ8" s="733"/>
      <c r="AER8" s="733"/>
      <c r="AES8" s="733"/>
      <c r="AET8" s="733"/>
      <c r="AEU8" s="733"/>
      <c r="AEV8" s="733"/>
      <c r="AEW8" s="733"/>
      <c r="AEX8" s="733"/>
      <c r="AEY8" s="733"/>
      <c r="AEZ8" s="733"/>
      <c r="AFA8" s="733"/>
      <c r="AFB8" s="733"/>
      <c r="AFC8" s="733"/>
      <c r="AFD8" s="733"/>
      <c r="AFE8" s="733"/>
      <c r="AFF8" s="733"/>
      <c r="AFG8" s="733"/>
      <c r="AFH8" s="733"/>
      <c r="AFI8" s="733"/>
      <c r="AFJ8" s="733"/>
      <c r="AFK8" s="733"/>
      <c r="AFL8" s="733"/>
      <c r="AFM8" s="733"/>
      <c r="AFN8" s="733"/>
      <c r="AFO8" s="733"/>
      <c r="AFP8" s="733"/>
      <c r="AFQ8" s="733"/>
      <c r="AFR8" s="733"/>
      <c r="AFS8" s="733"/>
      <c r="AFT8" s="733"/>
      <c r="AFU8" s="733"/>
      <c r="AFV8" s="733"/>
      <c r="AFW8" s="733"/>
      <c r="AFX8" s="733"/>
      <c r="AFY8" s="733"/>
      <c r="AFZ8" s="733"/>
      <c r="AGA8" s="733"/>
      <c r="AGB8" s="733"/>
      <c r="AGC8" s="733"/>
      <c r="AGD8" s="733"/>
      <c r="AGE8" s="733"/>
      <c r="AGF8" s="733"/>
      <c r="AGG8" s="733"/>
      <c r="AGH8" s="733"/>
      <c r="AGI8" s="733"/>
      <c r="AGJ8" s="733"/>
      <c r="AGK8" s="733"/>
      <c r="AGL8" s="733"/>
      <c r="AGM8" s="733"/>
      <c r="AGN8" s="733"/>
      <c r="AGO8" s="733"/>
      <c r="AGP8" s="733"/>
      <c r="AGQ8" s="733"/>
      <c r="AGR8" s="733"/>
      <c r="AGS8" s="733"/>
      <c r="AGT8" s="733"/>
      <c r="AGU8" s="733"/>
      <c r="AGV8" s="733"/>
      <c r="AGW8" s="733"/>
      <c r="AGX8" s="733"/>
      <c r="AGY8" s="733"/>
      <c r="AGZ8" s="733"/>
      <c r="AHA8" s="733"/>
      <c r="AHB8" s="733"/>
      <c r="AHC8" s="733"/>
      <c r="AHD8" s="733"/>
      <c r="AHE8" s="733"/>
      <c r="AHF8" s="733"/>
      <c r="AHG8" s="733"/>
      <c r="AHH8" s="733"/>
      <c r="AHI8" s="733"/>
      <c r="AHJ8" s="733"/>
      <c r="AHK8" s="733"/>
      <c r="AHL8" s="733"/>
      <c r="AHM8" s="733"/>
      <c r="AHN8" s="733"/>
      <c r="AHO8" s="733"/>
      <c r="AHP8" s="733"/>
      <c r="AHQ8" s="733"/>
      <c r="AHR8" s="733"/>
      <c r="AHS8" s="733"/>
      <c r="AHT8" s="733"/>
      <c r="AHU8" s="733"/>
      <c r="AHV8" s="733"/>
      <c r="AHW8" s="733"/>
      <c r="AHX8" s="733"/>
      <c r="AHY8" s="733"/>
      <c r="AHZ8" s="733"/>
      <c r="AIA8" s="733"/>
      <c r="AIB8" s="733"/>
      <c r="AIC8" s="733"/>
      <c r="AID8" s="733"/>
      <c r="AIE8" s="733"/>
      <c r="AIF8" s="733"/>
      <c r="AIG8" s="733"/>
      <c r="AIH8" s="733"/>
      <c r="AII8" s="733"/>
      <c r="AIJ8" s="733"/>
      <c r="AIK8" s="733"/>
      <c r="AIL8" s="733"/>
      <c r="AIM8" s="733"/>
      <c r="AIN8" s="733"/>
      <c r="AIO8" s="733"/>
      <c r="AIP8" s="733"/>
      <c r="AIQ8" s="733"/>
      <c r="AIR8" s="733"/>
      <c r="AIS8" s="733"/>
      <c r="AIT8" s="733"/>
      <c r="AIU8" s="733"/>
      <c r="AIV8" s="733"/>
      <c r="AIW8" s="733"/>
      <c r="AIX8" s="733"/>
      <c r="AIY8" s="733"/>
      <c r="AIZ8" s="733"/>
      <c r="AJA8" s="733"/>
      <c r="AJB8" s="733"/>
      <c r="AJC8" s="733"/>
      <c r="AJD8" s="733"/>
      <c r="AJE8" s="733"/>
      <c r="AJF8" s="733"/>
      <c r="AJG8" s="733"/>
      <c r="AJH8" s="733"/>
      <c r="AJI8" s="733"/>
      <c r="AJJ8" s="733"/>
      <c r="AJK8" s="733"/>
      <c r="AJL8" s="733"/>
      <c r="AJM8" s="733"/>
      <c r="AJN8" s="733"/>
      <c r="AJO8" s="733"/>
      <c r="AJP8" s="733"/>
      <c r="AJQ8" s="733"/>
      <c r="AJR8" s="733"/>
      <c r="AJS8" s="733"/>
      <c r="AJT8" s="733"/>
      <c r="AJU8" s="733"/>
      <c r="AJV8" s="733"/>
      <c r="AJW8" s="733"/>
      <c r="AJX8" s="733"/>
      <c r="AJY8" s="733"/>
      <c r="AJZ8" s="733"/>
      <c r="AKA8" s="733"/>
      <c r="AKB8" s="733"/>
      <c r="AKC8" s="733"/>
      <c r="AKD8" s="733"/>
      <c r="AKE8" s="733"/>
      <c r="AKF8" s="733"/>
      <c r="AKG8" s="733"/>
      <c r="AKH8" s="733"/>
      <c r="AKI8" s="733"/>
      <c r="AKJ8" s="733"/>
      <c r="AKK8" s="733"/>
      <c r="AKL8" s="733"/>
      <c r="AKM8" s="733"/>
      <c r="AKN8" s="733"/>
      <c r="AKO8" s="733"/>
      <c r="AKP8" s="733"/>
      <c r="AKQ8" s="733"/>
      <c r="AKR8" s="733"/>
      <c r="AKS8" s="733"/>
      <c r="AKT8" s="733"/>
      <c r="AKU8" s="733"/>
      <c r="AKV8" s="733"/>
      <c r="AKW8" s="733"/>
      <c r="AKX8" s="733"/>
      <c r="AKY8" s="733"/>
      <c r="AKZ8" s="733"/>
      <c r="ALA8" s="733"/>
      <c r="ALB8" s="733"/>
      <c r="ALC8" s="733"/>
      <c r="ALD8" s="733"/>
      <c r="ALE8" s="733"/>
      <c r="ALF8" s="733"/>
      <c r="ALG8" s="733"/>
      <c r="ALH8" s="733"/>
      <c r="ALI8" s="733"/>
      <c r="ALJ8" s="733"/>
      <c r="ALK8" s="733"/>
      <c r="ALL8" s="733"/>
      <c r="ALM8" s="733"/>
      <c r="ALN8" s="733"/>
      <c r="ALO8" s="733"/>
      <c r="ALP8" s="733"/>
      <c r="ALQ8" s="733"/>
      <c r="ALR8" s="733"/>
      <c r="ALS8" s="733"/>
      <c r="ALT8" s="733"/>
      <c r="ALU8" s="733"/>
      <c r="ALV8" s="733"/>
      <c r="ALW8" s="733"/>
      <c r="ALX8" s="733"/>
      <c r="ALY8" s="733"/>
      <c r="ALZ8" s="733"/>
      <c r="AMA8" s="733"/>
      <c r="AMB8" s="733"/>
      <c r="AMC8" s="733"/>
      <c r="AMD8" s="733"/>
      <c r="AME8" s="733"/>
      <c r="AMF8" s="733"/>
      <c r="AMG8" s="733"/>
      <c r="AMH8" s="733"/>
      <c r="AMI8" s="733"/>
      <c r="AMJ8" s="733"/>
      <c r="AMK8" s="733"/>
      <c r="AML8" s="733"/>
      <c r="AMM8" s="733"/>
      <c r="AMN8" s="733"/>
      <c r="AMO8" s="733"/>
      <c r="AMP8" s="733"/>
      <c r="AMQ8" s="733"/>
      <c r="AMR8" s="733"/>
      <c r="AMS8" s="733"/>
      <c r="AMT8" s="733"/>
      <c r="AMU8" s="733"/>
      <c r="AMV8" s="733"/>
      <c r="AMW8" s="733"/>
      <c r="AMX8" s="733"/>
      <c r="AMY8" s="733"/>
      <c r="AMZ8" s="733"/>
      <c r="ANA8" s="733"/>
      <c r="ANB8" s="733"/>
      <c r="ANC8" s="733"/>
      <c r="AND8" s="733"/>
      <c r="ANE8" s="733"/>
      <c r="ANF8" s="733"/>
      <c r="ANG8" s="733"/>
      <c r="ANH8" s="733"/>
      <c r="ANI8" s="733"/>
      <c r="ANJ8" s="733"/>
      <c r="ANK8" s="733"/>
      <c r="ANL8" s="733"/>
      <c r="ANM8" s="733"/>
      <c r="ANN8" s="733"/>
      <c r="ANO8" s="733"/>
      <c r="ANP8" s="733"/>
      <c r="ANQ8" s="733"/>
      <c r="ANR8" s="733"/>
      <c r="ANS8" s="733"/>
      <c r="ANT8" s="733"/>
      <c r="ANU8" s="733"/>
      <c r="ANV8" s="733"/>
      <c r="ANW8" s="733"/>
      <c r="ANX8" s="733"/>
      <c r="ANY8" s="733"/>
      <c r="ANZ8" s="733"/>
      <c r="AOA8" s="733"/>
      <c r="AOB8" s="733"/>
      <c r="AOC8" s="733"/>
      <c r="AOD8" s="733"/>
      <c r="AOE8" s="733"/>
      <c r="AOF8" s="733"/>
      <c r="AOG8" s="733"/>
      <c r="AOH8" s="733"/>
      <c r="AOI8" s="733"/>
      <c r="AOJ8" s="733"/>
      <c r="AOK8" s="733"/>
      <c r="AOL8" s="733"/>
      <c r="AOM8" s="733"/>
      <c r="AON8" s="733"/>
      <c r="AOO8" s="733"/>
      <c r="AOP8" s="733"/>
      <c r="AOQ8" s="733"/>
      <c r="AOR8" s="733"/>
      <c r="AOS8" s="733"/>
      <c r="AOT8" s="733"/>
      <c r="AOU8" s="733"/>
      <c r="AOV8" s="733"/>
      <c r="AOW8" s="733"/>
      <c r="AOX8" s="733"/>
      <c r="AOY8" s="733"/>
      <c r="AOZ8" s="733"/>
      <c r="APA8" s="733"/>
      <c r="APB8" s="733"/>
      <c r="APC8" s="733"/>
      <c r="APD8" s="733"/>
      <c r="APE8" s="733"/>
      <c r="APF8" s="733"/>
      <c r="APG8" s="733"/>
      <c r="APH8" s="733"/>
      <c r="API8" s="733"/>
      <c r="APJ8" s="733"/>
      <c r="APK8" s="733"/>
      <c r="APL8" s="733"/>
      <c r="APM8" s="733"/>
      <c r="APN8" s="733"/>
      <c r="APO8" s="733"/>
      <c r="APP8" s="733"/>
      <c r="APQ8" s="733"/>
      <c r="APR8" s="733"/>
      <c r="APS8" s="733"/>
      <c r="APT8" s="733"/>
      <c r="APU8" s="733"/>
      <c r="APV8" s="733"/>
      <c r="APW8" s="733"/>
      <c r="APX8" s="733"/>
      <c r="APY8" s="733"/>
      <c r="APZ8" s="733"/>
      <c r="AQA8" s="733"/>
      <c r="AQB8" s="733"/>
      <c r="AQC8" s="733"/>
      <c r="AQD8" s="733"/>
      <c r="AQE8" s="733"/>
      <c r="AQF8" s="733"/>
      <c r="AQG8" s="733"/>
      <c r="AQH8" s="733"/>
      <c r="AQI8" s="733"/>
      <c r="AQJ8" s="733"/>
      <c r="AQK8" s="733"/>
      <c r="AQL8" s="733"/>
      <c r="AQM8" s="733"/>
      <c r="AQN8" s="733"/>
      <c r="AQO8" s="733"/>
      <c r="AQP8" s="733"/>
      <c r="AQQ8" s="733"/>
      <c r="AQR8" s="733"/>
      <c r="AQS8" s="733"/>
      <c r="AQT8" s="733"/>
      <c r="AQU8" s="733"/>
      <c r="AQV8" s="733"/>
      <c r="AQW8" s="733"/>
      <c r="AQX8" s="733"/>
      <c r="AQY8" s="733"/>
      <c r="AQZ8" s="733"/>
      <c r="ARA8" s="733"/>
      <c r="ARB8" s="733"/>
      <c r="ARC8" s="733"/>
      <c r="ARD8" s="733"/>
      <c r="ARE8" s="733"/>
      <c r="ARF8" s="733"/>
      <c r="ARG8" s="733"/>
      <c r="ARH8" s="733"/>
      <c r="ARI8" s="733"/>
      <c r="ARJ8" s="733"/>
      <c r="ARK8" s="733"/>
      <c r="ARL8" s="733"/>
      <c r="ARM8" s="733"/>
      <c r="ARN8" s="733"/>
      <c r="ARO8" s="733"/>
      <c r="ARP8" s="733"/>
      <c r="ARQ8" s="733"/>
      <c r="ARR8" s="733"/>
      <c r="ARS8" s="733"/>
      <c r="ART8" s="733"/>
      <c r="ARU8" s="733"/>
      <c r="ARV8" s="733"/>
      <c r="ARW8" s="733"/>
      <c r="ARX8" s="733"/>
      <c r="ARY8" s="733"/>
      <c r="ARZ8" s="733"/>
      <c r="ASA8" s="733"/>
      <c r="ASB8" s="733"/>
      <c r="ASC8" s="733"/>
      <c r="ASD8" s="733"/>
      <c r="ASE8" s="733"/>
      <c r="ASF8" s="733"/>
      <c r="ASG8" s="733"/>
      <c r="ASH8" s="733"/>
      <c r="ASI8" s="733"/>
      <c r="ASJ8" s="733"/>
      <c r="ASK8" s="733"/>
      <c r="ASL8" s="733"/>
      <c r="ASM8" s="733"/>
      <c r="ASN8" s="733"/>
      <c r="ASO8" s="733"/>
      <c r="ASP8" s="733"/>
      <c r="ASQ8" s="733"/>
      <c r="ASR8" s="733"/>
      <c r="ASS8" s="733"/>
      <c r="AST8" s="733"/>
      <c r="ASU8" s="733"/>
      <c r="ASV8" s="733"/>
      <c r="ASW8" s="733"/>
      <c r="ASX8" s="733"/>
      <c r="ASY8" s="733"/>
      <c r="ASZ8" s="733"/>
      <c r="ATA8" s="733"/>
      <c r="ATB8" s="733"/>
      <c r="ATC8" s="733"/>
      <c r="ATD8" s="733"/>
      <c r="ATE8" s="733"/>
      <c r="ATF8" s="733"/>
      <c r="ATG8" s="733"/>
      <c r="ATH8" s="733"/>
      <c r="ATI8" s="733"/>
      <c r="ATJ8" s="733"/>
      <c r="ATK8" s="733"/>
      <c r="ATL8" s="733"/>
      <c r="ATM8" s="733"/>
      <c r="ATN8" s="733"/>
      <c r="ATO8" s="733"/>
      <c r="ATP8" s="733"/>
      <c r="ATQ8" s="733"/>
      <c r="ATR8" s="733"/>
      <c r="ATS8" s="733"/>
      <c r="ATT8" s="733"/>
      <c r="ATU8" s="733"/>
      <c r="ATV8" s="733"/>
      <c r="ATW8" s="733"/>
      <c r="ATX8" s="733"/>
      <c r="ATY8" s="733"/>
      <c r="ATZ8" s="733"/>
      <c r="AUA8" s="733"/>
      <c r="AUB8" s="733"/>
      <c r="AUC8" s="733"/>
      <c r="AUD8" s="733"/>
      <c r="AUE8" s="733"/>
      <c r="AUF8" s="733"/>
      <c r="AUG8" s="733"/>
      <c r="AUH8" s="733"/>
      <c r="AUI8" s="733"/>
      <c r="AUJ8" s="733"/>
      <c r="AUK8" s="733"/>
      <c r="AUL8" s="733"/>
      <c r="AUM8" s="733"/>
      <c r="AUN8" s="733"/>
      <c r="AUO8" s="733"/>
      <c r="AUP8" s="733"/>
      <c r="AUQ8" s="733"/>
      <c r="AUR8" s="733"/>
      <c r="AUS8" s="733"/>
      <c r="AUT8" s="733"/>
      <c r="AUU8" s="733"/>
      <c r="AUV8" s="733"/>
      <c r="AUW8" s="733"/>
      <c r="AUX8" s="733"/>
      <c r="AUY8" s="733"/>
      <c r="AUZ8" s="733"/>
      <c r="AVA8" s="733"/>
      <c r="AVB8" s="733"/>
      <c r="AVC8" s="733"/>
      <c r="AVD8" s="733"/>
      <c r="AVE8" s="733"/>
      <c r="AVF8" s="733"/>
      <c r="AVG8" s="733"/>
      <c r="AVH8" s="733"/>
      <c r="AVI8" s="733"/>
      <c r="AVJ8" s="733"/>
      <c r="AVK8" s="733"/>
      <c r="AVL8" s="733"/>
      <c r="AVM8" s="733"/>
      <c r="AVN8" s="733"/>
      <c r="AVO8" s="733"/>
      <c r="AVP8" s="733"/>
      <c r="AVQ8" s="733"/>
      <c r="AVR8" s="733"/>
      <c r="AVS8" s="733"/>
      <c r="AVT8" s="733"/>
      <c r="AVU8" s="733"/>
      <c r="AVV8" s="733"/>
      <c r="AVW8" s="733"/>
      <c r="AVX8" s="733"/>
      <c r="AVY8" s="733"/>
      <c r="AVZ8" s="733"/>
      <c r="AWA8" s="733"/>
      <c r="AWB8" s="733"/>
      <c r="AWC8" s="733"/>
      <c r="AWD8" s="733"/>
      <c r="AWE8" s="733"/>
      <c r="AWF8" s="733"/>
      <c r="AWG8" s="733"/>
      <c r="AWH8" s="733"/>
      <c r="AWI8" s="733"/>
      <c r="AWJ8" s="733"/>
      <c r="AWK8" s="733"/>
      <c r="AWL8" s="733"/>
      <c r="AWM8" s="733"/>
      <c r="AWN8" s="733"/>
      <c r="AWO8" s="733"/>
      <c r="AWP8" s="733"/>
      <c r="AWQ8" s="733"/>
      <c r="AWR8" s="733"/>
      <c r="AWS8" s="733"/>
      <c r="AWT8" s="733"/>
      <c r="AWU8" s="733"/>
      <c r="AWV8" s="733"/>
      <c r="AWW8" s="733"/>
      <c r="AWX8" s="733"/>
      <c r="AWY8" s="733"/>
      <c r="AWZ8" s="733"/>
      <c r="AXA8" s="733"/>
      <c r="AXB8" s="733"/>
      <c r="AXC8" s="733"/>
      <c r="AXD8" s="733"/>
      <c r="AXE8" s="733"/>
      <c r="AXF8" s="733"/>
      <c r="AXG8" s="733"/>
      <c r="AXH8" s="733"/>
      <c r="AXI8" s="733"/>
      <c r="AXJ8" s="733"/>
      <c r="AXK8" s="733"/>
      <c r="AXL8" s="733"/>
      <c r="AXM8" s="733"/>
      <c r="AXN8" s="733"/>
      <c r="AXO8" s="733"/>
      <c r="AXP8" s="733"/>
      <c r="AXQ8" s="733"/>
      <c r="AXR8" s="733"/>
      <c r="AXS8" s="733"/>
      <c r="AXT8" s="733"/>
      <c r="AXU8" s="733"/>
      <c r="AXV8" s="733"/>
      <c r="AXW8" s="733"/>
      <c r="AXX8" s="733"/>
      <c r="AXY8" s="733"/>
      <c r="AXZ8" s="733"/>
      <c r="AYA8" s="733"/>
      <c r="AYB8" s="733"/>
      <c r="AYC8" s="733"/>
      <c r="AYD8" s="733"/>
      <c r="AYE8" s="733"/>
      <c r="AYF8" s="733"/>
      <c r="AYG8" s="733"/>
      <c r="AYH8" s="733"/>
      <c r="AYI8" s="733"/>
      <c r="AYJ8" s="733"/>
      <c r="AYK8" s="733"/>
      <c r="AYL8" s="733"/>
      <c r="AYM8" s="733"/>
      <c r="AYN8" s="733"/>
      <c r="AYO8" s="733"/>
      <c r="AYP8" s="733"/>
      <c r="AYQ8" s="733"/>
      <c r="AYR8" s="733"/>
      <c r="AYS8" s="733"/>
      <c r="AYT8" s="733"/>
      <c r="AYU8" s="733"/>
      <c r="AYV8" s="733"/>
      <c r="AYW8" s="733"/>
      <c r="AYX8" s="733"/>
      <c r="AYY8" s="733"/>
      <c r="AYZ8" s="733"/>
      <c r="AZA8" s="733"/>
      <c r="AZB8" s="733"/>
      <c r="AZC8" s="733"/>
      <c r="AZD8" s="733"/>
      <c r="AZE8" s="733"/>
      <c r="AZF8" s="733"/>
      <c r="AZG8" s="733"/>
      <c r="AZH8" s="733"/>
      <c r="AZI8" s="733"/>
      <c r="AZJ8" s="733"/>
      <c r="AZK8" s="733"/>
      <c r="AZL8" s="733"/>
      <c r="AZM8" s="733"/>
      <c r="AZN8" s="733"/>
      <c r="AZO8" s="733"/>
      <c r="AZP8" s="733"/>
      <c r="AZQ8" s="733"/>
      <c r="AZR8" s="733"/>
      <c r="AZS8" s="733"/>
      <c r="AZT8" s="733"/>
      <c r="AZU8" s="733"/>
      <c r="AZV8" s="733"/>
      <c r="AZW8" s="733"/>
      <c r="AZX8" s="733"/>
      <c r="AZY8" s="733"/>
      <c r="AZZ8" s="733"/>
      <c r="BAA8" s="733"/>
      <c r="BAB8" s="733"/>
      <c r="BAC8" s="733"/>
      <c r="BAD8" s="733"/>
      <c r="BAE8" s="733"/>
      <c r="BAF8" s="733"/>
      <c r="BAG8" s="733"/>
      <c r="BAH8" s="733"/>
      <c r="BAI8" s="733"/>
      <c r="BAJ8" s="733"/>
      <c r="BAK8" s="733"/>
      <c r="BAL8" s="733"/>
      <c r="BAM8" s="733"/>
      <c r="BAN8" s="733"/>
      <c r="BAO8" s="733"/>
      <c r="BAP8" s="733"/>
      <c r="BAQ8" s="733"/>
      <c r="BAR8" s="733"/>
      <c r="BAS8" s="733"/>
      <c r="BAT8" s="733"/>
      <c r="BAU8" s="733"/>
      <c r="BAV8" s="733"/>
      <c r="BAW8" s="733"/>
      <c r="BAX8" s="733"/>
      <c r="BAY8" s="733"/>
      <c r="BAZ8" s="733"/>
      <c r="BBA8" s="733"/>
      <c r="BBB8" s="733"/>
      <c r="BBC8" s="733"/>
      <c r="BBD8" s="733"/>
      <c r="BBE8" s="733"/>
      <c r="BBF8" s="733"/>
      <c r="BBG8" s="733"/>
      <c r="BBH8" s="733"/>
      <c r="BBI8" s="733"/>
      <c r="BBJ8" s="733"/>
      <c r="BBK8" s="733"/>
      <c r="BBL8" s="733"/>
      <c r="BBM8" s="733"/>
      <c r="BBN8" s="733"/>
      <c r="BBO8" s="733"/>
      <c r="BBP8" s="733"/>
      <c r="BBQ8" s="733"/>
      <c r="BBR8" s="733"/>
      <c r="BBS8" s="733"/>
      <c r="BBT8" s="733"/>
      <c r="BBU8" s="733"/>
      <c r="BBV8" s="733"/>
      <c r="BBW8" s="733"/>
      <c r="BBX8" s="733"/>
      <c r="BBY8" s="733"/>
      <c r="BBZ8" s="733"/>
      <c r="BCA8" s="733"/>
      <c r="BCB8" s="733"/>
      <c r="BCC8" s="733"/>
      <c r="BCD8" s="733"/>
      <c r="BCE8" s="733"/>
      <c r="BCF8" s="733"/>
      <c r="BCG8" s="733"/>
      <c r="BCH8" s="733"/>
      <c r="BCI8" s="733"/>
      <c r="BCJ8" s="733"/>
      <c r="BCK8" s="733"/>
      <c r="BCL8" s="733"/>
      <c r="BCM8" s="733"/>
      <c r="BCN8" s="733"/>
      <c r="BCO8" s="733"/>
      <c r="BCP8" s="733"/>
      <c r="BCQ8" s="733"/>
      <c r="BCR8" s="733"/>
      <c r="BCS8" s="733"/>
      <c r="BCT8" s="733"/>
      <c r="BCU8" s="733"/>
      <c r="BCV8" s="733"/>
      <c r="BCW8" s="733"/>
      <c r="BCX8" s="733"/>
      <c r="BCY8" s="733"/>
      <c r="BCZ8" s="733"/>
      <c r="BDA8" s="733"/>
      <c r="BDB8" s="733"/>
      <c r="BDC8" s="733"/>
      <c r="BDD8" s="733"/>
      <c r="BDE8" s="733"/>
      <c r="BDF8" s="733"/>
      <c r="BDG8" s="733"/>
      <c r="BDH8" s="733"/>
      <c r="BDI8" s="733"/>
      <c r="BDJ8" s="733"/>
      <c r="BDK8" s="733"/>
      <c r="BDL8" s="733"/>
      <c r="BDM8" s="733"/>
      <c r="BDN8" s="733"/>
      <c r="BDO8" s="733"/>
      <c r="BDP8" s="733"/>
      <c r="BDQ8" s="733"/>
      <c r="BDR8" s="733"/>
      <c r="BDS8" s="733"/>
      <c r="BDT8" s="733"/>
      <c r="BDU8" s="733"/>
      <c r="BDV8" s="733"/>
      <c r="BDW8" s="733"/>
      <c r="BDX8" s="733"/>
      <c r="BDY8" s="733"/>
      <c r="BDZ8" s="733"/>
      <c r="BEA8" s="733"/>
      <c r="BEB8" s="733"/>
      <c r="BEC8" s="733"/>
      <c r="BED8" s="733"/>
      <c r="BEE8" s="733"/>
      <c r="BEF8" s="733"/>
      <c r="BEG8" s="733"/>
      <c r="BEH8" s="733"/>
      <c r="BEI8" s="733"/>
      <c r="BEJ8" s="733"/>
      <c r="BEK8" s="733"/>
      <c r="BEL8" s="733"/>
      <c r="BEM8" s="733"/>
      <c r="BEN8" s="733"/>
      <c r="BEO8" s="733"/>
      <c r="BEP8" s="733"/>
      <c r="BEQ8" s="733"/>
      <c r="BER8" s="733"/>
      <c r="BES8" s="733"/>
      <c r="BET8" s="733"/>
      <c r="BEU8" s="733"/>
      <c r="BEV8" s="733"/>
      <c r="BEW8" s="733"/>
      <c r="BEX8" s="733"/>
      <c r="BEY8" s="733"/>
      <c r="BEZ8" s="733"/>
      <c r="BFA8" s="733"/>
      <c r="BFB8" s="733"/>
      <c r="BFC8" s="733"/>
      <c r="BFD8" s="733"/>
      <c r="BFE8" s="733"/>
      <c r="BFF8" s="733"/>
      <c r="BFG8" s="733"/>
      <c r="BFH8" s="733"/>
      <c r="BFI8" s="733"/>
      <c r="BFJ8" s="733"/>
      <c r="BFK8" s="733"/>
      <c r="BFL8" s="733"/>
      <c r="BFM8" s="733"/>
      <c r="BFN8" s="733"/>
      <c r="BFO8" s="733"/>
      <c r="BFP8" s="733"/>
      <c r="BFQ8" s="733"/>
      <c r="BFR8" s="733"/>
      <c r="BFS8" s="733"/>
      <c r="BFT8" s="733"/>
      <c r="BFU8" s="733"/>
      <c r="BFV8" s="733"/>
      <c r="BFW8" s="733"/>
      <c r="BFX8" s="733"/>
      <c r="BFY8" s="733"/>
      <c r="BFZ8" s="733"/>
      <c r="BGA8" s="733"/>
      <c r="BGB8" s="733"/>
      <c r="BGC8" s="733"/>
      <c r="BGD8" s="733"/>
      <c r="BGE8" s="733"/>
      <c r="BGF8" s="733"/>
      <c r="BGG8" s="733"/>
      <c r="BGH8" s="733"/>
      <c r="BGI8" s="733"/>
      <c r="BGJ8" s="733"/>
      <c r="BGK8" s="733"/>
      <c r="BGL8" s="733"/>
      <c r="BGM8" s="733"/>
      <c r="BGN8" s="733"/>
      <c r="BGO8" s="733"/>
      <c r="BGP8" s="733"/>
      <c r="BGQ8" s="733"/>
      <c r="BGR8" s="733"/>
      <c r="BGS8" s="733"/>
      <c r="BGT8" s="733"/>
      <c r="BGU8" s="733"/>
      <c r="BGV8" s="733"/>
      <c r="BGW8" s="733"/>
      <c r="BGX8" s="733"/>
      <c r="BGY8" s="733"/>
      <c r="BGZ8" s="733"/>
      <c r="BHA8" s="733"/>
      <c r="BHB8" s="733"/>
      <c r="BHC8" s="733"/>
      <c r="BHD8" s="733"/>
      <c r="BHE8" s="733"/>
      <c r="BHF8" s="733"/>
      <c r="BHG8" s="733"/>
      <c r="BHH8" s="733"/>
      <c r="BHI8" s="733"/>
      <c r="BHJ8" s="733"/>
      <c r="BHK8" s="733"/>
      <c r="BHL8" s="733"/>
      <c r="BHM8" s="733"/>
      <c r="BHN8" s="733"/>
      <c r="BHO8" s="733"/>
      <c r="BHP8" s="733"/>
      <c r="BHQ8" s="733"/>
      <c r="BHR8" s="733"/>
      <c r="BHS8" s="733"/>
      <c r="BHT8" s="733"/>
      <c r="BHU8" s="733"/>
      <c r="BHV8" s="733"/>
      <c r="BHW8" s="733"/>
      <c r="BHX8" s="733"/>
      <c r="BHY8" s="733"/>
      <c r="BHZ8" s="733"/>
      <c r="BIA8" s="733"/>
      <c r="BIB8" s="733"/>
      <c r="BIC8" s="733"/>
      <c r="BID8" s="733"/>
      <c r="BIE8" s="733"/>
      <c r="BIF8" s="733"/>
      <c r="BIG8" s="733"/>
      <c r="BIH8" s="733"/>
      <c r="BII8" s="733"/>
      <c r="BIJ8" s="733"/>
      <c r="BIK8" s="733"/>
      <c r="BIL8" s="733"/>
      <c r="BIM8" s="733"/>
      <c r="BIN8" s="733"/>
      <c r="BIO8" s="733"/>
      <c r="BIP8" s="733"/>
      <c r="BIQ8" s="733"/>
      <c r="BIR8" s="733"/>
      <c r="BIS8" s="733"/>
      <c r="BIT8" s="733"/>
      <c r="BIU8" s="733"/>
      <c r="BIV8" s="733"/>
      <c r="BIW8" s="733"/>
      <c r="BIX8" s="733"/>
      <c r="BIY8" s="733"/>
      <c r="BIZ8" s="733"/>
      <c r="BJA8" s="733"/>
      <c r="BJB8" s="733"/>
      <c r="BJC8" s="733"/>
      <c r="BJD8" s="733"/>
      <c r="BJE8" s="733"/>
      <c r="BJF8" s="733"/>
      <c r="BJG8" s="733"/>
      <c r="BJH8" s="733"/>
      <c r="BJI8" s="733"/>
      <c r="BJJ8" s="733"/>
      <c r="BJK8" s="733"/>
      <c r="BJL8" s="733"/>
      <c r="BJM8" s="733"/>
      <c r="BJN8" s="733"/>
      <c r="BJO8" s="733"/>
      <c r="BJP8" s="733"/>
      <c r="BJQ8" s="733"/>
      <c r="BJR8" s="733"/>
      <c r="BJS8" s="733"/>
      <c r="BJT8" s="733"/>
      <c r="BJU8" s="733"/>
      <c r="BJV8" s="733"/>
      <c r="BJW8" s="733"/>
      <c r="BJX8" s="733"/>
      <c r="BJY8" s="733"/>
      <c r="BJZ8" s="733"/>
      <c r="BKA8" s="733"/>
      <c r="BKB8" s="733"/>
      <c r="BKC8" s="733"/>
      <c r="BKD8" s="733"/>
      <c r="BKE8" s="733"/>
      <c r="BKF8" s="733"/>
      <c r="BKG8" s="733"/>
      <c r="BKH8" s="733"/>
      <c r="BKI8" s="733"/>
      <c r="BKJ8" s="733"/>
      <c r="BKK8" s="733"/>
      <c r="BKL8" s="733"/>
      <c r="BKM8" s="733"/>
      <c r="BKN8" s="733"/>
      <c r="BKO8" s="733"/>
      <c r="BKP8" s="733"/>
      <c r="BKQ8" s="733"/>
      <c r="BKR8" s="733"/>
      <c r="BKS8" s="733"/>
      <c r="BKT8" s="733"/>
      <c r="BKU8" s="733"/>
      <c r="BKV8" s="733"/>
      <c r="BKW8" s="733"/>
      <c r="BKX8" s="733"/>
      <c r="BKY8" s="733"/>
      <c r="BKZ8" s="733"/>
      <c r="BLA8" s="733"/>
      <c r="BLB8" s="733"/>
      <c r="BLC8" s="733"/>
      <c r="BLD8" s="733"/>
      <c r="BLE8" s="733"/>
      <c r="BLF8" s="733"/>
      <c r="BLG8" s="733"/>
      <c r="BLH8" s="733"/>
      <c r="BLI8" s="733"/>
      <c r="BLJ8" s="733"/>
      <c r="BLK8" s="733"/>
      <c r="BLL8" s="733"/>
      <c r="BLM8" s="733"/>
      <c r="BLN8" s="733"/>
      <c r="BLO8" s="733"/>
      <c r="BLP8" s="733"/>
      <c r="BLQ8" s="733"/>
      <c r="BLR8" s="733"/>
      <c r="BLS8" s="733"/>
      <c r="BLT8" s="733"/>
      <c r="BLU8" s="733"/>
      <c r="BLV8" s="733"/>
      <c r="BLW8" s="733"/>
      <c r="BLX8" s="733"/>
      <c r="BLY8" s="733"/>
      <c r="BLZ8" s="733"/>
      <c r="BMA8" s="733"/>
      <c r="BMB8" s="733"/>
      <c r="BMC8" s="733"/>
      <c r="BMD8" s="733"/>
      <c r="BME8" s="733"/>
      <c r="BMF8" s="733"/>
      <c r="BMG8" s="733"/>
      <c r="BMH8" s="733"/>
      <c r="BMI8" s="733"/>
      <c r="BMJ8" s="733"/>
      <c r="BMK8" s="733"/>
      <c r="BML8" s="733"/>
      <c r="BMM8" s="733"/>
      <c r="BMN8" s="733"/>
      <c r="BMO8" s="733"/>
      <c r="BMP8" s="733"/>
      <c r="BMQ8" s="733"/>
      <c r="BMR8" s="733"/>
      <c r="BMS8" s="733"/>
      <c r="BMT8" s="733"/>
      <c r="BMU8" s="733"/>
      <c r="BMV8" s="733"/>
      <c r="BMW8" s="733"/>
      <c r="BMX8" s="733"/>
      <c r="BMY8" s="733"/>
      <c r="BMZ8" s="733"/>
      <c r="BNA8" s="733"/>
      <c r="BNB8" s="733"/>
      <c r="BNC8" s="733"/>
      <c r="BND8" s="733"/>
      <c r="BNE8" s="733"/>
      <c r="BNF8" s="733"/>
      <c r="BNG8" s="733"/>
      <c r="BNH8" s="733"/>
      <c r="BNI8" s="733"/>
      <c r="BNJ8" s="733"/>
      <c r="BNK8" s="733"/>
      <c r="BNL8" s="733"/>
      <c r="BNM8" s="733"/>
      <c r="BNN8" s="733"/>
      <c r="BNO8" s="733"/>
      <c r="BNP8" s="733"/>
      <c r="BNQ8" s="733"/>
      <c r="BNR8" s="733"/>
      <c r="BNS8" s="733"/>
      <c r="BNT8" s="733"/>
      <c r="BNU8" s="733"/>
      <c r="BNV8" s="733"/>
      <c r="BNW8" s="733"/>
      <c r="BNX8" s="733"/>
      <c r="BNY8" s="733"/>
      <c r="BNZ8" s="733"/>
      <c r="BOA8" s="733"/>
      <c r="BOB8" s="733"/>
      <c r="BOC8" s="733"/>
      <c r="BOD8" s="733"/>
      <c r="BOE8" s="733"/>
      <c r="BOF8" s="733"/>
      <c r="BOG8" s="733"/>
      <c r="BOH8" s="733"/>
      <c r="BOI8" s="733"/>
      <c r="BOJ8" s="733"/>
      <c r="BOK8" s="733"/>
      <c r="BOL8" s="733"/>
      <c r="BOM8" s="733"/>
      <c r="BON8" s="733"/>
      <c r="BOO8" s="733"/>
      <c r="BOP8" s="733"/>
      <c r="BOQ8" s="733"/>
      <c r="BOR8" s="733"/>
      <c r="BOS8" s="733"/>
      <c r="BOT8" s="733"/>
      <c r="BOU8" s="733"/>
      <c r="BOV8" s="733"/>
      <c r="BOW8" s="733"/>
      <c r="BOX8" s="733"/>
      <c r="BOY8" s="733"/>
      <c r="BOZ8" s="733"/>
      <c r="BPA8" s="733"/>
      <c r="BPB8" s="733"/>
      <c r="BPC8" s="733"/>
      <c r="BPD8" s="733"/>
      <c r="BPE8" s="733"/>
      <c r="BPF8" s="733"/>
      <c r="BPG8" s="733"/>
      <c r="BPH8" s="733"/>
      <c r="BPI8" s="733"/>
      <c r="BPJ8" s="733"/>
      <c r="BPK8" s="733"/>
      <c r="BPL8" s="733"/>
      <c r="BPM8" s="733"/>
      <c r="BPN8" s="733"/>
      <c r="BPO8" s="733"/>
      <c r="BPP8" s="733"/>
      <c r="BPQ8" s="733"/>
      <c r="BPR8" s="733"/>
      <c r="BPS8" s="733"/>
      <c r="BPT8" s="733"/>
      <c r="BPU8" s="733"/>
      <c r="BPV8" s="733"/>
      <c r="BPW8" s="733"/>
      <c r="BPX8" s="733"/>
      <c r="BPY8" s="733"/>
      <c r="BPZ8" s="733"/>
      <c r="BQA8" s="733"/>
      <c r="BQB8" s="733"/>
      <c r="BQC8" s="733"/>
      <c r="BQD8" s="733"/>
      <c r="BQE8" s="733"/>
      <c r="BQF8" s="733"/>
      <c r="BQG8" s="733"/>
      <c r="BQH8" s="733"/>
      <c r="BQI8" s="733"/>
      <c r="BQJ8" s="733"/>
      <c r="BQK8" s="733"/>
      <c r="BQL8" s="733"/>
      <c r="BQM8" s="733"/>
      <c r="BQN8" s="733"/>
      <c r="BQO8" s="733"/>
      <c r="BQP8" s="733"/>
      <c r="BQQ8" s="733"/>
      <c r="BQR8" s="733"/>
      <c r="BQS8" s="733"/>
      <c r="BQT8" s="733"/>
      <c r="BQU8" s="733"/>
      <c r="BQV8" s="733"/>
      <c r="BQW8" s="733"/>
      <c r="BQX8" s="733"/>
      <c r="BQY8" s="733"/>
      <c r="BQZ8" s="733"/>
      <c r="BRA8" s="733"/>
      <c r="BRB8" s="733"/>
      <c r="BRC8" s="733"/>
      <c r="BRD8" s="733"/>
      <c r="BRE8" s="733"/>
      <c r="BRF8" s="733"/>
      <c r="BRG8" s="733"/>
      <c r="BRH8" s="733"/>
      <c r="BRI8" s="733"/>
      <c r="BRJ8" s="733"/>
      <c r="BRK8" s="733"/>
      <c r="BRL8" s="733"/>
      <c r="BRM8" s="733"/>
      <c r="BRN8" s="733"/>
      <c r="BRO8" s="733"/>
      <c r="BRP8" s="733"/>
      <c r="BRQ8" s="733"/>
      <c r="BRR8" s="733"/>
      <c r="BRS8" s="733"/>
      <c r="BRT8" s="733"/>
      <c r="BRU8" s="733"/>
      <c r="BRV8" s="733"/>
      <c r="BRW8" s="733"/>
      <c r="BRX8" s="733"/>
      <c r="BRY8" s="733"/>
      <c r="BRZ8" s="733"/>
      <c r="BSA8" s="733"/>
      <c r="BSB8" s="733"/>
      <c r="BSC8" s="733"/>
      <c r="BSD8" s="733"/>
      <c r="BSE8" s="733"/>
      <c r="BSF8" s="733"/>
      <c r="BSG8" s="733"/>
      <c r="BSH8" s="733"/>
      <c r="BSI8" s="733"/>
      <c r="BSJ8" s="733"/>
      <c r="BSK8" s="733"/>
      <c r="BSL8" s="733"/>
      <c r="BSM8" s="733"/>
      <c r="BSN8" s="733"/>
      <c r="BSO8" s="733"/>
      <c r="BSP8" s="733"/>
      <c r="BSQ8" s="733"/>
      <c r="BSR8" s="733"/>
      <c r="BSS8" s="733"/>
      <c r="BST8" s="733"/>
      <c r="BSU8" s="733"/>
      <c r="BSV8" s="733"/>
      <c r="BSW8" s="733"/>
      <c r="BSX8" s="733"/>
      <c r="BSY8" s="733"/>
      <c r="BSZ8" s="733"/>
      <c r="BTA8" s="733"/>
      <c r="BTB8" s="733"/>
      <c r="BTC8" s="733"/>
      <c r="BTD8" s="733"/>
      <c r="BTE8" s="733"/>
      <c r="BTF8" s="733"/>
      <c r="BTG8" s="733"/>
      <c r="BTH8" s="733"/>
      <c r="BTI8" s="733"/>
      <c r="BTJ8" s="733"/>
      <c r="BTK8" s="733"/>
      <c r="BTL8" s="733"/>
      <c r="BTM8" s="733"/>
      <c r="BTN8" s="733"/>
      <c r="BTO8" s="733"/>
      <c r="BTP8" s="733"/>
      <c r="BTQ8" s="733"/>
      <c r="BTR8" s="733"/>
      <c r="BTS8" s="733"/>
      <c r="BTT8" s="733"/>
      <c r="BTU8" s="733"/>
      <c r="BTV8" s="733"/>
      <c r="BTW8" s="733"/>
      <c r="BTX8" s="733"/>
      <c r="BTY8" s="733"/>
      <c r="BTZ8" s="733"/>
      <c r="BUA8" s="733"/>
      <c r="BUB8" s="733"/>
      <c r="BUC8" s="733"/>
      <c r="BUD8" s="733"/>
      <c r="BUE8" s="733"/>
      <c r="BUF8" s="733"/>
      <c r="BUG8" s="733"/>
      <c r="BUH8" s="733"/>
      <c r="BUI8" s="733"/>
      <c r="BUJ8" s="733"/>
      <c r="BUK8" s="733"/>
      <c r="BUL8" s="733"/>
      <c r="BUM8" s="733"/>
      <c r="BUN8" s="733"/>
      <c r="BUO8" s="733"/>
      <c r="BUP8" s="733"/>
      <c r="BUQ8" s="733"/>
      <c r="BUR8" s="733"/>
      <c r="BUS8" s="733"/>
      <c r="BUT8" s="733"/>
      <c r="BUU8" s="733"/>
      <c r="BUV8" s="733"/>
      <c r="BUW8" s="733"/>
      <c r="BUX8" s="733"/>
      <c r="BUY8" s="733"/>
      <c r="BUZ8" s="733"/>
      <c r="BVA8" s="733"/>
      <c r="BVB8" s="733"/>
      <c r="BVC8" s="733"/>
      <c r="BVD8" s="733"/>
      <c r="BVE8" s="733"/>
      <c r="BVF8" s="733"/>
      <c r="BVG8" s="733"/>
      <c r="BVH8" s="733"/>
      <c r="BVI8" s="733"/>
      <c r="BVJ8" s="733"/>
      <c r="BVK8" s="733"/>
      <c r="BVL8" s="733"/>
      <c r="BVM8" s="733"/>
      <c r="BVN8" s="733"/>
      <c r="BVO8" s="733"/>
      <c r="BVP8" s="733"/>
      <c r="BVQ8" s="733"/>
      <c r="BVR8" s="733"/>
      <c r="BVS8" s="733"/>
      <c r="BVT8" s="733"/>
      <c r="BVU8" s="733"/>
      <c r="BVV8" s="733"/>
      <c r="BVW8" s="733"/>
      <c r="BVX8" s="733"/>
      <c r="BVY8" s="733"/>
      <c r="BVZ8" s="733"/>
      <c r="BWA8" s="733"/>
      <c r="BWB8" s="733"/>
      <c r="BWC8" s="733"/>
      <c r="BWD8" s="733"/>
      <c r="BWE8" s="733"/>
      <c r="BWF8" s="733"/>
      <c r="BWG8" s="733"/>
      <c r="BWH8" s="733"/>
      <c r="BWI8" s="733"/>
      <c r="BWJ8" s="733"/>
      <c r="BWK8" s="733"/>
      <c r="BWL8" s="733"/>
      <c r="BWM8" s="733"/>
      <c r="BWN8" s="733"/>
      <c r="BWO8" s="733"/>
      <c r="BWP8" s="733"/>
      <c r="BWQ8" s="733"/>
      <c r="BWR8" s="733"/>
      <c r="BWS8" s="733"/>
      <c r="BWT8" s="733"/>
      <c r="BWU8" s="733"/>
      <c r="BWV8" s="733"/>
      <c r="BWW8" s="733"/>
      <c r="BWX8" s="733"/>
      <c r="BWY8" s="733"/>
      <c r="BWZ8" s="733"/>
      <c r="BXA8" s="733"/>
      <c r="BXB8" s="733"/>
      <c r="BXC8" s="733"/>
      <c r="BXD8" s="733"/>
      <c r="BXE8" s="733"/>
      <c r="BXF8" s="733"/>
      <c r="BXG8" s="733"/>
      <c r="BXH8" s="733"/>
      <c r="BXI8" s="733"/>
      <c r="BXJ8" s="733"/>
      <c r="BXK8" s="733"/>
      <c r="BXL8" s="733"/>
      <c r="BXM8" s="733"/>
      <c r="BXN8" s="733"/>
      <c r="BXO8" s="733"/>
      <c r="BXP8" s="733"/>
      <c r="BXQ8" s="733"/>
      <c r="BXR8" s="733"/>
      <c r="BXS8" s="733"/>
      <c r="BXT8" s="733"/>
      <c r="BXU8" s="733"/>
      <c r="BXV8" s="733"/>
      <c r="BXW8" s="733"/>
      <c r="BXX8" s="733"/>
      <c r="BXY8" s="733"/>
      <c r="BXZ8" s="733"/>
      <c r="BYA8" s="733"/>
      <c r="BYB8" s="733"/>
      <c r="BYC8" s="733"/>
      <c r="BYD8" s="733"/>
      <c r="BYE8" s="733"/>
      <c r="BYF8" s="733"/>
      <c r="BYG8" s="733"/>
      <c r="BYH8" s="733"/>
      <c r="BYI8" s="733"/>
      <c r="BYJ8" s="733"/>
      <c r="BYK8" s="733"/>
      <c r="BYL8" s="733"/>
      <c r="BYM8" s="733"/>
      <c r="BYN8" s="733"/>
      <c r="BYO8" s="733"/>
      <c r="BYP8" s="733"/>
      <c r="BYQ8" s="733"/>
      <c r="BYR8" s="733"/>
      <c r="BYS8" s="733"/>
      <c r="BYT8" s="733"/>
      <c r="BYU8" s="733"/>
      <c r="BYV8" s="733"/>
      <c r="BYW8" s="733"/>
      <c r="BYX8" s="733"/>
      <c r="BYY8" s="733"/>
      <c r="BYZ8" s="733"/>
      <c r="BZA8" s="733"/>
      <c r="BZB8" s="733"/>
      <c r="BZC8" s="733"/>
      <c r="BZD8" s="733"/>
      <c r="BZE8" s="733"/>
      <c r="BZF8" s="733"/>
      <c r="BZG8" s="733"/>
      <c r="BZH8" s="733"/>
      <c r="BZI8" s="733"/>
      <c r="BZJ8" s="733"/>
      <c r="BZK8" s="733"/>
      <c r="BZL8" s="733"/>
      <c r="BZM8" s="733"/>
      <c r="BZN8" s="733"/>
      <c r="BZO8" s="733"/>
      <c r="BZP8" s="733"/>
      <c r="BZQ8" s="733"/>
      <c r="BZR8" s="733"/>
      <c r="BZS8" s="733"/>
      <c r="BZT8" s="733"/>
      <c r="BZU8" s="733"/>
      <c r="BZV8" s="733"/>
      <c r="BZW8" s="733"/>
      <c r="BZX8" s="733"/>
      <c r="BZY8" s="733"/>
      <c r="BZZ8" s="733"/>
      <c r="CAA8" s="733"/>
      <c r="CAB8" s="733"/>
      <c r="CAC8" s="733"/>
      <c r="CAD8" s="733"/>
      <c r="CAE8" s="733"/>
      <c r="CAF8" s="733"/>
      <c r="CAG8" s="733"/>
      <c r="CAH8" s="733"/>
      <c r="CAI8" s="733"/>
      <c r="CAJ8" s="733"/>
      <c r="CAK8" s="733"/>
      <c r="CAL8" s="733"/>
      <c r="CAM8" s="733"/>
      <c r="CAN8" s="733"/>
      <c r="CAO8" s="733"/>
      <c r="CAP8" s="733"/>
      <c r="CAQ8" s="733"/>
      <c r="CAR8" s="733"/>
      <c r="CAS8" s="733"/>
      <c r="CAT8" s="733"/>
      <c r="CAU8" s="733"/>
      <c r="CAV8" s="733"/>
      <c r="CAW8" s="733"/>
      <c r="CAX8" s="733"/>
      <c r="CAY8" s="733"/>
      <c r="CAZ8" s="733"/>
      <c r="CBA8" s="733"/>
      <c r="CBB8" s="733"/>
      <c r="CBC8" s="733"/>
      <c r="CBD8" s="733"/>
      <c r="CBE8" s="733"/>
      <c r="CBF8" s="733"/>
      <c r="CBG8" s="733"/>
      <c r="CBH8" s="733"/>
      <c r="CBI8" s="733"/>
      <c r="CBJ8" s="733"/>
      <c r="CBK8" s="733"/>
      <c r="CBL8" s="733"/>
      <c r="CBM8" s="733"/>
      <c r="CBN8" s="733"/>
      <c r="CBO8" s="733"/>
      <c r="CBP8" s="733"/>
      <c r="CBQ8" s="733"/>
      <c r="CBR8" s="733"/>
      <c r="CBS8" s="733"/>
      <c r="CBT8" s="733"/>
      <c r="CBU8" s="733"/>
      <c r="CBV8" s="733"/>
      <c r="CBW8" s="733"/>
      <c r="CBX8" s="733"/>
      <c r="CBY8" s="733"/>
      <c r="CBZ8" s="733"/>
      <c r="CCA8" s="733"/>
      <c r="CCB8" s="733"/>
      <c r="CCC8" s="733"/>
      <c r="CCD8" s="733"/>
      <c r="CCE8" s="733"/>
      <c r="CCF8" s="733"/>
      <c r="CCG8" s="733"/>
      <c r="CCH8" s="733"/>
      <c r="CCI8" s="733"/>
      <c r="CCJ8" s="733"/>
      <c r="CCK8" s="733"/>
      <c r="CCL8" s="733"/>
      <c r="CCM8" s="733"/>
      <c r="CCN8" s="733"/>
      <c r="CCO8" s="733"/>
      <c r="CCP8" s="733"/>
      <c r="CCQ8" s="733"/>
      <c r="CCR8" s="733"/>
      <c r="CCS8" s="733"/>
      <c r="CCT8" s="733"/>
      <c r="CCU8" s="733"/>
      <c r="CCV8" s="733"/>
      <c r="CCW8" s="733"/>
      <c r="CCX8" s="733"/>
      <c r="CCY8" s="733"/>
      <c r="CCZ8" s="733"/>
      <c r="CDA8" s="733"/>
      <c r="CDB8" s="733"/>
      <c r="CDC8" s="733"/>
      <c r="CDD8" s="733"/>
      <c r="CDE8" s="733"/>
      <c r="CDF8" s="733"/>
      <c r="CDG8" s="733"/>
      <c r="CDH8" s="733"/>
      <c r="CDI8" s="733"/>
      <c r="CDJ8" s="733"/>
      <c r="CDK8" s="733"/>
      <c r="CDL8" s="733"/>
      <c r="CDM8" s="733"/>
      <c r="CDN8" s="733"/>
      <c r="CDO8" s="733"/>
      <c r="CDP8" s="733"/>
      <c r="CDQ8" s="733"/>
      <c r="CDR8" s="733"/>
      <c r="CDS8" s="733"/>
      <c r="CDT8" s="733"/>
      <c r="CDU8" s="733"/>
      <c r="CDV8" s="733"/>
      <c r="CDW8" s="733"/>
      <c r="CDX8" s="733"/>
      <c r="CDY8" s="733"/>
      <c r="CDZ8" s="733"/>
      <c r="CEA8" s="733"/>
      <c r="CEB8" s="733"/>
      <c r="CEC8" s="733"/>
      <c r="CED8" s="733"/>
      <c r="CEE8" s="733"/>
      <c r="CEF8" s="733"/>
      <c r="CEG8" s="733"/>
      <c r="CEH8" s="733"/>
      <c r="CEI8" s="733"/>
      <c r="CEJ8" s="733"/>
      <c r="CEK8" s="733"/>
      <c r="CEL8" s="733"/>
      <c r="CEM8" s="733"/>
      <c r="CEN8" s="733"/>
      <c r="CEO8" s="733"/>
      <c r="CEP8" s="733"/>
      <c r="CEQ8" s="733"/>
      <c r="CER8" s="733"/>
      <c r="CES8" s="733"/>
      <c r="CET8" s="733"/>
      <c r="CEU8" s="733"/>
      <c r="CEV8" s="733"/>
      <c r="CEW8" s="733"/>
      <c r="CEX8" s="733"/>
      <c r="CEY8" s="733"/>
      <c r="CEZ8" s="733"/>
      <c r="CFA8" s="733"/>
      <c r="CFB8" s="733"/>
      <c r="CFC8" s="733"/>
      <c r="CFD8" s="733"/>
      <c r="CFE8" s="733"/>
      <c r="CFF8" s="733"/>
      <c r="CFG8" s="733"/>
      <c r="CFH8" s="733"/>
      <c r="CFI8" s="733"/>
      <c r="CFJ8" s="733"/>
      <c r="CFK8" s="733"/>
      <c r="CFL8" s="733"/>
      <c r="CFM8" s="733"/>
      <c r="CFN8" s="733"/>
      <c r="CFO8" s="733"/>
      <c r="CFP8" s="733"/>
      <c r="CFQ8" s="733"/>
      <c r="CFR8" s="733"/>
      <c r="CFS8" s="733"/>
      <c r="CFT8" s="733"/>
      <c r="CFU8" s="733"/>
      <c r="CFV8" s="733"/>
      <c r="CFW8" s="733"/>
      <c r="CFX8" s="733"/>
      <c r="CFY8" s="733"/>
      <c r="CFZ8" s="733"/>
      <c r="CGA8" s="733"/>
      <c r="CGB8" s="733"/>
      <c r="CGC8" s="733"/>
      <c r="CGD8" s="733"/>
      <c r="CGE8" s="733"/>
      <c r="CGF8" s="733"/>
      <c r="CGG8" s="733"/>
      <c r="CGH8" s="733"/>
      <c r="CGI8" s="733"/>
      <c r="CGJ8" s="733"/>
      <c r="CGK8" s="733"/>
      <c r="CGL8" s="733"/>
      <c r="CGM8" s="733"/>
      <c r="CGN8" s="733"/>
      <c r="CGO8" s="733"/>
      <c r="CGP8" s="733"/>
      <c r="CGQ8" s="733"/>
      <c r="CGR8" s="733"/>
      <c r="CGS8" s="733"/>
      <c r="CGT8" s="733"/>
      <c r="CGU8" s="733"/>
      <c r="CGV8" s="733"/>
      <c r="CGW8" s="733"/>
      <c r="CGX8" s="733"/>
      <c r="CGY8" s="733"/>
      <c r="CGZ8" s="733"/>
      <c r="CHA8" s="733"/>
      <c r="CHB8" s="733"/>
      <c r="CHC8" s="733"/>
      <c r="CHD8" s="733"/>
      <c r="CHE8" s="733"/>
      <c r="CHF8" s="733"/>
      <c r="CHG8" s="733"/>
      <c r="CHH8" s="733"/>
      <c r="CHI8" s="733"/>
      <c r="CHJ8" s="733"/>
      <c r="CHK8" s="733"/>
      <c r="CHL8" s="733"/>
      <c r="CHM8" s="733"/>
      <c r="CHN8" s="733"/>
      <c r="CHO8" s="733"/>
      <c r="CHP8" s="733"/>
      <c r="CHQ8" s="733"/>
      <c r="CHR8" s="733"/>
      <c r="CHS8" s="733"/>
      <c r="CHT8" s="733"/>
      <c r="CHU8" s="733"/>
      <c r="CHV8" s="733"/>
      <c r="CHW8" s="733"/>
      <c r="CHX8" s="733"/>
      <c r="CHY8" s="733"/>
      <c r="CHZ8" s="733"/>
      <c r="CIA8" s="733"/>
      <c r="CIB8" s="733"/>
      <c r="CIC8" s="733"/>
      <c r="CID8" s="733"/>
      <c r="CIE8" s="733"/>
      <c r="CIF8" s="733"/>
      <c r="CIG8" s="733"/>
      <c r="CIH8" s="733"/>
      <c r="CII8" s="733"/>
      <c r="CIJ8" s="733"/>
      <c r="CIK8" s="733"/>
      <c r="CIL8" s="733"/>
      <c r="CIM8" s="733"/>
      <c r="CIN8" s="733"/>
      <c r="CIO8" s="733"/>
      <c r="CIP8" s="733"/>
      <c r="CIQ8" s="733"/>
      <c r="CIR8" s="733"/>
      <c r="CIS8" s="733"/>
      <c r="CIT8" s="733"/>
      <c r="CIU8" s="733"/>
      <c r="CIV8" s="733"/>
      <c r="CIW8" s="733"/>
      <c r="CIX8" s="733"/>
      <c r="CIY8" s="733"/>
      <c r="CIZ8" s="733"/>
      <c r="CJA8" s="733"/>
      <c r="CJB8" s="733"/>
      <c r="CJC8" s="733"/>
      <c r="CJD8" s="733"/>
      <c r="CJE8" s="733"/>
      <c r="CJF8" s="733"/>
      <c r="CJG8" s="733"/>
      <c r="CJH8" s="733"/>
      <c r="CJI8" s="733"/>
      <c r="CJJ8" s="733"/>
      <c r="CJK8" s="733"/>
      <c r="CJL8" s="733"/>
      <c r="CJM8" s="733"/>
      <c r="CJN8" s="733"/>
      <c r="CJO8" s="733"/>
      <c r="CJP8" s="733"/>
      <c r="CJQ8" s="733"/>
      <c r="CJR8" s="733"/>
      <c r="CJS8" s="733"/>
      <c r="CJT8" s="733"/>
      <c r="CJU8" s="733"/>
      <c r="CJV8" s="733"/>
      <c r="CJW8" s="733"/>
      <c r="CJX8" s="733"/>
      <c r="CJY8" s="733"/>
      <c r="CJZ8" s="733"/>
      <c r="CKA8" s="733"/>
      <c r="CKB8" s="733"/>
      <c r="CKC8" s="733"/>
      <c r="CKD8" s="733"/>
      <c r="CKE8" s="733"/>
      <c r="CKF8" s="733"/>
      <c r="CKG8" s="733"/>
      <c r="CKH8" s="733"/>
      <c r="CKI8" s="733"/>
      <c r="CKJ8" s="733"/>
      <c r="CKK8" s="733"/>
      <c r="CKL8" s="733"/>
      <c r="CKM8" s="733"/>
      <c r="CKN8" s="733"/>
      <c r="CKO8" s="733"/>
      <c r="CKP8" s="733"/>
      <c r="CKQ8" s="733"/>
      <c r="CKR8" s="733"/>
      <c r="CKS8" s="733"/>
      <c r="CKT8" s="733"/>
      <c r="CKU8" s="733"/>
      <c r="CKV8" s="733"/>
      <c r="CKW8" s="733"/>
      <c r="CKX8" s="733"/>
      <c r="CKY8" s="733"/>
      <c r="CKZ8" s="733"/>
      <c r="CLA8" s="733"/>
      <c r="CLB8" s="733"/>
      <c r="CLC8" s="733"/>
      <c r="CLD8" s="733"/>
      <c r="CLE8" s="733"/>
      <c r="CLF8" s="733"/>
      <c r="CLG8" s="733"/>
      <c r="CLH8" s="733"/>
      <c r="CLI8" s="733"/>
      <c r="CLJ8" s="733"/>
      <c r="CLK8" s="733"/>
      <c r="CLL8" s="733"/>
      <c r="CLM8" s="733"/>
      <c r="CLN8" s="733"/>
      <c r="CLO8" s="733"/>
      <c r="CLP8" s="733"/>
      <c r="CLQ8" s="733"/>
      <c r="CLR8" s="733"/>
      <c r="CLS8" s="733"/>
      <c r="CLT8" s="733"/>
      <c r="CLU8" s="733"/>
      <c r="CLV8" s="733"/>
      <c r="CLW8" s="733"/>
      <c r="CLX8" s="733"/>
      <c r="CLY8" s="733"/>
      <c r="CLZ8" s="733"/>
      <c r="CMA8" s="733"/>
      <c r="CMB8" s="733"/>
      <c r="CMC8" s="733"/>
      <c r="CMD8" s="733"/>
      <c r="CME8" s="733"/>
      <c r="CMF8" s="733"/>
      <c r="CMG8" s="733"/>
      <c r="CMH8" s="733"/>
      <c r="CMI8" s="733"/>
      <c r="CMJ8" s="733"/>
      <c r="CMK8" s="733"/>
      <c r="CML8" s="733"/>
      <c r="CMM8" s="733"/>
      <c r="CMN8" s="733"/>
      <c r="CMO8" s="733"/>
      <c r="CMP8" s="733"/>
      <c r="CMQ8" s="733"/>
      <c r="CMR8" s="733"/>
      <c r="CMS8" s="733"/>
      <c r="CMT8" s="733"/>
      <c r="CMU8" s="733"/>
      <c r="CMV8" s="733"/>
      <c r="CMW8" s="733"/>
      <c r="CMX8" s="733"/>
      <c r="CMY8" s="733"/>
      <c r="CMZ8" s="733"/>
      <c r="CNA8" s="733"/>
      <c r="CNB8" s="733"/>
      <c r="CNC8" s="733"/>
      <c r="CND8" s="733"/>
      <c r="CNE8" s="733"/>
      <c r="CNF8" s="733"/>
      <c r="CNG8" s="733"/>
      <c r="CNH8" s="733"/>
      <c r="CNI8" s="733"/>
      <c r="CNJ8" s="733"/>
      <c r="CNK8" s="733"/>
      <c r="CNL8" s="733"/>
      <c r="CNM8" s="733"/>
      <c r="CNN8" s="733"/>
      <c r="CNO8" s="733"/>
      <c r="CNP8" s="733"/>
      <c r="CNQ8" s="733"/>
      <c r="CNR8" s="733"/>
      <c r="CNS8" s="733"/>
      <c r="CNT8" s="733"/>
      <c r="CNU8" s="733"/>
      <c r="CNV8" s="733"/>
      <c r="CNW8" s="733"/>
      <c r="CNX8" s="733"/>
      <c r="CNY8" s="733"/>
      <c r="CNZ8" s="733"/>
      <c r="COA8" s="733"/>
      <c r="COB8" s="733"/>
      <c r="COC8" s="733"/>
      <c r="COD8" s="733"/>
      <c r="COE8" s="733"/>
      <c r="COF8" s="733"/>
      <c r="COG8" s="733"/>
      <c r="COH8" s="733"/>
      <c r="COI8" s="733"/>
      <c r="COJ8" s="733"/>
      <c r="COK8" s="733"/>
      <c r="COL8" s="733"/>
      <c r="COM8" s="733"/>
      <c r="CON8" s="733"/>
      <c r="COO8" s="733"/>
      <c r="COP8" s="733"/>
      <c r="COQ8" s="733"/>
      <c r="COR8" s="733"/>
      <c r="COS8" s="733"/>
      <c r="COT8" s="733"/>
      <c r="COU8" s="733"/>
      <c r="COV8" s="733"/>
      <c r="COW8" s="733"/>
      <c r="COX8" s="733"/>
      <c r="COY8" s="733"/>
      <c r="COZ8" s="733"/>
      <c r="CPA8" s="733"/>
      <c r="CPB8" s="733"/>
      <c r="CPC8" s="733"/>
      <c r="CPD8" s="733"/>
      <c r="CPE8" s="733"/>
      <c r="CPF8" s="733"/>
      <c r="CPG8" s="733"/>
      <c r="CPH8" s="733"/>
      <c r="CPI8" s="733"/>
      <c r="CPJ8" s="733"/>
      <c r="CPK8" s="733"/>
      <c r="CPL8" s="733"/>
      <c r="CPM8" s="733"/>
      <c r="CPN8" s="733"/>
      <c r="CPO8" s="733"/>
      <c r="CPP8" s="733"/>
      <c r="CPQ8" s="733"/>
      <c r="CPR8" s="733"/>
      <c r="CPS8" s="733"/>
      <c r="CPT8" s="733"/>
      <c r="CPU8" s="733"/>
      <c r="CPV8" s="733"/>
      <c r="CPW8" s="733"/>
      <c r="CPX8" s="733"/>
      <c r="CPY8" s="733"/>
      <c r="CPZ8" s="733"/>
      <c r="CQA8" s="733"/>
      <c r="CQB8" s="733"/>
      <c r="CQC8" s="733"/>
      <c r="CQD8" s="733"/>
      <c r="CQE8" s="733"/>
      <c r="CQF8" s="733"/>
      <c r="CQG8" s="733"/>
      <c r="CQH8" s="733"/>
      <c r="CQI8" s="733"/>
      <c r="CQJ8" s="733"/>
      <c r="CQK8" s="733"/>
      <c r="CQL8" s="733"/>
      <c r="CQM8" s="733"/>
      <c r="CQN8" s="733"/>
      <c r="CQO8" s="733"/>
      <c r="CQP8" s="733"/>
      <c r="CQQ8" s="733"/>
      <c r="CQR8" s="733"/>
      <c r="CQS8" s="733"/>
      <c r="CQT8" s="733"/>
      <c r="CQU8" s="733"/>
      <c r="CQV8" s="733"/>
      <c r="CQW8" s="733"/>
      <c r="CQX8" s="733"/>
      <c r="CQY8" s="733"/>
      <c r="CQZ8" s="733"/>
      <c r="CRA8" s="733"/>
      <c r="CRB8" s="733"/>
      <c r="CRC8" s="733"/>
      <c r="CRD8" s="733"/>
      <c r="CRE8" s="733"/>
      <c r="CRF8" s="733"/>
      <c r="CRG8" s="733"/>
      <c r="CRH8" s="733"/>
      <c r="CRI8" s="733"/>
      <c r="CRJ8" s="733"/>
      <c r="CRK8" s="733"/>
      <c r="CRL8" s="733"/>
      <c r="CRM8" s="733"/>
      <c r="CRN8" s="733"/>
      <c r="CRO8" s="733"/>
      <c r="CRP8" s="733"/>
      <c r="CRQ8" s="733"/>
      <c r="CRR8" s="733"/>
      <c r="CRS8" s="733"/>
      <c r="CRT8" s="733"/>
      <c r="CRU8" s="733"/>
      <c r="CRV8" s="733"/>
      <c r="CRW8" s="733"/>
      <c r="CRX8" s="733"/>
      <c r="CRY8" s="733"/>
      <c r="CRZ8" s="733"/>
      <c r="CSA8" s="733"/>
      <c r="CSB8" s="733"/>
      <c r="CSC8" s="733"/>
      <c r="CSD8" s="733"/>
      <c r="CSE8" s="733"/>
      <c r="CSF8" s="733"/>
      <c r="CSG8" s="733"/>
      <c r="CSH8" s="733"/>
      <c r="CSI8" s="733"/>
      <c r="CSJ8" s="733"/>
      <c r="CSK8" s="733"/>
      <c r="CSL8" s="733"/>
      <c r="CSM8" s="733"/>
      <c r="CSN8" s="733"/>
      <c r="CSO8" s="733"/>
      <c r="CSP8" s="733"/>
      <c r="CSQ8" s="733"/>
      <c r="CSR8" s="733"/>
      <c r="CSS8" s="733"/>
      <c r="CST8" s="733"/>
      <c r="CSU8" s="733"/>
      <c r="CSV8" s="733"/>
      <c r="CSW8" s="733"/>
      <c r="CSX8" s="733"/>
      <c r="CSY8" s="733"/>
      <c r="CSZ8" s="733"/>
      <c r="CTA8" s="733"/>
      <c r="CTB8" s="733"/>
      <c r="CTC8" s="733"/>
      <c r="CTD8" s="733"/>
      <c r="CTE8" s="733"/>
      <c r="CTF8" s="733"/>
      <c r="CTG8" s="733"/>
      <c r="CTH8" s="733"/>
      <c r="CTI8" s="733"/>
      <c r="CTJ8" s="733"/>
      <c r="CTK8" s="733"/>
      <c r="CTL8" s="733"/>
      <c r="CTM8" s="733"/>
      <c r="CTN8" s="733"/>
      <c r="CTO8" s="733"/>
      <c r="CTP8" s="733"/>
      <c r="CTQ8" s="733"/>
      <c r="CTR8" s="733"/>
      <c r="CTS8" s="733"/>
      <c r="CTT8" s="733"/>
      <c r="CTU8" s="733"/>
      <c r="CTV8" s="733"/>
      <c r="CTW8" s="733"/>
      <c r="CTX8" s="733"/>
      <c r="CTY8" s="733"/>
      <c r="CTZ8" s="733"/>
      <c r="CUA8" s="733"/>
      <c r="CUB8" s="733"/>
      <c r="CUC8" s="733"/>
      <c r="CUD8" s="733"/>
      <c r="CUE8" s="733"/>
      <c r="CUF8" s="733"/>
      <c r="CUG8" s="733"/>
      <c r="CUH8" s="733"/>
      <c r="CUI8" s="733"/>
      <c r="CUJ8" s="733"/>
      <c r="CUK8" s="733"/>
      <c r="CUL8" s="733"/>
      <c r="CUM8" s="733"/>
      <c r="CUN8" s="733"/>
      <c r="CUO8" s="733"/>
      <c r="CUP8" s="733"/>
      <c r="CUQ8" s="733"/>
      <c r="CUR8" s="733"/>
      <c r="CUS8" s="733"/>
      <c r="CUT8" s="733"/>
      <c r="CUU8" s="733"/>
      <c r="CUV8" s="733"/>
      <c r="CUW8" s="733"/>
      <c r="CUX8" s="733"/>
      <c r="CUY8" s="733"/>
      <c r="CUZ8" s="733"/>
      <c r="CVA8" s="733"/>
      <c r="CVB8" s="733"/>
      <c r="CVC8" s="733"/>
      <c r="CVD8" s="733"/>
      <c r="CVE8" s="733"/>
      <c r="CVF8" s="733"/>
      <c r="CVG8" s="733"/>
      <c r="CVH8" s="733"/>
      <c r="CVI8" s="733"/>
      <c r="CVJ8" s="733"/>
      <c r="CVK8" s="733"/>
      <c r="CVL8" s="733"/>
      <c r="CVM8" s="733"/>
      <c r="CVN8" s="733"/>
      <c r="CVO8" s="733"/>
      <c r="CVP8" s="733"/>
      <c r="CVQ8" s="733"/>
      <c r="CVR8" s="733"/>
      <c r="CVS8" s="733"/>
      <c r="CVT8" s="733"/>
      <c r="CVU8" s="733"/>
      <c r="CVV8" s="733"/>
      <c r="CVW8" s="733"/>
      <c r="CVX8" s="733"/>
      <c r="CVY8" s="733"/>
      <c r="CVZ8" s="733"/>
      <c r="CWA8" s="733"/>
      <c r="CWB8" s="733"/>
      <c r="CWC8" s="733"/>
      <c r="CWD8" s="733"/>
      <c r="CWE8" s="733"/>
      <c r="CWF8" s="733"/>
      <c r="CWG8" s="733"/>
      <c r="CWH8" s="733"/>
      <c r="CWI8" s="733"/>
      <c r="CWJ8" s="733"/>
      <c r="CWK8" s="733"/>
      <c r="CWL8" s="733"/>
      <c r="CWM8" s="733"/>
      <c r="CWN8" s="733"/>
      <c r="CWO8" s="733"/>
      <c r="CWP8" s="733"/>
      <c r="CWQ8" s="733"/>
      <c r="CWR8" s="733"/>
      <c r="CWS8" s="733"/>
      <c r="CWT8" s="733"/>
      <c r="CWU8" s="733"/>
      <c r="CWV8" s="733"/>
      <c r="CWW8" s="733"/>
      <c r="CWX8" s="733"/>
      <c r="CWY8" s="733"/>
      <c r="CWZ8" s="733"/>
      <c r="CXA8" s="733"/>
      <c r="CXB8" s="733"/>
      <c r="CXC8" s="733"/>
      <c r="CXD8" s="733"/>
      <c r="CXE8" s="733"/>
      <c r="CXF8" s="733"/>
      <c r="CXG8" s="733"/>
      <c r="CXH8" s="733"/>
      <c r="CXI8" s="733"/>
      <c r="CXJ8" s="733"/>
      <c r="CXK8" s="733"/>
      <c r="CXL8" s="733"/>
      <c r="CXM8" s="733"/>
      <c r="CXN8" s="733"/>
      <c r="CXO8" s="733"/>
      <c r="CXP8" s="733"/>
      <c r="CXQ8" s="733"/>
      <c r="CXR8" s="733"/>
      <c r="CXS8" s="733"/>
      <c r="CXT8" s="733"/>
      <c r="CXU8" s="733"/>
      <c r="CXV8" s="733"/>
      <c r="CXW8" s="733"/>
      <c r="CXX8" s="733"/>
      <c r="CXY8" s="733"/>
      <c r="CXZ8" s="733"/>
      <c r="CYA8" s="733"/>
      <c r="CYB8" s="733"/>
      <c r="CYC8" s="733"/>
      <c r="CYD8" s="733"/>
      <c r="CYE8" s="733"/>
      <c r="CYF8" s="733"/>
      <c r="CYG8" s="733"/>
      <c r="CYH8" s="733"/>
      <c r="CYI8" s="733"/>
      <c r="CYJ8" s="733"/>
      <c r="CYK8" s="733"/>
      <c r="CYL8" s="733"/>
      <c r="CYM8" s="733"/>
      <c r="CYN8" s="733"/>
      <c r="CYO8" s="733"/>
      <c r="CYP8" s="733"/>
      <c r="CYQ8" s="733"/>
      <c r="CYR8" s="733"/>
      <c r="CYS8" s="733"/>
      <c r="CYT8" s="733"/>
      <c r="CYU8" s="733"/>
      <c r="CYV8" s="733"/>
      <c r="CYW8" s="733"/>
      <c r="CYX8" s="733"/>
      <c r="CYY8" s="733"/>
      <c r="CYZ8" s="733"/>
      <c r="CZA8" s="733"/>
      <c r="CZB8" s="733"/>
      <c r="CZC8" s="733"/>
      <c r="CZD8" s="733"/>
      <c r="CZE8" s="733"/>
      <c r="CZF8" s="733"/>
      <c r="CZG8" s="733"/>
      <c r="CZH8" s="733"/>
      <c r="CZI8" s="733"/>
      <c r="CZJ8" s="733"/>
      <c r="CZK8" s="733"/>
      <c r="CZL8" s="733"/>
      <c r="CZM8" s="733"/>
      <c r="CZN8" s="733"/>
      <c r="CZO8" s="733"/>
      <c r="CZP8" s="733"/>
      <c r="CZQ8" s="733"/>
      <c r="CZR8" s="733"/>
      <c r="CZS8" s="733"/>
      <c r="CZT8" s="733"/>
      <c r="CZU8" s="733"/>
      <c r="CZV8" s="733"/>
      <c r="CZW8" s="733"/>
      <c r="CZX8" s="733"/>
      <c r="CZY8" s="733"/>
      <c r="CZZ8" s="733"/>
      <c r="DAA8" s="733"/>
      <c r="DAB8" s="733"/>
      <c r="DAC8" s="733"/>
      <c r="DAD8" s="733"/>
      <c r="DAE8" s="733"/>
      <c r="DAF8" s="733"/>
      <c r="DAG8" s="733"/>
      <c r="DAH8" s="733"/>
      <c r="DAI8" s="733"/>
      <c r="DAJ8" s="733"/>
      <c r="DAK8" s="733"/>
      <c r="DAL8" s="733"/>
      <c r="DAM8" s="733"/>
      <c r="DAN8" s="733"/>
      <c r="DAO8" s="733"/>
      <c r="DAP8" s="733"/>
      <c r="DAQ8" s="733"/>
      <c r="DAR8" s="733"/>
      <c r="DAS8" s="733"/>
      <c r="DAT8" s="733"/>
      <c r="DAU8" s="733"/>
      <c r="DAV8" s="733"/>
      <c r="DAW8" s="733"/>
      <c r="DAX8" s="733"/>
      <c r="DAY8" s="733"/>
      <c r="DAZ8" s="733"/>
      <c r="DBA8" s="733"/>
      <c r="DBB8" s="733"/>
      <c r="DBC8" s="733"/>
      <c r="DBD8" s="733"/>
      <c r="DBE8" s="733"/>
      <c r="DBF8" s="733"/>
      <c r="DBG8" s="733"/>
      <c r="DBH8" s="733"/>
      <c r="DBI8" s="733"/>
      <c r="DBJ8" s="733"/>
      <c r="DBK8" s="733"/>
      <c r="DBL8" s="733"/>
      <c r="DBM8" s="733"/>
      <c r="DBN8" s="733"/>
      <c r="DBO8" s="733"/>
      <c r="DBP8" s="733"/>
      <c r="DBQ8" s="733"/>
      <c r="DBR8" s="733"/>
      <c r="DBS8" s="733"/>
      <c r="DBT8" s="733"/>
      <c r="DBU8" s="733"/>
      <c r="DBV8" s="733"/>
      <c r="DBW8" s="733"/>
      <c r="DBX8" s="733"/>
      <c r="DBY8" s="733"/>
      <c r="DBZ8" s="733"/>
      <c r="DCA8" s="733"/>
      <c r="DCB8" s="733"/>
      <c r="DCC8" s="733"/>
      <c r="DCD8" s="733"/>
      <c r="DCE8" s="733"/>
      <c r="DCF8" s="733"/>
      <c r="DCG8" s="733"/>
      <c r="DCH8" s="733"/>
      <c r="DCI8" s="733"/>
      <c r="DCJ8" s="733"/>
      <c r="DCK8" s="733"/>
      <c r="DCL8" s="733"/>
      <c r="DCM8" s="733"/>
      <c r="DCN8" s="733"/>
      <c r="DCO8" s="733"/>
      <c r="DCP8" s="733"/>
      <c r="DCQ8" s="733"/>
      <c r="DCR8" s="733"/>
      <c r="DCS8" s="733"/>
      <c r="DCT8" s="733"/>
      <c r="DCU8" s="733"/>
      <c r="DCV8" s="733"/>
      <c r="DCW8" s="733"/>
      <c r="DCX8" s="733"/>
      <c r="DCY8" s="733"/>
      <c r="DCZ8" s="733"/>
      <c r="DDA8" s="733"/>
      <c r="DDB8" s="733"/>
      <c r="DDC8" s="733"/>
      <c r="DDD8" s="733"/>
      <c r="DDE8" s="733"/>
      <c r="DDF8" s="733"/>
      <c r="DDG8" s="733"/>
      <c r="DDH8" s="733"/>
      <c r="DDI8" s="733"/>
      <c r="DDJ8" s="733"/>
      <c r="DDK8" s="733"/>
      <c r="DDL8" s="733"/>
      <c r="DDM8" s="733"/>
      <c r="DDN8" s="733"/>
      <c r="DDO8" s="733"/>
      <c r="DDP8" s="733"/>
      <c r="DDQ8" s="733"/>
      <c r="DDR8" s="733"/>
      <c r="DDS8" s="733"/>
      <c r="DDT8" s="733"/>
      <c r="DDU8" s="733"/>
      <c r="DDV8" s="733"/>
      <c r="DDW8" s="733"/>
      <c r="DDX8" s="733"/>
      <c r="DDY8" s="733"/>
      <c r="DDZ8" s="733"/>
      <c r="DEA8" s="733"/>
      <c r="DEB8" s="733"/>
      <c r="DEC8" s="733"/>
      <c r="DED8" s="733"/>
      <c r="DEE8" s="733"/>
      <c r="DEF8" s="733"/>
      <c r="DEG8" s="733"/>
      <c r="DEH8" s="733"/>
      <c r="DEI8" s="733"/>
      <c r="DEJ8" s="733"/>
      <c r="DEK8" s="733"/>
      <c r="DEL8" s="733"/>
      <c r="DEM8" s="733"/>
      <c r="DEN8" s="733"/>
      <c r="DEO8" s="733"/>
      <c r="DEP8" s="733"/>
      <c r="DEQ8" s="733"/>
      <c r="DER8" s="733"/>
      <c r="DES8" s="733"/>
      <c r="DET8" s="733"/>
      <c r="DEU8" s="733"/>
      <c r="DEV8" s="733"/>
      <c r="DEW8" s="733"/>
      <c r="DEX8" s="733"/>
      <c r="DEY8" s="733"/>
      <c r="DEZ8" s="733"/>
      <c r="DFA8" s="733"/>
      <c r="DFB8" s="733"/>
      <c r="DFC8" s="733"/>
      <c r="DFD8" s="733"/>
      <c r="DFE8" s="733"/>
      <c r="DFF8" s="733"/>
      <c r="DFG8" s="733"/>
      <c r="DFH8" s="733"/>
      <c r="DFI8" s="733"/>
      <c r="DFJ8" s="733"/>
      <c r="DFK8" s="733"/>
      <c r="DFL8" s="733"/>
      <c r="DFM8" s="733"/>
      <c r="DFN8" s="733"/>
      <c r="DFO8" s="733"/>
      <c r="DFP8" s="733"/>
      <c r="DFQ8" s="733"/>
      <c r="DFR8" s="733"/>
      <c r="DFS8" s="733"/>
      <c r="DFT8" s="733"/>
      <c r="DFU8" s="733"/>
      <c r="DFV8" s="733"/>
      <c r="DFW8" s="733"/>
      <c r="DFX8" s="733"/>
      <c r="DFY8" s="733"/>
      <c r="DFZ8" s="733"/>
      <c r="DGA8" s="733"/>
      <c r="DGB8" s="733"/>
      <c r="DGC8" s="733"/>
      <c r="DGD8" s="733"/>
      <c r="DGE8" s="733"/>
      <c r="DGF8" s="733"/>
      <c r="DGG8" s="733"/>
      <c r="DGH8" s="733"/>
      <c r="DGI8" s="733"/>
      <c r="DGJ8" s="733"/>
      <c r="DGK8" s="733"/>
      <c r="DGL8" s="733"/>
      <c r="DGM8" s="733"/>
      <c r="DGN8" s="733"/>
      <c r="DGO8" s="733"/>
      <c r="DGP8" s="733"/>
      <c r="DGQ8" s="733"/>
      <c r="DGR8" s="733"/>
      <c r="DGS8" s="733"/>
      <c r="DGT8" s="733"/>
      <c r="DGU8" s="733"/>
      <c r="DGV8" s="733"/>
      <c r="DGW8" s="733"/>
      <c r="DGX8" s="733"/>
      <c r="DGY8" s="733"/>
      <c r="DGZ8" s="733"/>
      <c r="DHA8" s="733"/>
      <c r="DHB8" s="733"/>
      <c r="DHC8" s="733"/>
      <c r="DHD8" s="733"/>
      <c r="DHE8" s="733"/>
      <c r="DHF8" s="733"/>
      <c r="DHG8" s="733"/>
      <c r="DHH8" s="733"/>
      <c r="DHI8" s="733"/>
      <c r="DHJ8" s="733"/>
      <c r="DHK8" s="733"/>
      <c r="DHL8" s="733"/>
      <c r="DHM8" s="733"/>
      <c r="DHN8" s="733"/>
      <c r="DHO8" s="733"/>
      <c r="DHP8" s="733"/>
      <c r="DHQ8" s="733"/>
      <c r="DHR8" s="733"/>
      <c r="DHS8" s="733"/>
      <c r="DHT8" s="733"/>
      <c r="DHU8" s="733"/>
      <c r="DHV8" s="733"/>
      <c r="DHW8" s="733"/>
      <c r="DHX8" s="733"/>
      <c r="DHY8" s="733"/>
      <c r="DHZ8" s="733"/>
      <c r="DIA8" s="733"/>
      <c r="DIB8" s="733"/>
      <c r="DIC8" s="733"/>
      <c r="DID8" s="733"/>
      <c r="DIE8" s="733"/>
      <c r="DIF8" s="733"/>
      <c r="DIG8" s="733"/>
      <c r="DIH8" s="733"/>
      <c r="DII8" s="733"/>
      <c r="DIJ8" s="733"/>
      <c r="DIK8" s="733"/>
      <c r="DIL8" s="733"/>
      <c r="DIM8" s="733"/>
      <c r="DIN8" s="733"/>
      <c r="DIO8" s="733"/>
      <c r="DIP8" s="733"/>
      <c r="DIQ8" s="733"/>
      <c r="DIR8" s="733"/>
      <c r="DIS8" s="733"/>
      <c r="DIT8" s="733"/>
      <c r="DIU8" s="733"/>
      <c r="DIV8" s="733"/>
      <c r="DIW8" s="733"/>
      <c r="DIX8" s="733"/>
      <c r="DIY8" s="733"/>
      <c r="DIZ8" s="733"/>
      <c r="DJA8" s="733"/>
      <c r="DJB8" s="733"/>
      <c r="DJC8" s="733"/>
      <c r="DJD8" s="733"/>
      <c r="DJE8" s="733"/>
      <c r="DJF8" s="733"/>
      <c r="DJG8" s="733"/>
      <c r="DJH8" s="733"/>
      <c r="DJI8" s="733"/>
      <c r="DJJ8" s="733"/>
      <c r="DJK8" s="733"/>
      <c r="DJL8" s="733"/>
      <c r="DJM8" s="733"/>
      <c r="DJN8" s="733"/>
      <c r="DJO8" s="733"/>
      <c r="DJP8" s="733"/>
      <c r="DJQ8" s="733"/>
      <c r="DJR8" s="733"/>
      <c r="DJS8" s="733"/>
      <c r="DJT8" s="733"/>
      <c r="DJU8" s="733"/>
      <c r="DJV8" s="733"/>
      <c r="DJW8" s="733"/>
      <c r="DJX8" s="733"/>
      <c r="DJY8" s="733"/>
      <c r="DJZ8" s="733"/>
      <c r="DKA8" s="733"/>
      <c r="DKB8" s="733"/>
      <c r="DKC8" s="733"/>
      <c r="DKD8" s="733"/>
      <c r="DKE8" s="733"/>
      <c r="DKF8" s="733"/>
      <c r="DKG8" s="733"/>
      <c r="DKH8" s="733"/>
      <c r="DKI8" s="733"/>
      <c r="DKJ8" s="733"/>
      <c r="DKK8" s="733"/>
      <c r="DKL8" s="733"/>
      <c r="DKM8" s="733"/>
      <c r="DKN8" s="733"/>
      <c r="DKO8" s="733"/>
      <c r="DKP8" s="733"/>
      <c r="DKQ8" s="733"/>
      <c r="DKR8" s="733"/>
      <c r="DKS8" s="733"/>
      <c r="DKT8" s="733"/>
      <c r="DKU8" s="733"/>
      <c r="DKV8" s="733"/>
      <c r="DKW8" s="733"/>
      <c r="DKX8" s="733"/>
      <c r="DKY8" s="733"/>
      <c r="DKZ8" s="733"/>
      <c r="DLA8" s="733"/>
      <c r="DLB8" s="733"/>
      <c r="DLC8" s="733"/>
      <c r="DLD8" s="733"/>
      <c r="DLE8" s="733"/>
      <c r="DLF8" s="733"/>
      <c r="DLG8" s="733"/>
      <c r="DLH8" s="733"/>
      <c r="DLI8" s="733"/>
      <c r="DLJ8" s="733"/>
      <c r="DLK8" s="733"/>
      <c r="DLL8" s="733"/>
      <c r="DLM8" s="733"/>
      <c r="DLN8" s="733"/>
      <c r="DLO8" s="733"/>
      <c r="DLP8" s="733"/>
      <c r="DLQ8" s="733"/>
      <c r="DLR8" s="733"/>
      <c r="DLS8" s="733"/>
      <c r="DLT8" s="733"/>
      <c r="DLU8" s="733"/>
      <c r="DLV8" s="733"/>
      <c r="DLW8" s="733"/>
      <c r="DLX8" s="733"/>
      <c r="DLY8" s="733"/>
      <c r="DLZ8" s="733"/>
      <c r="DMA8" s="733"/>
      <c r="DMB8" s="733"/>
      <c r="DMC8" s="733"/>
      <c r="DMD8" s="733"/>
      <c r="DME8" s="733"/>
      <c r="DMF8" s="733"/>
      <c r="DMG8" s="733"/>
      <c r="DMH8" s="733"/>
      <c r="DMI8" s="733"/>
      <c r="DMJ8" s="733"/>
      <c r="DMK8" s="733"/>
      <c r="DML8" s="733"/>
      <c r="DMM8" s="733"/>
      <c r="DMN8" s="733"/>
      <c r="DMO8" s="733"/>
      <c r="DMP8" s="733"/>
      <c r="DMQ8" s="733"/>
      <c r="DMR8" s="733"/>
      <c r="DMS8" s="733"/>
      <c r="DMT8" s="733"/>
      <c r="DMU8" s="733"/>
      <c r="DMV8" s="733"/>
      <c r="DMW8" s="733"/>
      <c r="DMX8" s="733"/>
      <c r="DMY8" s="733"/>
      <c r="DMZ8" s="733"/>
      <c r="DNA8" s="733"/>
      <c r="DNB8" s="733"/>
      <c r="DNC8" s="733"/>
      <c r="DND8" s="733"/>
      <c r="DNE8" s="733"/>
      <c r="DNF8" s="733"/>
      <c r="DNG8" s="733"/>
      <c r="DNH8" s="733"/>
      <c r="DNI8" s="733"/>
      <c r="DNJ8" s="733"/>
      <c r="DNK8" s="733"/>
      <c r="DNL8" s="733"/>
      <c r="DNM8" s="733"/>
      <c r="DNN8" s="733"/>
      <c r="DNO8" s="733"/>
      <c r="DNP8" s="733"/>
      <c r="DNQ8" s="733"/>
      <c r="DNR8" s="733"/>
      <c r="DNS8" s="733"/>
      <c r="DNT8" s="733"/>
      <c r="DNU8" s="733"/>
      <c r="DNV8" s="733"/>
      <c r="DNW8" s="733"/>
      <c r="DNX8" s="733"/>
      <c r="DNY8" s="733"/>
      <c r="DNZ8" s="733"/>
      <c r="DOA8" s="733"/>
      <c r="DOB8" s="733"/>
      <c r="DOC8" s="733"/>
      <c r="DOD8" s="733"/>
      <c r="DOE8" s="733"/>
      <c r="DOF8" s="733"/>
      <c r="DOG8" s="733"/>
      <c r="DOH8" s="733"/>
      <c r="DOI8" s="733"/>
      <c r="DOJ8" s="733"/>
      <c r="DOK8" s="733"/>
      <c r="DOL8" s="733"/>
      <c r="DOM8" s="733"/>
      <c r="DON8" s="733"/>
      <c r="DOO8" s="733"/>
      <c r="DOP8" s="733"/>
      <c r="DOQ8" s="733"/>
      <c r="DOR8" s="733"/>
      <c r="DOS8" s="733"/>
      <c r="DOT8" s="733"/>
      <c r="DOU8" s="733"/>
      <c r="DOV8" s="733"/>
      <c r="DOW8" s="733"/>
      <c r="DOX8" s="733"/>
      <c r="DOY8" s="733"/>
      <c r="DOZ8" s="733"/>
      <c r="DPA8" s="733"/>
      <c r="DPB8" s="733"/>
      <c r="DPC8" s="733"/>
      <c r="DPD8" s="733"/>
      <c r="DPE8" s="733"/>
      <c r="DPF8" s="733"/>
      <c r="DPG8" s="733"/>
      <c r="DPH8" s="733"/>
      <c r="DPI8" s="733"/>
      <c r="DPJ8" s="733"/>
      <c r="DPK8" s="733"/>
      <c r="DPL8" s="733"/>
      <c r="DPM8" s="733"/>
      <c r="DPN8" s="733"/>
      <c r="DPO8" s="733"/>
      <c r="DPP8" s="733"/>
      <c r="DPQ8" s="733"/>
      <c r="DPR8" s="733"/>
      <c r="DPS8" s="733"/>
      <c r="DPT8" s="733"/>
      <c r="DPU8" s="733"/>
      <c r="DPV8" s="733"/>
      <c r="DPW8" s="733"/>
      <c r="DPX8" s="733"/>
      <c r="DPY8" s="733"/>
      <c r="DPZ8" s="733"/>
      <c r="DQA8" s="733"/>
      <c r="DQB8" s="733"/>
      <c r="DQC8" s="733"/>
      <c r="DQD8" s="733"/>
      <c r="DQE8" s="733"/>
      <c r="DQF8" s="733"/>
      <c r="DQG8" s="733"/>
      <c r="DQH8" s="733"/>
      <c r="DQI8" s="733"/>
      <c r="DQJ8" s="733"/>
      <c r="DQK8" s="733"/>
      <c r="DQL8" s="733"/>
      <c r="DQM8" s="733"/>
      <c r="DQN8" s="733"/>
      <c r="DQO8" s="733"/>
      <c r="DQP8" s="733"/>
      <c r="DQQ8" s="733"/>
      <c r="DQR8" s="733"/>
      <c r="DQS8" s="733"/>
      <c r="DQT8" s="733"/>
      <c r="DQU8" s="733"/>
      <c r="DQV8" s="733"/>
      <c r="DQW8" s="733"/>
      <c r="DQX8" s="733"/>
      <c r="DQY8" s="733"/>
      <c r="DQZ8" s="733"/>
      <c r="DRA8" s="733"/>
      <c r="DRB8" s="733"/>
      <c r="DRC8" s="733"/>
      <c r="DRD8" s="733"/>
      <c r="DRE8" s="733"/>
      <c r="DRF8" s="733"/>
      <c r="DRG8" s="733"/>
      <c r="DRH8" s="733"/>
      <c r="DRI8" s="733"/>
      <c r="DRJ8" s="733"/>
      <c r="DRK8" s="733"/>
      <c r="DRL8" s="733"/>
      <c r="DRM8" s="733"/>
      <c r="DRN8" s="733"/>
      <c r="DRO8" s="733"/>
      <c r="DRP8" s="733"/>
      <c r="DRQ8" s="733"/>
      <c r="DRR8" s="733"/>
      <c r="DRS8" s="733"/>
      <c r="DRT8" s="733"/>
      <c r="DRU8" s="733"/>
      <c r="DRV8" s="733"/>
      <c r="DRW8" s="733"/>
      <c r="DRX8" s="733"/>
      <c r="DRY8" s="733"/>
      <c r="DRZ8" s="733"/>
      <c r="DSA8" s="733"/>
      <c r="DSB8" s="733"/>
      <c r="DSC8" s="733"/>
      <c r="DSD8" s="733"/>
      <c r="DSE8" s="733"/>
      <c r="DSF8" s="733"/>
      <c r="DSG8" s="733"/>
      <c r="DSH8" s="733"/>
      <c r="DSI8" s="733"/>
      <c r="DSJ8" s="733"/>
      <c r="DSK8" s="733"/>
      <c r="DSL8" s="733"/>
      <c r="DSM8" s="733"/>
      <c r="DSN8" s="733"/>
      <c r="DSO8" s="733"/>
      <c r="DSP8" s="733"/>
      <c r="DSQ8" s="733"/>
      <c r="DSR8" s="733"/>
      <c r="DSS8" s="733"/>
      <c r="DST8" s="733"/>
      <c r="DSU8" s="733"/>
      <c r="DSV8" s="733"/>
      <c r="DSW8" s="733"/>
      <c r="DSX8" s="733"/>
      <c r="DSY8" s="733"/>
      <c r="DSZ8" s="733"/>
      <c r="DTA8" s="733"/>
      <c r="DTB8" s="733"/>
      <c r="DTC8" s="733"/>
      <c r="DTD8" s="733"/>
      <c r="DTE8" s="733"/>
      <c r="DTF8" s="733"/>
      <c r="DTG8" s="733"/>
      <c r="DTH8" s="733"/>
      <c r="DTI8" s="733"/>
      <c r="DTJ8" s="733"/>
      <c r="DTK8" s="733"/>
      <c r="DTL8" s="733"/>
      <c r="DTM8" s="733"/>
      <c r="DTN8" s="733"/>
      <c r="DTO8" s="733"/>
      <c r="DTP8" s="733"/>
      <c r="DTQ8" s="733"/>
      <c r="DTR8" s="733"/>
      <c r="DTS8" s="733"/>
      <c r="DTT8" s="733"/>
      <c r="DTU8" s="733"/>
      <c r="DTV8" s="733"/>
      <c r="DTW8" s="733"/>
      <c r="DTX8" s="733"/>
      <c r="DTY8" s="733"/>
      <c r="DTZ8" s="733"/>
      <c r="DUA8" s="733"/>
      <c r="DUB8" s="733"/>
      <c r="DUC8" s="733"/>
      <c r="DUD8" s="733"/>
      <c r="DUE8" s="733"/>
      <c r="DUF8" s="733"/>
      <c r="DUG8" s="733"/>
      <c r="DUH8" s="733"/>
      <c r="DUI8" s="733"/>
      <c r="DUJ8" s="733"/>
      <c r="DUK8" s="733"/>
      <c r="DUL8" s="733"/>
      <c r="DUM8" s="733"/>
      <c r="DUN8" s="733"/>
      <c r="DUO8" s="733"/>
      <c r="DUP8" s="733"/>
      <c r="DUQ8" s="733"/>
      <c r="DUR8" s="733"/>
      <c r="DUS8" s="733"/>
      <c r="DUT8" s="733"/>
      <c r="DUU8" s="733"/>
      <c r="DUV8" s="733"/>
      <c r="DUW8" s="733"/>
      <c r="DUX8" s="733"/>
      <c r="DUY8" s="733"/>
      <c r="DUZ8" s="733"/>
      <c r="DVA8" s="733"/>
      <c r="DVB8" s="733"/>
      <c r="DVC8" s="733"/>
      <c r="DVD8" s="733"/>
      <c r="DVE8" s="733"/>
      <c r="DVF8" s="733"/>
      <c r="DVG8" s="733"/>
      <c r="DVH8" s="733"/>
      <c r="DVI8" s="733"/>
      <c r="DVJ8" s="733"/>
      <c r="DVK8" s="733"/>
      <c r="DVL8" s="733"/>
      <c r="DVM8" s="733"/>
      <c r="DVN8" s="733"/>
      <c r="DVO8" s="733"/>
      <c r="DVP8" s="733"/>
      <c r="DVQ8" s="733"/>
      <c r="DVR8" s="733"/>
      <c r="DVS8" s="733"/>
      <c r="DVT8" s="733"/>
      <c r="DVU8" s="733"/>
      <c r="DVV8" s="733"/>
      <c r="DVW8" s="733"/>
      <c r="DVX8" s="733"/>
      <c r="DVY8" s="733"/>
      <c r="DVZ8" s="733"/>
      <c r="DWA8" s="733"/>
      <c r="DWB8" s="733"/>
      <c r="DWC8" s="733"/>
      <c r="DWD8" s="733"/>
      <c r="DWE8" s="733"/>
      <c r="DWF8" s="733"/>
      <c r="DWG8" s="733"/>
      <c r="DWH8" s="733"/>
      <c r="DWI8" s="733"/>
      <c r="DWJ8" s="733"/>
      <c r="DWK8" s="733"/>
      <c r="DWL8" s="733"/>
      <c r="DWM8" s="733"/>
      <c r="DWN8" s="733"/>
      <c r="DWO8" s="733"/>
      <c r="DWP8" s="733"/>
      <c r="DWQ8" s="733"/>
      <c r="DWR8" s="733"/>
      <c r="DWS8" s="733"/>
      <c r="DWT8" s="733"/>
      <c r="DWU8" s="733"/>
      <c r="DWV8" s="733"/>
      <c r="DWW8" s="733"/>
      <c r="DWX8" s="733"/>
      <c r="DWY8" s="733"/>
      <c r="DWZ8" s="733"/>
      <c r="DXA8" s="733"/>
      <c r="DXB8" s="733"/>
      <c r="DXC8" s="733"/>
      <c r="DXD8" s="733"/>
      <c r="DXE8" s="733"/>
      <c r="DXF8" s="733"/>
      <c r="DXG8" s="733"/>
      <c r="DXH8" s="733"/>
      <c r="DXI8" s="733"/>
      <c r="DXJ8" s="733"/>
      <c r="DXK8" s="733"/>
      <c r="DXL8" s="733"/>
      <c r="DXM8" s="733"/>
      <c r="DXN8" s="733"/>
      <c r="DXO8" s="733"/>
      <c r="DXP8" s="733"/>
      <c r="DXQ8" s="733"/>
      <c r="DXR8" s="733"/>
      <c r="DXS8" s="733"/>
      <c r="DXT8" s="733"/>
      <c r="DXU8" s="733"/>
      <c r="DXV8" s="733"/>
      <c r="DXW8" s="733"/>
      <c r="DXX8" s="733"/>
      <c r="DXY8" s="733"/>
      <c r="DXZ8" s="733"/>
      <c r="DYA8" s="733"/>
      <c r="DYB8" s="733"/>
      <c r="DYC8" s="733"/>
      <c r="DYD8" s="733"/>
      <c r="DYE8" s="733"/>
      <c r="DYF8" s="733"/>
      <c r="DYG8" s="733"/>
      <c r="DYH8" s="733"/>
      <c r="DYI8" s="733"/>
      <c r="DYJ8" s="733"/>
      <c r="DYK8" s="733"/>
      <c r="DYL8" s="733"/>
      <c r="DYM8" s="733"/>
      <c r="DYN8" s="733"/>
      <c r="DYO8" s="733"/>
      <c r="DYP8" s="733"/>
      <c r="DYQ8" s="733"/>
      <c r="DYR8" s="733"/>
      <c r="DYS8" s="733"/>
      <c r="DYT8" s="733"/>
      <c r="DYU8" s="733"/>
      <c r="DYV8" s="733"/>
      <c r="DYW8" s="733"/>
      <c r="DYX8" s="733"/>
      <c r="DYY8" s="733"/>
      <c r="DYZ8" s="733"/>
      <c r="DZA8" s="733"/>
      <c r="DZB8" s="733"/>
      <c r="DZC8" s="733"/>
      <c r="DZD8" s="733"/>
      <c r="DZE8" s="733"/>
      <c r="DZF8" s="733"/>
      <c r="DZG8" s="733"/>
      <c r="DZH8" s="733"/>
      <c r="DZI8" s="733"/>
      <c r="DZJ8" s="733"/>
      <c r="DZK8" s="733"/>
      <c r="DZL8" s="733"/>
      <c r="DZM8" s="733"/>
      <c r="DZN8" s="733"/>
      <c r="DZO8" s="733"/>
      <c r="DZP8" s="733"/>
      <c r="DZQ8" s="733"/>
      <c r="DZR8" s="733"/>
      <c r="DZS8" s="733"/>
      <c r="DZT8" s="733"/>
      <c r="DZU8" s="733"/>
      <c r="DZV8" s="733"/>
      <c r="DZW8" s="733"/>
      <c r="DZX8" s="733"/>
      <c r="DZY8" s="733"/>
      <c r="DZZ8" s="733"/>
      <c r="EAA8" s="733"/>
      <c r="EAB8" s="733"/>
      <c r="EAC8" s="733"/>
      <c r="EAD8" s="733"/>
      <c r="EAE8" s="733"/>
      <c r="EAF8" s="733"/>
      <c r="EAG8" s="733"/>
      <c r="EAH8" s="733"/>
      <c r="EAI8" s="733"/>
      <c r="EAJ8" s="733"/>
      <c r="EAK8" s="733"/>
      <c r="EAL8" s="733"/>
      <c r="EAM8" s="733"/>
      <c r="EAN8" s="733"/>
      <c r="EAO8" s="733"/>
      <c r="EAP8" s="733"/>
      <c r="EAQ8" s="733"/>
      <c r="EAR8" s="733"/>
      <c r="EAS8" s="733"/>
      <c r="EAT8" s="733"/>
      <c r="EAU8" s="733"/>
      <c r="EAV8" s="733"/>
      <c r="EAW8" s="733"/>
      <c r="EAX8" s="733"/>
      <c r="EAY8" s="733"/>
      <c r="EAZ8" s="733"/>
      <c r="EBA8" s="733"/>
      <c r="EBB8" s="733"/>
      <c r="EBC8" s="733"/>
      <c r="EBD8" s="733"/>
      <c r="EBE8" s="733"/>
      <c r="EBF8" s="733"/>
      <c r="EBG8" s="733"/>
      <c r="EBH8" s="733"/>
      <c r="EBI8" s="733"/>
      <c r="EBJ8" s="733"/>
      <c r="EBK8" s="733"/>
      <c r="EBL8" s="733"/>
      <c r="EBM8" s="733"/>
      <c r="EBN8" s="733"/>
      <c r="EBO8" s="733"/>
      <c r="EBP8" s="733"/>
      <c r="EBQ8" s="733"/>
      <c r="EBR8" s="733"/>
      <c r="EBS8" s="733"/>
      <c r="EBT8" s="733"/>
      <c r="EBU8" s="733"/>
      <c r="EBV8" s="733"/>
      <c r="EBW8" s="733"/>
      <c r="EBX8" s="733"/>
      <c r="EBY8" s="733"/>
      <c r="EBZ8" s="733"/>
      <c r="ECA8" s="733"/>
      <c r="ECB8" s="733"/>
      <c r="ECC8" s="733"/>
      <c r="ECD8" s="733"/>
      <c r="ECE8" s="733"/>
      <c r="ECF8" s="733"/>
      <c r="ECG8" s="733"/>
      <c r="ECH8" s="733"/>
      <c r="ECI8" s="733"/>
      <c r="ECJ8" s="733"/>
      <c r="ECK8" s="733"/>
      <c r="ECL8" s="733"/>
      <c r="ECM8" s="733"/>
      <c r="ECN8" s="733"/>
      <c r="ECO8" s="733"/>
      <c r="ECP8" s="733"/>
      <c r="ECQ8" s="733"/>
      <c r="ECR8" s="733"/>
      <c r="ECS8" s="733"/>
      <c r="ECT8" s="733"/>
      <c r="ECU8" s="733"/>
      <c r="ECV8" s="733"/>
      <c r="ECW8" s="733"/>
      <c r="ECX8" s="733"/>
      <c r="ECY8" s="733"/>
      <c r="ECZ8" s="733"/>
      <c r="EDA8" s="733"/>
      <c r="EDB8" s="733"/>
      <c r="EDC8" s="733"/>
      <c r="EDD8" s="733"/>
      <c r="EDE8" s="733"/>
      <c r="EDF8" s="733"/>
      <c r="EDG8" s="733"/>
      <c r="EDH8" s="733"/>
      <c r="EDI8" s="733"/>
      <c r="EDJ8" s="733"/>
      <c r="EDK8" s="733"/>
      <c r="EDL8" s="733"/>
      <c r="EDM8" s="733"/>
      <c r="EDN8" s="733"/>
      <c r="EDO8" s="733"/>
      <c r="EDP8" s="733"/>
      <c r="EDQ8" s="733"/>
      <c r="EDR8" s="733"/>
      <c r="EDS8" s="733"/>
      <c r="EDT8" s="733"/>
      <c r="EDU8" s="733"/>
      <c r="EDV8" s="733"/>
      <c r="EDW8" s="733"/>
      <c r="EDX8" s="733"/>
      <c r="EDY8" s="733"/>
      <c r="EDZ8" s="733"/>
      <c r="EEA8" s="733"/>
      <c r="EEB8" s="733"/>
      <c r="EEC8" s="733"/>
      <c r="EED8" s="733"/>
      <c r="EEE8" s="733"/>
      <c r="EEF8" s="733"/>
      <c r="EEG8" s="733"/>
      <c r="EEH8" s="733"/>
      <c r="EEI8" s="733"/>
      <c r="EEJ8" s="733"/>
      <c r="EEK8" s="733"/>
      <c r="EEL8" s="733"/>
      <c r="EEM8" s="733"/>
      <c r="EEN8" s="733"/>
      <c r="EEO8" s="733"/>
      <c r="EEP8" s="733"/>
      <c r="EEQ8" s="733"/>
      <c r="EER8" s="733"/>
      <c r="EES8" s="733"/>
      <c r="EET8" s="733"/>
      <c r="EEU8" s="733"/>
      <c r="EEV8" s="733"/>
      <c r="EEW8" s="733"/>
      <c r="EEX8" s="733"/>
      <c r="EEY8" s="733"/>
      <c r="EEZ8" s="733"/>
      <c r="EFA8" s="733"/>
      <c r="EFB8" s="733"/>
      <c r="EFC8" s="733"/>
      <c r="EFD8" s="733"/>
      <c r="EFE8" s="733"/>
      <c r="EFF8" s="733"/>
      <c r="EFG8" s="733"/>
      <c r="EFH8" s="733"/>
      <c r="EFI8" s="733"/>
      <c r="EFJ8" s="733"/>
      <c r="EFK8" s="733"/>
      <c r="EFL8" s="733"/>
      <c r="EFM8" s="733"/>
      <c r="EFN8" s="733"/>
      <c r="EFO8" s="733"/>
      <c r="EFP8" s="733"/>
      <c r="EFQ8" s="733"/>
      <c r="EFR8" s="733"/>
      <c r="EFS8" s="733"/>
      <c r="EFT8" s="733"/>
      <c r="EFU8" s="733"/>
      <c r="EFV8" s="733"/>
      <c r="EFW8" s="733"/>
      <c r="EFX8" s="733"/>
      <c r="EFY8" s="733"/>
      <c r="EFZ8" s="733"/>
      <c r="EGA8" s="733"/>
      <c r="EGB8" s="733"/>
      <c r="EGC8" s="733"/>
      <c r="EGD8" s="733"/>
      <c r="EGE8" s="733"/>
      <c r="EGF8" s="733"/>
      <c r="EGG8" s="733"/>
      <c r="EGH8" s="733"/>
      <c r="EGI8" s="733"/>
      <c r="EGJ8" s="733"/>
      <c r="EGK8" s="733"/>
      <c r="EGL8" s="733"/>
      <c r="EGM8" s="733"/>
      <c r="EGN8" s="733"/>
      <c r="EGO8" s="733"/>
      <c r="EGP8" s="733"/>
      <c r="EGQ8" s="733"/>
      <c r="EGR8" s="733"/>
      <c r="EGS8" s="733"/>
      <c r="EGT8" s="733"/>
      <c r="EGU8" s="733"/>
      <c r="EGV8" s="733"/>
      <c r="EGW8" s="733"/>
      <c r="EGX8" s="733"/>
      <c r="EGY8" s="733"/>
      <c r="EGZ8" s="733"/>
      <c r="EHA8" s="733"/>
      <c r="EHB8" s="733"/>
      <c r="EHC8" s="733"/>
      <c r="EHD8" s="733"/>
      <c r="EHE8" s="733"/>
      <c r="EHF8" s="733"/>
      <c r="EHG8" s="733"/>
      <c r="EHH8" s="733"/>
      <c r="EHI8" s="733"/>
      <c r="EHJ8" s="733"/>
      <c r="EHK8" s="733"/>
      <c r="EHL8" s="733"/>
      <c r="EHM8" s="733"/>
      <c r="EHN8" s="733"/>
      <c r="EHO8" s="733"/>
      <c r="EHP8" s="733"/>
      <c r="EHQ8" s="733"/>
      <c r="EHR8" s="733"/>
      <c r="EHS8" s="733"/>
      <c r="EHT8" s="733"/>
      <c r="EHU8" s="733"/>
      <c r="EHV8" s="733"/>
      <c r="EHW8" s="733"/>
      <c r="EHX8" s="733"/>
      <c r="EHY8" s="733"/>
      <c r="EHZ8" s="733"/>
      <c r="EIA8" s="733"/>
      <c r="EIB8" s="733"/>
      <c r="EIC8" s="733"/>
      <c r="EID8" s="733"/>
      <c r="EIE8" s="733"/>
      <c r="EIF8" s="733"/>
      <c r="EIG8" s="733"/>
      <c r="EIH8" s="733"/>
      <c r="EII8" s="733"/>
      <c r="EIJ8" s="733"/>
      <c r="EIK8" s="733"/>
      <c r="EIL8" s="733"/>
      <c r="EIM8" s="733"/>
      <c r="EIN8" s="733"/>
      <c r="EIO8" s="733"/>
      <c r="EIP8" s="733"/>
      <c r="EIQ8" s="733"/>
      <c r="EIR8" s="733"/>
      <c r="EIS8" s="733"/>
      <c r="EIT8" s="733"/>
      <c r="EIU8" s="733"/>
      <c r="EIV8" s="733"/>
      <c r="EIW8" s="733"/>
      <c r="EIX8" s="733"/>
      <c r="EIY8" s="733"/>
      <c r="EIZ8" s="733"/>
      <c r="EJA8" s="733"/>
      <c r="EJB8" s="733"/>
      <c r="EJC8" s="733"/>
      <c r="EJD8" s="733"/>
      <c r="EJE8" s="733"/>
      <c r="EJF8" s="733"/>
      <c r="EJG8" s="733"/>
      <c r="EJH8" s="733"/>
      <c r="EJI8" s="733"/>
      <c r="EJJ8" s="733"/>
      <c r="EJK8" s="733"/>
      <c r="EJL8" s="733"/>
      <c r="EJM8" s="733"/>
      <c r="EJN8" s="733"/>
      <c r="EJO8" s="733"/>
      <c r="EJP8" s="733"/>
      <c r="EJQ8" s="733"/>
      <c r="EJR8" s="733"/>
      <c r="EJS8" s="733"/>
      <c r="EJT8" s="733"/>
      <c r="EJU8" s="733"/>
      <c r="EJV8" s="733"/>
      <c r="EJW8" s="733"/>
      <c r="EJX8" s="733"/>
      <c r="EJY8" s="733"/>
      <c r="EJZ8" s="733"/>
      <c r="EKA8" s="733"/>
      <c r="EKB8" s="733"/>
      <c r="EKC8" s="733"/>
      <c r="EKD8" s="733"/>
      <c r="EKE8" s="733"/>
      <c r="EKF8" s="733"/>
      <c r="EKG8" s="733"/>
      <c r="EKH8" s="733"/>
      <c r="EKI8" s="733"/>
      <c r="EKJ8" s="733"/>
      <c r="EKK8" s="733"/>
      <c r="EKL8" s="733"/>
      <c r="EKM8" s="733"/>
      <c r="EKN8" s="733"/>
      <c r="EKO8" s="733"/>
      <c r="EKP8" s="733"/>
      <c r="EKQ8" s="733"/>
      <c r="EKR8" s="733"/>
      <c r="EKS8" s="733"/>
      <c r="EKT8" s="733"/>
      <c r="EKU8" s="733"/>
      <c r="EKV8" s="733"/>
      <c r="EKW8" s="733"/>
      <c r="EKX8" s="733"/>
      <c r="EKY8" s="733"/>
      <c r="EKZ8" s="733"/>
      <c r="ELA8" s="733"/>
      <c r="ELB8" s="733"/>
      <c r="ELC8" s="733"/>
      <c r="ELD8" s="733"/>
      <c r="ELE8" s="733"/>
      <c r="ELF8" s="733"/>
      <c r="ELG8" s="733"/>
      <c r="ELH8" s="733"/>
      <c r="ELI8" s="733"/>
      <c r="ELJ8" s="733"/>
      <c r="ELK8" s="733"/>
      <c r="ELL8" s="733"/>
      <c r="ELM8" s="733"/>
      <c r="ELN8" s="733"/>
      <c r="ELO8" s="733"/>
      <c r="ELP8" s="733"/>
      <c r="ELQ8" s="733"/>
      <c r="ELR8" s="733"/>
      <c r="ELS8" s="733"/>
      <c r="ELT8" s="733"/>
      <c r="ELU8" s="733"/>
      <c r="ELV8" s="733"/>
      <c r="ELW8" s="733"/>
      <c r="ELX8" s="733"/>
      <c r="ELY8" s="733"/>
      <c r="ELZ8" s="733"/>
      <c r="EMA8" s="733"/>
      <c r="EMB8" s="733"/>
      <c r="EMC8" s="733"/>
      <c r="EMD8" s="733"/>
      <c r="EME8" s="733"/>
      <c r="EMF8" s="733"/>
      <c r="EMG8" s="733"/>
      <c r="EMH8" s="733"/>
      <c r="EMI8" s="733"/>
      <c r="EMJ8" s="733"/>
      <c r="EMK8" s="733"/>
      <c r="EML8" s="733"/>
      <c r="EMM8" s="733"/>
      <c r="EMN8" s="733"/>
      <c r="EMO8" s="733"/>
      <c r="EMP8" s="733"/>
      <c r="EMQ8" s="733"/>
      <c r="EMR8" s="733"/>
      <c r="EMS8" s="733"/>
      <c r="EMT8" s="733"/>
      <c r="EMU8" s="733"/>
      <c r="EMV8" s="733"/>
      <c r="EMW8" s="733"/>
      <c r="EMX8" s="733"/>
      <c r="EMY8" s="733"/>
      <c r="EMZ8" s="733"/>
      <c r="ENA8" s="733"/>
      <c r="ENB8" s="733"/>
      <c r="ENC8" s="733"/>
      <c r="END8" s="733"/>
      <c r="ENE8" s="733"/>
      <c r="ENF8" s="733"/>
      <c r="ENG8" s="733"/>
      <c r="ENH8" s="733"/>
      <c r="ENI8" s="733"/>
      <c r="ENJ8" s="733"/>
      <c r="ENK8" s="733"/>
      <c r="ENL8" s="733"/>
      <c r="ENM8" s="733"/>
      <c r="ENN8" s="733"/>
      <c r="ENO8" s="733"/>
      <c r="ENP8" s="733"/>
      <c r="ENQ8" s="733"/>
      <c r="ENR8" s="733"/>
      <c r="ENS8" s="733"/>
      <c r="ENT8" s="733"/>
      <c r="ENU8" s="733"/>
      <c r="ENV8" s="733"/>
      <c r="ENW8" s="733"/>
      <c r="ENX8" s="733"/>
      <c r="ENY8" s="733"/>
      <c r="ENZ8" s="733"/>
      <c r="EOA8" s="733"/>
      <c r="EOB8" s="733"/>
      <c r="EOC8" s="733"/>
      <c r="EOD8" s="733"/>
      <c r="EOE8" s="733"/>
      <c r="EOF8" s="733"/>
      <c r="EOG8" s="733"/>
      <c r="EOH8" s="733"/>
      <c r="EOI8" s="733"/>
      <c r="EOJ8" s="733"/>
      <c r="EOK8" s="733"/>
      <c r="EOL8" s="733"/>
      <c r="EOM8" s="733"/>
      <c r="EON8" s="733"/>
      <c r="EOO8" s="733"/>
      <c r="EOP8" s="733"/>
      <c r="EOQ8" s="733"/>
      <c r="EOR8" s="733"/>
      <c r="EOS8" s="733"/>
      <c r="EOT8" s="733"/>
      <c r="EOU8" s="733"/>
      <c r="EOV8" s="733"/>
      <c r="EOW8" s="733"/>
      <c r="EOX8" s="733"/>
      <c r="EOY8" s="733"/>
      <c r="EOZ8" s="733"/>
      <c r="EPA8" s="733"/>
      <c r="EPB8" s="733"/>
      <c r="EPC8" s="733"/>
      <c r="EPD8" s="733"/>
      <c r="EPE8" s="733"/>
      <c r="EPF8" s="733"/>
      <c r="EPG8" s="733"/>
      <c r="EPH8" s="733"/>
      <c r="EPI8" s="733"/>
      <c r="EPJ8" s="733"/>
      <c r="EPK8" s="733"/>
      <c r="EPL8" s="733"/>
      <c r="EPM8" s="733"/>
      <c r="EPN8" s="733"/>
      <c r="EPO8" s="733"/>
      <c r="EPP8" s="733"/>
      <c r="EPQ8" s="733"/>
      <c r="EPR8" s="733"/>
      <c r="EPS8" s="733"/>
      <c r="EPT8" s="733"/>
      <c r="EPU8" s="733"/>
      <c r="EPV8" s="733"/>
      <c r="EPW8" s="733"/>
      <c r="EPX8" s="733"/>
      <c r="EPY8" s="733"/>
      <c r="EPZ8" s="733"/>
      <c r="EQA8" s="733"/>
      <c r="EQB8" s="733"/>
      <c r="EQC8" s="733"/>
      <c r="EQD8" s="733"/>
      <c r="EQE8" s="733"/>
      <c r="EQF8" s="733"/>
      <c r="EQG8" s="733"/>
      <c r="EQH8" s="733"/>
      <c r="EQI8" s="733"/>
      <c r="EQJ8" s="733"/>
      <c r="EQK8" s="733"/>
      <c r="EQL8" s="733"/>
      <c r="EQM8" s="733"/>
      <c r="EQN8" s="733"/>
      <c r="EQO8" s="733"/>
      <c r="EQP8" s="733"/>
      <c r="EQQ8" s="733"/>
      <c r="EQR8" s="733"/>
      <c r="EQS8" s="733"/>
      <c r="EQT8" s="733"/>
      <c r="EQU8" s="733"/>
      <c r="EQV8" s="733"/>
      <c r="EQW8" s="733"/>
      <c r="EQX8" s="733"/>
      <c r="EQY8" s="733"/>
      <c r="EQZ8" s="733"/>
      <c r="ERA8" s="733"/>
      <c r="ERB8" s="733"/>
      <c r="ERC8" s="733"/>
      <c r="ERD8" s="733"/>
      <c r="ERE8" s="733"/>
      <c r="ERF8" s="733"/>
      <c r="ERG8" s="733"/>
      <c r="ERH8" s="733"/>
      <c r="ERI8" s="733"/>
      <c r="ERJ8" s="733"/>
      <c r="ERK8" s="733"/>
      <c r="ERL8" s="733"/>
      <c r="ERM8" s="733"/>
      <c r="ERN8" s="733"/>
      <c r="ERO8" s="733"/>
      <c r="ERP8" s="733"/>
      <c r="ERQ8" s="733"/>
      <c r="ERR8" s="733"/>
      <c r="ERS8" s="733"/>
      <c r="ERT8" s="733"/>
      <c r="ERU8" s="733"/>
      <c r="ERV8" s="733"/>
      <c r="ERW8" s="733"/>
      <c r="ERX8" s="733"/>
      <c r="ERY8" s="733"/>
      <c r="ERZ8" s="733"/>
      <c r="ESA8" s="733"/>
      <c r="ESB8" s="733"/>
      <c r="ESC8" s="733"/>
      <c r="ESD8" s="733"/>
      <c r="ESE8" s="733"/>
      <c r="ESF8" s="733"/>
      <c r="ESG8" s="733"/>
      <c r="ESH8" s="733"/>
      <c r="ESI8" s="733"/>
      <c r="ESJ8" s="733"/>
      <c r="ESK8" s="733"/>
      <c r="ESL8" s="733"/>
      <c r="ESM8" s="733"/>
      <c r="ESN8" s="733"/>
      <c r="ESO8" s="733"/>
      <c r="ESP8" s="733"/>
      <c r="ESQ8" s="733"/>
      <c r="ESR8" s="733"/>
      <c r="ESS8" s="733"/>
      <c r="EST8" s="733"/>
      <c r="ESU8" s="733"/>
      <c r="ESV8" s="733"/>
      <c r="ESW8" s="733"/>
      <c r="ESX8" s="733"/>
      <c r="ESY8" s="733"/>
      <c r="ESZ8" s="733"/>
      <c r="ETA8" s="733"/>
      <c r="ETB8" s="733"/>
      <c r="ETC8" s="733"/>
      <c r="ETD8" s="733"/>
      <c r="ETE8" s="733"/>
      <c r="ETF8" s="733"/>
      <c r="ETG8" s="733"/>
      <c r="ETH8" s="733"/>
      <c r="ETI8" s="733"/>
      <c r="ETJ8" s="733"/>
      <c r="ETK8" s="733"/>
      <c r="ETL8" s="733"/>
      <c r="ETM8" s="733"/>
      <c r="ETN8" s="733"/>
      <c r="ETO8" s="733"/>
      <c r="ETP8" s="733"/>
      <c r="ETQ8" s="733"/>
      <c r="ETR8" s="733"/>
      <c r="ETS8" s="733"/>
      <c r="ETT8" s="733"/>
      <c r="ETU8" s="733"/>
      <c r="ETV8" s="733"/>
      <c r="ETW8" s="733"/>
      <c r="ETX8" s="733"/>
      <c r="ETY8" s="733"/>
      <c r="ETZ8" s="733"/>
      <c r="EUA8" s="733"/>
      <c r="EUB8" s="733"/>
      <c r="EUC8" s="733"/>
      <c r="EUD8" s="733"/>
      <c r="EUE8" s="733"/>
      <c r="EUF8" s="733"/>
      <c r="EUG8" s="733"/>
      <c r="EUH8" s="733"/>
      <c r="EUI8" s="733"/>
      <c r="EUJ8" s="733"/>
      <c r="EUK8" s="733"/>
      <c r="EUL8" s="733"/>
      <c r="EUM8" s="733"/>
      <c r="EUN8" s="733"/>
      <c r="EUO8" s="733"/>
      <c r="EUP8" s="733"/>
      <c r="EUQ8" s="733"/>
      <c r="EUR8" s="733"/>
      <c r="EUS8" s="733"/>
      <c r="EUT8" s="733"/>
      <c r="EUU8" s="733"/>
      <c r="EUV8" s="733"/>
      <c r="EUW8" s="733"/>
      <c r="EUX8" s="733"/>
      <c r="EUY8" s="733"/>
      <c r="EUZ8" s="733"/>
      <c r="EVA8" s="733"/>
      <c r="EVB8" s="733"/>
      <c r="EVC8" s="733"/>
      <c r="EVD8" s="733"/>
      <c r="EVE8" s="733"/>
      <c r="EVF8" s="733"/>
      <c r="EVG8" s="733"/>
      <c r="EVH8" s="733"/>
      <c r="EVI8" s="733"/>
      <c r="EVJ8" s="733"/>
      <c r="EVK8" s="733"/>
      <c r="EVL8" s="733"/>
      <c r="EVM8" s="733"/>
      <c r="EVN8" s="733"/>
      <c r="EVO8" s="733"/>
      <c r="EVP8" s="733"/>
      <c r="EVQ8" s="733"/>
      <c r="EVR8" s="733"/>
      <c r="EVS8" s="733"/>
      <c r="EVT8" s="733"/>
      <c r="EVU8" s="733"/>
      <c r="EVV8" s="733"/>
      <c r="EVW8" s="733"/>
      <c r="EVX8" s="733"/>
      <c r="EVY8" s="733"/>
      <c r="EVZ8" s="733"/>
      <c r="EWA8" s="733"/>
      <c r="EWB8" s="733"/>
      <c r="EWC8" s="733"/>
      <c r="EWD8" s="733"/>
      <c r="EWE8" s="733"/>
      <c r="EWF8" s="733"/>
      <c r="EWG8" s="733"/>
      <c r="EWH8" s="733"/>
      <c r="EWI8" s="733"/>
      <c r="EWJ8" s="733"/>
      <c r="EWK8" s="733"/>
      <c r="EWL8" s="733"/>
      <c r="EWM8" s="733"/>
      <c r="EWN8" s="733"/>
      <c r="EWO8" s="733"/>
      <c r="EWP8" s="733"/>
      <c r="EWQ8" s="733"/>
      <c r="EWR8" s="733"/>
      <c r="EWS8" s="733"/>
      <c r="EWT8" s="733"/>
      <c r="EWU8" s="733"/>
      <c r="EWV8" s="733"/>
      <c r="EWW8" s="733"/>
      <c r="EWX8" s="733"/>
      <c r="EWY8" s="733"/>
      <c r="EWZ8" s="733"/>
      <c r="EXA8" s="733"/>
      <c r="EXB8" s="733"/>
      <c r="EXC8" s="733"/>
      <c r="EXD8" s="733"/>
      <c r="EXE8" s="733"/>
      <c r="EXF8" s="733"/>
      <c r="EXG8" s="733"/>
      <c r="EXH8" s="733"/>
      <c r="EXI8" s="733"/>
      <c r="EXJ8" s="733"/>
      <c r="EXK8" s="733"/>
      <c r="EXL8" s="733"/>
      <c r="EXM8" s="733"/>
      <c r="EXN8" s="733"/>
      <c r="EXO8" s="733"/>
      <c r="EXP8" s="733"/>
      <c r="EXQ8" s="733"/>
      <c r="EXR8" s="733"/>
      <c r="EXS8" s="733"/>
      <c r="EXT8" s="733"/>
      <c r="EXU8" s="733"/>
      <c r="EXV8" s="733"/>
      <c r="EXW8" s="733"/>
      <c r="EXX8" s="733"/>
      <c r="EXY8" s="733"/>
      <c r="EXZ8" s="733"/>
      <c r="EYA8" s="733"/>
      <c r="EYB8" s="733"/>
      <c r="EYC8" s="733"/>
      <c r="EYD8" s="733"/>
      <c r="EYE8" s="733"/>
      <c r="EYF8" s="733"/>
      <c r="EYG8" s="733"/>
      <c r="EYH8" s="733"/>
      <c r="EYI8" s="733"/>
      <c r="EYJ8" s="733"/>
      <c r="EYK8" s="733"/>
      <c r="EYL8" s="733"/>
      <c r="EYM8" s="733"/>
      <c r="EYN8" s="733"/>
      <c r="EYO8" s="733"/>
      <c r="EYP8" s="733"/>
      <c r="EYQ8" s="733"/>
      <c r="EYR8" s="733"/>
      <c r="EYS8" s="733"/>
      <c r="EYT8" s="733"/>
      <c r="EYU8" s="733"/>
      <c r="EYV8" s="733"/>
      <c r="EYW8" s="733"/>
      <c r="EYX8" s="733"/>
      <c r="EYY8" s="733"/>
      <c r="EYZ8" s="733"/>
      <c r="EZA8" s="733"/>
      <c r="EZB8" s="733"/>
      <c r="EZC8" s="733"/>
      <c r="EZD8" s="733"/>
      <c r="EZE8" s="733"/>
      <c r="EZF8" s="733"/>
      <c r="EZG8" s="733"/>
      <c r="EZH8" s="733"/>
      <c r="EZI8" s="733"/>
      <c r="EZJ8" s="733"/>
      <c r="EZK8" s="733"/>
      <c r="EZL8" s="733"/>
      <c r="EZM8" s="733"/>
      <c r="EZN8" s="733"/>
      <c r="EZO8" s="733"/>
      <c r="EZP8" s="733"/>
      <c r="EZQ8" s="733"/>
      <c r="EZR8" s="733"/>
      <c r="EZS8" s="733"/>
      <c r="EZT8" s="733"/>
      <c r="EZU8" s="733"/>
      <c r="EZV8" s="733"/>
      <c r="EZW8" s="733"/>
      <c r="EZX8" s="733"/>
      <c r="EZY8" s="733"/>
      <c r="EZZ8" s="733"/>
      <c r="FAA8" s="733"/>
      <c r="FAB8" s="733"/>
      <c r="FAC8" s="733"/>
      <c r="FAD8" s="733"/>
      <c r="FAE8" s="733"/>
      <c r="FAF8" s="733"/>
      <c r="FAG8" s="733"/>
      <c r="FAH8" s="733"/>
      <c r="FAI8" s="733"/>
      <c r="FAJ8" s="733"/>
      <c r="FAK8" s="733"/>
      <c r="FAL8" s="733"/>
      <c r="FAM8" s="733"/>
      <c r="FAN8" s="733"/>
      <c r="FAO8" s="733"/>
      <c r="FAP8" s="733"/>
      <c r="FAQ8" s="733"/>
      <c r="FAR8" s="733"/>
      <c r="FAS8" s="733"/>
      <c r="FAT8" s="733"/>
      <c r="FAU8" s="733"/>
      <c r="FAV8" s="733"/>
      <c r="FAW8" s="733"/>
      <c r="FAX8" s="733"/>
      <c r="FAY8" s="733"/>
      <c r="FAZ8" s="733"/>
      <c r="FBA8" s="733"/>
      <c r="FBB8" s="733"/>
      <c r="FBC8" s="733"/>
      <c r="FBD8" s="733"/>
      <c r="FBE8" s="733"/>
      <c r="FBF8" s="733"/>
      <c r="FBG8" s="733"/>
      <c r="FBH8" s="733"/>
      <c r="FBI8" s="733"/>
      <c r="FBJ8" s="733"/>
      <c r="FBK8" s="733"/>
      <c r="FBL8" s="733"/>
      <c r="FBM8" s="733"/>
      <c r="FBN8" s="733"/>
      <c r="FBO8" s="733"/>
      <c r="FBP8" s="733"/>
      <c r="FBQ8" s="733"/>
      <c r="FBR8" s="733"/>
      <c r="FBS8" s="733"/>
      <c r="FBT8" s="733"/>
      <c r="FBU8" s="733"/>
      <c r="FBV8" s="733"/>
      <c r="FBW8" s="733"/>
      <c r="FBX8" s="733"/>
      <c r="FBY8" s="733"/>
      <c r="FBZ8" s="733"/>
      <c r="FCA8" s="733"/>
      <c r="FCB8" s="733"/>
      <c r="FCC8" s="733"/>
      <c r="FCD8" s="733"/>
      <c r="FCE8" s="733"/>
      <c r="FCF8" s="733"/>
      <c r="FCG8" s="733"/>
      <c r="FCH8" s="733"/>
      <c r="FCI8" s="733"/>
      <c r="FCJ8" s="733"/>
      <c r="FCK8" s="733"/>
      <c r="FCL8" s="733"/>
      <c r="FCM8" s="733"/>
      <c r="FCN8" s="733"/>
      <c r="FCO8" s="733"/>
      <c r="FCP8" s="733"/>
      <c r="FCQ8" s="733"/>
      <c r="FCR8" s="733"/>
      <c r="FCS8" s="733"/>
      <c r="FCT8" s="733"/>
      <c r="FCU8" s="733"/>
      <c r="FCV8" s="733"/>
      <c r="FCW8" s="733"/>
      <c r="FCX8" s="733"/>
      <c r="FCY8" s="733"/>
      <c r="FCZ8" s="733"/>
      <c r="FDA8" s="733"/>
      <c r="FDB8" s="733"/>
      <c r="FDC8" s="733"/>
      <c r="FDD8" s="733"/>
      <c r="FDE8" s="733"/>
      <c r="FDF8" s="733"/>
      <c r="FDG8" s="733"/>
      <c r="FDH8" s="733"/>
      <c r="FDI8" s="733"/>
      <c r="FDJ8" s="733"/>
      <c r="FDK8" s="733"/>
      <c r="FDL8" s="733"/>
      <c r="FDM8" s="733"/>
      <c r="FDN8" s="733"/>
      <c r="FDO8" s="733"/>
      <c r="FDP8" s="733"/>
      <c r="FDQ8" s="733"/>
      <c r="FDR8" s="733"/>
      <c r="FDS8" s="733"/>
      <c r="FDT8" s="733"/>
      <c r="FDU8" s="733"/>
      <c r="FDV8" s="733"/>
      <c r="FDW8" s="733"/>
      <c r="FDX8" s="733"/>
      <c r="FDY8" s="733"/>
      <c r="FDZ8" s="733"/>
      <c r="FEA8" s="733"/>
      <c r="FEB8" s="733"/>
      <c r="FEC8" s="733"/>
      <c r="FED8" s="733"/>
      <c r="FEE8" s="733"/>
      <c r="FEF8" s="733"/>
      <c r="FEG8" s="733"/>
      <c r="FEH8" s="733"/>
      <c r="FEI8" s="733"/>
      <c r="FEJ8" s="733"/>
      <c r="FEK8" s="733"/>
      <c r="FEL8" s="733"/>
      <c r="FEM8" s="733"/>
      <c r="FEN8" s="733"/>
      <c r="FEO8" s="733"/>
      <c r="FEP8" s="733"/>
      <c r="FEQ8" s="733"/>
      <c r="FER8" s="733"/>
      <c r="FES8" s="733"/>
      <c r="FET8" s="733"/>
      <c r="FEU8" s="733"/>
      <c r="FEV8" s="733"/>
      <c r="FEW8" s="733"/>
      <c r="FEX8" s="733"/>
      <c r="FEY8" s="733"/>
      <c r="FEZ8" s="733"/>
      <c r="FFA8" s="733"/>
      <c r="FFB8" s="733"/>
      <c r="FFC8" s="733"/>
      <c r="FFD8" s="733"/>
      <c r="FFE8" s="733"/>
      <c r="FFF8" s="733"/>
      <c r="FFG8" s="733"/>
      <c r="FFH8" s="733"/>
      <c r="FFI8" s="733"/>
      <c r="FFJ8" s="733"/>
      <c r="FFK8" s="733"/>
      <c r="FFL8" s="733"/>
      <c r="FFM8" s="733"/>
      <c r="FFN8" s="733"/>
      <c r="FFO8" s="733"/>
      <c r="FFP8" s="733"/>
      <c r="FFQ8" s="733"/>
      <c r="FFR8" s="733"/>
      <c r="FFS8" s="733"/>
      <c r="FFT8" s="733"/>
      <c r="FFU8" s="733"/>
      <c r="FFV8" s="733"/>
      <c r="FFW8" s="733"/>
      <c r="FFX8" s="733"/>
      <c r="FFY8" s="733"/>
      <c r="FFZ8" s="733"/>
      <c r="FGA8" s="733"/>
      <c r="FGB8" s="733"/>
      <c r="FGC8" s="733"/>
      <c r="FGD8" s="733"/>
      <c r="FGE8" s="733"/>
      <c r="FGF8" s="733"/>
      <c r="FGG8" s="733"/>
      <c r="FGH8" s="733"/>
      <c r="FGI8" s="733"/>
      <c r="FGJ8" s="733"/>
      <c r="FGK8" s="733"/>
      <c r="FGL8" s="733"/>
      <c r="FGM8" s="733"/>
      <c r="FGN8" s="733"/>
      <c r="FGO8" s="733"/>
      <c r="FGP8" s="733"/>
      <c r="FGQ8" s="733"/>
      <c r="FGR8" s="733"/>
      <c r="FGS8" s="733"/>
      <c r="FGT8" s="733"/>
      <c r="FGU8" s="733"/>
      <c r="FGV8" s="733"/>
      <c r="FGW8" s="733"/>
      <c r="FGX8" s="733"/>
      <c r="FGY8" s="733"/>
      <c r="FGZ8" s="733"/>
      <c r="FHA8" s="733"/>
      <c r="FHB8" s="733"/>
      <c r="FHC8" s="733"/>
      <c r="FHD8" s="733"/>
      <c r="FHE8" s="733"/>
      <c r="FHF8" s="733"/>
      <c r="FHG8" s="733"/>
      <c r="FHH8" s="733"/>
      <c r="FHI8" s="733"/>
      <c r="FHJ8" s="733"/>
      <c r="FHK8" s="733"/>
      <c r="FHL8" s="733"/>
      <c r="FHM8" s="733"/>
      <c r="FHN8" s="733"/>
      <c r="FHO8" s="733"/>
      <c r="FHP8" s="733"/>
      <c r="FHQ8" s="733"/>
      <c r="FHR8" s="733"/>
      <c r="FHS8" s="733"/>
      <c r="FHT8" s="733"/>
      <c r="FHU8" s="733"/>
      <c r="FHV8" s="733"/>
      <c r="FHW8" s="733"/>
      <c r="FHX8" s="733"/>
      <c r="FHY8" s="733"/>
      <c r="FHZ8" s="733"/>
      <c r="FIA8" s="733"/>
      <c r="FIB8" s="733"/>
      <c r="FIC8" s="733"/>
      <c r="FID8" s="733"/>
      <c r="FIE8" s="733"/>
      <c r="FIF8" s="733"/>
      <c r="FIG8" s="733"/>
      <c r="FIH8" s="733"/>
      <c r="FII8" s="733"/>
      <c r="FIJ8" s="733"/>
      <c r="FIK8" s="733"/>
      <c r="FIL8" s="733"/>
      <c r="FIM8" s="733"/>
      <c r="FIN8" s="733"/>
      <c r="FIO8" s="733"/>
      <c r="FIP8" s="733"/>
      <c r="FIQ8" s="733"/>
      <c r="FIR8" s="733"/>
      <c r="FIS8" s="733"/>
      <c r="FIT8" s="733"/>
      <c r="FIU8" s="733"/>
      <c r="FIV8" s="733"/>
      <c r="FIW8" s="733"/>
      <c r="FIX8" s="733"/>
      <c r="FIY8" s="733"/>
      <c r="FIZ8" s="733"/>
      <c r="FJA8" s="733"/>
      <c r="FJB8" s="733"/>
      <c r="FJC8" s="733"/>
      <c r="FJD8" s="733"/>
      <c r="FJE8" s="733"/>
      <c r="FJF8" s="733"/>
      <c r="FJG8" s="733"/>
      <c r="FJH8" s="733"/>
      <c r="FJI8" s="733"/>
      <c r="FJJ8" s="733"/>
      <c r="FJK8" s="733"/>
      <c r="FJL8" s="733"/>
      <c r="FJM8" s="733"/>
      <c r="FJN8" s="733"/>
      <c r="FJO8" s="733"/>
      <c r="FJP8" s="733"/>
      <c r="FJQ8" s="733"/>
      <c r="FJR8" s="733"/>
      <c r="FJS8" s="733"/>
      <c r="FJT8" s="733"/>
      <c r="FJU8" s="733"/>
      <c r="FJV8" s="733"/>
      <c r="FJW8" s="733"/>
      <c r="FJX8" s="733"/>
      <c r="FJY8" s="733"/>
      <c r="FJZ8" s="733"/>
      <c r="FKA8" s="733"/>
      <c r="FKB8" s="733"/>
      <c r="FKC8" s="733"/>
      <c r="FKD8" s="733"/>
      <c r="FKE8" s="733"/>
      <c r="FKF8" s="733"/>
      <c r="FKG8" s="733"/>
      <c r="FKH8" s="733"/>
      <c r="FKI8" s="733"/>
      <c r="FKJ8" s="733"/>
      <c r="FKK8" s="733"/>
      <c r="FKL8" s="733"/>
      <c r="FKM8" s="733"/>
      <c r="FKN8" s="733"/>
      <c r="FKO8" s="733"/>
      <c r="FKP8" s="733"/>
      <c r="FKQ8" s="733"/>
      <c r="FKR8" s="733"/>
      <c r="FKS8" s="733"/>
      <c r="FKT8" s="733"/>
      <c r="FKU8" s="733"/>
      <c r="FKV8" s="733"/>
      <c r="FKW8" s="733"/>
      <c r="FKX8" s="733"/>
      <c r="FKY8" s="733"/>
      <c r="FKZ8" s="733"/>
      <c r="FLA8" s="733"/>
      <c r="FLB8" s="733"/>
      <c r="FLC8" s="733"/>
      <c r="FLD8" s="733"/>
      <c r="FLE8" s="733"/>
      <c r="FLF8" s="733"/>
      <c r="FLG8" s="733"/>
      <c r="FLH8" s="733"/>
      <c r="FLI8" s="733"/>
      <c r="FLJ8" s="733"/>
      <c r="FLK8" s="733"/>
      <c r="FLL8" s="733"/>
      <c r="FLM8" s="733"/>
      <c r="FLN8" s="733"/>
      <c r="FLO8" s="733"/>
      <c r="FLP8" s="733"/>
      <c r="FLQ8" s="733"/>
      <c r="FLR8" s="733"/>
      <c r="FLS8" s="733"/>
      <c r="FLT8" s="733"/>
      <c r="FLU8" s="733"/>
      <c r="FLV8" s="733"/>
      <c r="FLW8" s="733"/>
      <c r="FLX8" s="733"/>
      <c r="FLY8" s="733"/>
      <c r="FLZ8" s="733"/>
      <c r="FMA8" s="733"/>
      <c r="FMB8" s="733"/>
      <c r="FMC8" s="733"/>
      <c r="FMD8" s="733"/>
      <c r="FME8" s="733"/>
      <c r="FMF8" s="733"/>
      <c r="FMG8" s="733"/>
      <c r="FMH8" s="733"/>
      <c r="FMI8" s="733"/>
      <c r="FMJ8" s="733"/>
      <c r="FMK8" s="733"/>
      <c r="FML8" s="733"/>
      <c r="FMM8" s="733"/>
      <c r="FMN8" s="733"/>
      <c r="FMO8" s="733"/>
      <c r="FMP8" s="733"/>
      <c r="FMQ8" s="733"/>
      <c r="FMR8" s="733"/>
      <c r="FMS8" s="733"/>
      <c r="FMT8" s="733"/>
      <c r="FMU8" s="733"/>
      <c r="FMV8" s="733"/>
      <c r="FMW8" s="733"/>
      <c r="FMX8" s="733"/>
      <c r="FMY8" s="733"/>
      <c r="FMZ8" s="733"/>
      <c r="FNA8" s="733"/>
      <c r="FNB8" s="733"/>
      <c r="FNC8" s="733"/>
      <c r="FND8" s="733"/>
      <c r="FNE8" s="733"/>
      <c r="FNF8" s="733"/>
      <c r="FNG8" s="733"/>
      <c r="FNH8" s="733"/>
      <c r="FNI8" s="733"/>
      <c r="FNJ8" s="733"/>
      <c r="FNK8" s="733"/>
      <c r="FNL8" s="733"/>
      <c r="FNM8" s="733"/>
      <c r="FNN8" s="733"/>
      <c r="FNO8" s="733"/>
      <c r="FNP8" s="733"/>
      <c r="FNQ8" s="733"/>
      <c r="FNR8" s="733"/>
      <c r="FNS8" s="733"/>
      <c r="FNT8" s="733"/>
      <c r="FNU8" s="733"/>
      <c r="FNV8" s="733"/>
      <c r="FNW8" s="733"/>
      <c r="FNX8" s="733"/>
      <c r="FNY8" s="733"/>
      <c r="FNZ8" s="733"/>
      <c r="FOA8" s="733"/>
      <c r="FOB8" s="733"/>
      <c r="FOC8" s="733"/>
      <c r="FOD8" s="733"/>
      <c r="FOE8" s="733"/>
      <c r="FOF8" s="733"/>
      <c r="FOG8" s="733"/>
      <c r="FOH8" s="733"/>
      <c r="FOI8" s="733"/>
      <c r="FOJ8" s="733"/>
      <c r="FOK8" s="733"/>
      <c r="FOL8" s="733"/>
      <c r="FOM8" s="733"/>
      <c r="FON8" s="733"/>
      <c r="FOO8" s="733"/>
      <c r="FOP8" s="733"/>
      <c r="FOQ8" s="733"/>
      <c r="FOR8" s="733"/>
      <c r="FOS8" s="733"/>
      <c r="FOT8" s="733"/>
      <c r="FOU8" s="733"/>
      <c r="FOV8" s="733"/>
      <c r="FOW8" s="733"/>
      <c r="FOX8" s="733"/>
      <c r="FOY8" s="733"/>
      <c r="FOZ8" s="733"/>
      <c r="FPA8" s="733"/>
      <c r="FPB8" s="733"/>
      <c r="FPC8" s="733"/>
      <c r="FPD8" s="733"/>
      <c r="FPE8" s="733"/>
      <c r="FPF8" s="733"/>
      <c r="FPG8" s="733"/>
      <c r="FPH8" s="733"/>
      <c r="FPI8" s="733"/>
      <c r="FPJ8" s="733"/>
      <c r="FPK8" s="733"/>
      <c r="FPL8" s="733"/>
      <c r="FPM8" s="733"/>
      <c r="FPN8" s="733"/>
      <c r="FPO8" s="733"/>
      <c r="FPP8" s="733"/>
      <c r="FPQ8" s="733"/>
      <c r="FPR8" s="733"/>
      <c r="FPS8" s="733"/>
      <c r="FPT8" s="733"/>
      <c r="FPU8" s="733"/>
      <c r="FPV8" s="733"/>
      <c r="FPW8" s="733"/>
      <c r="FPX8" s="733"/>
      <c r="FPY8" s="733"/>
      <c r="FPZ8" s="733"/>
      <c r="FQA8" s="733"/>
      <c r="FQB8" s="733"/>
      <c r="FQC8" s="733"/>
      <c r="FQD8" s="733"/>
      <c r="FQE8" s="733"/>
      <c r="FQF8" s="733"/>
      <c r="FQG8" s="733"/>
      <c r="FQH8" s="733"/>
      <c r="FQI8" s="733"/>
      <c r="FQJ8" s="733"/>
      <c r="FQK8" s="733"/>
      <c r="FQL8" s="733"/>
      <c r="FQM8" s="733"/>
      <c r="FQN8" s="733"/>
      <c r="FQO8" s="733"/>
      <c r="FQP8" s="733"/>
      <c r="FQQ8" s="733"/>
      <c r="FQR8" s="733"/>
      <c r="FQS8" s="733"/>
      <c r="FQT8" s="733"/>
      <c r="FQU8" s="733"/>
      <c r="FQV8" s="733"/>
      <c r="FQW8" s="733"/>
      <c r="FQX8" s="733"/>
      <c r="FQY8" s="733"/>
      <c r="FQZ8" s="733"/>
      <c r="FRA8" s="733"/>
      <c r="FRB8" s="733"/>
      <c r="FRC8" s="733"/>
      <c r="FRD8" s="733"/>
      <c r="FRE8" s="733"/>
      <c r="FRF8" s="733"/>
      <c r="FRG8" s="733"/>
      <c r="FRH8" s="733"/>
      <c r="FRI8" s="733"/>
      <c r="FRJ8" s="733"/>
      <c r="FRK8" s="733"/>
      <c r="FRL8" s="733"/>
      <c r="FRM8" s="733"/>
      <c r="FRN8" s="733"/>
      <c r="FRO8" s="733"/>
      <c r="FRP8" s="733"/>
      <c r="FRQ8" s="733"/>
      <c r="FRR8" s="733"/>
      <c r="FRS8" s="733"/>
      <c r="FRT8" s="733"/>
      <c r="FRU8" s="733"/>
      <c r="FRV8" s="733"/>
      <c r="FRW8" s="733"/>
      <c r="FRX8" s="733"/>
      <c r="FRY8" s="733"/>
      <c r="FRZ8" s="733"/>
      <c r="FSA8" s="733"/>
      <c r="FSB8" s="733"/>
      <c r="FSC8" s="733"/>
      <c r="FSD8" s="733"/>
      <c r="FSE8" s="733"/>
      <c r="FSF8" s="733"/>
      <c r="FSG8" s="733"/>
      <c r="FSH8" s="733"/>
      <c r="FSI8" s="733"/>
      <c r="FSJ8" s="733"/>
      <c r="FSK8" s="733"/>
      <c r="FSL8" s="733"/>
      <c r="FSM8" s="733"/>
      <c r="FSN8" s="733"/>
      <c r="FSO8" s="733"/>
      <c r="FSP8" s="733"/>
      <c r="FSQ8" s="733"/>
      <c r="FSR8" s="733"/>
      <c r="FSS8" s="733"/>
      <c r="FST8" s="733"/>
      <c r="FSU8" s="733"/>
      <c r="FSV8" s="733"/>
      <c r="FSW8" s="733"/>
      <c r="FSX8" s="733"/>
      <c r="FSY8" s="733"/>
      <c r="FSZ8" s="733"/>
      <c r="FTA8" s="733"/>
      <c r="FTB8" s="733"/>
      <c r="FTC8" s="733"/>
      <c r="FTD8" s="733"/>
      <c r="FTE8" s="733"/>
      <c r="FTF8" s="733"/>
      <c r="FTG8" s="733"/>
      <c r="FTH8" s="733"/>
      <c r="FTI8" s="733"/>
      <c r="FTJ8" s="733"/>
      <c r="FTK8" s="733"/>
      <c r="FTL8" s="733"/>
      <c r="FTM8" s="733"/>
      <c r="FTN8" s="733"/>
      <c r="FTO8" s="733"/>
      <c r="FTP8" s="733"/>
      <c r="FTQ8" s="733"/>
      <c r="FTR8" s="733"/>
      <c r="FTS8" s="733"/>
      <c r="FTT8" s="733"/>
      <c r="FTU8" s="733"/>
      <c r="FTV8" s="733"/>
      <c r="FTW8" s="733"/>
      <c r="FTX8" s="733"/>
      <c r="FTY8" s="733"/>
      <c r="FTZ8" s="733"/>
      <c r="FUA8" s="733"/>
      <c r="FUB8" s="733"/>
      <c r="FUC8" s="733"/>
      <c r="FUD8" s="733"/>
      <c r="FUE8" s="733"/>
      <c r="FUF8" s="733"/>
      <c r="FUG8" s="733"/>
      <c r="FUH8" s="733"/>
      <c r="FUI8" s="733"/>
      <c r="FUJ8" s="733"/>
      <c r="FUK8" s="733"/>
      <c r="FUL8" s="733"/>
      <c r="FUM8" s="733"/>
      <c r="FUN8" s="733"/>
      <c r="FUO8" s="733"/>
      <c r="FUP8" s="733"/>
      <c r="FUQ8" s="733"/>
      <c r="FUR8" s="733"/>
      <c r="FUS8" s="733"/>
      <c r="FUT8" s="733"/>
      <c r="FUU8" s="733"/>
      <c r="FUV8" s="733"/>
      <c r="FUW8" s="733"/>
      <c r="FUX8" s="733"/>
      <c r="FUY8" s="733"/>
      <c r="FUZ8" s="733"/>
      <c r="FVA8" s="733"/>
      <c r="FVB8" s="733"/>
      <c r="FVC8" s="733"/>
      <c r="FVD8" s="733"/>
      <c r="FVE8" s="733"/>
      <c r="FVF8" s="733"/>
      <c r="FVG8" s="733"/>
      <c r="FVH8" s="733"/>
      <c r="FVI8" s="733"/>
      <c r="FVJ8" s="733"/>
      <c r="FVK8" s="733"/>
      <c r="FVL8" s="733"/>
      <c r="FVM8" s="733"/>
      <c r="FVN8" s="733"/>
      <c r="FVO8" s="733"/>
      <c r="FVP8" s="733"/>
      <c r="FVQ8" s="733"/>
      <c r="FVR8" s="733"/>
      <c r="FVS8" s="733"/>
      <c r="FVT8" s="733"/>
      <c r="FVU8" s="733"/>
      <c r="FVV8" s="733"/>
      <c r="FVW8" s="733"/>
      <c r="FVX8" s="733"/>
      <c r="FVY8" s="733"/>
      <c r="FVZ8" s="733"/>
      <c r="FWA8" s="733"/>
      <c r="FWB8" s="733"/>
      <c r="FWC8" s="733"/>
      <c r="FWD8" s="733"/>
      <c r="FWE8" s="733"/>
      <c r="FWF8" s="733"/>
      <c r="FWG8" s="733"/>
      <c r="FWH8" s="733"/>
      <c r="FWI8" s="733"/>
      <c r="FWJ8" s="733"/>
      <c r="FWK8" s="733"/>
      <c r="FWL8" s="733"/>
      <c r="FWM8" s="733"/>
      <c r="FWN8" s="733"/>
      <c r="FWO8" s="733"/>
      <c r="FWP8" s="733"/>
      <c r="FWQ8" s="733"/>
      <c r="FWR8" s="733"/>
      <c r="FWS8" s="733"/>
      <c r="FWT8" s="733"/>
      <c r="FWU8" s="733"/>
      <c r="FWV8" s="733"/>
      <c r="FWW8" s="733"/>
      <c r="FWX8" s="733"/>
      <c r="FWY8" s="733"/>
      <c r="FWZ8" s="733"/>
      <c r="FXA8" s="733"/>
      <c r="FXB8" s="733"/>
      <c r="FXC8" s="733"/>
      <c r="FXD8" s="733"/>
      <c r="FXE8" s="733"/>
      <c r="FXF8" s="733"/>
      <c r="FXG8" s="733"/>
      <c r="FXH8" s="733"/>
      <c r="FXI8" s="733"/>
      <c r="FXJ8" s="733"/>
      <c r="FXK8" s="733"/>
      <c r="FXL8" s="733"/>
      <c r="FXM8" s="733"/>
      <c r="FXN8" s="733"/>
      <c r="FXO8" s="733"/>
      <c r="FXP8" s="733"/>
      <c r="FXQ8" s="733"/>
      <c r="FXR8" s="733"/>
      <c r="FXS8" s="733"/>
      <c r="FXT8" s="733"/>
      <c r="FXU8" s="733"/>
      <c r="FXV8" s="733"/>
      <c r="FXW8" s="733"/>
      <c r="FXX8" s="733"/>
      <c r="FXY8" s="733"/>
      <c r="FXZ8" s="733"/>
      <c r="FYA8" s="733"/>
      <c r="FYB8" s="733"/>
      <c r="FYC8" s="733"/>
      <c r="FYD8" s="733"/>
      <c r="FYE8" s="733"/>
      <c r="FYF8" s="733"/>
      <c r="FYG8" s="733"/>
      <c r="FYH8" s="733"/>
      <c r="FYI8" s="733"/>
      <c r="FYJ8" s="733"/>
      <c r="FYK8" s="733"/>
      <c r="FYL8" s="733"/>
      <c r="FYM8" s="733"/>
      <c r="FYN8" s="733"/>
      <c r="FYO8" s="733"/>
      <c r="FYP8" s="733"/>
      <c r="FYQ8" s="733"/>
      <c r="FYR8" s="733"/>
      <c r="FYS8" s="733"/>
      <c r="FYT8" s="733"/>
      <c r="FYU8" s="733"/>
      <c r="FYV8" s="733"/>
      <c r="FYW8" s="733"/>
      <c r="FYX8" s="733"/>
      <c r="FYY8" s="733"/>
      <c r="FYZ8" s="733"/>
      <c r="FZA8" s="733"/>
      <c r="FZB8" s="733"/>
      <c r="FZC8" s="733"/>
      <c r="FZD8" s="733"/>
      <c r="FZE8" s="733"/>
      <c r="FZF8" s="733"/>
      <c r="FZG8" s="733"/>
      <c r="FZH8" s="733"/>
      <c r="FZI8" s="733"/>
      <c r="FZJ8" s="733"/>
      <c r="FZK8" s="733"/>
      <c r="FZL8" s="733"/>
      <c r="FZM8" s="733"/>
      <c r="FZN8" s="733"/>
      <c r="FZO8" s="733"/>
      <c r="FZP8" s="733"/>
      <c r="FZQ8" s="733"/>
      <c r="FZR8" s="733"/>
      <c r="FZS8" s="733"/>
      <c r="FZT8" s="733"/>
      <c r="FZU8" s="733"/>
      <c r="FZV8" s="733"/>
      <c r="FZW8" s="733"/>
      <c r="FZX8" s="733"/>
      <c r="FZY8" s="733"/>
      <c r="FZZ8" s="733"/>
      <c r="GAA8" s="733"/>
      <c r="GAB8" s="733"/>
      <c r="GAC8" s="733"/>
      <c r="GAD8" s="733"/>
      <c r="GAE8" s="733"/>
      <c r="GAF8" s="733"/>
      <c r="GAG8" s="733"/>
      <c r="GAH8" s="733"/>
      <c r="GAI8" s="733"/>
      <c r="GAJ8" s="733"/>
      <c r="GAK8" s="733"/>
      <c r="GAL8" s="733"/>
      <c r="GAM8" s="733"/>
      <c r="GAN8" s="733"/>
      <c r="GAO8" s="733"/>
      <c r="GAP8" s="733"/>
      <c r="GAQ8" s="733"/>
      <c r="GAR8" s="733"/>
      <c r="GAS8" s="733"/>
      <c r="GAT8" s="733"/>
      <c r="GAU8" s="733"/>
      <c r="GAV8" s="733"/>
      <c r="GAW8" s="733"/>
      <c r="GAX8" s="733"/>
      <c r="GAY8" s="733"/>
      <c r="GAZ8" s="733"/>
      <c r="GBA8" s="733"/>
      <c r="GBB8" s="733"/>
      <c r="GBC8" s="733"/>
      <c r="GBD8" s="733"/>
      <c r="GBE8" s="733"/>
      <c r="GBF8" s="733"/>
      <c r="GBG8" s="733"/>
      <c r="GBH8" s="733"/>
      <c r="GBI8" s="733"/>
      <c r="GBJ8" s="733"/>
      <c r="GBK8" s="733"/>
      <c r="GBL8" s="733"/>
      <c r="GBM8" s="733"/>
      <c r="GBN8" s="733"/>
      <c r="GBO8" s="733"/>
      <c r="GBP8" s="733"/>
      <c r="GBQ8" s="733"/>
      <c r="GBR8" s="733"/>
      <c r="GBS8" s="733"/>
      <c r="GBT8" s="733"/>
      <c r="GBU8" s="733"/>
      <c r="GBV8" s="733"/>
      <c r="GBW8" s="733"/>
      <c r="GBX8" s="733"/>
      <c r="GBY8" s="733"/>
      <c r="GBZ8" s="733"/>
      <c r="GCA8" s="733"/>
      <c r="GCB8" s="733"/>
      <c r="GCC8" s="733"/>
      <c r="GCD8" s="733"/>
      <c r="GCE8" s="733"/>
      <c r="GCF8" s="733"/>
      <c r="GCG8" s="733"/>
      <c r="GCH8" s="733"/>
      <c r="GCI8" s="733"/>
      <c r="GCJ8" s="733"/>
      <c r="GCK8" s="733"/>
      <c r="GCL8" s="733"/>
      <c r="GCM8" s="733"/>
      <c r="GCN8" s="733"/>
      <c r="GCO8" s="733"/>
      <c r="GCP8" s="733"/>
      <c r="GCQ8" s="733"/>
      <c r="GCR8" s="733"/>
      <c r="GCS8" s="733"/>
      <c r="GCT8" s="733"/>
      <c r="GCU8" s="733"/>
      <c r="GCV8" s="733"/>
      <c r="GCW8" s="733"/>
      <c r="GCX8" s="733"/>
      <c r="GCY8" s="733"/>
      <c r="GCZ8" s="733"/>
      <c r="GDA8" s="733"/>
      <c r="GDB8" s="733"/>
      <c r="GDC8" s="733"/>
      <c r="GDD8" s="733"/>
      <c r="GDE8" s="733"/>
      <c r="GDF8" s="733"/>
      <c r="GDG8" s="733"/>
      <c r="GDH8" s="733"/>
      <c r="GDI8" s="733"/>
      <c r="GDJ8" s="733"/>
      <c r="GDK8" s="733"/>
      <c r="GDL8" s="733"/>
      <c r="GDM8" s="733"/>
      <c r="GDN8" s="733"/>
      <c r="GDO8" s="733"/>
      <c r="GDP8" s="733"/>
      <c r="GDQ8" s="733"/>
      <c r="GDR8" s="733"/>
      <c r="GDS8" s="733"/>
      <c r="GDT8" s="733"/>
      <c r="GDU8" s="733"/>
      <c r="GDV8" s="733"/>
      <c r="GDW8" s="733"/>
      <c r="GDX8" s="733"/>
      <c r="GDY8" s="733"/>
      <c r="GDZ8" s="733"/>
      <c r="GEA8" s="733"/>
      <c r="GEB8" s="733"/>
      <c r="GEC8" s="733"/>
      <c r="GED8" s="733"/>
      <c r="GEE8" s="733"/>
      <c r="GEF8" s="733"/>
      <c r="GEG8" s="733"/>
      <c r="GEH8" s="733"/>
      <c r="GEI8" s="733"/>
      <c r="GEJ8" s="733"/>
      <c r="GEK8" s="733"/>
      <c r="GEL8" s="733"/>
      <c r="GEM8" s="733"/>
      <c r="GEN8" s="733"/>
      <c r="GEO8" s="733"/>
      <c r="GEP8" s="733"/>
      <c r="GEQ8" s="733"/>
      <c r="GER8" s="733"/>
      <c r="GES8" s="733"/>
      <c r="GET8" s="733"/>
      <c r="GEU8" s="733"/>
      <c r="GEV8" s="733"/>
      <c r="GEW8" s="733"/>
      <c r="GEX8" s="733"/>
      <c r="GEY8" s="733"/>
      <c r="GEZ8" s="733"/>
      <c r="GFA8" s="733"/>
      <c r="GFB8" s="733"/>
      <c r="GFC8" s="733"/>
      <c r="GFD8" s="733"/>
      <c r="GFE8" s="733"/>
      <c r="GFF8" s="733"/>
      <c r="GFG8" s="733"/>
      <c r="GFH8" s="733"/>
      <c r="GFI8" s="733"/>
      <c r="GFJ8" s="733"/>
      <c r="GFK8" s="733"/>
      <c r="GFL8" s="733"/>
      <c r="GFM8" s="733"/>
      <c r="GFN8" s="733"/>
      <c r="GFO8" s="733"/>
      <c r="GFP8" s="733"/>
      <c r="GFQ8" s="733"/>
      <c r="GFR8" s="733"/>
      <c r="GFS8" s="733"/>
      <c r="GFT8" s="733"/>
      <c r="GFU8" s="733"/>
      <c r="GFV8" s="733"/>
      <c r="GFW8" s="733"/>
      <c r="GFX8" s="733"/>
      <c r="GFY8" s="733"/>
      <c r="GFZ8" s="733"/>
      <c r="GGA8" s="733"/>
      <c r="GGB8" s="733"/>
      <c r="GGC8" s="733"/>
      <c r="GGD8" s="733"/>
      <c r="GGE8" s="733"/>
      <c r="GGF8" s="733"/>
      <c r="GGG8" s="733"/>
      <c r="GGH8" s="733"/>
      <c r="GGI8" s="733"/>
      <c r="GGJ8" s="733"/>
      <c r="GGK8" s="733"/>
      <c r="GGL8" s="733"/>
      <c r="GGM8" s="733"/>
      <c r="GGN8" s="733"/>
      <c r="GGO8" s="733"/>
      <c r="GGP8" s="733"/>
      <c r="GGQ8" s="733"/>
      <c r="GGR8" s="733"/>
      <c r="GGS8" s="733"/>
      <c r="GGT8" s="733"/>
      <c r="GGU8" s="733"/>
      <c r="GGV8" s="733"/>
      <c r="GGW8" s="733"/>
      <c r="GGX8" s="733"/>
      <c r="GGY8" s="733"/>
      <c r="GGZ8" s="733"/>
      <c r="GHA8" s="733"/>
      <c r="GHB8" s="733"/>
      <c r="GHC8" s="733"/>
      <c r="GHD8" s="733"/>
      <c r="GHE8" s="733"/>
      <c r="GHF8" s="733"/>
      <c r="GHG8" s="733"/>
      <c r="GHH8" s="733"/>
      <c r="GHI8" s="733"/>
      <c r="GHJ8" s="733"/>
      <c r="GHK8" s="733"/>
      <c r="GHL8" s="733"/>
      <c r="GHM8" s="733"/>
      <c r="GHN8" s="733"/>
      <c r="GHO8" s="733"/>
      <c r="GHP8" s="733"/>
      <c r="GHQ8" s="733"/>
      <c r="GHR8" s="733"/>
      <c r="GHS8" s="733"/>
      <c r="GHT8" s="733"/>
      <c r="GHU8" s="733"/>
      <c r="GHV8" s="733"/>
      <c r="GHW8" s="733"/>
      <c r="GHX8" s="733"/>
      <c r="GHY8" s="733"/>
      <c r="GHZ8" s="733"/>
      <c r="GIA8" s="733"/>
      <c r="GIB8" s="733"/>
      <c r="GIC8" s="733"/>
      <c r="GID8" s="733"/>
      <c r="GIE8" s="733"/>
      <c r="GIF8" s="733"/>
      <c r="GIG8" s="733"/>
      <c r="GIH8" s="733"/>
      <c r="GII8" s="733"/>
      <c r="GIJ8" s="733"/>
      <c r="GIK8" s="733"/>
      <c r="GIL8" s="733"/>
      <c r="GIM8" s="733"/>
      <c r="GIN8" s="733"/>
      <c r="GIO8" s="733"/>
      <c r="GIP8" s="733"/>
      <c r="GIQ8" s="733"/>
      <c r="GIR8" s="733"/>
      <c r="GIS8" s="733"/>
      <c r="GIT8" s="733"/>
      <c r="GIU8" s="733"/>
      <c r="GIV8" s="733"/>
      <c r="GIW8" s="733"/>
      <c r="GIX8" s="733"/>
      <c r="GIY8" s="733"/>
      <c r="GIZ8" s="733"/>
      <c r="GJA8" s="733"/>
      <c r="GJB8" s="733"/>
      <c r="GJC8" s="733"/>
      <c r="GJD8" s="733"/>
      <c r="GJE8" s="733"/>
      <c r="GJF8" s="733"/>
      <c r="GJG8" s="733"/>
      <c r="GJH8" s="733"/>
      <c r="GJI8" s="733"/>
      <c r="GJJ8" s="733"/>
      <c r="GJK8" s="733"/>
      <c r="GJL8" s="733"/>
      <c r="GJM8" s="733"/>
      <c r="GJN8" s="733"/>
      <c r="GJO8" s="733"/>
      <c r="GJP8" s="733"/>
      <c r="GJQ8" s="733"/>
      <c r="GJR8" s="733"/>
      <c r="GJS8" s="733"/>
      <c r="GJT8" s="733"/>
      <c r="GJU8" s="733"/>
      <c r="GJV8" s="733"/>
      <c r="GJW8" s="733"/>
      <c r="GJX8" s="733"/>
      <c r="GJY8" s="733"/>
      <c r="GJZ8" s="733"/>
      <c r="GKA8" s="733"/>
      <c r="GKB8" s="733"/>
      <c r="GKC8" s="733"/>
      <c r="GKD8" s="733"/>
      <c r="GKE8" s="733"/>
      <c r="GKF8" s="733"/>
      <c r="GKG8" s="733"/>
      <c r="GKH8" s="733"/>
      <c r="GKI8" s="733"/>
      <c r="GKJ8" s="733"/>
      <c r="GKK8" s="733"/>
      <c r="GKL8" s="733"/>
      <c r="GKM8" s="733"/>
      <c r="GKN8" s="733"/>
      <c r="GKO8" s="733"/>
      <c r="GKP8" s="733"/>
      <c r="GKQ8" s="733"/>
      <c r="GKR8" s="733"/>
      <c r="GKS8" s="733"/>
      <c r="GKT8" s="733"/>
      <c r="GKU8" s="733"/>
      <c r="GKV8" s="733"/>
      <c r="GKW8" s="733"/>
      <c r="GKX8" s="733"/>
      <c r="GKY8" s="733"/>
      <c r="GKZ8" s="733"/>
      <c r="GLA8" s="733"/>
      <c r="GLB8" s="733"/>
      <c r="GLC8" s="733"/>
      <c r="GLD8" s="733"/>
      <c r="GLE8" s="733"/>
      <c r="GLF8" s="733"/>
      <c r="GLG8" s="733"/>
      <c r="GLH8" s="733"/>
      <c r="GLI8" s="733"/>
      <c r="GLJ8" s="733"/>
      <c r="GLK8" s="733"/>
      <c r="GLL8" s="733"/>
      <c r="GLM8" s="733"/>
      <c r="GLN8" s="733"/>
      <c r="GLO8" s="733"/>
      <c r="GLP8" s="733"/>
      <c r="GLQ8" s="733"/>
      <c r="GLR8" s="733"/>
      <c r="GLS8" s="733"/>
      <c r="GLT8" s="733"/>
      <c r="GLU8" s="733"/>
      <c r="GLV8" s="733"/>
      <c r="GLW8" s="733"/>
      <c r="GLX8" s="733"/>
      <c r="GLY8" s="733"/>
      <c r="GLZ8" s="733"/>
      <c r="GMA8" s="733"/>
      <c r="GMB8" s="733"/>
      <c r="GMC8" s="733"/>
      <c r="GMD8" s="733"/>
      <c r="GME8" s="733"/>
      <c r="GMF8" s="733"/>
      <c r="GMG8" s="733"/>
      <c r="GMH8" s="733"/>
      <c r="GMI8" s="733"/>
      <c r="GMJ8" s="733"/>
      <c r="GMK8" s="733"/>
      <c r="GML8" s="733"/>
      <c r="GMM8" s="733"/>
      <c r="GMN8" s="733"/>
      <c r="GMO8" s="733"/>
      <c r="GMP8" s="733"/>
      <c r="GMQ8" s="733"/>
      <c r="GMR8" s="733"/>
      <c r="GMS8" s="733"/>
      <c r="GMT8" s="733"/>
      <c r="GMU8" s="733"/>
      <c r="GMV8" s="733"/>
      <c r="GMW8" s="733"/>
      <c r="GMX8" s="733"/>
      <c r="GMY8" s="733"/>
      <c r="GMZ8" s="733"/>
      <c r="GNA8" s="733"/>
      <c r="GNB8" s="733"/>
      <c r="GNC8" s="733"/>
      <c r="GND8" s="733"/>
      <c r="GNE8" s="733"/>
      <c r="GNF8" s="733"/>
      <c r="GNG8" s="733"/>
      <c r="GNH8" s="733"/>
      <c r="GNI8" s="733"/>
      <c r="GNJ8" s="733"/>
      <c r="GNK8" s="733"/>
      <c r="GNL8" s="733"/>
      <c r="GNM8" s="733"/>
      <c r="GNN8" s="733"/>
      <c r="GNO8" s="733"/>
      <c r="GNP8" s="733"/>
      <c r="GNQ8" s="733"/>
      <c r="GNR8" s="733"/>
      <c r="GNS8" s="733"/>
      <c r="GNT8" s="733"/>
      <c r="GNU8" s="733"/>
      <c r="GNV8" s="733"/>
      <c r="GNW8" s="733"/>
      <c r="GNX8" s="733"/>
      <c r="GNY8" s="733"/>
      <c r="GNZ8" s="733"/>
      <c r="GOA8" s="733"/>
      <c r="GOB8" s="733"/>
      <c r="GOC8" s="733"/>
      <c r="GOD8" s="733"/>
      <c r="GOE8" s="733"/>
      <c r="GOF8" s="733"/>
      <c r="GOG8" s="733"/>
      <c r="GOH8" s="733"/>
      <c r="GOI8" s="733"/>
      <c r="GOJ8" s="733"/>
      <c r="GOK8" s="733"/>
      <c r="GOL8" s="733"/>
      <c r="GOM8" s="733"/>
      <c r="GON8" s="733"/>
      <c r="GOO8" s="733"/>
      <c r="GOP8" s="733"/>
      <c r="GOQ8" s="733"/>
      <c r="GOR8" s="733"/>
      <c r="GOS8" s="733"/>
      <c r="GOT8" s="733"/>
      <c r="GOU8" s="733"/>
      <c r="GOV8" s="733"/>
      <c r="GOW8" s="733"/>
      <c r="GOX8" s="733"/>
      <c r="GOY8" s="733"/>
      <c r="GOZ8" s="733"/>
      <c r="GPA8" s="733"/>
      <c r="GPB8" s="733"/>
      <c r="GPC8" s="733"/>
      <c r="GPD8" s="733"/>
      <c r="GPE8" s="733"/>
      <c r="GPF8" s="733"/>
      <c r="GPG8" s="733"/>
      <c r="GPH8" s="733"/>
      <c r="GPI8" s="733"/>
      <c r="GPJ8" s="733"/>
      <c r="GPK8" s="733"/>
      <c r="GPL8" s="733"/>
      <c r="GPM8" s="733"/>
      <c r="GPN8" s="733"/>
      <c r="GPO8" s="733"/>
      <c r="GPP8" s="733"/>
      <c r="GPQ8" s="733"/>
      <c r="GPR8" s="733"/>
      <c r="GPS8" s="733"/>
      <c r="GPT8" s="733"/>
      <c r="GPU8" s="733"/>
      <c r="GPV8" s="733"/>
      <c r="GPW8" s="733"/>
      <c r="GPX8" s="733"/>
      <c r="GPY8" s="733"/>
      <c r="GPZ8" s="733"/>
      <c r="GQA8" s="733"/>
      <c r="GQB8" s="733"/>
      <c r="GQC8" s="733"/>
      <c r="GQD8" s="733"/>
      <c r="GQE8" s="733"/>
      <c r="GQF8" s="733"/>
      <c r="GQG8" s="733"/>
      <c r="GQH8" s="733"/>
      <c r="GQI8" s="733"/>
      <c r="GQJ8" s="733"/>
      <c r="GQK8" s="733"/>
      <c r="GQL8" s="733"/>
      <c r="GQM8" s="733"/>
      <c r="GQN8" s="733"/>
      <c r="GQO8" s="733"/>
      <c r="GQP8" s="733"/>
      <c r="GQQ8" s="733"/>
      <c r="GQR8" s="733"/>
      <c r="GQS8" s="733"/>
      <c r="GQT8" s="733"/>
      <c r="GQU8" s="733"/>
      <c r="GQV8" s="733"/>
      <c r="GQW8" s="733"/>
      <c r="GQX8" s="733"/>
      <c r="GQY8" s="733"/>
      <c r="GQZ8" s="733"/>
      <c r="GRA8" s="733"/>
      <c r="GRB8" s="733"/>
      <c r="GRC8" s="733"/>
      <c r="GRD8" s="733"/>
      <c r="GRE8" s="733"/>
      <c r="GRF8" s="733"/>
      <c r="GRG8" s="733"/>
      <c r="GRH8" s="733"/>
      <c r="GRI8" s="733"/>
      <c r="GRJ8" s="733"/>
      <c r="GRK8" s="733"/>
      <c r="GRL8" s="733"/>
      <c r="GRM8" s="733"/>
      <c r="GRN8" s="733"/>
      <c r="GRO8" s="733"/>
      <c r="GRP8" s="733"/>
      <c r="GRQ8" s="733"/>
      <c r="GRR8" s="733"/>
      <c r="GRS8" s="733"/>
      <c r="GRT8" s="733"/>
      <c r="GRU8" s="733"/>
      <c r="GRV8" s="733"/>
      <c r="GRW8" s="733"/>
      <c r="GRX8" s="733"/>
      <c r="GRY8" s="733"/>
      <c r="GRZ8" s="733"/>
      <c r="GSA8" s="733"/>
      <c r="GSB8" s="733"/>
      <c r="GSC8" s="733"/>
      <c r="GSD8" s="733"/>
      <c r="GSE8" s="733"/>
      <c r="GSF8" s="733"/>
      <c r="GSG8" s="733"/>
      <c r="GSH8" s="733"/>
      <c r="GSI8" s="733"/>
      <c r="GSJ8" s="733"/>
      <c r="GSK8" s="733"/>
      <c r="GSL8" s="733"/>
      <c r="GSM8" s="733"/>
      <c r="GSN8" s="733"/>
      <c r="GSO8" s="733"/>
      <c r="GSP8" s="733"/>
      <c r="GSQ8" s="733"/>
      <c r="GSR8" s="733"/>
      <c r="GSS8" s="733"/>
      <c r="GST8" s="733"/>
      <c r="GSU8" s="733"/>
      <c r="GSV8" s="733"/>
      <c r="GSW8" s="733"/>
      <c r="GSX8" s="733"/>
      <c r="GSY8" s="733"/>
      <c r="GSZ8" s="733"/>
      <c r="GTA8" s="733"/>
      <c r="GTB8" s="733"/>
      <c r="GTC8" s="733"/>
      <c r="GTD8" s="733"/>
      <c r="GTE8" s="733"/>
      <c r="GTF8" s="733"/>
      <c r="GTG8" s="733"/>
      <c r="GTH8" s="733"/>
      <c r="GTI8" s="733"/>
      <c r="GTJ8" s="733"/>
      <c r="GTK8" s="733"/>
      <c r="GTL8" s="733"/>
      <c r="GTM8" s="733"/>
      <c r="GTN8" s="733"/>
      <c r="GTO8" s="733"/>
      <c r="GTP8" s="733"/>
      <c r="GTQ8" s="733"/>
      <c r="GTR8" s="733"/>
      <c r="GTS8" s="733"/>
      <c r="GTT8" s="733"/>
      <c r="GTU8" s="733"/>
      <c r="GTV8" s="733"/>
      <c r="GTW8" s="733"/>
      <c r="GTX8" s="733"/>
      <c r="GTY8" s="733"/>
      <c r="GTZ8" s="733"/>
      <c r="GUA8" s="733"/>
      <c r="GUB8" s="733"/>
      <c r="GUC8" s="733"/>
      <c r="GUD8" s="733"/>
      <c r="GUE8" s="733"/>
      <c r="GUF8" s="733"/>
      <c r="GUG8" s="733"/>
      <c r="GUH8" s="733"/>
      <c r="GUI8" s="733"/>
      <c r="GUJ8" s="733"/>
      <c r="GUK8" s="733"/>
      <c r="GUL8" s="733"/>
      <c r="GUM8" s="733"/>
      <c r="GUN8" s="733"/>
      <c r="GUO8" s="733"/>
      <c r="GUP8" s="733"/>
      <c r="GUQ8" s="733"/>
      <c r="GUR8" s="733"/>
      <c r="GUS8" s="733"/>
      <c r="GUT8" s="733"/>
      <c r="GUU8" s="733"/>
      <c r="GUV8" s="733"/>
      <c r="GUW8" s="733"/>
      <c r="GUX8" s="733"/>
      <c r="GUY8" s="733"/>
      <c r="GUZ8" s="733"/>
      <c r="GVA8" s="733"/>
      <c r="GVB8" s="733"/>
      <c r="GVC8" s="733"/>
      <c r="GVD8" s="733"/>
      <c r="GVE8" s="733"/>
      <c r="GVF8" s="733"/>
      <c r="GVG8" s="733"/>
      <c r="GVH8" s="733"/>
      <c r="GVI8" s="733"/>
      <c r="GVJ8" s="733"/>
      <c r="GVK8" s="733"/>
      <c r="GVL8" s="733"/>
      <c r="GVM8" s="733"/>
      <c r="GVN8" s="733"/>
      <c r="GVO8" s="733"/>
      <c r="GVP8" s="733"/>
      <c r="GVQ8" s="733"/>
      <c r="GVR8" s="733"/>
      <c r="GVS8" s="733"/>
      <c r="GVT8" s="733"/>
      <c r="GVU8" s="733"/>
      <c r="GVV8" s="733"/>
      <c r="GVW8" s="733"/>
      <c r="GVX8" s="733"/>
      <c r="GVY8" s="733"/>
      <c r="GVZ8" s="733"/>
      <c r="GWA8" s="733"/>
      <c r="GWB8" s="733"/>
      <c r="GWC8" s="733"/>
      <c r="GWD8" s="733"/>
      <c r="GWE8" s="733"/>
      <c r="GWF8" s="733"/>
      <c r="GWG8" s="733"/>
      <c r="GWH8" s="733"/>
      <c r="GWI8" s="733"/>
      <c r="GWJ8" s="733"/>
      <c r="GWK8" s="733"/>
      <c r="GWL8" s="733"/>
      <c r="GWM8" s="733"/>
      <c r="GWN8" s="733"/>
      <c r="GWO8" s="733"/>
      <c r="GWP8" s="733"/>
      <c r="GWQ8" s="733"/>
      <c r="GWR8" s="733"/>
      <c r="GWS8" s="733"/>
      <c r="GWT8" s="733"/>
      <c r="GWU8" s="733"/>
      <c r="GWV8" s="733"/>
      <c r="GWW8" s="733"/>
      <c r="GWX8" s="733"/>
      <c r="GWY8" s="733"/>
      <c r="GWZ8" s="733"/>
      <c r="GXA8" s="733"/>
      <c r="GXB8" s="733"/>
      <c r="GXC8" s="733"/>
      <c r="GXD8" s="733"/>
      <c r="GXE8" s="733"/>
      <c r="GXF8" s="733"/>
      <c r="GXG8" s="733"/>
      <c r="GXH8" s="733"/>
      <c r="GXI8" s="733"/>
      <c r="GXJ8" s="733"/>
      <c r="GXK8" s="733"/>
      <c r="GXL8" s="733"/>
      <c r="GXM8" s="733"/>
      <c r="GXN8" s="733"/>
      <c r="GXO8" s="733"/>
      <c r="GXP8" s="733"/>
      <c r="GXQ8" s="733"/>
      <c r="GXR8" s="733"/>
      <c r="GXS8" s="733"/>
      <c r="GXT8" s="733"/>
      <c r="GXU8" s="733"/>
      <c r="GXV8" s="733"/>
      <c r="GXW8" s="733"/>
      <c r="GXX8" s="733"/>
      <c r="GXY8" s="733"/>
      <c r="GXZ8" s="733"/>
      <c r="GYA8" s="733"/>
      <c r="GYB8" s="733"/>
      <c r="GYC8" s="733"/>
      <c r="GYD8" s="733"/>
      <c r="GYE8" s="733"/>
      <c r="GYF8" s="733"/>
      <c r="GYG8" s="733"/>
      <c r="GYH8" s="733"/>
      <c r="GYI8" s="733"/>
      <c r="GYJ8" s="733"/>
      <c r="GYK8" s="733"/>
      <c r="GYL8" s="733"/>
      <c r="GYM8" s="733"/>
      <c r="GYN8" s="733"/>
      <c r="GYO8" s="733"/>
      <c r="GYP8" s="733"/>
      <c r="GYQ8" s="733"/>
      <c r="GYR8" s="733"/>
      <c r="GYS8" s="733"/>
      <c r="GYT8" s="733"/>
      <c r="GYU8" s="733"/>
      <c r="GYV8" s="733"/>
      <c r="GYW8" s="733"/>
      <c r="GYX8" s="733"/>
      <c r="GYY8" s="733"/>
      <c r="GYZ8" s="733"/>
      <c r="GZA8" s="733"/>
      <c r="GZB8" s="733"/>
      <c r="GZC8" s="733"/>
      <c r="GZD8" s="733"/>
      <c r="GZE8" s="733"/>
      <c r="GZF8" s="733"/>
      <c r="GZG8" s="733"/>
      <c r="GZH8" s="733"/>
      <c r="GZI8" s="733"/>
      <c r="GZJ8" s="733"/>
      <c r="GZK8" s="733"/>
      <c r="GZL8" s="733"/>
      <c r="GZM8" s="733"/>
      <c r="GZN8" s="733"/>
      <c r="GZO8" s="733"/>
      <c r="GZP8" s="733"/>
      <c r="GZQ8" s="733"/>
      <c r="GZR8" s="733"/>
      <c r="GZS8" s="733"/>
      <c r="GZT8" s="733"/>
      <c r="GZU8" s="733"/>
      <c r="GZV8" s="733"/>
      <c r="GZW8" s="733"/>
      <c r="GZX8" s="733"/>
      <c r="GZY8" s="733"/>
      <c r="GZZ8" s="733"/>
      <c r="HAA8" s="733"/>
      <c r="HAB8" s="733"/>
      <c r="HAC8" s="733"/>
      <c r="HAD8" s="733"/>
      <c r="HAE8" s="733"/>
      <c r="HAF8" s="733"/>
      <c r="HAG8" s="733"/>
      <c r="HAH8" s="733"/>
      <c r="HAI8" s="733"/>
      <c r="HAJ8" s="733"/>
      <c r="HAK8" s="733"/>
      <c r="HAL8" s="733"/>
      <c r="HAM8" s="733"/>
      <c r="HAN8" s="733"/>
      <c r="HAO8" s="733"/>
      <c r="HAP8" s="733"/>
      <c r="HAQ8" s="733"/>
      <c r="HAR8" s="733"/>
      <c r="HAS8" s="733"/>
      <c r="HAT8" s="733"/>
      <c r="HAU8" s="733"/>
      <c r="HAV8" s="733"/>
      <c r="HAW8" s="733"/>
      <c r="HAX8" s="733"/>
      <c r="HAY8" s="733"/>
      <c r="HAZ8" s="733"/>
      <c r="HBA8" s="733"/>
      <c r="HBB8" s="733"/>
      <c r="HBC8" s="733"/>
      <c r="HBD8" s="733"/>
      <c r="HBE8" s="733"/>
      <c r="HBF8" s="733"/>
      <c r="HBG8" s="733"/>
      <c r="HBH8" s="733"/>
      <c r="HBI8" s="733"/>
      <c r="HBJ8" s="733"/>
      <c r="HBK8" s="733"/>
      <c r="HBL8" s="733"/>
      <c r="HBM8" s="733"/>
      <c r="HBN8" s="733"/>
      <c r="HBO8" s="733"/>
      <c r="HBP8" s="733"/>
      <c r="HBQ8" s="733"/>
      <c r="HBR8" s="733"/>
      <c r="HBS8" s="733"/>
      <c r="HBT8" s="733"/>
      <c r="HBU8" s="733"/>
      <c r="HBV8" s="733"/>
      <c r="HBW8" s="733"/>
      <c r="HBX8" s="733"/>
      <c r="HBY8" s="733"/>
      <c r="HBZ8" s="733"/>
      <c r="HCA8" s="733"/>
      <c r="HCB8" s="733"/>
      <c r="HCC8" s="733"/>
      <c r="HCD8" s="733"/>
      <c r="HCE8" s="733"/>
      <c r="HCF8" s="733"/>
      <c r="HCG8" s="733"/>
      <c r="HCH8" s="733"/>
      <c r="HCI8" s="733"/>
      <c r="HCJ8" s="733"/>
      <c r="HCK8" s="733"/>
      <c r="HCL8" s="733"/>
      <c r="HCM8" s="733"/>
      <c r="HCN8" s="733"/>
      <c r="HCO8" s="733"/>
      <c r="HCP8" s="733"/>
      <c r="HCQ8" s="733"/>
      <c r="HCR8" s="733"/>
      <c r="HCS8" s="733"/>
      <c r="HCT8" s="733"/>
      <c r="HCU8" s="733"/>
      <c r="HCV8" s="733"/>
      <c r="HCW8" s="733"/>
      <c r="HCX8" s="733"/>
      <c r="HCY8" s="733"/>
      <c r="HCZ8" s="733"/>
      <c r="HDA8" s="733"/>
      <c r="HDB8" s="733"/>
      <c r="HDC8" s="733"/>
      <c r="HDD8" s="733"/>
      <c r="HDE8" s="733"/>
      <c r="HDF8" s="733"/>
      <c r="HDG8" s="733"/>
      <c r="HDH8" s="733"/>
      <c r="HDI8" s="733"/>
      <c r="HDJ8" s="733"/>
      <c r="HDK8" s="733"/>
      <c r="HDL8" s="733"/>
      <c r="HDM8" s="733"/>
      <c r="HDN8" s="733"/>
      <c r="HDO8" s="733"/>
      <c r="HDP8" s="733"/>
      <c r="HDQ8" s="733"/>
      <c r="HDR8" s="733"/>
      <c r="HDS8" s="733"/>
      <c r="HDT8" s="733"/>
      <c r="HDU8" s="733"/>
      <c r="HDV8" s="733"/>
      <c r="HDW8" s="733"/>
      <c r="HDX8" s="733"/>
      <c r="HDY8" s="733"/>
      <c r="HDZ8" s="733"/>
      <c r="HEA8" s="733"/>
      <c r="HEB8" s="733"/>
      <c r="HEC8" s="733"/>
      <c r="HED8" s="733"/>
      <c r="HEE8" s="733"/>
      <c r="HEF8" s="733"/>
      <c r="HEG8" s="733"/>
      <c r="HEH8" s="733"/>
      <c r="HEI8" s="733"/>
      <c r="HEJ8" s="733"/>
      <c r="HEK8" s="733"/>
      <c r="HEL8" s="733"/>
      <c r="HEM8" s="733"/>
      <c r="HEN8" s="733"/>
      <c r="HEO8" s="733"/>
      <c r="HEP8" s="733"/>
      <c r="HEQ8" s="733"/>
      <c r="HER8" s="733"/>
      <c r="HES8" s="733"/>
      <c r="HET8" s="733"/>
      <c r="HEU8" s="733"/>
      <c r="HEV8" s="733"/>
      <c r="HEW8" s="733"/>
      <c r="HEX8" s="733"/>
      <c r="HEY8" s="733"/>
      <c r="HEZ8" s="733"/>
      <c r="HFA8" s="733"/>
      <c r="HFB8" s="733"/>
      <c r="HFC8" s="733"/>
      <c r="HFD8" s="733"/>
      <c r="HFE8" s="733"/>
      <c r="HFF8" s="733"/>
      <c r="HFG8" s="733"/>
      <c r="HFH8" s="733"/>
      <c r="HFI8" s="733"/>
      <c r="HFJ8" s="733"/>
      <c r="HFK8" s="733"/>
      <c r="HFL8" s="733"/>
      <c r="HFM8" s="733"/>
      <c r="HFN8" s="733"/>
      <c r="HFO8" s="733"/>
      <c r="HFP8" s="733"/>
      <c r="HFQ8" s="733"/>
      <c r="HFR8" s="733"/>
      <c r="HFS8" s="733"/>
      <c r="HFT8" s="733"/>
      <c r="HFU8" s="733"/>
      <c r="HFV8" s="733"/>
      <c r="HFW8" s="733"/>
      <c r="HFX8" s="733"/>
      <c r="HFY8" s="733"/>
      <c r="HFZ8" s="733"/>
      <c r="HGA8" s="733"/>
      <c r="HGB8" s="733"/>
      <c r="HGC8" s="733"/>
      <c r="HGD8" s="733"/>
      <c r="HGE8" s="733"/>
      <c r="HGF8" s="733"/>
      <c r="HGG8" s="733"/>
      <c r="HGH8" s="733"/>
      <c r="HGI8" s="733"/>
      <c r="HGJ8" s="733"/>
      <c r="HGK8" s="733"/>
      <c r="HGL8" s="733"/>
      <c r="HGM8" s="733"/>
      <c r="HGN8" s="733"/>
      <c r="HGO8" s="733"/>
      <c r="HGP8" s="733"/>
      <c r="HGQ8" s="733"/>
      <c r="HGR8" s="733"/>
      <c r="HGS8" s="733"/>
      <c r="HGT8" s="733"/>
      <c r="HGU8" s="733"/>
      <c r="HGV8" s="733"/>
      <c r="HGW8" s="733"/>
      <c r="HGX8" s="733"/>
      <c r="HGY8" s="733"/>
      <c r="HGZ8" s="733"/>
      <c r="HHA8" s="733"/>
      <c r="HHB8" s="733"/>
      <c r="HHC8" s="733"/>
      <c r="HHD8" s="733"/>
      <c r="HHE8" s="733"/>
      <c r="HHF8" s="733"/>
      <c r="HHG8" s="733"/>
      <c r="HHH8" s="733"/>
      <c r="HHI8" s="733"/>
      <c r="HHJ8" s="733"/>
      <c r="HHK8" s="733"/>
      <c r="HHL8" s="733"/>
      <c r="HHM8" s="733"/>
      <c r="HHN8" s="733"/>
      <c r="HHO8" s="733"/>
      <c r="HHP8" s="733"/>
      <c r="HHQ8" s="733"/>
      <c r="HHR8" s="733"/>
      <c r="HHS8" s="733"/>
      <c r="HHT8" s="733"/>
      <c r="HHU8" s="733"/>
      <c r="HHV8" s="733"/>
      <c r="HHW8" s="733"/>
      <c r="HHX8" s="733"/>
      <c r="HHY8" s="733"/>
      <c r="HHZ8" s="733"/>
      <c r="HIA8" s="733"/>
      <c r="HIB8" s="733"/>
      <c r="HIC8" s="733"/>
      <c r="HID8" s="733"/>
      <c r="HIE8" s="733"/>
      <c r="HIF8" s="733"/>
      <c r="HIG8" s="733"/>
      <c r="HIH8" s="733"/>
      <c r="HII8" s="733"/>
      <c r="HIJ8" s="733"/>
      <c r="HIK8" s="733"/>
      <c r="HIL8" s="733"/>
      <c r="HIM8" s="733"/>
      <c r="HIN8" s="733"/>
      <c r="HIO8" s="733"/>
      <c r="HIP8" s="733"/>
      <c r="HIQ8" s="733"/>
      <c r="HIR8" s="733"/>
      <c r="HIS8" s="733"/>
      <c r="HIT8" s="733"/>
      <c r="HIU8" s="733"/>
      <c r="HIV8" s="733"/>
      <c r="HIW8" s="733"/>
      <c r="HIX8" s="733"/>
      <c r="HIY8" s="733"/>
      <c r="HIZ8" s="733"/>
      <c r="HJA8" s="733"/>
      <c r="HJB8" s="733"/>
      <c r="HJC8" s="733"/>
      <c r="HJD8" s="733"/>
      <c r="HJE8" s="733"/>
      <c r="HJF8" s="733"/>
      <c r="HJG8" s="733"/>
      <c r="HJH8" s="733"/>
      <c r="HJI8" s="733"/>
      <c r="HJJ8" s="733"/>
      <c r="HJK8" s="733"/>
      <c r="HJL8" s="733"/>
      <c r="HJM8" s="733"/>
      <c r="HJN8" s="733"/>
      <c r="HJO8" s="733"/>
      <c r="HJP8" s="733"/>
      <c r="HJQ8" s="733"/>
      <c r="HJR8" s="733"/>
      <c r="HJS8" s="733"/>
      <c r="HJT8" s="733"/>
      <c r="HJU8" s="733"/>
      <c r="HJV8" s="733"/>
      <c r="HJW8" s="733"/>
      <c r="HJX8" s="733"/>
      <c r="HJY8" s="733"/>
      <c r="HJZ8" s="733"/>
      <c r="HKA8" s="733"/>
      <c r="HKB8" s="733"/>
      <c r="HKC8" s="733"/>
      <c r="HKD8" s="733"/>
      <c r="HKE8" s="733"/>
      <c r="HKF8" s="733"/>
      <c r="HKG8" s="733"/>
      <c r="HKH8" s="733"/>
      <c r="HKI8" s="733"/>
      <c r="HKJ8" s="733"/>
      <c r="HKK8" s="733"/>
      <c r="HKL8" s="733"/>
      <c r="HKM8" s="733"/>
      <c r="HKN8" s="733"/>
      <c r="HKO8" s="733"/>
      <c r="HKP8" s="733"/>
      <c r="HKQ8" s="733"/>
      <c r="HKR8" s="733"/>
      <c r="HKS8" s="733"/>
      <c r="HKT8" s="733"/>
      <c r="HKU8" s="733"/>
      <c r="HKV8" s="733"/>
      <c r="HKW8" s="733"/>
      <c r="HKX8" s="733"/>
      <c r="HKY8" s="733"/>
      <c r="HKZ8" s="733"/>
      <c r="HLA8" s="733"/>
      <c r="HLB8" s="733"/>
      <c r="HLC8" s="733"/>
      <c r="HLD8" s="733"/>
      <c r="HLE8" s="733"/>
      <c r="HLF8" s="733"/>
      <c r="HLG8" s="733"/>
      <c r="HLH8" s="733"/>
      <c r="HLI8" s="733"/>
      <c r="HLJ8" s="733"/>
      <c r="HLK8" s="733"/>
      <c r="HLL8" s="733"/>
      <c r="HLM8" s="733"/>
      <c r="HLN8" s="733"/>
      <c r="HLO8" s="733"/>
      <c r="HLP8" s="733"/>
      <c r="HLQ8" s="733"/>
      <c r="HLR8" s="733"/>
      <c r="HLS8" s="733"/>
      <c r="HLT8" s="733"/>
      <c r="HLU8" s="733"/>
      <c r="HLV8" s="733"/>
      <c r="HLW8" s="733"/>
      <c r="HLX8" s="733"/>
      <c r="HLY8" s="733"/>
      <c r="HLZ8" s="733"/>
      <c r="HMA8" s="733"/>
      <c r="HMB8" s="733"/>
      <c r="HMC8" s="733"/>
      <c r="HMD8" s="733"/>
      <c r="HME8" s="733"/>
      <c r="HMF8" s="733"/>
      <c r="HMG8" s="733"/>
      <c r="HMH8" s="733"/>
      <c r="HMI8" s="733"/>
      <c r="HMJ8" s="733"/>
      <c r="HMK8" s="733"/>
      <c r="HML8" s="733"/>
      <c r="HMM8" s="733"/>
      <c r="HMN8" s="733"/>
      <c r="HMO8" s="733"/>
      <c r="HMP8" s="733"/>
      <c r="HMQ8" s="733"/>
      <c r="HMR8" s="733"/>
      <c r="HMS8" s="733"/>
      <c r="HMT8" s="733"/>
      <c r="HMU8" s="733"/>
      <c r="HMV8" s="733"/>
      <c r="HMW8" s="733"/>
      <c r="HMX8" s="733"/>
      <c r="HMY8" s="733"/>
      <c r="HMZ8" s="733"/>
      <c r="HNA8" s="733"/>
      <c r="HNB8" s="733"/>
      <c r="HNC8" s="733"/>
      <c r="HND8" s="733"/>
      <c r="HNE8" s="733"/>
      <c r="HNF8" s="733"/>
      <c r="HNG8" s="733"/>
      <c r="HNH8" s="733"/>
      <c r="HNI8" s="733"/>
      <c r="HNJ8" s="733"/>
      <c r="HNK8" s="733"/>
      <c r="HNL8" s="733"/>
      <c r="HNM8" s="733"/>
      <c r="HNN8" s="733"/>
      <c r="HNO8" s="733"/>
      <c r="HNP8" s="733"/>
      <c r="HNQ8" s="733"/>
      <c r="HNR8" s="733"/>
      <c r="HNS8" s="733"/>
      <c r="HNT8" s="733"/>
      <c r="HNU8" s="733"/>
      <c r="HNV8" s="733"/>
      <c r="HNW8" s="733"/>
      <c r="HNX8" s="733"/>
      <c r="HNY8" s="733"/>
      <c r="HNZ8" s="733"/>
      <c r="HOA8" s="733"/>
      <c r="HOB8" s="733"/>
      <c r="HOC8" s="733"/>
      <c r="HOD8" s="733"/>
      <c r="HOE8" s="733"/>
      <c r="HOF8" s="733"/>
      <c r="HOG8" s="733"/>
      <c r="HOH8" s="733"/>
      <c r="HOI8" s="733"/>
      <c r="HOJ8" s="733"/>
      <c r="HOK8" s="733"/>
      <c r="HOL8" s="733"/>
      <c r="HOM8" s="733"/>
      <c r="HON8" s="733"/>
      <c r="HOO8" s="733"/>
      <c r="HOP8" s="733"/>
      <c r="HOQ8" s="733"/>
      <c r="HOR8" s="733"/>
      <c r="HOS8" s="733"/>
      <c r="HOT8" s="733"/>
      <c r="HOU8" s="733"/>
      <c r="HOV8" s="733"/>
      <c r="HOW8" s="733"/>
      <c r="HOX8" s="733"/>
      <c r="HOY8" s="733"/>
      <c r="HOZ8" s="733"/>
      <c r="HPA8" s="733"/>
      <c r="HPB8" s="733"/>
      <c r="HPC8" s="733"/>
      <c r="HPD8" s="733"/>
      <c r="HPE8" s="733"/>
      <c r="HPF8" s="733"/>
      <c r="HPG8" s="733"/>
      <c r="HPH8" s="733"/>
      <c r="HPI8" s="733"/>
      <c r="HPJ8" s="733"/>
      <c r="HPK8" s="733"/>
      <c r="HPL8" s="733"/>
      <c r="HPM8" s="733"/>
      <c r="HPN8" s="733"/>
      <c r="HPO8" s="733"/>
      <c r="HPP8" s="733"/>
      <c r="HPQ8" s="733"/>
      <c r="HPR8" s="733"/>
      <c r="HPS8" s="733"/>
      <c r="HPT8" s="733"/>
      <c r="HPU8" s="733"/>
      <c r="HPV8" s="733"/>
      <c r="HPW8" s="733"/>
      <c r="HPX8" s="733"/>
      <c r="HPY8" s="733"/>
      <c r="HPZ8" s="733"/>
      <c r="HQA8" s="733"/>
      <c r="HQB8" s="733"/>
      <c r="HQC8" s="733"/>
      <c r="HQD8" s="733"/>
      <c r="HQE8" s="733"/>
      <c r="HQF8" s="733"/>
      <c r="HQG8" s="733"/>
      <c r="HQH8" s="733"/>
      <c r="HQI8" s="733"/>
      <c r="HQJ8" s="733"/>
      <c r="HQK8" s="733"/>
      <c r="HQL8" s="733"/>
      <c r="HQM8" s="733"/>
      <c r="HQN8" s="733"/>
      <c r="HQO8" s="733"/>
      <c r="HQP8" s="733"/>
      <c r="HQQ8" s="733"/>
      <c r="HQR8" s="733"/>
      <c r="HQS8" s="733"/>
      <c r="HQT8" s="733"/>
      <c r="HQU8" s="733"/>
      <c r="HQV8" s="733"/>
      <c r="HQW8" s="733"/>
      <c r="HQX8" s="733"/>
      <c r="HQY8" s="733"/>
      <c r="HQZ8" s="733"/>
      <c r="HRA8" s="733"/>
      <c r="HRB8" s="733"/>
      <c r="HRC8" s="733"/>
      <c r="HRD8" s="733"/>
      <c r="HRE8" s="733"/>
      <c r="HRF8" s="733"/>
      <c r="HRG8" s="733"/>
      <c r="HRH8" s="733"/>
      <c r="HRI8" s="733"/>
      <c r="HRJ8" s="733"/>
      <c r="HRK8" s="733"/>
      <c r="HRL8" s="733"/>
      <c r="HRM8" s="733"/>
      <c r="HRN8" s="733"/>
      <c r="HRO8" s="733"/>
      <c r="HRP8" s="733"/>
      <c r="HRQ8" s="733"/>
      <c r="HRR8" s="733"/>
      <c r="HRS8" s="733"/>
      <c r="HRT8" s="733"/>
      <c r="HRU8" s="733"/>
      <c r="HRV8" s="733"/>
      <c r="HRW8" s="733"/>
      <c r="HRX8" s="733"/>
      <c r="HRY8" s="733"/>
      <c r="HRZ8" s="733"/>
      <c r="HSA8" s="733"/>
      <c r="HSB8" s="733"/>
      <c r="HSC8" s="733"/>
      <c r="HSD8" s="733"/>
      <c r="HSE8" s="733"/>
      <c r="HSF8" s="733"/>
      <c r="HSG8" s="733"/>
      <c r="HSH8" s="733"/>
      <c r="HSI8" s="733"/>
      <c r="HSJ8" s="733"/>
      <c r="HSK8" s="733"/>
      <c r="HSL8" s="733"/>
      <c r="HSM8" s="733"/>
      <c r="HSN8" s="733"/>
      <c r="HSO8" s="733"/>
      <c r="HSP8" s="733"/>
      <c r="HSQ8" s="733"/>
      <c r="HSR8" s="733"/>
      <c r="HSS8" s="733"/>
      <c r="HST8" s="733"/>
      <c r="HSU8" s="733"/>
      <c r="HSV8" s="733"/>
      <c r="HSW8" s="733"/>
      <c r="HSX8" s="733"/>
      <c r="HSY8" s="733"/>
      <c r="HSZ8" s="733"/>
      <c r="HTA8" s="733"/>
      <c r="HTB8" s="733"/>
      <c r="HTC8" s="733"/>
      <c r="HTD8" s="733"/>
      <c r="HTE8" s="733"/>
      <c r="HTF8" s="733"/>
      <c r="HTG8" s="733"/>
      <c r="HTH8" s="733"/>
      <c r="HTI8" s="733"/>
      <c r="HTJ8" s="733"/>
      <c r="HTK8" s="733"/>
      <c r="HTL8" s="733"/>
      <c r="HTM8" s="733"/>
      <c r="HTN8" s="733"/>
      <c r="HTO8" s="733"/>
      <c r="HTP8" s="733"/>
      <c r="HTQ8" s="733"/>
      <c r="HTR8" s="733"/>
      <c r="HTS8" s="733"/>
      <c r="HTT8" s="733"/>
      <c r="HTU8" s="733"/>
      <c r="HTV8" s="733"/>
      <c r="HTW8" s="733"/>
      <c r="HTX8" s="733"/>
      <c r="HTY8" s="733"/>
      <c r="HTZ8" s="733"/>
      <c r="HUA8" s="733"/>
      <c r="HUB8" s="733"/>
      <c r="HUC8" s="733"/>
      <c r="HUD8" s="733"/>
      <c r="HUE8" s="733"/>
      <c r="HUF8" s="733"/>
      <c r="HUG8" s="733"/>
      <c r="HUH8" s="733"/>
      <c r="HUI8" s="733"/>
      <c r="HUJ8" s="733"/>
      <c r="HUK8" s="733"/>
      <c r="HUL8" s="733"/>
      <c r="HUM8" s="733"/>
      <c r="HUN8" s="733"/>
      <c r="HUO8" s="733"/>
      <c r="HUP8" s="733"/>
      <c r="HUQ8" s="733"/>
      <c r="HUR8" s="733"/>
      <c r="HUS8" s="733"/>
      <c r="HUT8" s="733"/>
      <c r="HUU8" s="733"/>
      <c r="HUV8" s="733"/>
      <c r="HUW8" s="733"/>
      <c r="HUX8" s="733"/>
      <c r="HUY8" s="733"/>
      <c r="HUZ8" s="733"/>
      <c r="HVA8" s="733"/>
      <c r="HVB8" s="733"/>
      <c r="HVC8" s="733"/>
      <c r="HVD8" s="733"/>
      <c r="HVE8" s="733"/>
      <c r="HVF8" s="733"/>
      <c r="HVG8" s="733"/>
      <c r="HVH8" s="733"/>
      <c r="HVI8" s="733"/>
      <c r="HVJ8" s="733"/>
      <c r="HVK8" s="733"/>
      <c r="HVL8" s="733"/>
      <c r="HVM8" s="733"/>
      <c r="HVN8" s="733"/>
      <c r="HVO8" s="733"/>
      <c r="HVP8" s="733"/>
      <c r="HVQ8" s="733"/>
      <c r="HVR8" s="733"/>
      <c r="HVS8" s="733"/>
      <c r="HVT8" s="733"/>
      <c r="HVU8" s="733"/>
      <c r="HVV8" s="733"/>
      <c r="HVW8" s="733"/>
      <c r="HVX8" s="733"/>
      <c r="HVY8" s="733"/>
      <c r="HVZ8" s="733"/>
      <c r="HWA8" s="733"/>
      <c r="HWB8" s="733"/>
      <c r="HWC8" s="733"/>
      <c r="HWD8" s="733"/>
      <c r="HWE8" s="733"/>
      <c r="HWF8" s="733"/>
      <c r="HWG8" s="733"/>
      <c r="HWH8" s="733"/>
      <c r="HWI8" s="733"/>
      <c r="HWJ8" s="733"/>
      <c r="HWK8" s="733"/>
      <c r="HWL8" s="733"/>
      <c r="HWM8" s="733"/>
      <c r="HWN8" s="733"/>
      <c r="HWO8" s="733"/>
      <c r="HWP8" s="733"/>
      <c r="HWQ8" s="733"/>
      <c r="HWR8" s="733"/>
      <c r="HWS8" s="733"/>
      <c r="HWT8" s="733"/>
      <c r="HWU8" s="733"/>
      <c r="HWV8" s="733"/>
      <c r="HWW8" s="733"/>
      <c r="HWX8" s="733"/>
      <c r="HWY8" s="733"/>
      <c r="HWZ8" s="733"/>
      <c r="HXA8" s="733"/>
      <c r="HXB8" s="733"/>
      <c r="HXC8" s="733"/>
      <c r="HXD8" s="733"/>
      <c r="HXE8" s="733"/>
      <c r="HXF8" s="733"/>
      <c r="HXG8" s="733"/>
      <c r="HXH8" s="733"/>
      <c r="HXI8" s="733"/>
      <c r="HXJ8" s="733"/>
      <c r="HXK8" s="733"/>
      <c r="HXL8" s="733"/>
      <c r="HXM8" s="733"/>
      <c r="HXN8" s="733"/>
      <c r="HXO8" s="733"/>
      <c r="HXP8" s="733"/>
      <c r="HXQ8" s="733"/>
      <c r="HXR8" s="733"/>
      <c r="HXS8" s="733"/>
      <c r="HXT8" s="733"/>
      <c r="HXU8" s="733"/>
      <c r="HXV8" s="733"/>
      <c r="HXW8" s="733"/>
      <c r="HXX8" s="733"/>
      <c r="HXY8" s="733"/>
      <c r="HXZ8" s="733"/>
      <c r="HYA8" s="733"/>
      <c r="HYB8" s="733"/>
      <c r="HYC8" s="733"/>
      <c r="HYD8" s="733"/>
      <c r="HYE8" s="733"/>
      <c r="HYF8" s="733"/>
      <c r="HYG8" s="733"/>
      <c r="HYH8" s="733"/>
      <c r="HYI8" s="733"/>
      <c r="HYJ8" s="733"/>
      <c r="HYK8" s="733"/>
      <c r="HYL8" s="733"/>
      <c r="HYM8" s="733"/>
      <c r="HYN8" s="733"/>
      <c r="HYO8" s="733"/>
      <c r="HYP8" s="733"/>
      <c r="HYQ8" s="733"/>
      <c r="HYR8" s="733"/>
      <c r="HYS8" s="733"/>
      <c r="HYT8" s="733"/>
      <c r="HYU8" s="733"/>
      <c r="HYV8" s="733"/>
      <c r="HYW8" s="733"/>
      <c r="HYX8" s="733"/>
      <c r="HYY8" s="733"/>
      <c r="HYZ8" s="733"/>
      <c r="HZA8" s="733"/>
      <c r="HZB8" s="733"/>
      <c r="HZC8" s="733"/>
      <c r="HZD8" s="733"/>
      <c r="HZE8" s="733"/>
      <c r="HZF8" s="733"/>
      <c r="HZG8" s="733"/>
      <c r="HZH8" s="733"/>
      <c r="HZI8" s="733"/>
      <c r="HZJ8" s="733"/>
      <c r="HZK8" s="733"/>
      <c r="HZL8" s="733"/>
      <c r="HZM8" s="733"/>
      <c r="HZN8" s="733"/>
      <c r="HZO8" s="733"/>
      <c r="HZP8" s="733"/>
      <c r="HZQ8" s="733"/>
      <c r="HZR8" s="733"/>
      <c r="HZS8" s="733"/>
      <c r="HZT8" s="733"/>
      <c r="HZU8" s="733"/>
      <c r="HZV8" s="733"/>
      <c r="HZW8" s="733"/>
      <c r="HZX8" s="733"/>
      <c r="HZY8" s="733"/>
      <c r="HZZ8" s="733"/>
      <c r="IAA8" s="733"/>
      <c r="IAB8" s="733"/>
      <c r="IAC8" s="733"/>
      <c r="IAD8" s="733"/>
      <c r="IAE8" s="733"/>
      <c r="IAF8" s="733"/>
      <c r="IAG8" s="733"/>
      <c r="IAH8" s="733"/>
      <c r="IAI8" s="733"/>
      <c r="IAJ8" s="733"/>
      <c r="IAK8" s="733"/>
      <c r="IAL8" s="733"/>
      <c r="IAM8" s="733"/>
      <c r="IAN8" s="733"/>
      <c r="IAO8" s="733"/>
      <c r="IAP8" s="733"/>
      <c r="IAQ8" s="733"/>
      <c r="IAR8" s="733"/>
      <c r="IAS8" s="733"/>
      <c r="IAT8" s="733"/>
      <c r="IAU8" s="733"/>
      <c r="IAV8" s="733"/>
      <c r="IAW8" s="733"/>
      <c r="IAX8" s="733"/>
      <c r="IAY8" s="733"/>
      <c r="IAZ8" s="733"/>
      <c r="IBA8" s="733"/>
      <c r="IBB8" s="733"/>
      <c r="IBC8" s="733"/>
      <c r="IBD8" s="733"/>
      <c r="IBE8" s="733"/>
      <c r="IBF8" s="733"/>
      <c r="IBG8" s="733"/>
      <c r="IBH8" s="733"/>
      <c r="IBI8" s="733"/>
      <c r="IBJ8" s="733"/>
      <c r="IBK8" s="733"/>
      <c r="IBL8" s="733"/>
      <c r="IBM8" s="733"/>
      <c r="IBN8" s="733"/>
      <c r="IBO8" s="733"/>
      <c r="IBP8" s="733"/>
      <c r="IBQ8" s="733"/>
      <c r="IBR8" s="733"/>
      <c r="IBS8" s="733"/>
      <c r="IBT8" s="733"/>
      <c r="IBU8" s="733"/>
      <c r="IBV8" s="733"/>
      <c r="IBW8" s="733"/>
      <c r="IBX8" s="733"/>
      <c r="IBY8" s="733"/>
      <c r="IBZ8" s="733"/>
      <c r="ICA8" s="733"/>
      <c r="ICB8" s="733"/>
      <c r="ICC8" s="733"/>
      <c r="ICD8" s="733"/>
      <c r="ICE8" s="733"/>
      <c r="ICF8" s="733"/>
      <c r="ICG8" s="733"/>
      <c r="ICH8" s="733"/>
      <c r="ICI8" s="733"/>
      <c r="ICJ8" s="733"/>
      <c r="ICK8" s="733"/>
      <c r="ICL8" s="733"/>
      <c r="ICM8" s="733"/>
      <c r="ICN8" s="733"/>
      <c r="ICO8" s="733"/>
      <c r="ICP8" s="733"/>
      <c r="ICQ8" s="733"/>
      <c r="ICR8" s="733"/>
      <c r="ICS8" s="733"/>
      <c r="ICT8" s="733"/>
      <c r="ICU8" s="733"/>
      <c r="ICV8" s="733"/>
      <c r="ICW8" s="733"/>
      <c r="ICX8" s="733"/>
      <c r="ICY8" s="733"/>
      <c r="ICZ8" s="733"/>
      <c r="IDA8" s="733"/>
      <c r="IDB8" s="733"/>
      <c r="IDC8" s="733"/>
      <c r="IDD8" s="733"/>
      <c r="IDE8" s="733"/>
      <c r="IDF8" s="733"/>
      <c r="IDG8" s="733"/>
      <c r="IDH8" s="733"/>
      <c r="IDI8" s="733"/>
      <c r="IDJ8" s="733"/>
      <c r="IDK8" s="733"/>
      <c r="IDL8" s="733"/>
      <c r="IDM8" s="733"/>
      <c r="IDN8" s="733"/>
      <c r="IDO8" s="733"/>
      <c r="IDP8" s="733"/>
      <c r="IDQ8" s="733"/>
      <c r="IDR8" s="733"/>
      <c r="IDS8" s="733"/>
      <c r="IDT8" s="733"/>
      <c r="IDU8" s="733"/>
      <c r="IDV8" s="733"/>
      <c r="IDW8" s="733"/>
      <c r="IDX8" s="733"/>
      <c r="IDY8" s="733"/>
      <c r="IDZ8" s="733"/>
      <c r="IEA8" s="733"/>
      <c r="IEB8" s="733"/>
      <c r="IEC8" s="733"/>
      <c r="IED8" s="733"/>
      <c r="IEE8" s="733"/>
      <c r="IEF8" s="733"/>
      <c r="IEG8" s="733"/>
      <c r="IEH8" s="733"/>
      <c r="IEI8" s="733"/>
      <c r="IEJ8" s="733"/>
      <c r="IEK8" s="733"/>
      <c r="IEL8" s="733"/>
      <c r="IEM8" s="733"/>
      <c r="IEN8" s="733"/>
      <c r="IEO8" s="733"/>
      <c r="IEP8" s="733"/>
      <c r="IEQ8" s="733"/>
      <c r="IER8" s="733"/>
      <c r="IES8" s="733"/>
      <c r="IET8" s="733"/>
      <c r="IEU8" s="733"/>
      <c r="IEV8" s="733"/>
      <c r="IEW8" s="733"/>
      <c r="IEX8" s="733"/>
      <c r="IEY8" s="733"/>
      <c r="IEZ8" s="733"/>
      <c r="IFA8" s="733"/>
      <c r="IFB8" s="733"/>
      <c r="IFC8" s="733"/>
      <c r="IFD8" s="733"/>
      <c r="IFE8" s="733"/>
      <c r="IFF8" s="733"/>
      <c r="IFG8" s="733"/>
      <c r="IFH8" s="733"/>
      <c r="IFI8" s="733"/>
      <c r="IFJ8" s="733"/>
      <c r="IFK8" s="733"/>
      <c r="IFL8" s="733"/>
      <c r="IFM8" s="733"/>
      <c r="IFN8" s="733"/>
      <c r="IFO8" s="733"/>
      <c r="IFP8" s="733"/>
      <c r="IFQ8" s="733"/>
      <c r="IFR8" s="733"/>
      <c r="IFS8" s="733"/>
      <c r="IFT8" s="733"/>
      <c r="IFU8" s="733"/>
      <c r="IFV8" s="733"/>
      <c r="IFW8" s="733"/>
      <c r="IFX8" s="733"/>
      <c r="IFY8" s="733"/>
      <c r="IFZ8" s="733"/>
      <c r="IGA8" s="733"/>
      <c r="IGB8" s="733"/>
      <c r="IGC8" s="733"/>
      <c r="IGD8" s="733"/>
      <c r="IGE8" s="733"/>
      <c r="IGF8" s="733"/>
      <c r="IGG8" s="733"/>
      <c r="IGH8" s="733"/>
      <c r="IGI8" s="733"/>
      <c r="IGJ8" s="733"/>
      <c r="IGK8" s="733"/>
      <c r="IGL8" s="733"/>
      <c r="IGM8" s="733"/>
      <c r="IGN8" s="733"/>
      <c r="IGO8" s="733"/>
      <c r="IGP8" s="733"/>
      <c r="IGQ8" s="733"/>
      <c r="IGR8" s="733"/>
      <c r="IGS8" s="733"/>
      <c r="IGT8" s="733"/>
      <c r="IGU8" s="733"/>
      <c r="IGV8" s="733"/>
      <c r="IGW8" s="733"/>
      <c r="IGX8" s="733"/>
      <c r="IGY8" s="733"/>
      <c r="IGZ8" s="733"/>
      <c r="IHA8" s="733"/>
      <c r="IHB8" s="733"/>
      <c r="IHC8" s="733"/>
      <c r="IHD8" s="733"/>
      <c r="IHE8" s="733"/>
      <c r="IHF8" s="733"/>
      <c r="IHG8" s="733"/>
      <c r="IHH8" s="733"/>
      <c r="IHI8" s="733"/>
      <c r="IHJ8" s="733"/>
      <c r="IHK8" s="733"/>
      <c r="IHL8" s="733"/>
      <c r="IHM8" s="733"/>
      <c r="IHN8" s="733"/>
      <c r="IHO8" s="733"/>
      <c r="IHP8" s="733"/>
      <c r="IHQ8" s="733"/>
      <c r="IHR8" s="733"/>
      <c r="IHS8" s="733"/>
      <c r="IHT8" s="733"/>
      <c r="IHU8" s="733"/>
      <c r="IHV8" s="733"/>
      <c r="IHW8" s="733"/>
      <c r="IHX8" s="733"/>
      <c r="IHY8" s="733"/>
      <c r="IHZ8" s="733"/>
      <c r="IIA8" s="733"/>
      <c r="IIB8" s="733"/>
      <c r="IIC8" s="733"/>
      <c r="IID8" s="733"/>
      <c r="IIE8" s="733"/>
      <c r="IIF8" s="733"/>
      <c r="IIG8" s="733"/>
      <c r="IIH8" s="733"/>
      <c r="III8" s="733"/>
      <c r="IIJ8" s="733"/>
      <c r="IIK8" s="733"/>
      <c r="IIL8" s="733"/>
      <c r="IIM8" s="733"/>
      <c r="IIN8" s="733"/>
      <c r="IIO8" s="733"/>
      <c r="IIP8" s="733"/>
      <c r="IIQ8" s="733"/>
      <c r="IIR8" s="733"/>
      <c r="IIS8" s="733"/>
      <c r="IIT8" s="733"/>
      <c r="IIU8" s="733"/>
      <c r="IIV8" s="733"/>
      <c r="IIW8" s="733"/>
      <c r="IIX8" s="733"/>
      <c r="IIY8" s="733"/>
      <c r="IIZ8" s="733"/>
      <c r="IJA8" s="733"/>
      <c r="IJB8" s="733"/>
      <c r="IJC8" s="733"/>
      <c r="IJD8" s="733"/>
      <c r="IJE8" s="733"/>
      <c r="IJF8" s="733"/>
      <c r="IJG8" s="733"/>
      <c r="IJH8" s="733"/>
      <c r="IJI8" s="733"/>
      <c r="IJJ8" s="733"/>
      <c r="IJK8" s="733"/>
      <c r="IJL8" s="733"/>
      <c r="IJM8" s="733"/>
      <c r="IJN8" s="733"/>
      <c r="IJO8" s="733"/>
      <c r="IJP8" s="733"/>
      <c r="IJQ8" s="733"/>
      <c r="IJR8" s="733"/>
      <c r="IJS8" s="733"/>
      <c r="IJT8" s="733"/>
      <c r="IJU8" s="733"/>
      <c r="IJV8" s="733"/>
      <c r="IJW8" s="733"/>
      <c r="IJX8" s="733"/>
      <c r="IJY8" s="733"/>
      <c r="IJZ8" s="733"/>
      <c r="IKA8" s="733"/>
      <c r="IKB8" s="733"/>
      <c r="IKC8" s="733"/>
      <c r="IKD8" s="733"/>
      <c r="IKE8" s="733"/>
      <c r="IKF8" s="733"/>
      <c r="IKG8" s="733"/>
      <c r="IKH8" s="733"/>
      <c r="IKI8" s="733"/>
      <c r="IKJ8" s="733"/>
      <c r="IKK8" s="733"/>
      <c r="IKL8" s="733"/>
      <c r="IKM8" s="733"/>
      <c r="IKN8" s="733"/>
      <c r="IKO8" s="733"/>
      <c r="IKP8" s="733"/>
      <c r="IKQ8" s="733"/>
      <c r="IKR8" s="733"/>
      <c r="IKS8" s="733"/>
      <c r="IKT8" s="733"/>
      <c r="IKU8" s="733"/>
      <c r="IKV8" s="733"/>
      <c r="IKW8" s="733"/>
      <c r="IKX8" s="733"/>
      <c r="IKY8" s="733"/>
      <c r="IKZ8" s="733"/>
      <c r="ILA8" s="733"/>
      <c r="ILB8" s="733"/>
      <c r="ILC8" s="733"/>
      <c r="ILD8" s="733"/>
      <c r="ILE8" s="733"/>
      <c r="ILF8" s="733"/>
      <c r="ILG8" s="733"/>
      <c r="ILH8" s="733"/>
      <c r="ILI8" s="733"/>
      <c r="ILJ8" s="733"/>
      <c r="ILK8" s="733"/>
      <c r="ILL8" s="733"/>
      <c r="ILM8" s="733"/>
      <c r="ILN8" s="733"/>
      <c r="ILO8" s="733"/>
      <c r="ILP8" s="733"/>
      <c r="ILQ8" s="733"/>
      <c r="ILR8" s="733"/>
      <c r="ILS8" s="733"/>
      <c r="ILT8" s="733"/>
      <c r="ILU8" s="733"/>
      <c r="ILV8" s="733"/>
      <c r="ILW8" s="733"/>
      <c r="ILX8" s="733"/>
      <c r="ILY8" s="733"/>
      <c r="ILZ8" s="733"/>
      <c r="IMA8" s="733"/>
      <c r="IMB8" s="733"/>
      <c r="IMC8" s="733"/>
      <c r="IMD8" s="733"/>
      <c r="IME8" s="733"/>
      <c r="IMF8" s="733"/>
      <c r="IMG8" s="733"/>
      <c r="IMH8" s="733"/>
      <c r="IMI8" s="733"/>
      <c r="IMJ8" s="733"/>
      <c r="IMK8" s="733"/>
      <c r="IML8" s="733"/>
      <c r="IMM8" s="733"/>
      <c r="IMN8" s="733"/>
      <c r="IMO8" s="733"/>
      <c r="IMP8" s="733"/>
      <c r="IMQ8" s="733"/>
      <c r="IMR8" s="733"/>
      <c r="IMS8" s="733"/>
      <c r="IMT8" s="733"/>
      <c r="IMU8" s="733"/>
      <c r="IMV8" s="733"/>
      <c r="IMW8" s="733"/>
      <c r="IMX8" s="733"/>
      <c r="IMY8" s="733"/>
      <c r="IMZ8" s="733"/>
      <c r="INA8" s="733"/>
      <c r="INB8" s="733"/>
      <c r="INC8" s="733"/>
      <c r="IND8" s="733"/>
      <c r="INE8" s="733"/>
      <c r="INF8" s="733"/>
      <c r="ING8" s="733"/>
      <c r="INH8" s="733"/>
      <c r="INI8" s="733"/>
      <c r="INJ8" s="733"/>
      <c r="INK8" s="733"/>
      <c r="INL8" s="733"/>
      <c r="INM8" s="733"/>
      <c r="INN8" s="733"/>
      <c r="INO8" s="733"/>
      <c r="INP8" s="733"/>
      <c r="INQ8" s="733"/>
      <c r="INR8" s="733"/>
      <c r="INS8" s="733"/>
      <c r="INT8" s="733"/>
      <c r="INU8" s="733"/>
      <c r="INV8" s="733"/>
      <c r="INW8" s="733"/>
      <c r="INX8" s="733"/>
      <c r="INY8" s="733"/>
      <c r="INZ8" s="733"/>
      <c r="IOA8" s="733"/>
      <c r="IOB8" s="733"/>
      <c r="IOC8" s="733"/>
      <c r="IOD8" s="733"/>
      <c r="IOE8" s="733"/>
      <c r="IOF8" s="733"/>
      <c r="IOG8" s="733"/>
      <c r="IOH8" s="733"/>
      <c r="IOI8" s="733"/>
      <c r="IOJ8" s="733"/>
      <c r="IOK8" s="733"/>
      <c r="IOL8" s="733"/>
      <c r="IOM8" s="733"/>
      <c r="ION8" s="733"/>
      <c r="IOO8" s="733"/>
      <c r="IOP8" s="733"/>
      <c r="IOQ8" s="733"/>
      <c r="IOR8" s="733"/>
      <c r="IOS8" s="733"/>
      <c r="IOT8" s="733"/>
      <c r="IOU8" s="733"/>
      <c r="IOV8" s="733"/>
      <c r="IOW8" s="733"/>
      <c r="IOX8" s="733"/>
      <c r="IOY8" s="733"/>
      <c r="IOZ8" s="733"/>
      <c r="IPA8" s="733"/>
      <c r="IPB8" s="733"/>
      <c r="IPC8" s="733"/>
      <c r="IPD8" s="733"/>
      <c r="IPE8" s="733"/>
      <c r="IPF8" s="733"/>
      <c r="IPG8" s="733"/>
      <c r="IPH8" s="733"/>
      <c r="IPI8" s="733"/>
      <c r="IPJ8" s="733"/>
      <c r="IPK8" s="733"/>
      <c r="IPL8" s="733"/>
      <c r="IPM8" s="733"/>
      <c r="IPN8" s="733"/>
      <c r="IPO8" s="733"/>
      <c r="IPP8" s="733"/>
      <c r="IPQ8" s="733"/>
      <c r="IPR8" s="733"/>
      <c r="IPS8" s="733"/>
      <c r="IPT8" s="733"/>
      <c r="IPU8" s="733"/>
      <c r="IPV8" s="733"/>
      <c r="IPW8" s="733"/>
      <c r="IPX8" s="733"/>
      <c r="IPY8" s="733"/>
      <c r="IPZ8" s="733"/>
      <c r="IQA8" s="733"/>
      <c r="IQB8" s="733"/>
      <c r="IQC8" s="733"/>
      <c r="IQD8" s="733"/>
      <c r="IQE8" s="733"/>
      <c r="IQF8" s="733"/>
      <c r="IQG8" s="733"/>
      <c r="IQH8" s="733"/>
      <c r="IQI8" s="733"/>
      <c r="IQJ8" s="733"/>
      <c r="IQK8" s="733"/>
      <c r="IQL8" s="733"/>
      <c r="IQM8" s="733"/>
      <c r="IQN8" s="733"/>
      <c r="IQO8" s="733"/>
      <c r="IQP8" s="733"/>
      <c r="IQQ8" s="733"/>
      <c r="IQR8" s="733"/>
      <c r="IQS8" s="733"/>
      <c r="IQT8" s="733"/>
      <c r="IQU8" s="733"/>
      <c r="IQV8" s="733"/>
      <c r="IQW8" s="733"/>
      <c r="IQX8" s="733"/>
      <c r="IQY8" s="733"/>
      <c r="IQZ8" s="733"/>
      <c r="IRA8" s="733"/>
      <c r="IRB8" s="733"/>
      <c r="IRC8" s="733"/>
      <c r="IRD8" s="733"/>
      <c r="IRE8" s="733"/>
      <c r="IRF8" s="733"/>
      <c r="IRG8" s="733"/>
      <c r="IRH8" s="733"/>
      <c r="IRI8" s="733"/>
      <c r="IRJ8" s="733"/>
      <c r="IRK8" s="733"/>
      <c r="IRL8" s="733"/>
      <c r="IRM8" s="733"/>
      <c r="IRN8" s="733"/>
      <c r="IRO8" s="733"/>
      <c r="IRP8" s="733"/>
      <c r="IRQ8" s="733"/>
      <c r="IRR8" s="733"/>
      <c r="IRS8" s="733"/>
      <c r="IRT8" s="733"/>
      <c r="IRU8" s="733"/>
      <c r="IRV8" s="733"/>
      <c r="IRW8" s="733"/>
      <c r="IRX8" s="733"/>
      <c r="IRY8" s="733"/>
      <c r="IRZ8" s="733"/>
      <c r="ISA8" s="733"/>
      <c r="ISB8" s="733"/>
      <c r="ISC8" s="733"/>
      <c r="ISD8" s="733"/>
      <c r="ISE8" s="733"/>
      <c r="ISF8" s="733"/>
      <c r="ISG8" s="733"/>
      <c r="ISH8" s="733"/>
      <c r="ISI8" s="733"/>
      <c r="ISJ8" s="733"/>
      <c r="ISK8" s="733"/>
      <c r="ISL8" s="733"/>
      <c r="ISM8" s="733"/>
      <c r="ISN8" s="733"/>
      <c r="ISO8" s="733"/>
      <c r="ISP8" s="733"/>
      <c r="ISQ8" s="733"/>
      <c r="ISR8" s="733"/>
      <c r="ISS8" s="733"/>
      <c r="IST8" s="733"/>
      <c r="ISU8" s="733"/>
      <c r="ISV8" s="733"/>
      <c r="ISW8" s="733"/>
      <c r="ISX8" s="733"/>
      <c r="ISY8" s="733"/>
      <c r="ISZ8" s="733"/>
      <c r="ITA8" s="733"/>
      <c r="ITB8" s="733"/>
      <c r="ITC8" s="733"/>
      <c r="ITD8" s="733"/>
      <c r="ITE8" s="733"/>
      <c r="ITF8" s="733"/>
      <c r="ITG8" s="733"/>
      <c r="ITH8" s="733"/>
      <c r="ITI8" s="733"/>
      <c r="ITJ8" s="733"/>
      <c r="ITK8" s="733"/>
      <c r="ITL8" s="733"/>
      <c r="ITM8" s="733"/>
      <c r="ITN8" s="733"/>
      <c r="ITO8" s="733"/>
      <c r="ITP8" s="733"/>
      <c r="ITQ8" s="733"/>
      <c r="ITR8" s="733"/>
      <c r="ITS8" s="733"/>
      <c r="ITT8" s="733"/>
      <c r="ITU8" s="733"/>
      <c r="ITV8" s="733"/>
      <c r="ITW8" s="733"/>
      <c r="ITX8" s="733"/>
      <c r="ITY8" s="733"/>
      <c r="ITZ8" s="733"/>
      <c r="IUA8" s="733"/>
      <c r="IUB8" s="733"/>
      <c r="IUC8" s="733"/>
      <c r="IUD8" s="733"/>
      <c r="IUE8" s="733"/>
      <c r="IUF8" s="733"/>
      <c r="IUG8" s="733"/>
      <c r="IUH8" s="733"/>
      <c r="IUI8" s="733"/>
      <c r="IUJ8" s="733"/>
      <c r="IUK8" s="733"/>
      <c r="IUL8" s="733"/>
      <c r="IUM8" s="733"/>
      <c r="IUN8" s="733"/>
      <c r="IUO8" s="733"/>
      <c r="IUP8" s="733"/>
      <c r="IUQ8" s="733"/>
      <c r="IUR8" s="733"/>
      <c r="IUS8" s="733"/>
      <c r="IUT8" s="733"/>
      <c r="IUU8" s="733"/>
      <c r="IUV8" s="733"/>
      <c r="IUW8" s="733"/>
      <c r="IUX8" s="733"/>
      <c r="IUY8" s="733"/>
      <c r="IUZ8" s="733"/>
      <c r="IVA8" s="733"/>
      <c r="IVB8" s="733"/>
      <c r="IVC8" s="733"/>
      <c r="IVD8" s="733"/>
      <c r="IVE8" s="733"/>
      <c r="IVF8" s="733"/>
      <c r="IVG8" s="733"/>
      <c r="IVH8" s="733"/>
      <c r="IVI8" s="733"/>
      <c r="IVJ8" s="733"/>
      <c r="IVK8" s="733"/>
      <c r="IVL8" s="733"/>
      <c r="IVM8" s="733"/>
      <c r="IVN8" s="733"/>
      <c r="IVO8" s="733"/>
      <c r="IVP8" s="733"/>
      <c r="IVQ8" s="733"/>
      <c r="IVR8" s="733"/>
      <c r="IVS8" s="733"/>
      <c r="IVT8" s="733"/>
      <c r="IVU8" s="733"/>
      <c r="IVV8" s="733"/>
      <c r="IVW8" s="733"/>
      <c r="IVX8" s="733"/>
      <c r="IVY8" s="733"/>
      <c r="IVZ8" s="733"/>
      <c r="IWA8" s="733"/>
      <c r="IWB8" s="733"/>
      <c r="IWC8" s="733"/>
      <c r="IWD8" s="733"/>
      <c r="IWE8" s="733"/>
      <c r="IWF8" s="733"/>
      <c r="IWG8" s="733"/>
      <c r="IWH8" s="733"/>
      <c r="IWI8" s="733"/>
      <c r="IWJ8" s="733"/>
      <c r="IWK8" s="733"/>
      <c r="IWL8" s="733"/>
      <c r="IWM8" s="733"/>
      <c r="IWN8" s="733"/>
      <c r="IWO8" s="733"/>
      <c r="IWP8" s="733"/>
      <c r="IWQ8" s="733"/>
      <c r="IWR8" s="733"/>
      <c r="IWS8" s="733"/>
      <c r="IWT8" s="733"/>
      <c r="IWU8" s="733"/>
      <c r="IWV8" s="733"/>
      <c r="IWW8" s="733"/>
      <c r="IWX8" s="733"/>
      <c r="IWY8" s="733"/>
      <c r="IWZ8" s="733"/>
      <c r="IXA8" s="733"/>
      <c r="IXB8" s="733"/>
      <c r="IXC8" s="733"/>
      <c r="IXD8" s="733"/>
      <c r="IXE8" s="733"/>
      <c r="IXF8" s="733"/>
      <c r="IXG8" s="733"/>
      <c r="IXH8" s="733"/>
      <c r="IXI8" s="733"/>
      <c r="IXJ8" s="733"/>
      <c r="IXK8" s="733"/>
      <c r="IXL8" s="733"/>
      <c r="IXM8" s="733"/>
      <c r="IXN8" s="733"/>
      <c r="IXO8" s="733"/>
      <c r="IXP8" s="733"/>
      <c r="IXQ8" s="733"/>
      <c r="IXR8" s="733"/>
      <c r="IXS8" s="733"/>
      <c r="IXT8" s="733"/>
      <c r="IXU8" s="733"/>
      <c r="IXV8" s="733"/>
      <c r="IXW8" s="733"/>
      <c r="IXX8" s="733"/>
      <c r="IXY8" s="733"/>
      <c r="IXZ8" s="733"/>
      <c r="IYA8" s="733"/>
      <c r="IYB8" s="733"/>
      <c r="IYC8" s="733"/>
      <c r="IYD8" s="733"/>
      <c r="IYE8" s="733"/>
      <c r="IYF8" s="733"/>
      <c r="IYG8" s="733"/>
      <c r="IYH8" s="733"/>
      <c r="IYI8" s="733"/>
      <c r="IYJ8" s="733"/>
      <c r="IYK8" s="733"/>
      <c r="IYL8" s="733"/>
      <c r="IYM8" s="733"/>
      <c r="IYN8" s="733"/>
      <c r="IYO8" s="733"/>
      <c r="IYP8" s="733"/>
      <c r="IYQ8" s="733"/>
      <c r="IYR8" s="733"/>
      <c r="IYS8" s="733"/>
      <c r="IYT8" s="733"/>
      <c r="IYU8" s="733"/>
      <c r="IYV8" s="733"/>
      <c r="IYW8" s="733"/>
      <c r="IYX8" s="733"/>
      <c r="IYY8" s="733"/>
      <c r="IYZ8" s="733"/>
      <c r="IZA8" s="733"/>
      <c r="IZB8" s="733"/>
      <c r="IZC8" s="733"/>
      <c r="IZD8" s="733"/>
      <c r="IZE8" s="733"/>
      <c r="IZF8" s="733"/>
      <c r="IZG8" s="733"/>
      <c r="IZH8" s="733"/>
      <c r="IZI8" s="733"/>
      <c r="IZJ8" s="733"/>
      <c r="IZK8" s="733"/>
      <c r="IZL8" s="733"/>
      <c r="IZM8" s="733"/>
      <c r="IZN8" s="733"/>
      <c r="IZO8" s="733"/>
      <c r="IZP8" s="733"/>
      <c r="IZQ8" s="733"/>
      <c r="IZR8" s="733"/>
      <c r="IZS8" s="733"/>
      <c r="IZT8" s="733"/>
      <c r="IZU8" s="733"/>
      <c r="IZV8" s="733"/>
      <c r="IZW8" s="733"/>
      <c r="IZX8" s="733"/>
      <c r="IZY8" s="733"/>
      <c r="IZZ8" s="733"/>
      <c r="JAA8" s="733"/>
      <c r="JAB8" s="733"/>
      <c r="JAC8" s="733"/>
      <c r="JAD8" s="733"/>
      <c r="JAE8" s="733"/>
      <c r="JAF8" s="733"/>
      <c r="JAG8" s="733"/>
      <c r="JAH8" s="733"/>
      <c r="JAI8" s="733"/>
      <c r="JAJ8" s="733"/>
      <c r="JAK8" s="733"/>
      <c r="JAL8" s="733"/>
      <c r="JAM8" s="733"/>
      <c r="JAN8" s="733"/>
      <c r="JAO8" s="733"/>
      <c r="JAP8" s="733"/>
      <c r="JAQ8" s="733"/>
      <c r="JAR8" s="733"/>
      <c r="JAS8" s="733"/>
      <c r="JAT8" s="733"/>
      <c r="JAU8" s="733"/>
      <c r="JAV8" s="733"/>
      <c r="JAW8" s="733"/>
      <c r="JAX8" s="733"/>
      <c r="JAY8" s="733"/>
      <c r="JAZ8" s="733"/>
      <c r="JBA8" s="733"/>
      <c r="JBB8" s="733"/>
      <c r="JBC8" s="733"/>
      <c r="JBD8" s="733"/>
      <c r="JBE8" s="733"/>
      <c r="JBF8" s="733"/>
      <c r="JBG8" s="733"/>
      <c r="JBH8" s="733"/>
      <c r="JBI8" s="733"/>
      <c r="JBJ8" s="733"/>
      <c r="JBK8" s="733"/>
      <c r="JBL8" s="733"/>
      <c r="JBM8" s="733"/>
      <c r="JBN8" s="733"/>
      <c r="JBO8" s="733"/>
      <c r="JBP8" s="733"/>
      <c r="JBQ8" s="733"/>
      <c r="JBR8" s="733"/>
      <c r="JBS8" s="733"/>
      <c r="JBT8" s="733"/>
      <c r="JBU8" s="733"/>
      <c r="JBV8" s="733"/>
      <c r="JBW8" s="733"/>
      <c r="JBX8" s="733"/>
      <c r="JBY8" s="733"/>
      <c r="JBZ8" s="733"/>
      <c r="JCA8" s="733"/>
      <c r="JCB8" s="733"/>
      <c r="JCC8" s="733"/>
      <c r="JCD8" s="733"/>
      <c r="JCE8" s="733"/>
      <c r="JCF8" s="733"/>
      <c r="JCG8" s="733"/>
      <c r="JCH8" s="733"/>
      <c r="JCI8" s="733"/>
      <c r="JCJ8" s="733"/>
      <c r="JCK8" s="733"/>
      <c r="JCL8" s="733"/>
      <c r="JCM8" s="733"/>
      <c r="JCN8" s="733"/>
      <c r="JCO8" s="733"/>
      <c r="JCP8" s="733"/>
      <c r="JCQ8" s="733"/>
      <c r="JCR8" s="733"/>
      <c r="JCS8" s="733"/>
      <c r="JCT8" s="733"/>
      <c r="JCU8" s="733"/>
      <c r="JCV8" s="733"/>
      <c r="JCW8" s="733"/>
      <c r="JCX8" s="733"/>
      <c r="JCY8" s="733"/>
      <c r="JCZ8" s="733"/>
      <c r="JDA8" s="733"/>
      <c r="JDB8" s="733"/>
      <c r="JDC8" s="733"/>
      <c r="JDD8" s="733"/>
      <c r="JDE8" s="733"/>
      <c r="JDF8" s="733"/>
      <c r="JDG8" s="733"/>
      <c r="JDH8" s="733"/>
      <c r="JDI8" s="733"/>
      <c r="JDJ8" s="733"/>
      <c r="JDK8" s="733"/>
      <c r="JDL8" s="733"/>
      <c r="JDM8" s="733"/>
      <c r="JDN8" s="733"/>
      <c r="JDO8" s="733"/>
      <c r="JDP8" s="733"/>
      <c r="JDQ8" s="733"/>
      <c r="JDR8" s="733"/>
      <c r="JDS8" s="733"/>
      <c r="JDT8" s="733"/>
      <c r="JDU8" s="733"/>
      <c r="JDV8" s="733"/>
      <c r="JDW8" s="733"/>
      <c r="JDX8" s="733"/>
      <c r="JDY8" s="733"/>
      <c r="JDZ8" s="733"/>
      <c r="JEA8" s="733"/>
      <c r="JEB8" s="733"/>
      <c r="JEC8" s="733"/>
      <c r="JED8" s="733"/>
      <c r="JEE8" s="733"/>
      <c r="JEF8" s="733"/>
      <c r="JEG8" s="733"/>
      <c r="JEH8" s="733"/>
      <c r="JEI8" s="733"/>
      <c r="JEJ8" s="733"/>
      <c r="JEK8" s="733"/>
      <c r="JEL8" s="733"/>
      <c r="JEM8" s="733"/>
      <c r="JEN8" s="733"/>
      <c r="JEO8" s="733"/>
      <c r="JEP8" s="733"/>
      <c r="JEQ8" s="733"/>
      <c r="JER8" s="733"/>
      <c r="JES8" s="733"/>
      <c r="JET8" s="733"/>
      <c r="JEU8" s="733"/>
      <c r="JEV8" s="733"/>
      <c r="JEW8" s="733"/>
      <c r="JEX8" s="733"/>
      <c r="JEY8" s="733"/>
      <c r="JEZ8" s="733"/>
      <c r="JFA8" s="733"/>
      <c r="JFB8" s="733"/>
      <c r="JFC8" s="733"/>
      <c r="JFD8" s="733"/>
      <c r="JFE8" s="733"/>
      <c r="JFF8" s="733"/>
      <c r="JFG8" s="733"/>
      <c r="JFH8" s="733"/>
      <c r="JFI8" s="733"/>
      <c r="JFJ8" s="733"/>
      <c r="JFK8" s="733"/>
      <c r="JFL8" s="733"/>
      <c r="JFM8" s="733"/>
      <c r="JFN8" s="733"/>
      <c r="JFO8" s="733"/>
      <c r="JFP8" s="733"/>
      <c r="JFQ8" s="733"/>
      <c r="JFR8" s="733"/>
      <c r="JFS8" s="733"/>
      <c r="JFT8" s="733"/>
      <c r="JFU8" s="733"/>
      <c r="JFV8" s="733"/>
      <c r="JFW8" s="733"/>
      <c r="JFX8" s="733"/>
      <c r="JFY8" s="733"/>
      <c r="JFZ8" s="733"/>
      <c r="JGA8" s="733"/>
      <c r="JGB8" s="733"/>
      <c r="JGC8" s="733"/>
      <c r="JGD8" s="733"/>
      <c r="JGE8" s="733"/>
      <c r="JGF8" s="733"/>
      <c r="JGG8" s="733"/>
      <c r="JGH8" s="733"/>
      <c r="JGI8" s="733"/>
      <c r="JGJ8" s="733"/>
      <c r="JGK8" s="733"/>
      <c r="JGL8" s="733"/>
      <c r="JGM8" s="733"/>
      <c r="JGN8" s="733"/>
      <c r="JGO8" s="733"/>
      <c r="JGP8" s="733"/>
      <c r="JGQ8" s="733"/>
      <c r="JGR8" s="733"/>
      <c r="JGS8" s="733"/>
      <c r="JGT8" s="733"/>
      <c r="JGU8" s="733"/>
      <c r="JGV8" s="733"/>
      <c r="JGW8" s="733"/>
      <c r="JGX8" s="733"/>
      <c r="JGY8" s="733"/>
      <c r="JGZ8" s="733"/>
      <c r="JHA8" s="733"/>
      <c r="JHB8" s="733"/>
      <c r="JHC8" s="733"/>
      <c r="JHD8" s="733"/>
      <c r="JHE8" s="733"/>
      <c r="JHF8" s="733"/>
      <c r="JHG8" s="733"/>
      <c r="JHH8" s="733"/>
      <c r="JHI8" s="733"/>
      <c r="JHJ8" s="733"/>
      <c r="JHK8" s="733"/>
      <c r="JHL8" s="733"/>
      <c r="JHM8" s="733"/>
      <c r="JHN8" s="733"/>
      <c r="JHO8" s="733"/>
      <c r="JHP8" s="733"/>
      <c r="JHQ8" s="733"/>
      <c r="JHR8" s="733"/>
      <c r="JHS8" s="733"/>
      <c r="JHT8" s="733"/>
      <c r="JHU8" s="733"/>
      <c r="JHV8" s="733"/>
      <c r="JHW8" s="733"/>
      <c r="JHX8" s="733"/>
      <c r="JHY8" s="733"/>
      <c r="JHZ8" s="733"/>
      <c r="JIA8" s="733"/>
      <c r="JIB8" s="733"/>
      <c r="JIC8" s="733"/>
      <c r="JID8" s="733"/>
      <c r="JIE8" s="733"/>
      <c r="JIF8" s="733"/>
      <c r="JIG8" s="733"/>
      <c r="JIH8" s="733"/>
      <c r="JII8" s="733"/>
      <c r="JIJ8" s="733"/>
      <c r="JIK8" s="733"/>
      <c r="JIL8" s="733"/>
      <c r="JIM8" s="733"/>
      <c r="JIN8" s="733"/>
      <c r="JIO8" s="733"/>
      <c r="JIP8" s="733"/>
      <c r="JIQ8" s="733"/>
      <c r="JIR8" s="733"/>
      <c r="JIS8" s="733"/>
      <c r="JIT8" s="733"/>
      <c r="JIU8" s="733"/>
      <c r="JIV8" s="733"/>
      <c r="JIW8" s="733"/>
      <c r="JIX8" s="733"/>
      <c r="JIY8" s="733"/>
      <c r="JIZ8" s="733"/>
      <c r="JJA8" s="733"/>
      <c r="JJB8" s="733"/>
      <c r="JJC8" s="733"/>
      <c r="JJD8" s="733"/>
      <c r="JJE8" s="733"/>
      <c r="JJF8" s="733"/>
      <c r="JJG8" s="733"/>
      <c r="JJH8" s="733"/>
      <c r="JJI8" s="733"/>
      <c r="JJJ8" s="733"/>
      <c r="JJK8" s="733"/>
      <c r="JJL8" s="733"/>
      <c r="JJM8" s="733"/>
      <c r="JJN8" s="733"/>
      <c r="JJO8" s="733"/>
      <c r="JJP8" s="733"/>
      <c r="JJQ8" s="733"/>
      <c r="JJR8" s="733"/>
      <c r="JJS8" s="733"/>
      <c r="JJT8" s="733"/>
      <c r="JJU8" s="733"/>
      <c r="JJV8" s="733"/>
      <c r="JJW8" s="733"/>
      <c r="JJX8" s="733"/>
      <c r="JJY8" s="733"/>
      <c r="JJZ8" s="733"/>
      <c r="JKA8" s="733"/>
      <c r="JKB8" s="733"/>
      <c r="JKC8" s="733"/>
      <c r="JKD8" s="733"/>
      <c r="JKE8" s="733"/>
      <c r="JKF8" s="733"/>
      <c r="JKG8" s="733"/>
      <c r="JKH8" s="733"/>
      <c r="JKI8" s="733"/>
      <c r="JKJ8" s="733"/>
      <c r="JKK8" s="733"/>
      <c r="JKL8" s="733"/>
      <c r="JKM8" s="733"/>
      <c r="JKN8" s="733"/>
      <c r="JKO8" s="733"/>
      <c r="JKP8" s="733"/>
      <c r="JKQ8" s="733"/>
      <c r="JKR8" s="733"/>
      <c r="JKS8" s="733"/>
      <c r="JKT8" s="733"/>
      <c r="JKU8" s="733"/>
      <c r="JKV8" s="733"/>
      <c r="JKW8" s="733"/>
      <c r="JKX8" s="733"/>
      <c r="JKY8" s="733"/>
      <c r="JKZ8" s="733"/>
      <c r="JLA8" s="733"/>
      <c r="JLB8" s="733"/>
      <c r="JLC8" s="733"/>
      <c r="JLD8" s="733"/>
      <c r="JLE8" s="733"/>
      <c r="JLF8" s="733"/>
      <c r="JLG8" s="733"/>
      <c r="JLH8" s="733"/>
      <c r="JLI8" s="733"/>
      <c r="JLJ8" s="733"/>
      <c r="JLK8" s="733"/>
      <c r="JLL8" s="733"/>
      <c r="JLM8" s="733"/>
      <c r="JLN8" s="733"/>
      <c r="JLO8" s="733"/>
      <c r="JLP8" s="733"/>
      <c r="JLQ8" s="733"/>
      <c r="JLR8" s="733"/>
      <c r="JLS8" s="733"/>
      <c r="JLT8" s="733"/>
      <c r="JLU8" s="733"/>
      <c r="JLV8" s="733"/>
      <c r="JLW8" s="733"/>
      <c r="JLX8" s="733"/>
      <c r="JLY8" s="733"/>
      <c r="JLZ8" s="733"/>
      <c r="JMA8" s="733"/>
      <c r="JMB8" s="733"/>
      <c r="JMC8" s="733"/>
      <c r="JMD8" s="733"/>
      <c r="JME8" s="733"/>
      <c r="JMF8" s="733"/>
      <c r="JMG8" s="733"/>
      <c r="JMH8" s="733"/>
      <c r="JMI8" s="733"/>
      <c r="JMJ8" s="733"/>
      <c r="JMK8" s="733"/>
      <c r="JML8" s="733"/>
      <c r="JMM8" s="733"/>
      <c r="JMN8" s="733"/>
      <c r="JMO8" s="733"/>
      <c r="JMP8" s="733"/>
      <c r="JMQ8" s="733"/>
      <c r="JMR8" s="733"/>
      <c r="JMS8" s="733"/>
      <c r="JMT8" s="733"/>
      <c r="JMU8" s="733"/>
      <c r="JMV8" s="733"/>
      <c r="JMW8" s="733"/>
      <c r="JMX8" s="733"/>
      <c r="JMY8" s="733"/>
      <c r="JMZ8" s="733"/>
      <c r="JNA8" s="733"/>
      <c r="JNB8" s="733"/>
      <c r="JNC8" s="733"/>
      <c r="JND8" s="733"/>
      <c r="JNE8" s="733"/>
      <c r="JNF8" s="733"/>
      <c r="JNG8" s="733"/>
      <c r="JNH8" s="733"/>
      <c r="JNI8" s="733"/>
      <c r="JNJ8" s="733"/>
      <c r="JNK8" s="733"/>
      <c r="JNL8" s="733"/>
      <c r="JNM8" s="733"/>
      <c r="JNN8" s="733"/>
      <c r="JNO8" s="733"/>
      <c r="JNP8" s="733"/>
      <c r="JNQ8" s="733"/>
      <c r="JNR8" s="733"/>
      <c r="JNS8" s="733"/>
      <c r="JNT8" s="733"/>
      <c r="JNU8" s="733"/>
      <c r="JNV8" s="733"/>
      <c r="JNW8" s="733"/>
      <c r="JNX8" s="733"/>
      <c r="JNY8" s="733"/>
      <c r="JNZ8" s="733"/>
      <c r="JOA8" s="733"/>
      <c r="JOB8" s="733"/>
      <c r="JOC8" s="733"/>
      <c r="JOD8" s="733"/>
      <c r="JOE8" s="733"/>
      <c r="JOF8" s="733"/>
      <c r="JOG8" s="733"/>
      <c r="JOH8" s="733"/>
      <c r="JOI8" s="733"/>
      <c r="JOJ8" s="733"/>
      <c r="JOK8" s="733"/>
      <c r="JOL8" s="733"/>
      <c r="JOM8" s="733"/>
      <c r="JON8" s="733"/>
      <c r="JOO8" s="733"/>
      <c r="JOP8" s="733"/>
      <c r="JOQ8" s="733"/>
      <c r="JOR8" s="733"/>
      <c r="JOS8" s="733"/>
      <c r="JOT8" s="733"/>
      <c r="JOU8" s="733"/>
      <c r="JOV8" s="733"/>
      <c r="JOW8" s="733"/>
      <c r="JOX8" s="733"/>
      <c r="JOY8" s="733"/>
      <c r="JOZ8" s="733"/>
      <c r="JPA8" s="733"/>
      <c r="JPB8" s="733"/>
      <c r="JPC8" s="733"/>
      <c r="JPD8" s="733"/>
      <c r="JPE8" s="733"/>
      <c r="JPF8" s="733"/>
      <c r="JPG8" s="733"/>
      <c r="JPH8" s="733"/>
      <c r="JPI8" s="733"/>
      <c r="JPJ8" s="733"/>
      <c r="JPK8" s="733"/>
      <c r="JPL8" s="733"/>
      <c r="JPM8" s="733"/>
      <c r="JPN8" s="733"/>
      <c r="JPO8" s="733"/>
      <c r="JPP8" s="733"/>
      <c r="JPQ8" s="733"/>
      <c r="JPR8" s="733"/>
      <c r="JPS8" s="733"/>
      <c r="JPT8" s="733"/>
      <c r="JPU8" s="733"/>
      <c r="JPV8" s="733"/>
      <c r="JPW8" s="733"/>
      <c r="JPX8" s="733"/>
      <c r="JPY8" s="733"/>
      <c r="JPZ8" s="733"/>
      <c r="JQA8" s="733"/>
      <c r="JQB8" s="733"/>
      <c r="JQC8" s="733"/>
      <c r="JQD8" s="733"/>
      <c r="JQE8" s="733"/>
      <c r="JQF8" s="733"/>
      <c r="JQG8" s="733"/>
      <c r="JQH8" s="733"/>
      <c r="JQI8" s="733"/>
      <c r="JQJ8" s="733"/>
      <c r="JQK8" s="733"/>
      <c r="JQL8" s="733"/>
      <c r="JQM8" s="733"/>
      <c r="JQN8" s="733"/>
      <c r="JQO8" s="733"/>
      <c r="JQP8" s="733"/>
      <c r="JQQ8" s="733"/>
      <c r="JQR8" s="733"/>
      <c r="JQS8" s="733"/>
      <c r="JQT8" s="733"/>
      <c r="JQU8" s="733"/>
      <c r="JQV8" s="733"/>
      <c r="JQW8" s="733"/>
      <c r="JQX8" s="733"/>
      <c r="JQY8" s="733"/>
      <c r="JQZ8" s="733"/>
      <c r="JRA8" s="733"/>
      <c r="JRB8" s="733"/>
      <c r="JRC8" s="733"/>
      <c r="JRD8" s="733"/>
      <c r="JRE8" s="733"/>
      <c r="JRF8" s="733"/>
      <c r="JRG8" s="733"/>
      <c r="JRH8" s="733"/>
      <c r="JRI8" s="733"/>
      <c r="JRJ8" s="733"/>
      <c r="JRK8" s="733"/>
      <c r="JRL8" s="733"/>
      <c r="JRM8" s="733"/>
      <c r="JRN8" s="733"/>
      <c r="JRO8" s="733"/>
      <c r="JRP8" s="733"/>
      <c r="JRQ8" s="733"/>
      <c r="JRR8" s="733"/>
      <c r="JRS8" s="733"/>
      <c r="JRT8" s="733"/>
      <c r="JRU8" s="733"/>
      <c r="JRV8" s="733"/>
      <c r="JRW8" s="733"/>
      <c r="JRX8" s="733"/>
      <c r="JRY8" s="733"/>
      <c r="JRZ8" s="733"/>
      <c r="JSA8" s="733"/>
      <c r="JSB8" s="733"/>
      <c r="JSC8" s="733"/>
      <c r="JSD8" s="733"/>
      <c r="JSE8" s="733"/>
      <c r="JSF8" s="733"/>
      <c r="JSG8" s="733"/>
      <c r="JSH8" s="733"/>
      <c r="JSI8" s="733"/>
      <c r="JSJ8" s="733"/>
      <c r="JSK8" s="733"/>
      <c r="JSL8" s="733"/>
      <c r="JSM8" s="733"/>
      <c r="JSN8" s="733"/>
      <c r="JSO8" s="733"/>
      <c r="JSP8" s="733"/>
      <c r="JSQ8" s="733"/>
      <c r="JSR8" s="733"/>
      <c r="JSS8" s="733"/>
      <c r="JST8" s="733"/>
      <c r="JSU8" s="733"/>
      <c r="JSV8" s="733"/>
      <c r="JSW8" s="733"/>
      <c r="JSX8" s="733"/>
      <c r="JSY8" s="733"/>
      <c r="JSZ8" s="733"/>
      <c r="JTA8" s="733"/>
      <c r="JTB8" s="733"/>
      <c r="JTC8" s="733"/>
      <c r="JTD8" s="733"/>
      <c r="JTE8" s="733"/>
      <c r="JTF8" s="733"/>
      <c r="JTG8" s="733"/>
      <c r="JTH8" s="733"/>
      <c r="JTI8" s="733"/>
      <c r="JTJ8" s="733"/>
      <c r="JTK8" s="733"/>
      <c r="JTL8" s="733"/>
      <c r="JTM8" s="733"/>
      <c r="JTN8" s="733"/>
      <c r="JTO8" s="733"/>
      <c r="JTP8" s="733"/>
      <c r="JTQ8" s="733"/>
      <c r="JTR8" s="733"/>
      <c r="JTS8" s="733"/>
      <c r="JTT8" s="733"/>
      <c r="JTU8" s="733"/>
      <c r="JTV8" s="733"/>
      <c r="JTW8" s="733"/>
      <c r="JTX8" s="733"/>
      <c r="JTY8" s="733"/>
      <c r="JTZ8" s="733"/>
      <c r="JUA8" s="733"/>
      <c r="JUB8" s="733"/>
      <c r="JUC8" s="733"/>
      <c r="JUD8" s="733"/>
      <c r="JUE8" s="733"/>
      <c r="JUF8" s="733"/>
      <c r="JUG8" s="733"/>
      <c r="JUH8" s="733"/>
      <c r="JUI8" s="733"/>
      <c r="JUJ8" s="733"/>
      <c r="JUK8" s="733"/>
      <c r="JUL8" s="733"/>
      <c r="JUM8" s="733"/>
      <c r="JUN8" s="733"/>
      <c r="JUO8" s="733"/>
      <c r="JUP8" s="733"/>
      <c r="JUQ8" s="733"/>
      <c r="JUR8" s="733"/>
      <c r="JUS8" s="733"/>
      <c r="JUT8" s="733"/>
      <c r="JUU8" s="733"/>
      <c r="JUV8" s="733"/>
      <c r="JUW8" s="733"/>
      <c r="JUX8" s="733"/>
      <c r="JUY8" s="733"/>
      <c r="JUZ8" s="733"/>
      <c r="JVA8" s="733"/>
      <c r="JVB8" s="733"/>
      <c r="JVC8" s="733"/>
      <c r="JVD8" s="733"/>
      <c r="JVE8" s="733"/>
      <c r="JVF8" s="733"/>
      <c r="JVG8" s="733"/>
      <c r="JVH8" s="733"/>
      <c r="JVI8" s="733"/>
      <c r="JVJ8" s="733"/>
      <c r="JVK8" s="733"/>
      <c r="JVL8" s="733"/>
      <c r="JVM8" s="733"/>
      <c r="JVN8" s="733"/>
      <c r="JVO8" s="733"/>
      <c r="JVP8" s="733"/>
      <c r="JVQ8" s="733"/>
      <c r="JVR8" s="733"/>
      <c r="JVS8" s="733"/>
      <c r="JVT8" s="733"/>
      <c r="JVU8" s="733"/>
      <c r="JVV8" s="733"/>
      <c r="JVW8" s="733"/>
      <c r="JVX8" s="733"/>
      <c r="JVY8" s="733"/>
      <c r="JVZ8" s="733"/>
      <c r="JWA8" s="733"/>
      <c r="JWB8" s="733"/>
      <c r="JWC8" s="733"/>
      <c r="JWD8" s="733"/>
      <c r="JWE8" s="733"/>
      <c r="JWF8" s="733"/>
      <c r="JWG8" s="733"/>
      <c r="JWH8" s="733"/>
      <c r="JWI8" s="733"/>
      <c r="JWJ8" s="733"/>
      <c r="JWK8" s="733"/>
      <c r="JWL8" s="733"/>
      <c r="JWM8" s="733"/>
      <c r="JWN8" s="733"/>
      <c r="JWO8" s="733"/>
      <c r="JWP8" s="733"/>
      <c r="JWQ8" s="733"/>
      <c r="JWR8" s="733"/>
      <c r="JWS8" s="733"/>
      <c r="JWT8" s="733"/>
      <c r="JWU8" s="733"/>
      <c r="JWV8" s="733"/>
      <c r="JWW8" s="733"/>
      <c r="JWX8" s="733"/>
      <c r="JWY8" s="733"/>
      <c r="JWZ8" s="733"/>
      <c r="JXA8" s="733"/>
      <c r="JXB8" s="733"/>
      <c r="JXC8" s="733"/>
      <c r="JXD8" s="733"/>
      <c r="JXE8" s="733"/>
      <c r="JXF8" s="733"/>
      <c r="JXG8" s="733"/>
      <c r="JXH8" s="733"/>
      <c r="JXI8" s="733"/>
      <c r="JXJ8" s="733"/>
      <c r="JXK8" s="733"/>
      <c r="JXL8" s="733"/>
      <c r="JXM8" s="733"/>
      <c r="JXN8" s="733"/>
      <c r="JXO8" s="733"/>
      <c r="JXP8" s="733"/>
      <c r="JXQ8" s="733"/>
      <c r="JXR8" s="733"/>
      <c r="JXS8" s="733"/>
      <c r="JXT8" s="733"/>
      <c r="JXU8" s="733"/>
      <c r="JXV8" s="733"/>
      <c r="JXW8" s="733"/>
      <c r="JXX8" s="733"/>
      <c r="JXY8" s="733"/>
      <c r="JXZ8" s="733"/>
      <c r="JYA8" s="733"/>
      <c r="JYB8" s="733"/>
      <c r="JYC8" s="733"/>
      <c r="JYD8" s="733"/>
      <c r="JYE8" s="733"/>
      <c r="JYF8" s="733"/>
      <c r="JYG8" s="733"/>
      <c r="JYH8" s="733"/>
      <c r="JYI8" s="733"/>
      <c r="JYJ8" s="733"/>
      <c r="JYK8" s="733"/>
      <c r="JYL8" s="733"/>
      <c r="JYM8" s="733"/>
      <c r="JYN8" s="733"/>
      <c r="JYO8" s="733"/>
      <c r="JYP8" s="733"/>
      <c r="JYQ8" s="733"/>
      <c r="JYR8" s="733"/>
      <c r="JYS8" s="733"/>
      <c r="JYT8" s="733"/>
      <c r="JYU8" s="733"/>
      <c r="JYV8" s="733"/>
      <c r="JYW8" s="733"/>
      <c r="JYX8" s="733"/>
      <c r="JYY8" s="733"/>
      <c r="JYZ8" s="733"/>
      <c r="JZA8" s="733"/>
      <c r="JZB8" s="733"/>
      <c r="JZC8" s="733"/>
      <c r="JZD8" s="733"/>
      <c r="JZE8" s="733"/>
      <c r="JZF8" s="733"/>
      <c r="JZG8" s="733"/>
      <c r="JZH8" s="733"/>
      <c r="JZI8" s="733"/>
      <c r="JZJ8" s="733"/>
      <c r="JZK8" s="733"/>
      <c r="JZL8" s="733"/>
      <c r="JZM8" s="733"/>
      <c r="JZN8" s="733"/>
      <c r="JZO8" s="733"/>
      <c r="JZP8" s="733"/>
      <c r="JZQ8" s="733"/>
      <c r="JZR8" s="733"/>
      <c r="JZS8" s="733"/>
      <c r="JZT8" s="733"/>
      <c r="JZU8" s="733"/>
      <c r="JZV8" s="733"/>
      <c r="JZW8" s="733"/>
      <c r="JZX8" s="733"/>
      <c r="JZY8" s="733"/>
      <c r="JZZ8" s="733"/>
      <c r="KAA8" s="733"/>
      <c r="KAB8" s="733"/>
      <c r="KAC8" s="733"/>
      <c r="KAD8" s="733"/>
      <c r="KAE8" s="733"/>
      <c r="KAF8" s="733"/>
      <c r="KAG8" s="733"/>
      <c r="KAH8" s="733"/>
      <c r="KAI8" s="733"/>
      <c r="KAJ8" s="733"/>
      <c r="KAK8" s="733"/>
      <c r="KAL8" s="733"/>
      <c r="KAM8" s="733"/>
      <c r="KAN8" s="733"/>
      <c r="KAO8" s="733"/>
      <c r="KAP8" s="733"/>
      <c r="KAQ8" s="733"/>
      <c r="KAR8" s="733"/>
      <c r="KAS8" s="733"/>
      <c r="KAT8" s="733"/>
      <c r="KAU8" s="733"/>
      <c r="KAV8" s="733"/>
      <c r="KAW8" s="733"/>
      <c r="KAX8" s="733"/>
      <c r="KAY8" s="733"/>
      <c r="KAZ8" s="733"/>
      <c r="KBA8" s="733"/>
      <c r="KBB8" s="733"/>
      <c r="KBC8" s="733"/>
      <c r="KBD8" s="733"/>
      <c r="KBE8" s="733"/>
      <c r="KBF8" s="733"/>
      <c r="KBG8" s="733"/>
      <c r="KBH8" s="733"/>
      <c r="KBI8" s="733"/>
      <c r="KBJ8" s="733"/>
      <c r="KBK8" s="733"/>
      <c r="KBL8" s="733"/>
      <c r="KBM8" s="733"/>
      <c r="KBN8" s="733"/>
      <c r="KBO8" s="733"/>
      <c r="KBP8" s="733"/>
      <c r="KBQ8" s="733"/>
      <c r="KBR8" s="733"/>
      <c r="KBS8" s="733"/>
      <c r="KBT8" s="733"/>
      <c r="KBU8" s="733"/>
      <c r="KBV8" s="733"/>
      <c r="KBW8" s="733"/>
      <c r="KBX8" s="733"/>
      <c r="KBY8" s="733"/>
      <c r="KBZ8" s="733"/>
      <c r="KCA8" s="733"/>
      <c r="KCB8" s="733"/>
      <c r="KCC8" s="733"/>
      <c r="KCD8" s="733"/>
      <c r="KCE8" s="733"/>
      <c r="KCF8" s="733"/>
      <c r="KCG8" s="733"/>
      <c r="KCH8" s="733"/>
      <c r="KCI8" s="733"/>
      <c r="KCJ8" s="733"/>
      <c r="KCK8" s="733"/>
      <c r="KCL8" s="733"/>
      <c r="KCM8" s="733"/>
      <c r="KCN8" s="733"/>
      <c r="KCO8" s="733"/>
      <c r="KCP8" s="733"/>
      <c r="KCQ8" s="733"/>
      <c r="KCR8" s="733"/>
      <c r="KCS8" s="733"/>
      <c r="KCT8" s="733"/>
      <c r="KCU8" s="733"/>
      <c r="KCV8" s="733"/>
      <c r="KCW8" s="733"/>
      <c r="KCX8" s="733"/>
      <c r="KCY8" s="733"/>
      <c r="KCZ8" s="733"/>
      <c r="KDA8" s="733"/>
      <c r="KDB8" s="733"/>
      <c r="KDC8" s="733"/>
      <c r="KDD8" s="733"/>
      <c r="KDE8" s="733"/>
      <c r="KDF8" s="733"/>
      <c r="KDG8" s="733"/>
      <c r="KDH8" s="733"/>
      <c r="KDI8" s="733"/>
      <c r="KDJ8" s="733"/>
      <c r="KDK8" s="733"/>
      <c r="KDL8" s="733"/>
      <c r="KDM8" s="733"/>
      <c r="KDN8" s="733"/>
      <c r="KDO8" s="733"/>
      <c r="KDP8" s="733"/>
      <c r="KDQ8" s="733"/>
      <c r="KDR8" s="733"/>
      <c r="KDS8" s="733"/>
      <c r="KDT8" s="733"/>
      <c r="KDU8" s="733"/>
      <c r="KDV8" s="733"/>
      <c r="KDW8" s="733"/>
      <c r="KDX8" s="733"/>
      <c r="KDY8" s="733"/>
      <c r="KDZ8" s="733"/>
      <c r="KEA8" s="733"/>
      <c r="KEB8" s="733"/>
      <c r="KEC8" s="733"/>
      <c r="KED8" s="733"/>
      <c r="KEE8" s="733"/>
      <c r="KEF8" s="733"/>
      <c r="KEG8" s="733"/>
      <c r="KEH8" s="733"/>
      <c r="KEI8" s="733"/>
      <c r="KEJ8" s="733"/>
      <c r="KEK8" s="733"/>
      <c r="KEL8" s="733"/>
      <c r="KEM8" s="733"/>
      <c r="KEN8" s="733"/>
      <c r="KEO8" s="733"/>
      <c r="KEP8" s="733"/>
      <c r="KEQ8" s="733"/>
      <c r="KER8" s="733"/>
      <c r="KES8" s="733"/>
      <c r="KET8" s="733"/>
      <c r="KEU8" s="733"/>
      <c r="KEV8" s="733"/>
      <c r="KEW8" s="733"/>
      <c r="KEX8" s="733"/>
      <c r="KEY8" s="733"/>
      <c r="KEZ8" s="733"/>
      <c r="KFA8" s="733"/>
      <c r="KFB8" s="733"/>
      <c r="KFC8" s="733"/>
      <c r="KFD8" s="733"/>
      <c r="KFE8" s="733"/>
      <c r="KFF8" s="733"/>
      <c r="KFG8" s="733"/>
      <c r="KFH8" s="733"/>
      <c r="KFI8" s="733"/>
      <c r="KFJ8" s="733"/>
      <c r="KFK8" s="733"/>
      <c r="KFL8" s="733"/>
      <c r="KFM8" s="733"/>
      <c r="KFN8" s="733"/>
      <c r="KFO8" s="733"/>
      <c r="KFP8" s="733"/>
      <c r="KFQ8" s="733"/>
      <c r="KFR8" s="733"/>
      <c r="KFS8" s="733"/>
      <c r="KFT8" s="733"/>
      <c r="KFU8" s="733"/>
      <c r="KFV8" s="733"/>
      <c r="KFW8" s="733"/>
      <c r="KFX8" s="733"/>
      <c r="KFY8" s="733"/>
      <c r="KFZ8" s="733"/>
      <c r="KGA8" s="733"/>
      <c r="KGB8" s="733"/>
      <c r="KGC8" s="733"/>
      <c r="KGD8" s="733"/>
      <c r="KGE8" s="733"/>
      <c r="KGF8" s="733"/>
      <c r="KGG8" s="733"/>
      <c r="KGH8" s="733"/>
      <c r="KGI8" s="733"/>
      <c r="KGJ8" s="733"/>
      <c r="KGK8" s="733"/>
      <c r="KGL8" s="733"/>
      <c r="KGM8" s="733"/>
      <c r="KGN8" s="733"/>
      <c r="KGO8" s="733"/>
      <c r="KGP8" s="733"/>
      <c r="KGQ8" s="733"/>
      <c r="KGR8" s="733"/>
      <c r="KGS8" s="733"/>
      <c r="KGT8" s="733"/>
      <c r="KGU8" s="733"/>
      <c r="KGV8" s="733"/>
      <c r="KGW8" s="733"/>
      <c r="KGX8" s="733"/>
      <c r="KGY8" s="733"/>
      <c r="KGZ8" s="733"/>
      <c r="KHA8" s="733"/>
      <c r="KHB8" s="733"/>
      <c r="KHC8" s="733"/>
      <c r="KHD8" s="733"/>
      <c r="KHE8" s="733"/>
      <c r="KHF8" s="733"/>
      <c r="KHG8" s="733"/>
      <c r="KHH8" s="733"/>
      <c r="KHI8" s="733"/>
      <c r="KHJ8" s="733"/>
      <c r="KHK8" s="733"/>
      <c r="KHL8" s="733"/>
      <c r="KHM8" s="733"/>
      <c r="KHN8" s="733"/>
      <c r="KHO8" s="733"/>
      <c r="KHP8" s="733"/>
      <c r="KHQ8" s="733"/>
      <c r="KHR8" s="733"/>
      <c r="KHS8" s="733"/>
      <c r="KHT8" s="733"/>
      <c r="KHU8" s="733"/>
      <c r="KHV8" s="733"/>
      <c r="KHW8" s="733"/>
      <c r="KHX8" s="733"/>
      <c r="KHY8" s="733"/>
      <c r="KHZ8" s="733"/>
      <c r="KIA8" s="733"/>
      <c r="KIB8" s="733"/>
      <c r="KIC8" s="733"/>
      <c r="KID8" s="733"/>
      <c r="KIE8" s="733"/>
      <c r="KIF8" s="733"/>
      <c r="KIG8" s="733"/>
      <c r="KIH8" s="733"/>
      <c r="KII8" s="733"/>
      <c r="KIJ8" s="733"/>
      <c r="KIK8" s="733"/>
      <c r="KIL8" s="733"/>
      <c r="KIM8" s="733"/>
      <c r="KIN8" s="733"/>
      <c r="KIO8" s="733"/>
      <c r="KIP8" s="733"/>
      <c r="KIQ8" s="733"/>
      <c r="KIR8" s="733"/>
      <c r="KIS8" s="733"/>
      <c r="KIT8" s="733"/>
      <c r="KIU8" s="733"/>
      <c r="KIV8" s="733"/>
      <c r="KIW8" s="733"/>
      <c r="KIX8" s="733"/>
      <c r="KIY8" s="733"/>
      <c r="KIZ8" s="733"/>
      <c r="KJA8" s="733"/>
      <c r="KJB8" s="733"/>
      <c r="KJC8" s="733"/>
      <c r="KJD8" s="733"/>
      <c r="KJE8" s="733"/>
      <c r="KJF8" s="733"/>
      <c r="KJG8" s="733"/>
      <c r="KJH8" s="733"/>
      <c r="KJI8" s="733"/>
      <c r="KJJ8" s="733"/>
      <c r="KJK8" s="733"/>
      <c r="KJL8" s="733"/>
      <c r="KJM8" s="733"/>
      <c r="KJN8" s="733"/>
      <c r="KJO8" s="733"/>
      <c r="KJP8" s="733"/>
      <c r="KJQ8" s="733"/>
      <c r="KJR8" s="733"/>
      <c r="KJS8" s="733"/>
      <c r="KJT8" s="733"/>
      <c r="KJU8" s="733"/>
      <c r="KJV8" s="733"/>
      <c r="KJW8" s="733"/>
      <c r="KJX8" s="733"/>
      <c r="KJY8" s="733"/>
      <c r="KJZ8" s="733"/>
      <c r="KKA8" s="733"/>
      <c r="KKB8" s="733"/>
      <c r="KKC8" s="733"/>
      <c r="KKD8" s="733"/>
      <c r="KKE8" s="733"/>
      <c r="KKF8" s="733"/>
      <c r="KKG8" s="733"/>
      <c r="KKH8" s="733"/>
      <c r="KKI8" s="733"/>
      <c r="KKJ8" s="733"/>
      <c r="KKK8" s="733"/>
      <c r="KKL8" s="733"/>
      <c r="KKM8" s="733"/>
      <c r="KKN8" s="733"/>
      <c r="KKO8" s="733"/>
      <c r="KKP8" s="733"/>
      <c r="KKQ8" s="733"/>
      <c r="KKR8" s="733"/>
      <c r="KKS8" s="733"/>
      <c r="KKT8" s="733"/>
      <c r="KKU8" s="733"/>
      <c r="KKV8" s="733"/>
      <c r="KKW8" s="733"/>
      <c r="KKX8" s="733"/>
      <c r="KKY8" s="733"/>
      <c r="KKZ8" s="733"/>
      <c r="KLA8" s="733"/>
      <c r="KLB8" s="733"/>
      <c r="KLC8" s="733"/>
      <c r="KLD8" s="733"/>
      <c r="KLE8" s="733"/>
      <c r="KLF8" s="733"/>
      <c r="KLG8" s="733"/>
      <c r="KLH8" s="733"/>
      <c r="KLI8" s="733"/>
      <c r="KLJ8" s="733"/>
      <c r="KLK8" s="733"/>
      <c r="KLL8" s="733"/>
      <c r="KLM8" s="733"/>
      <c r="KLN8" s="733"/>
      <c r="KLO8" s="733"/>
      <c r="KLP8" s="733"/>
      <c r="KLQ8" s="733"/>
      <c r="KLR8" s="733"/>
      <c r="KLS8" s="733"/>
      <c r="KLT8" s="733"/>
      <c r="KLU8" s="733"/>
      <c r="KLV8" s="733"/>
      <c r="KLW8" s="733"/>
      <c r="KLX8" s="733"/>
      <c r="KLY8" s="733"/>
      <c r="KLZ8" s="733"/>
      <c r="KMA8" s="733"/>
      <c r="KMB8" s="733"/>
      <c r="KMC8" s="733"/>
      <c r="KMD8" s="733"/>
      <c r="KME8" s="733"/>
      <c r="KMF8" s="733"/>
      <c r="KMG8" s="733"/>
      <c r="KMH8" s="733"/>
      <c r="KMI8" s="733"/>
      <c r="KMJ8" s="733"/>
      <c r="KMK8" s="733"/>
      <c r="KML8" s="733"/>
      <c r="KMM8" s="733"/>
      <c r="KMN8" s="733"/>
      <c r="KMO8" s="733"/>
      <c r="KMP8" s="733"/>
      <c r="KMQ8" s="733"/>
      <c r="KMR8" s="733"/>
      <c r="KMS8" s="733"/>
      <c r="KMT8" s="733"/>
      <c r="KMU8" s="733"/>
      <c r="KMV8" s="733"/>
      <c r="KMW8" s="733"/>
      <c r="KMX8" s="733"/>
      <c r="KMY8" s="733"/>
      <c r="KMZ8" s="733"/>
      <c r="KNA8" s="733"/>
      <c r="KNB8" s="733"/>
      <c r="KNC8" s="733"/>
      <c r="KND8" s="733"/>
      <c r="KNE8" s="733"/>
      <c r="KNF8" s="733"/>
      <c r="KNG8" s="733"/>
      <c r="KNH8" s="733"/>
      <c r="KNI8" s="733"/>
      <c r="KNJ8" s="733"/>
      <c r="KNK8" s="733"/>
      <c r="KNL8" s="733"/>
      <c r="KNM8" s="733"/>
      <c r="KNN8" s="733"/>
      <c r="KNO8" s="733"/>
      <c r="KNP8" s="733"/>
      <c r="KNQ8" s="733"/>
      <c r="KNR8" s="733"/>
      <c r="KNS8" s="733"/>
      <c r="KNT8" s="733"/>
      <c r="KNU8" s="733"/>
      <c r="KNV8" s="733"/>
      <c r="KNW8" s="733"/>
      <c r="KNX8" s="733"/>
      <c r="KNY8" s="733"/>
      <c r="KNZ8" s="733"/>
      <c r="KOA8" s="733"/>
      <c r="KOB8" s="733"/>
      <c r="KOC8" s="733"/>
      <c r="KOD8" s="733"/>
      <c r="KOE8" s="733"/>
      <c r="KOF8" s="733"/>
      <c r="KOG8" s="733"/>
      <c r="KOH8" s="733"/>
      <c r="KOI8" s="733"/>
      <c r="KOJ8" s="733"/>
      <c r="KOK8" s="733"/>
      <c r="KOL8" s="733"/>
      <c r="KOM8" s="733"/>
      <c r="KON8" s="733"/>
      <c r="KOO8" s="733"/>
      <c r="KOP8" s="733"/>
      <c r="KOQ8" s="733"/>
      <c r="KOR8" s="733"/>
      <c r="KOS8" s="733"/>
      <c r="KOT8" s="733"/>
      <c r="KOU8" s="733"/>
      <c r="KOV8" s="733"/>
      <c r="KOW8" s="733"/>
      <c r="KOX8" s="733"/>
      <c r="KOY8" s="733"/>
      <c r="KOZ8" s="733"/>
      <c r="KPA8" s="733"/>
      <c r="KPB8" s="733"/>
      <c r="KPC8" s="733"/>
      <c r="KPD8" s="733"/>
      <c r="KPE8" s="733"/>
      <c r="KPF8" s="733"/>
      <c r="KPG8" s="733"/>
      <c r="KPH8" s="733"/>
      <c r="KPI8" s="733"/>
      <c r="KPJ8" s="733"/>
      <c r="KPK8" s="733"/>
      <c r="KPL8" s="733"/>
      <c r="KPM8" s="733"/>
      <c r="KPN8" s="733"/>
      <c r="KPO8" s="733"/>
      <c r="KPP8" s="733"/>
      <c r="KPQ8" s="733"/>
      <c r="KPR8" s="733"/>
      <c r="KPS8" s="733"/>
      <c r="KPT8" s="733"/>
      <c r="KPU8" s="733"/>
      <c r="KPV8" s="733"/>
      <c r="KPW8" s="733"/>
      <c r="KPX8" s="733"/>
      <c r="KPY8" s="733"/>
      <c r="KPZ8" s="733"/>
      <c r="KQA8" s="733"/>
      <c r="KQB8" s="733"/>
      <c r="KQC8" s="733"/>
      <c r="KQD8" s="733"/>
      <c r="KQE8" s="733"/>
      <c r="KQF8" s="733"/>
      <c r="KQG8" s="733"/>
      <c r="KQH8" s="733"/>
      <c r="KQI8" s="733"/>
      <c r="KQJ8" s="733"/>
      <c r="KQK8" s="733"/>
      <c r="KQL8" s="733"/>
      <c r="KQM8" s="733"/>
      <c r="KQN8" s="733"/>
      <c r="KQO8" s="733"/>
      <c r="KQP8" s="733"/>
      <c r="KQQ8" s="733"/>
      <c r="KQR8" s="733"/>
      <c r="KQS8" s="733"/>
      <c r="KQT8" s="733"/>
      <c r="KQU8" s="733"/>
      <c r="KQV8" s="733"/>
      <c r="KQW8" s="733"/>
      <c r="KQX8" s="733"/>
      <c r="KQY8" s="733"/>
      <c r="KQZ8" s="733"/>
      <c r="KRA8" s="733"/>
      <c r="KRB8" s="733"/>
      <c r="KRC8" s="733"/>
      <c r="KRD8" s="733"/>
      <c r="KRE8" s="733"/>
      <c r="KRF8" s="733"/>
      <c r="KRG8" s="733"/>
      <c r="KRH8" s="733"/>
      <c r="KRI8" s="733"/>
      <c r="KRJ8" s="733"/>
      <c r="KRK8" s="733"/>
      <c r="KRL8" s="733"/>
      <c r="KRM8" s="733"/>
      <c r="KRN8" s="733"/>
      <c r="KRO8" s="733"/>
      <c r="KRP8" s="733"/>
      <c r="KRQ8" s="733"/>
      <c r="KRR8" s="733"/>
      <c r="KRS8" s="733"/>
      <c r="KRT8" s="733"/>
      <c r="KRU8" s="733"/>
      <c r="KRV8" s="733"/>
      <c r="KRW8" s="733"/>
      <c r="KRX8" s="733"/>
      <c r="KRY8" s="733"/>
      <c r="KRZ8" s="733"/>
      <c r="KSA8" s="733"/>
      <c r="KSB8" s="733"/>
      <c r="KSC8" s="733"/>
      <c r="KSD8" s="733"/>
      <c r="KSE8" s="733"/>
      <c r="KSF8" s="733"/>
      <c r="KSG8" s="733"/>
      <c r="KSH8" s="733"/>
      <c r="KSI8" s="733"/>
      <c r="KSJ8" s="733"/>
      <c r="KSK8" s="733"/>
      <c r="KSL8" s="733"/>
      <c r="KSM8" s="733"/>
      <c r="KSN8" s="733"/>
      <c r="KSO8" s="733"/>
      <c r="KSP8" s="733"/>
      <c r="KSQ8" s="733"/>
      <c r="KSR8" s="733"/>
      <c r="KSS8" s="733"/>
      <c r="KST8" s="733"/>
      <c r="KSU8" s="733"/>
      <c r="KSV8" s="733"/>
      <c r="KSW8" s="733"/>
      <c r="KSX8" s="733"/>
      <c r="KSY8" s="733"/>
      <c r="KSZ8" s="733"/>
      <c r="KTA8" s="733"/>
      <c r="KTB8" s="733"/>
      <c r="KTC8" s="733"/>
      <c r="KTD8" s="733"/>
      <c r="KTE8" s="733"/>
      <c r="KTF8" s="733"/>
      <c r="KTG8" s="733"/>
      <c r="KTH8" s="733"/>
      <c r="KTI8" s="733"/>
      <c r="KTJ8" s="733"/>
      <c r="KTK8" s="733"/>
      <c r="KTL8" s="733"/>
      <c r="KTM8" s="733"/>
      <c r="KTN8" s="733"/>
      <c r="KTO8" s="733"/>
      <c r="KTP8" s="733"/>
      <c r="KTQ8" s="733"/>
      <c r="KTR8" s="733"/>
      <c r="KTS8" s="733"/>
      <c r="KTT8" s="733"/>
      <c r="KTU8" s="733"/>
      <c r="KTV8" s="733"/>
      <c r="KTW8" s="733"/>
      <c r="KTX8" s="733"/>
      <c r="KTY8" s="733"/>
      <c r="KTZ8" s="733"/>
      <c r="KUA8" s="733"/>
      <c r="KUB8" s="733"/>
      <c r="KUC8" s="733"/>
      <c r="KUD8" s="733"/>
      <c r="KUE8" s="733"/>
      <c r="KUF8" s="733"/>
      <c r="KUG8" s="733"/>
      <c r="KUH8" s="733"/>
      <c r="KUI8" s="733"/>
      <c r="KUJ8" s="733"/>
      <c r="KUK8" s="733"/>
      <c r="KUL8" s="733"/>
      <c r="KUM8" s="733"/>
      <c r="KUN8" s="733"/>
      <c r="KUO8" s="733"/>
      <c r="KUP8" s="733"/>
      <c r="KUQ8" s="733"/>
      <c r="KUR8" s="733"/>
      <c r="KUS8" s="733"/>
      <c r="KUT8" s="733"/>
      <c r="KUU8" s="733"/>
      <c r="KUV8" s="733"/>
      <c r="KUW8" s="733"/>
      <c r="KUX8" s="733"/>
      <c r="KUY8" s="733"/>
      <c r="KUZ8" s="733"/>
      <c r="KVA8" s="733"/>
      <c r="KVB8" s="733"/>
      <c r="KVC8" s="733"/>
      <c r="KVD8" s="733"/>
      <c r="KVE8" s="733"/>
      <c r="KVF8" s="733"/>
      <c r="KVG8" s="733"/>
      <c r="KVH8" s="733"/>
      <c r="KVI8" s="733"/>
      <c r="KVJ8" s="733"/>
      <c r="KVK8" s="733"/>
      <c r="KVL8" s="733"/>
      <c r="KVM8" s="733"/>
      <c r="KVN8" s="733"/>
      <c r="KVO8" s="733"/>
      <c r="KVP8" s="733"/>
      <c r="KVQ8" s="733"/>
      <c r="KVR8" s="733"/>
      <c r="KVS8" s="733"/>
      <c r="KVT8" s="733"/>
      <c r="KVU8" s="733"/>
      <c r="KVV8" s="733"/>
      <c r="KVW8" s="733"/>
      <c r="KVX8" s="733"/>
      <c r="KVY8" s="733"/>
      <c r="KVZ8" s="733"/>
      <c r="KWA8" s="733"/>
      <c r="KWB8" s="733"/>
      <c r="KWC8" s="733"/>
      <c r="KWD8" s="733"/>
      <c r="KWE8" s="733"/>
      <c r="KWF8" s="733"/>
      <c r="KWG8" s="733"/>
      <c r="KWH8" s="733"/>
      <c r="KWI8" s="733"/>
      <c r="KWJ8" s="733"/>
      <c r="KWK8" s="733"/>
      <c r="KWL8" s="733"/>
      <c r="KWM8" s="733"/>
      <c r="KWN8" s="733"/>
      <c r="KWO8" s="733"/>
      <c r="KWP8" s="733"/>
      <c r="KWQ8" s="733"/>
      <c r="KWR8" s="733"/>
      <c r="KWS8" s="733"/>
      <c r="KWT8" s="733"/>
      <c r="KWU8" s="733"/>
      <c r="KWV8" s="733"/>
      <c r="KWW8" s="733"/>
      <c r="KWX8" s="733"/>
      <c r="KWY8" s="733"/>
      <c r="KWZ8" s="733"/>
      <c r="KXA8" s="733"/>
      <c r="KXB8" s="733"/>
      <c r="KXC8" s="733"/>
      <c r="KXD8" s="733"/>
      <c r="KXE8" s="733"/>
      <c r="KXF8" s="733"/>
      <c r="KXG8" s="733"/>
      <c r="KXH8" s="733"/>
      <c r="KXI8" s="733"/>
      <c r="KXJ8" s="733"/>
      <c r="KXK8" s="733"/>
      <c r="KXL8" s="733"/>
      <c r="KXM8" s="733"/>
      <c r="KXN8" s="733"/>
      <c r="KXO8" s="733"/>
      <c r="KXP8" s="733"/>
      <c r="KXQ8" s="733"/>
      <c r="KXR8" s="733"/>
      <c r="KXS8" s="733"/>
      <c r="KXT8" s="733"/>
      <c r="KXU8" s="733"/>
      <c r="KXV8" s="733"/>
      <c r="KXW8" s="733"/>
      <c r="KXX8" s="733"/>
      <c r="KXY8" s="733"/>
      <c r="KXZ8" s="733"/>
      <c r="KYA8" s="733"/>
      <c r="KYB8" s="733"/>
      <c r="KYC8" s="733"/>
      <c r="KYD8" s="733"/>
      <c r="KYE8" s="733"/>
      <c r="KYF8" s="733"/>
      <c r="KYG8" s="733"/>
      <c r="KYH8" s="733"/>
      <c r="KYI8" s="733"/>
      <c r="KYJ8" s="733"/>
      <c r="KYK8" s="733"/>
      <c r="KYL8" s="733"/>
      <c r="KYM8" s="733"/>
      <c r="KYN8" s="733"/>
      <c r="KYO8" s="733"/>
      <c r="KYP8" s="733"/>
      <c r="KYQ8" s="733"/>
      <c r="KYR8" s="733"/>
      <c r="KYS8" s="733"/>
      <c r="KYT8" s="733"/>
      <c r="KYU8" s="733"/>
      <c r="KYV8" s="733"/>
      <c r="KYW8" s="733"/>
      <c r="KYX8" s="733"/>
      <c r="KYY8" s="733"/>
      <c r="KYZ8" s="733"/>
      <c r="KZA8" s="733"/>
      <c r="KZB8" s="733"/>
      <c r="KZC8" s="733"/>
      <c r="KZD8" s="733"/>
      <c r="KZE8" s="733"/>
      <c r="KZF8" s="733"/>
      <c r="KZG8" s="733"/>
      <c r="KZH8" s="733"/>
      <c r="KZI8" s="733"/>
      <c r="KZJ8" s="733"/>
      <c r="KZK8" s="733"/>
      <c r="KZL8" s="733"/>
      <c r="KZM8" s="733"/>
      <c r="KZN8" s="733"/>
      <c r="KZO8" s="733"/>
      <c r="KZP8" s="733"/>
      <c r="KZQ8" s="733"/>
      <c r="KZR8" s="733"/>
      <c r="KZS8" s="733"/>
      <c r="KZT8" s="733"/>
      <c r="KZU8" s="733"/>
      <c r="KZV8" s="733"/>
      <c r="KZW8" s="733"/>
      <c r="KZX8" s="733"/>
      <c r="KZY8" s="733"/>
      <c r="KZZ8" s="733"/>
      <c r="LAA8" s="733"/>
      <c r="LAB8" s="733"/>
      <c r="LAC8" s="733"/>
      <c r="LAD8" s="733"/>
      <c r="LAE8" s="733"/>
      <c r="LAF8" s="733"/>
      <c r="LAG8" s="733"/>
      <c r="LAH8" s="733"/>
      <c r="LAI8" s="733"/>
      <c r="LAJ8" s="733"/>
      <c r="LAK8" s="733"/>
      <c r="LAL8" s="733"/>
      <c r="LAM8" s="733"/>
      <c r="LAN8" s="733"/>
      <c r="LAO8" s="733"/>
      <c r="LAP8" s="733"/>
      <c r="LAQ8" s="733"/>
      <c r="LAR8" s="733"/>
      <c r="LAS8" s="733"/>
      <c r="LAT8" s="733"/>
      <c r="LAU8" s="733"/>
      <c r="LAV8" s="733"/>
      <c r="LAW8" s="733"/>
      <c r="LAX8" s="733"/>
      <c r="LAY8" s="733"/>
      <c r="LAZ8" s="733"/>
      <c r="LBA8" s="733"/>
      <c r="LBB8" s="733"/>
      <c r="LBC8" s="733"/>
      <c r="LBD8" s="733"/>
      <c r="LBE8" s="733"/>
      <c r="LBF8" s="733"/>
      <c r="LBG8" s="733"/>
      <c r="LBH8" s="733"/>
      <c r="LBI8" s="733"/>
      <c r="LBJ8" s="733"/>
      <c r="LBK8" s="733"/>
      <c r="LBL8" s="733"/>
      <c r="LBM8" s="733"/>
      <c r="LBN8" s="733"/>
      <c r="LBO8" s="733"/>
      <c r="LBP8" s="733"/>
      <c r="LBQ8" s="733"/>
      <c r="LBR8" s="733"/>
      <c r="LBS8" s="733"/>
      <c r="LBT8" s="733"/>
      <c r="LBU8" s="733"/>
      <c r="LBV8" s="733"/>
      <c r="LBW8" s="733"/>
      <c r="LBX8" s="733"/>
      <c r="LBY8" s="733"/>
      <c r="LBZ8" s="733"/>
      <c r="LCA8" s="733"/>
      <c r="LCB8" s="733"/>
      <c r="LCC8" s="733"/>
      <c r="LCD8" s="733"/>
      <c r="LCE8" s="733"/>
      <c r="LCF8" s="733"/>
      <c r="LCG8" s="733"/>
      <c r="LCH8" s="733"/>
      <c r="LCI8" s="733"/>
      <c r="LCJ8" s="733"/>
      <c r="LCK8" s="733"/>
      <c r="LCL8" s="733"/>
      <c r="LCM8" s="733"/>
      <c r="LCN8" s="733"/>
      <c r="LCO8" s="733"/>
      <c r="LCP8" s="733"/>
      <c r="LCQ8" s="733"/>
      <c r="LCR8" s="733"/>
      <c r="LCS8" s="733"/>
      <c r="LCT8" s="733"/>
      <c r="LCU8" s="733"/>
      <c r="LCV8" s="733"/>
      <c r="LCW8" s="733"/>
      <c r="LCX8" s="733"/>
      <c r="LCY8" s="733"/>
      <c r="LCZ8" s="733"/>
      <c r="LDA8" s="733"/>
      <c r="LDB8" s="733"/>
      <c r="LDC8" s="733"/>
      <c r="LDD8" s="733"/>
      <c r="LDE8" s="733"/>
      <c r="LDF8" s="733"/>
      <c r="LDG8" s="733"/>
      <c r="LDH8" s="733"/>
      <c r="LDI8" s="733"/>
      <c r="LDJ8" s="733"/>
      <c r="LDK8" s="733"/>
      <c r="LDL8" s="733"/>
      <c r="LDM8" s="733"/>
      <c r="LDN8" s="733"/>
      <c r="LDO8" s="733"/>
      <c r="LDP8" s="733"/>
      <c r="LDQ8" s="733"/>
      <c r="LDR8" s="733"/>
      <c r="LDS8" s="733"/>
      <c r="LDT8" s="733"/>
      <c r="LDU8" s="733"/>
      <c r="LDV8" s="733"/>
      <c r="LDW8" s="733"/>
      <c r="LDX8" s="733"/>
      <c r="LDY8" s="733"/>
      <c r="LDZ8" s="733"/>
      <c r="LEA8" s="733"/>
      <c r="LEB8" s="733"/>
      <c r="LEC8" s="733"/>
      <c r="LED8" s="733"/>
      <c r="LEE8" s="733"/>
      <c r="LEF8" s="733"/>
      <c r="LEG8" s="733"/>
      <c r="LEH8" s="733"/>
      <c r="LEI8" s="733"/>
      <c r="LEJ8" s="733"/>
      <c r="LEK8" s="733"/>
      <c r="LEL8" s="733"/>
      <c r="LEM8" s="733"/>
      <c r="LEN8" s="733"/>
      <c r="LEO8" s="733"/>
      <c r="LEP8" s="733"/>
      <c r="LEQ8" s="733"/>
      <c r="LER8" s="733"/>
      <c r="LES8" s="733"/>
      <c r="LET8" s="733"/>
      <c r="LEU8" s="733"/>
      <c r="LEV8" s="733"/>
      <c r="LEW8" s="733"/>
      <c r="LEX8" s="733"/>
      <c r="LEY8" s="733"/>
      <c r="LEZ8" s="733"/>
      <c r="LFA8" s="733"/>
      <c r="LFB8" s="733"/>
      <c r="LFC8" s="733"/>
      <c r="LFD8" s="733"/>
      <c r="LFE8" s="733"/>
      <c r="LFF8" s="733"/>
      <c r="LFG8" s="733"/>
      <c r="LFH8" s="733"/>
      <c r="LFI8" s="733"/>
      <c r="LFJ8" s="733"/>
      <c r="LFK8" s="733"/>
      <c r="LFL8" s="733"/>
      <c r="LFM8" s="733"/>
      <c r="LFN8" s="733"/>
      <c r="LFO8" s="733"/>
      <c r="LFP8" s="733"/>
      <c r="LFQ8" s="733"/>
      <c r="LFR8" s="733"/>
      <c r="LFS8" s="733"/>
      <c r="LFT8" s="733"/>
      <c r="LFU8" s="733"/>
      <c r="LFV8" s="733"/>
      <c r="LFW8" s="733"/>
      <c r="LFX8" s="733"/>
      <c r="LFY8" s="733"/>
      <c r="LFZ8" s="733"/>
      <c r="LGA8" s="733"/>
      <c r="LGB8" s="733"/>
      <c r="LGC8" s="733"/>
      <c r="LGD8" s="733"/>
      <c r="LGE8" s="733"/>
      <c r="LGF8" s="733"/>
      <c r="LGG8" s="733"/>
      <c r="LGH8" s="733"/>
      <c r="LGI8" s="733"/>
      <c r="LGJ8" s="733"/>
      <c r="LGK8" s="733"/>
      <c r="LGL8" s="733"/>
      <c r="LGM8" s="733"/>
      <c r="LGN8" s="733"/>
      <c r="LGO8" s="733"/>
      <c r="LGP8" s="733"/>
      <c r="LGQ8" s="733"/>
      <c r="LGR8" s="733"/>
      <c r="LGS8" s="733"/>
      <c r="LGT8" s="733"/>
      <c r="LGU8" s="733"/>
      <c r="LGV8" s="733"/>
      <c r="LGW8" s="733"/>
      <c r="LGX8" s="733"/>
      <c r="LGY8" s="733"/>
      <c r="LGZ8" s="733"/>
      <c r="LHA8" s="733"/>
      <c r="LHB8" s="733"/>
      <c r="LHC8" s="733"/>
      <c r="LHD8" s="733"/>
      <c r="LHE8" s="733"/>
      <c r="LHF8" s="733"/>
      <c r="LHG8" s="733"/>
      <c r="LHH8" s="733"/>
      <c r="LHI8" s="733"/>
      <c r="LHJ8" s="733"/>
      <c r="LHK8" s="733"/>
      <c r="LHL8" s="733"/>
      <c r="LHM8" s="733"/>
      <c r="LHN8" s="733"/>
      <c r="LHO8" s="733"/>
      <c r="LHP8" s="733"/>
      <c r="LHQ8" s="733"/>
      <c r="LHR8" s="733"/>
      <c r="LHS8" s="733"/>
      <c r="LHT8" s="733"/>
      <c r="LHU8" s="733"/>
      <c r="LHV8" s="733"/>
      <c r="LHW8" s="733"/>
      <c r="LHX8" s="733"/>
      <c r="LHY8" s="733"/>
      <c r="LHZ8" s="733"/>
      <c r="LIA8" s="733"/>
      <c r="LIB8" s="733"/>
      <c r="LIC8" s="733"/>
      <c r="LID8" s="733"/>
      <c r="LIE8" s="733"/>
      <c r="LIF8" s="733"/>
      <c r="LIG8" s="733"/>
      <c r="LIH8" s="733"/>
      <c r="LII8" s="733"/>
      <c r="LIJ8" s="733"/>
      <c r="LIK8" s="733"/>
      <c r="LIL8" s="733"/>
      <c r="LIM8" s="733"/>
      <c r="LIN8" s="733"/>
      <c r="LIO8" s="733"/>
      <c r="LIP8" s="733"/>
      <c r="LIQ8" s="733"/>
      <c r="LIR8" s="733"/>
      <c r="LIS8" s="733"/>
      <c r="LIT8" s="733"/>
      <c r="LIU8" s="733"/>
      <c r="LIV8" s="733"/>
      <c r="LIW8" s="733"/>
      <c r="LIX8" s="733"/>
      <c r="LIY8" s="733"/>
      <c r="LIZ8" s="733"/>
      <c r="LJA8" s="733"/>
      <c r="LJB8" s="733"/>
      <c r="LJC8" s="733"/>
      <c r="LJD8" s="733"/>
      <c r="LJE8" s="733"/>
      <c r="LJF8" s="733"/>
      <c r="LJG8" s="733"/>
      <c r="LJH8" s="733"/>
      <c r="LJI8" s="733"/>
      <c r="LJJ8" s="733"/>
      <c r="LJK8" s="733"/>
      <c r="LJL8" s="733"/>
      <c r="LJM8" s="733"/>
      <c r="LJN8" s="733"/>
      <c r="LJO8" s="733"/>
      <c r="LJP8" s="733"/>
      <c r="LJQ8" s="733"/>
      <c r="LJR8" s="733"/>
      <c r="LJS8" s="733"/>
      <c r="LJT8" s="733"/>
      <c r="LJU8" s="733"/>
      <c r="LJV8" s="733"/>
      <c r="LJW8" s="733"/>
      <c r="LJX8" s="733"/>
      <c r="LJY8" s="733"/>
      <c r="LJZ8" s="733"/>
      <c r="LKA8" s="733"/>
      <c r="LKB8" s="733"/>
      <c r="LKC8" s="733"/>
      <c r="LKD8" s="733"/>
      <c r="LKE8" s="733"/>
      <c r="LKF8" s="733"/>
      <c r="LKG8" s="733"/>
      <c r="LKH8" s="733"/>
      <c r="LKI8" s="733"/>
      <c r="LKJ8" s="733"/>
      <c r="LKK8" s="733"/>
      <c r="LKL8" s="733"/>
      <c r="LKM8" s="733"/>
      <c r="LKN8" s="733"/>
      <c r="LKO8" s="733"/>
      <c r="LKP8" s="733"/>
      <c r="LKQ8" s="733"/>
      <c r="LKR8" s="733"/>
      <c r="LKS8" s="733"/>
      <c r="LKT8" s="733"/>
      <c r="LKU8" s="733"/>
      <c r="LKV8" s="733"/>
      <c r="LKW8" s="733"/>
      <c r="LKX8" s="733"/>
      <c r="LKY8" s="733"/>
      <c r="LKZ8" s="733"/>
      <c r="LLA8" s="733"/>
      <c r="LLB8" s="733"/>
      <c r="LLC8" s="733"/>
      <c r="LLD8" s="733"/>
      <c r="LLE8" s="733"/>
      <c r="LLF8" s="733"/>
      <c r="LLG8" s="733"/>
      <c r="LLH8" s="733"/>
      <c r="LLI8" s="733"/>
      <c r="LLJ8" s="733"/>
      <c r="LLK8" s="733"/>
      <c r="LLL8" s="733"/>
      <c r="LLM8" s="733"/>
      <c r="LLN8" s="733"/>
      <c r="LLO8" s="733"/>
      <c r="LLP8" s="733"/>
      <c r="LLQ8" s="733"/>
      <c r="LLR8" s="733"/>
      <c r="LLS8" s="733"/>
      <c r="LLT8" s="733"/>
      <c r="LLU8" s="733"/>
      <c r="LLV8" s="733"/>
      <c r="LLW8" s="733"/>
      <c r="LLX8" s="733"/>
      <c r="LLY8" s="733"/>
      <c r="LLZ8" s="733"/>
      <c r="LMA8" s="733"/>
      <c r="LMB8" s="733"/>
      <c r="LMC8" s="733"/>
      <c r="LMD8" s="733"/>
      <c r="LME8" s="733"/>
      <c r="LMF8" s="733"/>
      <c r="LMG8" s="733"/>
      <c r="LMH8" s="733"/>
      <c r="LMI8" s="733"/>
      <c r="LMJ8" s="733"/>
      <c r="LMK8" s="733"/>
      <c r="LML8" s="733"/>
      <c r="LMM8" s="733"/>
      <c r="LMN8" s="733"/>
      <c r="LMO8" s="733"/>
      <c r="LMP8" s="733"/>
      <c r="LMQ8" s="733"/>
      <c r="LMR8" s="733"/>
      <c r="LMS8" s="733"/>
      <c r="LMT8" s="733"/>
      <c r="LMU8" s="733"/>
      <c r="LMV8" s="733"/>
      <c r="LMW8" s="733"/>
      <c r="LMX8" s="733"/>
      <c r="LMY8" s="733"/>
      <c r="LMZ8" s="733"/>
      <c r="LNA8" s="733"/>
      <c r="LNB8" s="733"/>
      <c r="LNC8" s="733"/>
      <c r="LND8" s="733"/>
      <c r="LNE8" s="733"/>
      <c r="LNF8" s="733"/>
      <c r="LNG8" s="733"/>
      <c r="LNH8" s="733"/>
      <c r="LNI8" s="733"/>
      <c r="LNJ8" s="733"/>
      <c r="LNK8" s="733"/>
      <c r="LNL8" s="733"/>
      <c r="LNM8" s="733"/>
      <c r="LNN8" s="733"/>
      <c r="LNO8" s="733"/>
      <c r="LNP8" s="733"/>
      <c r="LNQ8" s="733"/>
      <c r="LNR8" s="733"/>
      <c r="LNS8" s="733"/>
      <c r="LNT8" s="733"/>
      <c r="LNU8" s="733"/>
      <c r="LNV8" s="733"/>
      <c r="LNW8" s="733"/>
      <c r="LNX8" s="733"/>
      <c r="LNY8" s="733"/>
      <c r="LNZ8" s="733"/>
      <c r="LOA8" s="733"/>
      <c r="LOB8" s="733"/>
      <c r="LOC8" s="733"/>
      <c r="LOD8" s="733"/>
      <c r="LOE8" s="733"/>
      <c r="LOF8" s="733"/>
      <c r="LOG8" s="733"/>
      <c r="LOH8" s="733"/>
      <c r="LOI8" s="733"/>
      <c r="LOJ8" s="733"/>
      <c r="LOK8" s="733"/>
      <c r="LOL8" s="733"/>
      <c r="LOM8" s="733"/>
      <c r="LON8" s="733"/>
      <c r="LOO8" s="733"/>
      <c r="LOP8" s="733"/>
      <c r="LOQ8" s="733"/>
      <c r="LOR8" s="733"/>
      <c r="LOS8" s="733"/>
      <c r="LOT8" s="733"/>
      <c r="LOU8" s="733"/>
      <c r="LOV8" s="733"/>
      <c r="LOW8" s="733"/>
      <c r="LOX8" s="733"/>
      <c r="LOY8" s="733"/>
      <c r="LOZ8" s="733"/>
      <c r="LPA8" s="733"/>
      <c r="LPB8" s="733"/>
      <c r="LPC8" s="733"/>
      <c r="LPD8" s="733"/>
      <c r="LPE8" s="733"/>
      <c r="LPF8" s="733"/>
      <c r="LPG8" s="733"/>
      <c r="LPH8" s="733"/>
      <c r="LPI8" s="733"/>
      <c r="LPJ8" s="733"/>
      <c r="LPK8" s="733"/>
      <c r="LPL8" s="733"/>
      <c r="LPM8" s="733"/>
      <c r="LPN8" s="733"/>
      <c r="LPO8" s="733"/>
      <c r="LPP8" s="733"/>
      <c r="LPQ8" s="733"/>
      <c r="LPR8" s="733"/>
      <c r="LPS8" s="733"/>
      <c r="LPT8" s="733"/>
      <c r="LPU8" s="733"/>
      <c r="LPV8" s="733"/>
      <c r="LPW8" s="733"/>
      <c r="LPX8" s="733"/>
      <c r="LPY8" s="733"/>
      <c r="LPZ8" s="733"/>
      <c r="LQA8" s="733"/>
      <c r="LQB8" s="733"/>
      <c r="LQC8" s="733"/>
      <c r="LQD8" s="733"/>
      <c r="LQE8" s="733"/>
      <c r="LQF8" s="733"/>
      <c r="LQG8" s="733"/>
      <c r="LQH8" s="733"/>
      <c r="LQI8" s="733"/>
      <c r="LQJ8" s="733"/>
      <c r="LQK8" s="733"/>
      <c r="LQL8" s="733"/>
      <c r="LQM8" s="733"/>
      <c r="LQN8" s="733"/>
      <c r="LQO8" s="733"/>
      <c r="LQP8" s="733"/>
      <c r="LQQ8" s="733"/>
      <c r="LQR8" s="733"/>
      <c r="LQS8" s="733"/>
      <c r="LQT8" s="733"/>
      <c r="LQU8" s="733"/>
      <c r="LQV8" s="733"/>
      <c r="LQW8" s="733"/>
      <c r="LQX8" s="733"/>
      <c r="LQY8" s="733"/>
      <c r="LQZ8" s="733"/>
      <c r="LRA8" s="733"/>
      <c r="LRB8" s="733"/>
      <c r="LRC8" s="733"/>
      <c r="LRD8" s="733"/>
      <c r="LRE8" s="733"/>
      <c r="LRF8" s="733"/>
      <c r="LRG8" s="733"/>
      <c r="LRH8" s="733"/>
      <c r="LRI8" s="733"/>
      <c r="LRJ8" s="733"/>
      <c r="LRK8" s="733"/>
      <c r="LRL8" s="733"/>
      <c r="LRM8" s="733"/>
      <c r="LRN8" s="733"/>
      <c r="LRO8" s="733"/>
      <c r="LRP8" s="733"/>
      <c r="LRQ8" s="733"/>
      <c r="LRR8" s="733"/>
      <c r="LRS8" s="733"/>
      <c r="LRT8" s="733"/>
      <c r="LRU8" s="733"/>
      <c r="LRV8" s="733"/>
      <c r="LRW8" s="733"/>
      <c r="LRX8" s="733"/>
      <c r="LRY8" s="733"/>
      <c r="LRZ8" s="733"/>
      <c r="LSA8" s="733"/>
      <c r="LSB8" s="733"/>
      <c r="LSC8" s="733"/>
      <c r="LSD8" s="733"/>
      <c r="LSE8" s="733"/>
      <c r="LSF8" s="733"/>
      <c r="LSG8" s="733"/>
      <c r="LSH8" s="733"/>
      <c r="LSI8" s="733"/>
      <c r="LSJ8" s="733"/>
      <c r="LSK8" s="733"/>
      <c r="LSL8" s="733"/>
      <c r="LSM8" s="733"/>
      <c r="LSN8" s="733"/>
      <c r="LSO8" s="733"/>
      <c r="LSP8" s="733"/>
      <c r="LSQ8" s="733"/>
      <c r="LSR8" s="733"/>
      <c r="LSS8" s="733"/>
      <c r="LST8" s="733"/>
      <c r="LSU8" s="733"/>
      <c r="LSV8" s="733"/>
      <c r="LSW8" s="733"/>
      <c r="LSX8" s="733"/>
      <c r="LSY8" s="733"/>
      <c r="LSZ8" s="733"/>
      <c r="LTA8" s="733"/>
      <c r="LTB8" s="733"/>
      <c r="LTC8" s="733"/>
      <c r="LTD8" s="733"/>
      <c r="LTE8" s="733"/>
      <c r="LTF8" s="733"/>
      <c r="LTG8" s="733"/>
      <c r="LTH8" s="733"/>
      <c r="LTI8" s="733"/>
      <c r="LTJ8" s="733"/>
      <c r="LTK8" s="733"/>
      <c r="LTL8" s="733"/>
      <c r="LTM8" s="733"/>
      <c r="LTN8" s="733"/>
      <c r="LTO8" s="733"/>
      <c r="LTP8" s="733"/>
      <c r="LTQ8" s="733"/>
      <c r="LTR8" s="733"/>
      <c r="LTS8" s="733"/>
      <c r="LTT8" s="733"/>
      <c r="LTU8" s="733"/>
      <c r="LTV8" s="733"/>
      <c r="LTW8" s="733"/>
      <c r="LTX8" s="733"/>
      <c r="LTY8" s="733"/>
      <c r="LTZ8" s="733"/>
      <c r="LUA8" s="733"/>
      <c r="LUB8" s="733"/>
      <c r="LUC8" s="733"/>
      <c r="LUD8" s="733"/>
      <c r="LUE8" s="733"/>
      <c r="LUF8" s="733"/>
      <c r="LUG8" s="733"/>
      <c r="LUH8" s="733"/>
      <c r="LUI8" s="733"/>
      <c r="LUJ8" s="733"/>
      <c r="LUK8" s="733"/>
      <c r="LUL8" s="733"/>
      <c r="LUM8" s="733"/>
      <c r="LUN8" s="733"/>
      <c r="LUO8" s="733"/>
      <c r="LUP8" s="733"/>
      <c r="LUQ8" s="733"/>
      <c r="LUR8" s="733"/>
      <c r="LUS8" s="733"/>
      <c r="LUT8" s="733"/>
      <c r="LUU8" s="733"/>
      <c r="LUV8" s="733"/>
      <c r="LUW8" s="733"/>
      <c r="LUX8" s="733"/>
      <c r="LUY8" s="733"/>
      <c r="LUZ8" s="733"/>
      <c r="LVA8" s="733"/>
      <c r="LVB8" s="733"/>
      <c r="LVC8" s="733"/>
      <c r="LVD8" s="733"/>
      <c r="LVE8" s="733"/>
      <c r="LVF8" s="733"/>
      <c r="LVG8" s="733"/>
      <c r="LVH8" s="733"/>
      <c r="LVI8" s="733"/>
      <c r="LVJ8" s="733"/>
      <c r="LVK8" s="733"/>
      <c r="LVL8" s="733"/>
      <c r="LVM8" s="733"/>
      <c r="LVN8" s="733"/>
      <c r="LVO8" s="733"/>
      <c r="LVP8" s="733"/>
      <c r="LVQ8" s="733"/>
      <c r="LVR8" s="733"/>
      <c r="LVS8" s="733"/>
      <c r="LVT8" s="733"/>
      <c r="LVU8" s="733"/>
      <c r="LVV8" s="733"/>
      <c r="LVW8" s="733"/>
      <c r="LVX8" s="733"/>
      <c r="LVY8" s="733"/>
      <c r="LVZ8" s="733"/>
      <c r="LWA8" s="733"/>
      <c r="LWB8" s="733"/>
      <c r="LWC8" s="733"/>
      <c r="LWD8" s="733"/>
      <c r="LWE8" s="733"/>
      <c r="LWF8" s="733"/>
      <c r="LWG8" s="733"/>
      <c r="LWH8" s="733"/>
      <c r="LWI8" s="733"/>
      <c r="LWJ8" s="733"/>
      <c r="LWK8" s="733"/>
      <c r="LWL8" s="733"/>
      <c r="LWM8" s="733"/>
      <c r="LWN8" s="733"/>
      <c r="LWO8" s="733"/>
      <c r="LWP8" s="733"/>
      <c r="LWQ8" s="733"/>
      <c r="LWR8" s="733"/>
      <c r="LWS8" s="733"/>
      <c r="LWT8" s="733"/>
      <c r="LWU8" s="733"/>
      <c r="LWV8" s="733"/>
      <c r="LWW8" s="733"/>
      <c r="LWX8" s="733"/>
      <c r="LWY8" s="733"/>
      <c r="LWZ8" s="733"/>
      <c r="LXA8" s="733"/>
      <c r="LXB8" s="733"/>
      <c r="LXC8" s="733"/>
      <c r="LXD8" s="733"/>
      <c r="LXE8" s="733"/>
      <c r="LXF8" s="733"/>
      <c r="LXG8" s="733"/>
      <c r="LXH8" s="733"/>
      <c r="LXI8" s="733"/>
      <c r="LXJ8" s="733"/>
      <c r="LXK8" s="733"/>
      <c r="LXL8" s="733"/>
      <c r="LXM8" s="733"/>
      <c r="LXN8" s="733"/>
      <c r="LXO8" s="733"/>
      <c r="LXP8" s="733"/>
      <c r="LXQ8" s="733"/>
      <c r="LXR8" s="733"/>
      <c r="LXS8" s="733"/>
      <c r="LXT8" s="733"/>
      <c r="LXU8" s="733"/>
      <c r="LXV8" s="733"/>
      <c r="LXW8" s="733"/>
      <c r="LXX8" s="733"/>
      <c r="LXY8" s="733"/>
      <c r="LXZ8" s="733"/>
      <c r="LYA8" s="733"/>
      <c r="LYB8" s="733"/>
      <c r="LYC8" s="733"/>
      <c r="LYD8" s="733"/>
      <c r="LYE8" s="733"/>
      <c r="LYF8" s="733"/>
      <c r="LYG8" s="733"/>
      <c r="LYH8" s="733"/>
      <c r="LYI8" s="733"/>
      <c r="LYJ8" s="733"/>
      <c r="LYK8" s="733"/>
      <c r="LYL8" s="733"/>
      <c r="LYM8" s="733"/>
      <c r="LYN8" s="733"/>
      <c r="LYO8" s="733"/>
      <c r="LYP8" s="733"/>
      <c r="LYQ8" s="733"/>
      <c r="LYR8" s="733"/>
      <c r="LYS8" s="733"/>
      <c r="LYT8" s="733"/>
      <c r="LYU8" s="733"/>
      <c r="LYV8" s="733"/>
      <c r="LYW8" s="733"/>
      <c r="LYX8" s="733"/>
      <c r="LYY8" s="733"/>
      <c r="LYZ8" s="733"/>
      <c r="LZA8" s="733"/>
      <c r="LZB8" s="733"/>
      <c r="LZC8" s="733"/>
      <c r="LZD8" s="733"/>
      <c r="LZE8" s="733"/>
      <c r="LZF8" s="733"/>
      <c r="LZG8" s="733"/>
      <c r="LZH8" s="733"/>
      <c r="LZI8" s="733"/>
      <c r="LZJ8" s="733"/>
      <c r="LZK8" s="733"/>
      <c r="LZL8" s="733"/>
      <c r="LZM8" s="733"/>
      <c r="LZN8" s="733"/>
      <c r="LZO8" s="733"/>
      <c r="LZP8" s="733"/>
      <c r="LZQ8" s="733"/>
      <c r="LZR8" s="733"/>
      <c r="LZS8" s="733"/>
      <c r="LZT8" s="733"/>
      <c r="LZU8" s="733"/>
      <c r="LZV8" s="733"/>
      <c r="LZW8" s="733"/>
      <c r="LZX8" s="733"/>
      <c r="LZY8" s="733"/>
      <c r="LZZ8" s="733"/>
      <c r="MAA8" s="733"/>
      <c r="MAB8" s="733"/>
      <c r="MAC8" s="733"/>
      <c r="MAD8" s="733"/>
      <c r="MAE8" s="733"/>
      <c r="MAF8" s="733"/>
      <c r="MAG8" s="733"/>
      <c r="MAH8" s="733"/>
      <c r="MAI8" s="733"/>
      <c r="MAJ8" s="733"/>
      <c r="MAK8" s="733"/>
      <c r="MAL8" s="733"/>
      <c r="MAM8" s="733"/>
      <c r="MAN8" s="733"/>
      <c r="MAO8" s="733"/>
      <c r="MAP8" s="733"/>
      <c r="MAQ8" s="733"/>
      <c r="MAR8" s="733"/>
      <c r="MAS8" s="733"/>
      <c r="MAT8" s="733"/>
      <c r="MAU8" s="733"/>
      <c r="MAV8" s="733"/>
      <c r="MAW8" s="733"/>
      <c r="MAX8" s="733"/>
      <c r="MAY8" s="733"/>
      <c r="MAZ8" s="733"/>
      <c r="MBA8" s="733"/>
      <c r="MBB8" s="733"/>
      <c r="MBC8" s="733"/>
      <c r="MBD8" s="733"/>
      <c r="MBE8" s="733"/>
      <c r="MBF8" s="733"/>
      <c r="MBG8" s="733"/>
      <c r="MBH8" s="733"/>
      <c r="MBI8" s="733"/>
      <c r="MBJ8" s="733"/>
      <c r="MBK8" s="733"/>
      <c r="MBL8" s="733"/>
      <c r="MBM8" s="733"/>
      <c r="MBN8" s="733"/>
      <c r="MBO8" s="733"/>
      <c r="MBP8" s="733"/>
      <c r="MBQ8" s="733"/>
      <c r="MBR8" s="733"/>
      <c r="MBS8" s="733"/>
      <c r="MBT8" s="733"/>
      <c r="MBU8" s="733"/>
      <c r="MBV8" s="733"/>
      <c r="MBW8" s="733"/>
      <c r="MBX8" s="733"/>
      <c r="MBY8" s="733"/>
      <c r="MBZ8" s="733"/>
      <c r="MCA8" s="733"/>
      <c r="MCB8" s="733"/>
      <c r="MCC8" s="733"/>
      <c r="MCD8" s="733"/>
      <c r="MCE8" s="733"/>
      <c r="MCF8" s="733"/>
      <c r="MCG8" s="733"/>
      <c r="MCH8" s="733"/>
      <c r="MCI8" s="733"/>
      <c r="MCJ8" s="733"/>
      <c r="MCK8" s="733"/>
      <c r="MCL8" s="733"/>
      <c r="MCM8" s="733"/>
      <c r="MCN8" s="733"/>
      <c r="MCO8" s="733"/>
      <c r="MCP8" s="733"/>
      <c r="MCQ8" s="733"/>
      <c r="MCR8" s="733"/>
      <c r="MCS8" s="733"/>
      <c r="MCT8" s="733"/>
      <c r="MCU8" s="733"/>
      <c r="MCV8" s="733"/>
      <c r="MCW8" s="733"/>
      <c r="MCX8" s="733"/>
      <c r="MCY8" s="733"/>
      <c r="MCZ8" s="733"/>
      <c r="MDA8" s="733"/>
      <c r="MDB8" s="733"/>
      <c r="MDC8" s="733"/>
      <c r="MDD8" s="733"/>
      <c r="MDE8" s="733"/>
      <c r="MDF8" s="733"/>
      <c r="MDG8" s="733"/>
      <c r="MDH8" s="733"/>
      <c r="MDI8" s="733"/>
      <c r="MDJ8" s="733"/>
      <c r="MDK8" s="733"/>
      <c r="MDL8" s="733"/>
      <c r="MDM8" s="733"/>
      <c r="MDN8" s="733"/>
      <c r="MDO8" s="733"/>
      <c r="MDP8" s="733"/>
      <c r="MDQ8" s="733"/>
      <c r="MDR8" s="733"/>
      <c r="MDS8" s="733"/>
      <c r="MDT8" s="733"/>
      <c r="MDU8" s="733"/>
      <c r="MDV8" s="733"/>
      <c r="MDW8" s="733"/>
      <c r="MDX8" s="733"/>
      <c r="MDY8" s="733"/>
      <c r="MDZ8" s="733"/>
      <c r="MEA8" s="733"/>
      <c r="MEB8" s="733"/>
      <c r="MEC8" s="733"/>
      <c r="MED8" s="733"/>
      <c r="MEE8" s="733"/>
      <c r="MEF8" s="733"/>
      <c r="MEG8" s="733"/>
      <c r="MEH8" s="733"/>
      <c r="MEI8" s="733"/>
      <c r="MEJ8" s="733"/>
      <c r="MEK8" s="733"/>
      <c r="MEL8" s="733"/>
      <c r="MEM8" s="733"/>
      <c r="MEN8" s="733"/>
      <c r="MEO8" s="733"/>
      <c r="MEP8" s="733"/>
      <c r="MEQ8" s="733"/>
      <c r="MER8" s="733"/>
      <c r="MES8" s="733"/>
      <c r="MET8" s="733"/>
      <c r="MEU8" s="733"/>
      <c r="MEV8" s="733"/>
      <c r="MEW8" s="733"/>
      <c r="MEX8" s="733"/>
      <c r="MEY8" s="733"/>
      <c r="MEZ8" s="733"/>
      <c r="MFA8" s="733"/>
      <c r="MFB8" s="733"/>
      <c r="MFC8" s="733"/>
      <c r="MFD8" s="733"/>
      <c r="MFE8" s="733"/>
      <c r="MFF8" s="733"/>
      <c r="MFG8" s="733"/>
      <c r="MFH8" s="733"/>
      <c r="MFI8" s="733"/>
      <c r="MFJ8" s="733"/>
      <c r="MFK8" s="733"/>
      <c r="MFL8" s="733"/>
      <c r="MFM8" s="733"/>
      <c r="MFN8" s="733"/>
      <c r="MFO8" s="733"/>
      <c r="MFP8" s="733"/>
      <c r="MFQ8" s="733"/>
      <c r="MFR8" s="733"/>
      <c r="MFS8" s="733"/>
      <c r="MFT8" s="733"/>
      <c r="MFU8" s="733"/>
      <c r="MFV8" s="733"/>
      <c r="MFW8" s="733"/>
      <c r="MFX8" s="733"/>
      <c r="MFY8" s="733"/>
      <c r="MFZ8" s="733"/>
      <c r="MGA8" s="733"/>
      <c r="MGB8" s="733"/>
      <c r="MGC8" s="733"/>
      <c r="MGD8" s="733"/>
      <c r="MGE8" s="733"/>
      <c r="MGF8" s="733"/>
      <c r="MGG8" s="733"/>
      <c r="MGH8" s="733"/>
      <c r="MGI8" s="733"/>
      <c r="MGJ8" s="733"/>
      <c r="MGK8" s="733"/>
      <c r="MGL8" s="733"/>
      <c r="MGM8" s="733"/>
      <c r="MGN8" s="733"/>
      <c r="MGO8" s="733"/>
      <c r="MGP8" s="733"/>
      <c r="MGQ8" s="733"/>
      <c r="MGR8" s="733"/>
      <c r="MGS8" s="733"/>
      <c r="MGT8" s="733"/>
      <c r="MGU8" s="733"/>
      <c r="MGV8" s="733"/>
      <c r="MGW8" s="733"/>
      <c r="MGX8" s="733"/>
      <c r="MGY8" s="733"/>
      <c r="MGZ8" s="733"/>
      <c r="MHA8" s="733"/>
      <c r="MHB8" s="733"/>
      <c r="MHC8" s="733"/>
      <c r="MHD8" s="733"/>
      <c r="MHE8" s="733"/>
      <c r="MHF8" s="733"/>
      <c r="MHG8" s="733"/>
      <c r="MHH8" s="733"/>
      <c r="MHI8" s="733"/>
      <c r="MHJ8" s="733"/>
      <c r="MHK8" s="733"/>
      <c r="MHL8" s="733"/>
      <c r="MHM8" s="733"/>
      <c r="MHN8" s="733"/>
      <c r="MHO8" s="733"/>
      <c r="MHP8" s="733"/>
      <c r="MHQ8" s="733"/>
      <c r="MHR8" s="733"/>
      <c r="MHS8" s="733"/>
      <c r="MHT8" s="733"/>
      <c r="MHU8" s="733"/>
      <c r="MHV8" s="733"/>
      <c r="MHW8" s="733"/>
      <c r="MHX8" s="733"/>
      <c r="MHY8" s="733"/>
      <c r="MHZ8" s="733"/>
      <c r="MIA8" s="733"/>
      <c r="MIB8" s="733"/>
      <c r="MIC8" s="733"/>
      <c r="MID8" s="733"/>
      <c r="MIE8" s="733"/>
      <c r="MIF8" s="733"/>
      <c r="MIG8" s="733"/>
      <c r="MIH8" s="733"/>
      <c r="MII8" s="733"/>
      <c r="MIJ8" s="733"/>
      <c r="MIK8" s="733"/>
      <c r="MIL8" s="733"/>
      <c r="MIM8" s="733"/>
      <c r="MIN8" s="733"/>
      <c r="MIO8" s="733"/>
      <c r="MIP8" s="733"/>
      <c r="MIQ8" s="733"/>
      <c r="MIR8" s="733"/>
      <c r="MIS8" s="733"/>
      <c r="MIT8" s="733"/>
      <c r="MIU8" s="733"/>
      <c r="MIV8" s="733"/>
      <c r="MIW8" s="733"/>
      <c r="MIX8" s="733"/>
      <c r="MIY8" s="733"/>
      <c r="MIZ8" s="733"/>
      <c r="MJA8" s="733"/>
      <c r="MJB8" s="733"/>
      <c r="MJC8" s="733"/>
      <c r="MJD8" s="733"/>
      <c r="MJE8" s="733"/>
      <c r="MJF8" s="733"/>
      <c r="MJG8" s="733"/>
      <c r="MJH8" s="733"/>
      <c r="MJI8" s="733"/>
      <c r="MJJ8" s="733"/>
      <c r="MJK8" s="733"/>
      <c r="MJL8" s="733"/>
      <c r="MJM8" s="733"/>
      <c r="MJN8" s="733"/>
      <c r="MJO8" s="733"/>
      <c r="MJP8" s="733"/>
      <c r="MJQ8" s="733"/>
      <c r="MJR8" s="733"/>
      <c r="MJS8" s="733"/>
      <c r="MJT8" s="733"/>
      <c r="MJU8" s="733"/>
      <c r="MJV8" s="733"/>
      <c r="MJW8" s="733"/>
      <c r="MJX8" s="733"/>
      <c r="MJY8" s="733"/>
      <c r="MJZ8" s="733"/>
      <c r="MKA8" s="733"/>
      <c r="MKB8" s="733"/>
      <c r="MKC8" s="733"/>
      <c r="MKD8" s="733"/>
      <c r="MKE8" s="733"/>
      <c r="MKF8" s="733"/>
      <c r="MKG8" s="733"/>
      <c r="MKH8" s="733"/>
      <c r="MKI8" s="733"/>
      <c r="MKJ8" s="733"/>
      <c r="MKK8" s="733"/>
      <c r="MKL8" s="733"/>
      <c r="MKM8" s="733"/>
      <c r="MKN8" s="733"/>
      <c r="MKO8" s="733"/>
      <c r="MKP8" s="733"/>
      <c r="MKQ8" s="733"/>
      <c r="MKR8" s="733"/>
      <c r="MKS8" s="733"/>
      <c r="MKT8" s="733"/>
      <c r="MKU8" s="733"/>
      <c r="MKV8" s="733"/>
      <c r="MKW8" s="733"/>
      <c r="MKX8" s="733"/>
      <c r="MKY8" s="733"/>
      <c r="MKZ8" s="733"/>
      <c r="MLA8" s="733"/>
      <c r="MLB8" s="733"/>
      <c r="MLC8" s="733"/>
      <c r="MLD8" s="733"/>
      <c r="MLE8" s="733"/>
      <c r="MLF8" s="733"/>
      <c r="MLG8" s="733"/>
      <c r="MLH8" s="733"/>
      <c r="MLI8" s="733"/>
      <c r="MLJ8" s="733"/>
      <c r="MLK8" s="733"/>
      <c r="MLL8" s="733"/>
      <c r="MLM8" s="733"/>
      <c r="MLN8" s="733"/>
      <c r="MLO8" s="733"/>
      <c r="MLP8" s="733"/>
      <c r="MLQ8" s="733"/>
      <c r="MLR8" s="733"/>
      <c r="MLS8" s="733"/>
      <c r="MLT8" s="733"/>
      <c r="MLU8" s="733"/>
      <c r="MLV8" s="733"/>
      <c r="MLW8" s="733"/>
      <c r="MLX8" s="733"/>
      <c r="MLY8" s="733"/>
      <c r="MLZ8" s="733"/>
      <c r="MMA8" s="733"/>
      <c r="MMB8" s="733"/>
      <c r="MMC8" s="733"/>
      <c r="MMD8" s="733"/>
      <c r="MME8" s="733"/>
      <c r="MMF8" s="733"/>
      <c r="MMG8" s="733"/>
      <c r="MMH8" s="733"/>
      <c r="MMI8" s="733"/>
      <c r="MMJ8" s="733"/>
      <c r="MMK8" s="733"/>
      <c r="MML8" s="733"/>
      <c r="MMM8" s="733"/>
      <c r="MMN8" s="733"/>
      <c r="MMO8" s="733"/>
      <c r="MMP8" s="733"/>
      <c r="MMQ8" s="733"/>
      <c r="MMR8" s="733"/>
      <c r="MMS8" s="733"/>
      <c r="MMT8" s="733"/>
      <c r="MMU8" s="733"/>
      <c r="MMV8" s="733"/>
      <c r="MMW8" s="733"/>
      <c r="MMX8" s="733"/>
      <c r="MMY8" s="733"/>
      <c r="MMZ8" s="733"/>
      <c r="MNA8" s="733"/>
      <c r="MNB8" s="733"/>
      <c r="MNC8" s="733"/>
      <c r="MND8" s="733"/>
      <c r="MNE8" s="733"/>
      <c r="MNF8" s="733"/>
      <c r="MNG8" s="733"/>
      <c r="MNH8" s="733"/>
      <c r="MNI8" s="733"/>
      <c r="MNJ8" s="733"/>
      <c r="MNK8" s="733"/>
      <c r="MNL8" s="733"/>
      <c r="MNM8" s="733"/>
      <c r="MNN8" s="733"/>
      <c r="MNO8" s="733"/>
      <c r="MNP8" s="733"/>
      <c r="MNQ8" s="733"/>
      <c r="MNR8" s="733"/>
      <c r="MNS8" s="733"/>
      <c r="MNT8" s="733"/>
      <c r="MNU8" s="733"/>
      <c r="MNV8" s="733"/>
      <c r="MNW8" s="733"/>
      <c r="MNX8" s="733"/>
      <c r="MNY8" s="733"/>
      <c r="MNZ8" s="733"/>
      <c r="MOA8" s="733"/>
      <c r="MOB8" s="733"/>
      <c r="MOC8" s="733"/>
      <c r="MOD8" s="733"/>
      <c r="MOE8" s="733"/>
      <c r="MOF8" s="733"/>
      <c r="MOG8" s="733"/>
      <c r="MOH8" s="733"/>
      <c r="MOI8" s="733"/>
      <c r="MOJ8" s="733"/>
      <c r="MOK8" s="733"/>
      <c r="MOL8" s="733"/>
      <c r="MOM8" s="733"/>
      <c r="MON8" s="733"/>
      <c r="MOO8" s="733"/>
      <c r="MOP8" s="733"/>
      <c r="MOQ8" s="733"/>
      <c r="MOR8" s="733"/>
      <c r="MOS8" s="733"/>
      <c r="MOT8" s="733"/>
      <c r="MOU8" s="733"/>
      <c r="MOV8" s="733"/>
      <c r="MOW8" s="733"/>
      <c r="MOX8" s="733"/>
      <c r="MOY8" s="733"/>
      <c r="MOZ8" s="733"/>
      <c r="MPA8" s="733"/>
      <c r="MPB8" s="733"/>
      <c r="MPC8" s="733"/>
      <c r="MPD8" s="733"/>
      <c r="MPE8" s="733"/>
      <c r="MPF8" s="733"/>
      <c r="MPG8" s="733"/>
      <c r="MPH8" s="733"/>
      <c r="MPI8" s="733"/>
      <c r="MPJ8" s="733"/>
      <c r="MPK8" s="733"/>
      <c r="MPL8" s="733"/>
      <c r="MPM8" s="733"/>
      <c r="MPN8" s="733"/>
      <c r="MPO8" s="733"/>
      <c r="MPP8" s="733"/>
      <c r="MPQ8" s="733"/>
      <c r="MPR8" s="733"/>
      <c r="MPS8" s="733"/>
      <c r="MPT8" s="733"/>
      <c r="MPU8" s="733"/>
      <c r="MPV8" s="733"/>
      <c r="MPW8" s="733"/>
      <c r="MPX8" s="733"/>
      <c r="MPY8" s="733"/>
      <c r="MPZ8" s="733"/>
      <c r="MQA8" s="733"/>
      <c r="MQB8" s="733"/>
      <c r="MQC8" s="733"/>
      <c r="MQD8" s="733"/>
      <c r="MQE8" s="733"/>
      <c r="MQF8" s="733"/>
      <c r="MQG8" s="733"/>
      <c r="MQH8" s="733"/>
      <c r="MQI8" s="733"/>
      <c r="MQJ8" s="733"/>
      <c r="MQK8" s="733"/>
      <c r="MQL8" s="733"/>
      <c r="MQM8" s="733"/>
      <c r="MQN8" s="733"/>
      <c r="MQO8" s="733"/>
      <c r="MQP8" s="733"/>
      <c r="MQQ8" s="733"/>
      <c r="MQR8" s="733"/>
      <c r="MQS8" s="733"/>
      <c r="MQT8" s="733"/>
      <c r="MQU8" s="733"/>
      <c r="MQV8" s="733"/>
      <c r="MQW8" s="733"/>
      <c r="MQX8" s="733"/>
      <c r="MQY8" s="733"/>
      <c r="MQZ8" s="733"/>
      <c r="MRA8" s="733"/>
      <c r="MRB8" s="733"/>
      <c r="MRC8" s="733"/>
      <c r="MRD8" s="733"/>
      <c r="MRE8" s="733"/>
      <c r="MRF8" s="733"/>
      <c r="MRG8" s="733"/>
      <c r="MRH8" s="733"/>
      <c r="MRI8" s="733"/>
      <c r="MRJ8" s="733"/>
      <c r="MRK8" s="733"/>
      <c r="MRL8" s="733"/>
      <c r="MRM8" s="733"/>
      <c r="MRN8" s="733"/>
      <c r="MRO8" s="733"/>
      <c r="MRP8" s="733"/>
      <c r="MRQ8" s="733"/>
      <c r="MRR8" s="733"/>
      <c r="MRS8" s="733"/>
      <c r="MRT8" s="733"/>
      <c r="MRU8" s="733"/>
      <c r="MRV8" s="733"/>
      <c r="MRW8" s="733"/>
      <c r="MRX8" s="733"/>
      <c r="MRY8" s="733"/>
      <c r="MRZ8" s="733"/>
      <c r="MSA8" s="733"/>
      <c r="MSB8" s="733"/>
      <c r="MSC8" s="733"/>
      <c r="MSD8" s="733"/>
      <c r="MSE8" s="733"/>
      <c r="MSF8" s="733"/>
      <c r="MSG8" s="733"/>
      <c r="MSH8" s="733"/>
      <c r="MSI8" s="733"/>
      <c r="MSJ8" s="733"/>
      <c r="MSK8" s="733"/>
      <c r="MSL8" s="733"/>
      <c r="MSM8" s="733"/>
      <c r="MSN8" s="733"/>
      <c r="MSO8" s="733"/>
      <c r="MSP8" s="733"/>
      <c r="MSQ8" s="733"/>
      <c r="MSR8" s="733"/>
      <c r="MSS8" s="733"/>
      <c r="MST8" s="733"/>
      <c r="MSU8" s="733"/>
      <c r="MSV8" s="733"/>
      <c r="MSW8" s="733"/>
      <c r="MSX8" s="733"/>
      <c r="MSY8" s="733"/>
      <c r="MSZ8" s="733"/>
      <c r="MTA8" s="733"/>
      <c r="MTB8" s="733"/>
      <c r="MTC8" s="733"/>
      <c r="MTD8" s="733"/>
      <c r="MTE8" s="733"/>
      <c r="MTF8" s="733"/>
      <c r="MTG8" s="733"/>
      <c r="MTH8" s="733"/>
      <c r="MTI8" s="733"/>
      <c r="MTJ8" s="733"/>
      <c r="MTK8" s="733"/>
      <c r="MTL8" s="733"/>
      <c r="MTM8" s="733"/>
      <c r="MTN8" s="733"/>
      <c r="MTO8" s="733"/>
      <c r="MTP8" s="733"/>
      <c r="MTQ8" s="733"/>
      <c r="MTR8" s="733"/>
      <c r="MTS8" s="733"/>
      <c r="MTT8" s="733"/>
      <c r="MTU8" s="733"/>
      <c r="MTV8" s="733"/>
      <c r="MTW8" s="733"/>
      <c r="MTX8" s="733"/>
      <c r="MTY8" s="733"/>
      <c r="MTZ8" s="733"/>
      <c r="MUA8" s="733"/>
      <c r="MUB8" s="733"/>
      <c r="MUC8" s="733"/>
      <c r="MUD8" s="733"/>
      <c r="MUE8" s="733"/>
      <c r="MUF8" s="733"/>
      <c r="MUG8" s="733"/>
      <c r="MUH8" s="733"/>
      <c r="MUI8" s="733"/>
      <c r="MUJ8" s="733"/>
      <c r="MUK8" s="733"/>
      <c r="MUL8" s="733"/>
      <c r="MUM8" s="733"/>
      <c r="MUN8" s="733"/>
      <c r="MUO8" s="733"/>
      <c r="MUP8" s="733"/>
      <c r="MUQ8" s="733"/>
      <c r="MUR8" s="733"/>
      <c r="MUS8" s="733"/>
      <c r="MUT8" s="733"/>
      <c r="MUU8" s="733"/>
      <c r="MUV8" s="733"/>
      <c r="MUW8" s="733"/>
      <c r="MUX8" s="733"/>
      <c r="MUY8" s="733"/>
      <c r="MUZ8" s="733"/>
      <c r="MVA8" s="733"/>
      <c r="MVB8" s="733"/>
      <c r="MVC8" s="733"/>
      <c r="MVD8" s="733"/>
      <c r="MVE8" s="733"/>
      <c r="MVF8" s="733"/>
      <c r="MVG8" s="733"/>
      <c r="MVH8" s="733"/>
      <c r="MVI8" s="733"/>
      <c r="MVJ8" s="733"/>
      <c r="MVK8" s="733"/>
      <c r="MVL8" s="733"/>
      <c r="MVM8" s="733"/>
      <c r="MVN8" s="733"/>
      <c r="MVO8" s="733"/>
      <c r="MVP8" s="733"/>
      <c r="MVQ8" s="733"/>
      <c r="MVR8" s="733"/>
      <c r="MVS8" s="733"/>
      <c r="MVT8" s="733"/>
      <c r="MVU8" s="733"/>
      <c r="MVV8" s="733"/>
      <c r="MVW8" s="733"/>
      <c r="MVX8" s="733"/>
      <c r="MVY8" s="733"/>
      <c r="MVZ8" s="733"/>
      <c r="MWA8" s="733"/>
      <c r="MWB8" s="733"/>
      <c r="MWC8" s="733"/>
      <c r="MWD8" s="733"/>
      <c r="MWE8" s="733"/>
      <c r="MWF8" s="733"/>
      <c r="MWG8" s="733"/>
      <c r="MWH8" s="733"/>
      <c r="MWI8" s="733"/>
      <c r="MWJ8" s="733"/>
      <c r="MWK8" s="733"/>
      <c r="MWL8" s="733"/>
      <c r="MWM8" s="733"/>
      <c r="MWN8" s="733"/>
      <c r="MWO8" s="733"/>
      <c r="MWP8" s="733"/>
      <c r="MWQ8" s="733"/>
      <c r="MWR8" s="733"/>
      <c r="MWS8" s="733"/>
      <c r="MWT8" s="733"/>
      <c r="MWU8" s="733"/>
      <c r="MWV8" s="733"/>
      <c r="MWW8" s="733"/>
      <c r="MWX8" s="733"/>
      <c r="MWY8" s="733"/>
      <c r="MWZ8" s="733"/>
      <c r="MXA8" s="733"/>
      <c r="MXB8" s="733"/>
      <c r="MXC8" s="733"/>
      <c r="MXD8" s="733"/>
      <c r="MXE8" s="733"/>
      <c r="MXF8" s="733"/>
      <c r="MXG8" s="733"/>
      <c r="MXH8" s="733"/>
      <c r="MXI8" s="733"/>
      <c r="MXJ8" s="733"/>
      <c r="MXK8" s="733"/>
      <c r="MXL8" s="733"/>
      <c r="MXM8" s="733"/>
      <c r="MXN8" s="733"/>
      <c r="MXO8" s="733"/>
      <c r="MXP8" s="733"/>
      <c r="MXQ8" s="733"/>
      <c r="MXR8" s="733"/>
      <c r="MXS8" s="733"/>
      <c r="MXT8" s="733"/>
      <c r="MXU8" s="733"/>
      <c r="MXV8" s="733"/>
      <c r="MXW8" s="733"/>
      <c r="MXX8" s="733"/>
      <c r="MXY8" s="733"/>
      <c r="MXZ8" s="733"/>
      <c r="MYA8" s="733"/>
      <c r="MYB8" s="733"/>
      <c r="MYC8" s="733"/>
      <c r="MYD8" s="733"/>
      <c r="MYE8" s="733"/>
      <c r="MYF8" s="733"/>
      <c r="MYG8" s="733"/>
      <c r="MYH8" s="733"/>
      <c r="MYI8" s="733"/>
      <c r="MYJ8" s="733"/>
      <c r="MYK8" s="733"/>
      <c r="MYL8" s="733"/>
      <c r="MYM8" s="733"/>
      <c r="MYN8" s="733"/>
      <c r="MYO8" s="733"/>
      <c r="MYP8" s="733"/>
      <c r="MYQ8" s="733"/>
      <c r="MYR8" s="733"/>
      <c r="MYS8" s="733"/>
      <c r="MYT8" s="733"/>
      <c r="MYU8" s="733"/>
      <c r="MYV8" s="733"/>
      <c r="MYW8" s="733"/>
      <c r="MYX8" s="733"/>
      <c r="MYY8" s="733"/>
      <c r="MYZ8" s="733"/>
      <c r="MZA8" s="733"/>
      <c r="MZB8" s="733"/>
      <c r="MZC8" s="733"/>
      <c r="MZD8" s="733"/>
      <c r="MZE8" s="733"/>
      <c r="MZF8" s="733"/>
      <c r="MZG8" s="733"/>
      <c r="MZH8" s="733"/>
      <c r="MZI8" s="733"/>
      <c r="MZJ8" s="733"/>
      <c r="MZK8" s="733"/>
      <c r="MZL8" s="733"/>
      <c r="MZM8" s="733"/>
      <c r="MZN8" s="733"/>
      <c r="MZO8" s="733"/>
      <c r="MZP8" s="733"/>
      <c r="MZQ8" s="733"/>
      <c r="MZR8" s="733"/>
      <c r="MZS8" s="733"/>
      <c r="MZT8" s="733"/>
      <c r="MZU8" s="733"/>
      <c r="MZV8" s="733"/>
      <c r="MZW8" s="733"/>
      <c r="MZX8" s="733"/>
      <c r="MZY8" s="733"/>
      <c r="MZZ8" s="733"/>
      <c r="NAA8" s="733"/>
      <c r="NAB8" s="733"/>
      <c r="NAC8" s="733"/>
      <c r="NAD8" s="733"/>
      <c r="NAE8" s="733"/>
      <c r="NAF8" s="733"/>
      <c r="NAG8" s="733"/>
      <c r="NAH8" s="733"/>
      <c r="NAI8" s="733"/>
      <c r="NAJ8" s="733"/>
      <c r="NAK8" s="733"/>
      <c r="NAL8" s="733"/>
      <c r="NAM8" s="733"/>
      <c r="NAN8" s="733"/>
      <c r="NAO8" s="733"/>
      <c r="NAP8" s="733"/>
      <c r="NAQ8" s="733"/>
      <c r="NAR8" s="733"/>
      <c r="NAS8" s="733"/>
      <c r="NAT8" s="733"/>
      <c r="NAU8" s="733"/>
      <c r="NAV8" s="733"/>
      <c r="NAW8" s="733"/>
      <c r="NAX8" s="733"/>
      <c r="NAY8" s="733"/>
      <c r="NAZ8" s="733"/>
      <c r="NBA8" s="733"/>
      <c r="NBB8" s="733"/>
      <c r="NBC8" s="733"/>
      <c r="NBD8" s="733"/>
      <c r="NBE8" s="733"/>
      <c r="NBF8" s="733"/>
      <c r="NBG8" s="733"/>
      <c r="NBH8" s="733"/>
      <c r="NBI8" s="733"/>
      <c r="NBJ8" s="733"/>
      <c r="NBK8" s="733"/>
      <c r="NBL8" s="733"/>
      <c r="NBM8" s="733"/>
      <c r="NBN8" s="733"/>
      <c r="NBO8" s="733"/>
      <c r="NBP8" s="733"/>
      <c r="NBQ8" s="733"/>
      <c r="NBR8" s="733"/>
      <c r="NBS8" s="733"/>
      <c r="NBT8" s="733"/>
      <c r="NBU8" s="733"/>
      <c r="NBV8" s="733"/>
      <c r="NBW8" s="733"/>
      <c r="NBX8" s="733"/>
      <c r="NBY8" s="733"/>
      <c r="NBZ8" s="733"/>
      <c r="NCA8" s="733"/>
      <c r="NCB8" s="733"/>
      <c r="NCC8" s="733"/>
      <c r="NCD8" s="733"/>
      <c r="NCE8" s="733"/>
      <c r="NCF8" s="733"/>
      <c r="NCG8" s="733"/>
      <c r="NCH8" s="733"/>
      <c r="NCI8" s="733"/>
      <c r="NCJ8" s="733"/>
      <c r="NCK8" s="733"/>
      <c r="NCL8" s="733"/>
      <c r="NCM8" s="733"/>
      <c r="NCN8" s="733"/>
      <c r="NCO8" s="733"/>
      <c r="NCP8" s="733"/>
      <c r="NCQ8" s="733"/>
      <c r="NCR8" s="733"/>
      <c r="NCS8" s="733"/>
      <c r="NCT8" s="733"/>
      <c r="NCU8" s="733"/>
      <c r="NCV8" s="733"/>
      <c r="NCW8" s="733"/>
      <c r="NCX8" s="733"/>
      <c r="NCY8" s="733"/>
      <c r="NCZ8" s="733"/>
      <c r="NDA8" s="733"/>
      <c r="NDB8" s="733"/>
      <c r="NDC8" s="733"/>
      <c r="NDD8" s="733"/>
      <c r="NDE8" s="733"/>
      <c r="NDF8" s="733"/>
      <c r="NDG8" s="733"/>
      <c r="NDH8" s="733"/>
      <c r="NDI8" s="733"/>
      <c r="NDJ8" s="733"/>
      <c r="NDK8" s="733"/>
      <c r="NDL8" s="733"/>
      <c r="NDM8" s="733"/>
      <c r="NDN8" s="733"/>
      <c r="NDO8" s="733"/>
      <c r="NDP8" s="733"/>
      <c r="NDQ8" s="733"/>
      <c r="NDR8" s="733"/>
      <c r="NDS8" s="733"/>
      <c r="NDT8" s="733"/>
      <c r="NDU8" s="733"/>
      <c r="NDV8" s="733"/>
      <c r="NDW8" s="733"/>
      <c r="NDX8" s="733"/>
      <c r="NDY8" s="733"/>
      <c r="NDZ8" s="733"/>
      <c r="NEA8" s="733"/>
      <c r="NEB8" s="733"/>
      <c r="NEC8" s="733"/>
      <c r="NED8" s="733"/>
      <c r="NEE8" s="733"/>
      <c r="NEF8" s="733"/>
      <c r="NEG8" s="733"/>
      <c r="NEH8" s="733"/>
      <c r="NEI8" s="733"/>
      <c r="NEJ8" s="733"/>
      <c r="NEK8" s="733"/>
      <c r="NEL8" s="733"/>
      <c r="NEM8" s="733"/>
      <c r="NEN8" s="733"/>
      <c r="NEO8" s="733"/>
      <c r="NEP8" s="733"/>
      <c r="NEQ8" s="733"/>
      <c r="NER8" s="733"/>
      <c r="NES8" s="733"/>
      <c r="NET8" s="733"/>
      <c r="NEU8" s="733"/>
      <c r="NEV8" s="733"/>
      <c r="NEW8" s="733"/>
      <c r="NEX8" s="733"/>
      <c r="NEY8" s="733"/>
      <c r="NEZ8" s="733"/>
      <c r="NFA8" s="733"/>
      <c r="NFB8" s="733"/>
      <c r="NFC8" s="733"/>
      <c r="NFD8" s="733"/>
      <c r="NFE8" s="733"/>
      <c r="NFF8" s="733"/>
      <c r="NFG8" s="733"/>
      <c r="NFH8" s="733"/>
      <c r="NFI8" s="733"/>
      <c r="NFJ8" s="733"/>
      <c r="NFK8" s="733"/>
      <c r="NFL8" s="733"/>
      <c r="NFM8" s="733"/>
      <c r="NFN8" s="733"/>
      <c r="NFO8" s="733"/>
      <c r="NFP8" s="733"/>
      <c r="NFQ8" s="733"/>
      <c r="NFR8" s="733"/>
      <c r="NFS8" s="733"/>
      <c r="NFT8" s="733"/>
      <c r="NFU8" s="733"/>
      <c r="NFV8" s="733"/>
      <c r="NFW8" s="733"/>
      <c r="NFX8" s="733"/>
      <c r="NFY8" s="733"/>
      <c r="NFZ8" s="733"/>
      <c r="NGA8" s="733"/>
      <c r="NGB8" s="733"/>
      <c r="NGC8" s="733"/>
      <c r="NGD8" s="733"/>
      <c r="NGE8" s="733"/>
      <c r="NGF8" s="733"/>
      <c r="NGG8" s="733"/>
      <c r="NGH8" s="733"/>
      <c r="NGI8" s="733"/>
      <c r="NGJ8" s="733"/>
      <c r="NGK8" s="733"/>
      <c r="NGL8" s="733"/>
      <c r="NGM8" s="733"/>
      <c r="NGN8" s="733"/>
      <c r="NGO8" s="733"/>
      <c r="NGP8" s="733"/>
      <c r="NGQ8" s="733"/>
      <c r="NGR8" s="733"/>
      <c r="NGS8" s="733"/>
      <c r="NGT8" s="733"/>
      <c r="NGU8" s="733"/>
      <c r="NGV8" s="733"/>
      <c r="NGW8" s="733"/>
      <c r="NGX8" s="733"/>
      <c r="NGY8" s="733"/>
      <c r="NGZ8" s="733"/>
      <c r="NHA8" s="733"/>
      <c r="NHB8" s="733"/>
      <c r="NHC8" s="733"/>
      <c r="NHD8" s="733"/>
      <c r="NHE8" s="733"/>
      <c r="NHF8" s="733"/>
      <c r="NHG8" s="733"/>
      <c r="NHH8" s="733"/>
      <c r="NHI8" s="733"/>
      <c r="NHJ8" s="733"/>
      <c r="NHK8" s="733"/>
      <c r="NHL8" s="733"/>
      <c r="NHM8" s="733"/>
      <c r="NHN8" s="733"/>
      <c r="NHO8" s="733"/>
      <c r="NHP8" s="733"/>
      <c r="NHQ8" s="733"/>
      <c r="NHR8" s="733"/>
      <c r="NHS8" s="733"/>
      <c r="NHT8" s="733"/>
      <c r="NHU8" s="733"/>
      <c r="NHV8" s="733"/>
      <c r="NHW8" s="733"/>
      <c r="NHX8" s="733"/>
      <c r="NHY8" s="733"/>
      <c r="NHZ8" s="733"/>
      <c r="NIA8" s="733"/>
      <c r="NIB8" s="733"/>
      <c r="NIC8" s="733"/>
      <c r="NID8" s="733"/>
      <c r="NIE8" s="733"/>
      <c r="NIF8" s="733"/>
      <c r="NIG8" s="733"/>
      <c r="NIH8" s="733"/>
      <c r="NII8" s="733"/>
      <c r="NIJ8" s="733"/>
      <c r="NIK8" s="733"/>
      <c r="NIL8" s="733"/>
      <c r="NIM8" s="733"/>
      <c r="NIN8" s="733"/>
      <c r="NIO8" s="733"/>
      <c r="NIP8" s="733"/>
      <c r="NIQ8" s="733"/>
      <c r="NIR8" s="733"/>
      <c r="NIS8" s="733"/>
      <c r="NIT8" s="733"/>
      <c r="NIU8" s="733"/>
      <c r="NIV8" s="733"/>
      <c r="NIW8" s="733"/>
      <c r="NIX8" s="733"/>
      <c r="NIY8" s="733"/>
      <c r="NIZ8" s="733"/>
      <c r="NJA8" s="733"/>
      <c r="NJB8" s="733"/>
      <c r="NJC8" s="733"/>
      <c r="NJD8" s="733"/>
      <c r="NJE8" s="733"/>
      <c r="NJF8" s="733"/>
      <c r="NJG8" s="733"/>
      <c r="NJH8" s="733"/>
      <c r="NJI8" s="733"/>
      <c r="NJJ8" s="733"/>
      <c r="NJK8" s="733"/>
      <c r="NJL8" s="733"/>
      <c r="NJM8" s="733"/>
      <c r="NJN8" s="733"/>
      <c r="NJO8" s="733"/>
      <c r="NJP8" s="733"/>
      <c r="NJQ8" s="733"/>
      <c r="NJR8" s="733"/>
      <c r="NJS8" s="733"/>
      <c r="NJT8" s="733"/>
      <c r="NJU8" s="733"/>
      <c r="NJV8" s="733"/>
      <c r="NJW8" s="733"/>
      <c r="NJX8" s="733"/>
      <c r="NJY8" s="733"/>
      <c r="NJZ8" s="733"/>
      <c r="NKA8" s="733"/>
      <c r="NKB8" s="733"/>
      <c r="NKC8" s="733"/>
      <c r="NKD8" s="733"/>
      <c r="NKE8" s="733"/>
      <c r="NKF8" s="733"/>
      <c r="NKG8" s="733"/>
      <c r="NKH8" s="733"/>
      <c r="NKI8" s="733"/>
      <c r="NKJ8" s="733"/>
      <c r="NKK8" s="733"/>
      <c r="NKL8" s="733"/>
      <c r="NKM8" s="733"/>
      <c r="NKN8" s="733"/>
      <c r="NKO8" s="733"/>
      <c r="NKP8" s="733"/>
      <c r="NKQ8" s="733"/>
      <c r="NKR8" s="733"/>
      <c r="NKS8" s="733"/>
      <c r="NKT8" s="733"/>
      <c r="NKU8" s="733"/>
      <c r="NKV8" s="733"/>
      <c r="NKW8" s="733"/>
      <c r="NKX8" s="733"/>
      <c r="NKY8" s="733"/>
      <c r="NKZ8" s="733"/>
      <c r="NLA8" s="733"/>
      <c r="NLB8" s="733"/>
      <c r="NLC8" s="733"/>
      <c r="NLD8" s="733"/>
      <c r="NLE8" s="733"/>
      <c r="NLF8" s="733"/>
      <c r="NLG8" s="733"/>
      <c r="NLH8" s="733"/>
      <c r="NLI8" s="733"/>
      <c r="NLJ8" s="733"/>
      <c r="NLK8" s="733"/>
      <c r="NLL8" s="733"/>
      <c r="NLM8" s="733"/>
      <c r="NLN8" s="733"/>
      <c r="NLO8" s="733"/>
      <c r="NLP8" s="733"/>
      <c r="NLQ8" s="733"/>
      <c r="NLR8" s="733"/>
      <c r="NLS8" s="733"/>
      <c r="NLT8" s="733"/>
      <c r="NLU8" s="733"/>
      <c r="NLV8" s="733"/>
      <c r="NLW8" s="733"/>
      <c r="NLX8" s="733"/>
      <c r="NLY8" s="733"/>
      <c r="NLZ8" s="733"/>
      <c r="NMA8" s="733"/>
      <c r="NMB8" s="733"/>
      <c r="NMC8" s="733"/>
      <c r="NMD8" s="733"/>
      <c r="NME8" s="733"/>
      <c r="NMF8" s="733"/>
      <c r="NMG8" s="733"/>
      <c r="NMH8" s="733"/>
      <c r="NMI8" s="733"/>
      <c r="NMJ8" s="733"/>
      <c r="NMK8" s="733"/>
      <c r="NML8" s="733"/>
      <c r="NMM8" s="733"/>
      <c r="NMN8" s="733"/>
      <c r="NMO8" s="733"/>
      <c r="NMP8" s="733"/>
      <c r="NMQ8" s="733"/>
      <c r="NMR8" s="733"/>
      <c r="NMS8" s="733"/>
      <c r="NMT8" s="733"/>
      <c r="NMU8" s="733"/>
      <c r="NMV8" s="733"/>
      <c r="NMW8" s="733"/>
      <c r="NMX8" s="733"/>
      <c r="NMY8" s="733"/>
      <c r="NMZ8" s="733"/>
      <c r="NNA8" s="733"/>
      <c r="NNB8" s="733"/>
      <c r="NNC8" s="733"/>
      <c r="NND8" s="733"/>
      <c r="NNE8" s="733"/>
      <c r="NNF8" s="733"/>
      <c r="NNG8" s="733"/>
      <c r="NNH8" s="733"/>
      <c r="NNI8" s="733"/>
      <c r="NNJ8" s="733"/>
      <c r="NNK8" s="733"/>
      <c r="NNL8" s="733"/>
      <c r="NNM8" s="733"/>
      <c r="NNN8" s="733"/>
      <c r="NNO8" s="733"/>
      <c r="NNP8" s="733"/>
      <c r="NNQ8" s="733"/>
      <c r="NNR8" s="733"/>
      <c r="NNS8" s="733"/>
      <c r="NNT8" s="733"/>
      <c r="NNU8" s="733"/>
      <c r="NNV8" s="733"/>
      <c r="NNW8" s="733"/>
      <c r="NNX8" s="733"/>
      <c r="NNY8" s="733"/>
      <c r="NNZ8" s="733"/>
      <c r="NOA8" s="733"/>
      <c r="NOB8" s="733"/>
      <c r="NOC8" s="733"/>
      <c r="NOD8" s="733"/>
      <c r="NOE8" s="733"/>
      <c r="NOF8" s="733"/>
      <c r="NOG8" s="733"/>
      <c r="NOH8" s="733"/>
      <c r="NOI8" s="733"/>
      <c r="NOJ8" s="733"/>
      <c r="NOK8" s="733"/>
      <c r="NOL8" s="733"/>
      <c r="NOM8" s="733"/>
      <c r="NON8" s="733"/>
      <c r="NOO8" s="733"/>
      <c r="NOP8" s="733"/>
      <c r="NOQ8" s="733"/>
      <c r="NOR8" s="733"/>
      <c r="NOS8" s="733"/>
      <c r="NOT8" s="733"/>
      <c r="NOU8" s="733"/>
      <c r="NOV8" s="733"/>
      <c r="NOW8" s="733"/>
      <c r="NOX8" s="733"/>
      <c r="NOY8" s="733"/>
      <c r="NOZ8" s="733"/>
      <c r="NPA8" s="733"/>
      <c r="NPB8" s="733"/>
      <c r="NPC8" s="733"/>
      <c r="NPD8" s="733"/>
      <c r="NPE8" s="733"/>
      <c r="NPF8" s="733"/>
      <c r="NPG8" s="733"/>
      <c r="NPH8" s="733"/>
      <c r="NPI8" s="733"/>
      <c r="NPJ8" s="733"/>
      <c r="NPK8" s="733"/>
      <c r="NPL8" s="733"/>
      <c r="NPM8" s="733"/>
      <c r="NPN8" s="733"/>
      <c r="NPO8" s="733"/>
      <c r="NPP8" s="733"/>
      <c r="NPQ8" s="733"/>
      <c r="NPR8" s="733"/>
      <c r="NPS8" s="733"/>
      <c r="NPT8" s="733"/>
      <c r="NPU8" s="733"/>
      <c r="NPV8" s="733"/>
      <c r="NPW8" s="733"/>
      <c r="NPX8" s="733"/>
      <c r="NPY8" s="733"/>
      <c r="NPZ8" s="733"/>
      <c r="NQA8" s="733"/>
      <c r="NQB8" s="733"/>
      <c r="NQC8" s="733"/>
      <c r="NQD8" s="733"/>
      <c r="NQE8" s="733"/>
      <c r="NQF8" s="733"/>
      <c r="NQG8" s="733"/>
      <c r="NQH8" s="733"/>
      <c r="NQI8" s="733"/>
      <c r="NQJ8" s="733"/>
      <c r="NQK8" s="733"/>
      <c r="NQL8" s="733"/>
      <c r="NQM8" s="733"/>
      <c r="NQN8" s="733"/>
      <c r="NQO8" s="733"/>
      <c r="NQP8" s="733"/>
      <c r="NQQ8" s="733"/>
      <c r="NQR8" s="733"/>
      <c r="NQS8" s="733"/>
      <c r="NQT8" s="733"/>
      <c r="NQU8" s="733"/>
      <c r="NQV8" s="733"/>
      <c r="NQW8" s="733"/>
      <c r="NQX8" s="733"/>
      <c r="NQY8" s="733"/>
      <c r="NQZ8" s="733"/>
      <c r="NRA8" s="733"/>
      <c r="NRB8" s="733"/>
      <c r="NRC8" s="733"/>
      <c r="NRD8" s="733"/>
      <c r="NRE8" s="733"/>
      <c r="NRF8" s="733"/>
      <c r="NRG8" s="733"/>
      <c r="NRH8" s="733"/>
      <c r="NRI8" s="733"/>
      <c r="NRJ8" s="733"/>
      <c r="NRK8" s="733"/>
      <c r="NRL8" s="733"/>
      <c r="NRM8" s="733"/>
      <c r="NRN8" s="733"/>
      <c r="NRO8" s="733"/>
      <c r="NRP8" s="733"/>
      <c r="NRQ8" s="733"/>
      <c r="NRR8" s="733"/>
      <c r="NRS8" s="733"/>
      <c r="NRT8" s="733"/>
      <c r="NRU8" s="733"/>
      <c r="NRV8" s="733"/>
      <c r="NRW8" s="733"/>
      <c r="NRX8" s="733"/>
      <c r="NRY8" s="733"/>
      <c r="NRZ8" s="733"/>
      <c r="NSA8" s="733"/>
      <c r="NSB8" s="733"/>
      <c r="NSC8" s="733"/>
      <c r="NSD8" s="733"/>
      <c r="NSE8" s="733"/>
      <c r="NSF8" s="733"/>
      <c r="NSG8" s="733"/>
      <c r="NSH8" s="733"/>
      <c r="NSI8" s="733"/>
      <c r="NSJ8" s="733"/>
      <c r="NSK8" s="733"/>
      <c r="NSL8" s="733"/>
      <c r="NSM8" s="733"/>
      <c r="NSN8" s="733"/>
      <c r="NSO8" s="733"/>
      <c r="NSP8" s="733"/>
      <c r="NSQ8" s="733"/>
      <c r="NSR8" s="733"/>
      <c r="NSS8" s="733"/>
      <c r="NST8" s="733"/>
      <c r="NSU8" s="733"/>
      <c r="NSV8" s="733"/>
      <c r="NSW8" s="733"/>
      <c r="NSX8" s="733"/>
      <c r="NSY8" s="733"/>
      <c r="NSZ8" s="733"/>
      <c r="NTA8" s="733"/>
      <c r="NTB8" s="733"/>
      <c r="NTC8" s="733"/>
      <c r="NTD8" s="733"/>
      <c r="NTE8" s="733"/>
      <c r="NTF8" s="733"/>
      <c r="NTG8" s="733"/>
      <c r="NTH8" s="733"/>
      <c r="NTI8" s="733"/>
      <c r="NTJ8" s="733"/>
      <c r="NTK8" s="733"/>
      <c r="NTL8" s="733"/>
      <c r="NTM8" s="733"/>
      <c r="NTN8" s="733"/>
      <c r="NTO8" s="733"/>
      <c r="NTP8" s="733"/>
      <c r="NTQ8" s="733"/>
      <c r="NTR8" s="733"/>
      <c r="NTS8" s="733"/>
      <c r="NTT8" s="733"/>
      <c r="NTU8" s="733"/>
      <c r="NTV8" s="733"/>
      <c r="NTW8" s="733"/>
      <c r="NTX8" s="733"/>
      <c r="NTY8" s="733"/>
      <c r="NTZ8" s="733"/>
      <c r="NUA8" s="733"/>
      <c r="NUB8" s="733"/>
      <c r="NUC8" s="733"/>
      <c r="NUD8" s="733"/>
      <c r="NUE8" s="733"/>
      <c r="NUF8" s="733"/>
      <c r="NUG8" s="733"/>
      <c r="NUH8" s="733"/>
      <c r="NUI8" s="733"/>
      <c r="NUJ8" s="733"/>
      <c r="NUK8" s="733"/>
      <c r="NUL8" s="733"/>
      <c r="NUM8" s="733"/>
      <c r="NUN8" s="733"/>
      <c r="NUO8" s="733"/>
      <c r="NUP8" s="733"/>
      <c r="NUQ8" s="733"/>
      <c r="NUR8" s="733"/>
      <c r="NUS8" s="733"/>
      <c r="NUT8" s="733"/>
      <c r="NUU8" s="733"/>
      <c r="NUV8" s="733"/>
      <c r="NUW8" s="733"/>
      <c r="NUX8" s="733"/>
      <c r="NUY8" s="733"/>
      <c r="NUZ8" s="733"/>
      <c r="NVA8" s="733"/>
      <c r="NVB8" s="733"/>
      <c r="NVC8" s="733"/>
      <c r="NVD8" s="733"/>
      <c r="NVE8" s="733"/>
      <c r="NVF8" s="733"/>
      <c r="NVG8" s="733"/>
      <c r="NVH8" s="733"/>
      <c r="NVI8" s="733"/>
      <c r="NVJ8" s="733"/>
      <c r="NVK8" s="733"/>
      <c r="NVL8" s="733"/>
      <c r="NVM8" s="733"/>
      <c r="NVN8" s="733"/>
      <c r="NVO8" s="733"/>
      <c r="NVP8" s="733"/>
      <c r="NVQ8" s="733"/>
      <c r="NVR8" s="733"/>
      <c r="NVS8" s="733"/>
      <c r="NVT8" s="733"/>
      <c r="NVU8" s="733"/>
      <c r="NVV8" s="733"/>
      <c r="NVW8" s="733"/>
      <c r="NVX8" s="733"/>
      <c r="NVY8" s="733"/>
      <c r="NVZ8" s="733"/>
      <c r="NWA8" s="733"/>
      <c r="NWB8" s="733"/>
      <c r="NWC8" s="733"/>
      <c r="NWD8" s="733"/>
      <c r="NWE8" s="733"/>
      <c r="NWF8" s="733"/>
      <c r="NWG8" s="733"/>
      <c r="NWH8" s="733"/>
      <c r="NWI8" s="733"/>
      <c r="NWJ8" s="733"/>
      <c r="NWK8" s="733"/>
      <c r="NWL8" s="733"/>
      <c r="NWM8" s="733"/>
      <c r="NWN8" s="733"/>
      <c r="NWO8" s="733"/>
      <c r="NWP8" s="733"/>
      <c r="NWQ8" s="733"/>
      <c r="NWR8" s="733"/>
      <c r="NWS8" s="733"/>
      <c r="NWT8" s="733"/>
      <c r="NWU8" s="733"/>
      <c r="NWV8" s="733"/>
      <c r="NWW8" s="733"/>
      <c r="NWX8" s="733"/>
      <c r="NWY8" s="733"/>
      <c r="NWZ8" s="733"/>
      <c r="NXA8" s="733"/>
      <c r="NXB8" s="733"/>
      <c r="NXC8" s="733"/>
      <c r="NXD8" s="733"/>
      <c r="NXE8" s="733"/>
      <c r="NXF8" s="733"/>
      <c r="NXG8" s="733"/>
      <c r="NXH8" s="733"/>
      <c r="NXI8" s="733"/>
      <c r="NXJ8" s="733"/>
      <c r="NXK8" s="733"/>
      <c r="NXL8" s="733"/>
      <c r="NXM8" s="733"/>
      <c r="NXN8" s="733"/>
      <c r="NXO8" s="733"/>
      <c r="NXP8" s="733"/>
      <c r="NXQ8" s="733"/>
      <c r="NXR8" s="733"/>
      <c r="NXS8" s="733"/>
      <c r="NXT8" s="733"/>
      <c r="NXU8" s="733"/>
      <c r="NXV8" s="733"/>
      <c r="NXW8" s="733"/>
      <c r="NXX8" s="733"/>
      <c r="NXY8" s="733"/>
      <c r="NXZ8" s="733"/>
      <c r="NYA8" s="733"/>
      <c r="NYB8" s="733"/>
      <c r="NYC8" s="733"/>
      <c r="NYD8" s="733"/>
      <c r="NYE8" s="733"/>
      <c r="NYF8" s="733"/>
      <c r="NYG8" s="733"/>
      <c r="NYH8" s="733"/>
      <c r="NYI8" s="733"/>
      <c r="NYJ8" s="733"/>
      <c r="NYK8" s="733"/>
      <c r="NYL8" s="733"/>
      <c r="NYM8" s="733"/>
      <c r="NYN8" s="733"/>
      <c r="NYO8" s="733"/>
      <c r="NYP8" s="733"/>
      <c r="NYQ8" s="733"/>
      <c r="NYR8" s="733"/>
      <c r="NYS8" s="733"/>
      <c r="NYT8" s="733"/>
      <c r="NYU8" s="733"/>
      <c r="NYV8" s="733"/>
      <c r="NYW8" s="733"/>
      <c r="NYX8" s="733"/>
      <c r="NYY8" s="733"/>
      <c r="NYZ8" s="733"/>
      <c r="NZA8" s="733"/>
      <c r="NZB8" s="733"/>
      <c r="NZC8" s="733"/>
      <c r="NZD8" s="733"/>
      <c r="NZE8" s="733"/>
      <c r="NZF8" s="733"/>
      <c r="NZG8" s="733"/>
      <c r="NZH8" s="733"/>
      <c r="NZI8" s="733"/>
      <c r="NZJ8" s="733"/>
      <c r="NZK8" s="733"/>
      <c r="NZL8" s="733"/>
      <c r="NZM8" s="733"/>
      <c r="NZN8" s="733"/>
      <c r="NZO8" s="733"/>
      <c r="NZP8" s="733"/>
      <c r="NZQ8" s="733"/>
      <c r="NZR8" s="733"/>
      <c r="NZS8" s="733"/>
      <c r="NZT8" s="733"/>
      <c r="NZU8" s="733"/>
      <c r="NZV8" s="733"/>
      <c r="NZW8" s="733"/>
      <c r="NZX8" s="733"/>
      <c r="NZY8" s="733"/>
      <c r="NZZ8" s="733"/>
      <c r="OAA8" s="733"/>
      <c r="OAB8" s="733"/>
      <c r="OAC8" s="733"/>
      <c r="OAD8" s="733"/>
      <c r="OAE8" s="733"/>
      <c r="OAF8" s="733"/>
      <c r="OAG8" s="733"/>
      <c r="OAH8" s="733"/>
      <c r="OAI8" s="733"/>
      <c r="OAJ8" s="733"/>
      <c r="OAK8" s="733"/>
      <c r="OAL8" s="733"/>
      <c r="OAM8" s="733"/>
      <c r="OAN8" s="733"/>
      <c r="OAO8" s="733"/>
      <c r="OAP8" s="733"/>
      <c r="OAQ8" s="733"/>
      <c r="OAR8" s="733"/>
      <c r="OAS8" s="733"/>
      <c r="OAT8" s="733"/>
      <c r="OAU8" s="733"/>
      <c r="OAV8" s="733"/>
      <c r="OAW8" s="733"/>
      <c r="OAX8" s="733"/>
      <c r="OAY8" s="733"/>
      <c r="OAZ8" s="733"/>
      <c r="OBA8" s="733"/>
      <c r="OBB8" s="733"/>
      <c r="OBC8" s="733"/>
      <c r="OBD8" s="733"/>
      <c r="OBE8" s="733"/>
      <c r="OBF8" s="733"/>
      <c r="OBG8" s="733"/>
      <c r="OBH8" s="733"/>
      <c r="OBI8" s="733"/>
      <c r="OBJ8" s="733"/>
      <c r="OBK8" s="733"/>
      <c r="OBL8" s="733"/>
      <c r="OBM8" s="733"/>
      <c r="OBN8" s="733"/>
      <c r="OBO8" s="733"/>
      <c r="OBP8" s="733"/>
      <c r="OBQ8" s="733"/>
      <c r="OBR8" s="733"/>
      <c r="OBS8" s="733"/>
      <c r="OBT8" s="733"/>
      <c r="OBU8" s="733"/>
      <c r="OBV8" s="733"/>
      <c r="OBW8" s="733"/>
      <c r="OBX8" s="733"/>
      <c r="OBY8" s="733"/>
      <c r="OBZ8" s="733"/>
      <c r="OCA8" s="733"/>
      <c r="OCB8" s="733"/>
      <c r="OCC8" s="733"/>
      <c r="OCD8" s="733"/>
      <c r="OCE8" s="733"/>
      <c r="OCF8" s="733"/>
      <c r="OCG8" s="733"/>
      <c r="OCH8" s="733"/>
      <c r="OCI8" s="733"/>
      <c r="OCJ8" s="733"/>
      <c r="OCK8" s="733"/>
      <c r="OCL8" s="733"/>
      <c r="OCM8" s="733"/>
      <c r="OCN8" s="733"/>
      <c r="OCO8" s="733"/>
      <c r="OCP8" s="733"/>
      <c r="OCQ8" s="733"/>
      <c r="OCR8" s="733"/>
      <c r="OCS8" s="733"/>
      <c r="OCT8" s="733"/>
      <c r="OCU8" s="733"/>
      <c r="OCV8" s="733"/>
      <c r="OCW8" s="733"/>
      <c r="OCX8" s="733"/>
      <c r="OCY8" s="733"/>
      <c r="OCZ8" s="733"/>
      <c r="ODA8" s="733"/>
      <c r="ODB8" s="733"/>
      <c r="ODC8" s="733"/>
      <c r="ODD8" s="733"/>
      <c r="ODE8" s="733"/>
      <c r="ODF8" s="733"/>
      <c r="ODG8" s="733"/>
      <c r="ODH8" s="733"/>
      <c r="ODI8" s="733"/>
      <c r="ODJ8" s="733"/>
      <c r="ODK8" s="733"/>
      <c r="ODL8" s="733"/>
      <c r="ODM8" s="733"/>
      <c r="ODN8" s="733"/>
      <c r="ODO8" s="733"/>
      <c r="ODP8" s="733"/>
      <c r="ODQ8" s="733"/>
      <c r="ODR8" s="733"/>
      <c r="ODS8" s="733"/>
      <c r="ODT8" s="733"/>
      <c r="ODU8" s="733"/>
      <c r="ODV8" s="733"/>
      <c r="ODW8" s="733"/>
      <c r="ODX8" s="733"/>
      <c r="ODY8" s="733"/>
      <c r="ODZ8" s="733"/>
      <c r="OEA8" s="733"/>
      <c r="OEB8" s="733"/>
      <c r="OEC8" s="733"/>
      <c r="OED8" s="733"/>
      <c r="OEE8" s="733"/>
      <c r="OEF8" s="733"/>
      <c r="OEG8" s="733"/>
      <c r="OEH8" s="733"/>
      <c r="OEI8" s="733"/>
      <c r="OEJ8" s="733"/>
      <c r="OEK8" s="733"/>
      <c r="OEL8" s="733"/>
      <c r="OEM8" s="733"/>
      <c r="OEN8" s="733"/>
      <c r="OEO8" s="733"/>
      <c r="OEP8" s="733"/>
      <c r="OEQ8" s="733"/>
      <c r="OER8" s="733"/>
      <c r="OES8" s="733"/>
      <c r="OET8" s="733"/>
      <c r="OEU8" s="733"/>
      <c r="OEV8" s="733"/>
      <c r="OEW8" s="733"/>
      <c r="OEX8" s="733"/>
      <c r="OEY8" s="733"/>
      <c r="OEZ8" s="733"/>
      <c r="OFA8" s="733"/>
      <c r="OFB8" s="733"/>
      <c r="OFC8" s="733"/>
      <c r="OFD8" s="733"/>
      <c r="OFE8" s="733"/>
      <c r="OFF8" s="733"/>
      <c r="OFG8" s="733"/>
      <c r="OFH8" s="733"/>
      <c r="OFI8" s="733"/>
      <c r="OFJ8" s="733"/>
      <c r="OFK8" s="733"/>
      <c r="OFL8" s="733"/>
      <c r="OFM8" s="733"/>
      <c r="OFN8" s="733"/>
      <c r="OFO8" s="733"/>
      <c r="OFP8" s="733"/>
      <c r="OFQ8" s="733"/>
      <c r="OFR8" s="733"/>
      <c r="OFS8" s="733"/>
      <c r="OFT8" s="733"/>
      <c r="OFU8" s="733"/>
      <c r="OFV8" s="733"/>
      <c r="OFW8" s="733"/>
      <c r="OFX8" s="733"/>
      <c r="OFY8" s="733"/>
      <c r="OFZ8" s="733"/>
      <c r="OGA8" s="733"/>
      <c r="OGB8" s="733"/>
      <c r="OGC8" s="733"/>
      <c r="OGD8" s="733"/>
      <c r="OGE8" s="733"/>
      <c r="OGF8" s="733"/>
      <c r="OGG8" s="733"/>
      <c r="OGH8" s="733"/>
      <c r="OGI8" s="733"/>
      <c r="OGJ8" s="733"/>
      <c r="OGK8" s="733"/>
      <c r="OGL8" s="733"/>
      <c r="OGM8" s="733"/>
      <c r="OGN8" s="733"/>
      <c r="OGO8" s="733"/>
      <c r="OGP8" s="733"/>
      <c r="OGQ8" s="733"/>
      <c r="OGR8" s="733"/>
      <c r="OGS8" s="733"/>
      <c r="OGT8" s="733"/>
      <c r="OGU8" s="733"/>
      <c r="OGV8" s="733"/>
      <c r="OGW8" s="733"/>
      <c r="OGX8" s="733"/>
      <c r="OGY8" s="733"/>
      <c r="OGZ8" s="733"/>
      <c r="OHA8" s="733"/>
      <c r="OHB8" s="733"/>
      <c r="OHC8" s="733"/>
      <c r="OHD8" s="733"/>
      <c r="OHE8" s="733"/>
      <c r="OHF8" s="733"/>
      <c r="OHG8" s="733"/>
      <c r="OHH8" s="733"/>
      <c r="OHI8" s="733"/>
      <c r="OHJ8" s="733"/>
      <c r="OHK8" s="733"/>
      <c r="OHL8" s="733"/>
      <c r="OHM8" s="733"/>
      <c r="OHN8" s="733"/>
      <c r="OHO8" s="733"/>
      <c r="OHP8" s="733"/>
      <c r="OHQ8" s="733"/>
      <c r="OHR8" s="733"/>
      <c r="OHS8" s="733"/>
      <c r="OHT8" s="733"/>
      <c r="OHU8" s="733"/>
      <c r="OHV8" s="733"/>
      <c r="OHW8" s="733"/>
      <c r="OHX8" s="733"/>
      <c r="OHY8" s="733"/>
      <c r="OHZ8" s="733"/>
      <c r="OIA8" s="733"/>
      <c r="OIB8" s="733"/>
      <c r="OIC8" s="733"/>
      <c r="OID8" s="733"/>
      <c r="OIE8" s="733"/>
      <c r="OIF8" s="733"/>
      <c r="OIG8" s="733"/>
      <c r="OIH8" s="733"/>
      <c r="OII8" s="733"/>
      <c r="OIJ8" s="733"/>
      <c r="OIK8" s="733"/>
      <c r="OIL8" s="733"/>
      <c r="OIM8" s="733"/>
      <c r="OIN8" s="733"/>
      <c r="OIO8" s="733"/>
      <c r="OIP8" s="733"/>
      <c r="OIQ8" s="733"/>
      <c r="OIR8" s="733"/>
      <c r="OIS8" s="733"/>
      <c r="OIT8" s="733"/>
      <c r="OIU8" s="733"/>
      <c r="OIV8" s="733"/>
      <c r="OIW8" s="733"/>
      <c r="OIX8" s="733"/>
      <c r="OIY8" s="733"/>
      <c r="OIZ8" s="733"/>
      <c r="OJA8" s="733"/>
      <c r="OJB8" s="733"/>
      <c r="OJC8" s="733"/>
      <c r="OJD8" s="733"/>
      <c r="OJE8" s="733"/>
      <c r="OJF8" s="733"/>
      <c r="OJG8" s="733"/>
      <c r="OJH8" s="733"/>
      <c r="OJI8" s="733"/>
      <c r="OJJ8" s="733"/>
      <c r="OJK8" s="733"/>
      <c r="OJL8" s="733"/>
      <c r="OJM8" s="733"/>
      <c r="OJN8" s="733"/>
      <c r="OJO8" s="733"/>
      <c r="OJP8" s="733"/>
      <c r="OJQ8" s="733"/>
      <c r="OJR8" s="733"/>
      <c r="OJS8" s="733"/>
      <c r="OJT8" s="733"/>
      <c r="OJU8" s="733"/>
      <c r="OJV8" s="733"/>
      <c r="OJW8" s="733"/>
      <c r="OJX8" s="733"/>
      <c r="OJY8" s="733"/>
      <c r="OJZ8" s="733"/>
      <c r="OKA8" s="733"/>
      <c r="OKB8" s="733"/>
      <c r="OKC8" s="733"/>
      <c r="OKD8" s="733"/>
      <c r="OKE8" s="733"/>
      <c r="OKF8" s="733"/>
      <c r="OKG8" s="733"/>
      <c r="OKH8" s="733"/>
      <c r="OKI8" s="733"/>
      <c r="OKJ8" s="733"/>
      <c r="OKK8" s="733"/>
      <c r="OKL8" s="733"/>
      <c r="OKM8" s="733"/>
      <c r="OKN8" s="733"/>
      <c r="OKO8" s="733"/>
      <c r="OKP8" s="733"/>
      <c r="OKQ8" s="733"/>
      <c r="OKR8" s="733"/>
      <c r="OKS8" s="733"/>
      <c r="OKT8" s="733"/>
      <c r="OKU8" s="733"/>
      <c r="OKV8" s="733"/>
      <c r="OKW8" s="733"/>
      <c r="OKX8" s="733"/>
      <c r="OKY8" s="733"/>
      <c r="OKZ8" s="733"/>
      <c r="OLA8" s="733"/>
      <c r="OLB8" s="733"/>
      <c r="OLC8" s="733"/>
      <c r="OLD8" s="733"/>
      <c r="OLE8" s="733"/>
      <c r="OLF8" s="733"/>
      <c r="OLG8" s="733"/>
      <c r="OLH8" s="733"/>
      <c r="OLI8" s="733"/>
      <c r="OLJ8" s="733"/>
      <c r="OLK8" s="733"/>
      <c r="OLL8" s="733"/>
      <c r="OLM8" s="733"/>
      <c r="OLN8" s="733"/>
      <c r="OLO8" s="733"/>
      <c r="OLP8" s="733"/>
      <c r="OLQ8" s="733"/>
      <c r="OLR8" s="733"/>
      <c r="OLS8" s="733"/>
      <c r="OLT8" s="733"/>
      <c r="OLU8" s="733"/>
      <c r="OLV8" s="733"/>
      <c r="OLW8" s="733"/>
      <c r="OLX8" s="733"/>
      <c r="OLY8" s="733"/>
      <c r="OLZ8" s="733"/>
      <c r="OMA8" s="733"/>
      <c r="OMB8" s="733"/>
      <c r="OMC8" s="733"/>
      <c r="OMD8" s="733"/>
      <c r="OME8" s="733"/>
      <c r="OMF8" s="733"/>
      <c r="OMG8" s="733"/>
      <c r="OMH8" s="733"/>
      <c r="OMI8" s="733"/>
      <c r="OMJ8" s="733"/>
      <c r="OMK8" s="733"/>
      <c r="OML8" s="733"/>
      <c r="OMM8" s="733"/>
      <c r="OMN8" s="733"/>
      <c r="OMO8" s="733"/>
      <c r="OMP8" s="733"/>
      <c r="OMQ8" s="733"/>
      <c r="OMR8" s="733"/>
      <c r="OMS8" s="733"/>
      <c r="OMT8" s="733"/>
      <c r="OMU8" s="733"/>
      <c r="OMV8" s="733"/>
      <c r="OMW8" s="733"/>
      <c r="OMX8" s="733"/>
      <c r="OMY8" s="733"/>
      <c r="OMZ8" s="733"/>
      <c r="ONA8" s="733"/>
      <c r="ONB8" s="733"/>
      <c r="ONC8" s="733"/>
      <c r="OND8" s="733"/>
      <c r="ONE8" s="733"/>
      <c r="ONF8" s="733"/>
      <c r="ONG8" s="733"/>
      <c r="ONH8" s="733"/>
      <c r="ONI8" s="733"/>
      <c r="ONJ8" s="733"/>
      <c r="ONK8" s="733"/>
      <c r="ONL8" s="733"/>
      <c r="ONM8" s="733"/>
      <c r="ONN8" s="733"/>
      <c r="ONO8" s="733"/>
      <c r="ONP8" s="733"/>
      <c r="ONQ8" s="733"/>
      <c r="ONR8" s="733"/>
      <c r="ONS8" s="733"/>
      <c r="ONT8" s="733"/>
      <c r="ONU8" s="733"/>
      <c r="ONV8" s="733"/>
      <c r="ONW8" s="733"/>
      <c r="ONX8" s="733"/>
      <c r="ONY8" s="733"/>
      <c r="ONZ8" s="733"/>
      <c r="OOA8" s="733"/>
      <c r="OOB8" s="733"/>
      <c r="OOC8" s="733"/>
      <c r="OOD8" s="733"/>
      <c r="OOE8" s="733"/>
      <c r="OOF8" s="733"/>
      <c r="OOG8" s="733"/>
      <c r="OOH8" s="733"/>
      <c r="OOI8" s="733"/>
      <c r="OOJ8" s="733"/>
      <c r="OOK8" s="733"/>
      <c r="OOL8" s="733"/>
      <c r="OOM8" s="733"/>
      <c r="OON8" s="733"/>
      <c r="OOO8" s="733"/>
      <c r="OOP8" s="733"/>
      <c r="OOQ8" s="733"/>
      <c r="OOR8" s="733"/>
      <c r="OOS8" s="733"/>
      <c r="OOT8" s="733"/>
      <c r="OOU8" s="733"/>
      <c r="OOV8" s="733"/>
      <c r="OOW8" s="733"/>
      <c r="OOX8" s="733"/>
      <c r="OOY8" s="733"/>
      <c r="OOZ8" s="733"/>
      <c r="OPA8" s="733"/>
      <c r="OPB8" s="733"/>
      <c r="OPC8" s="733"/>
      <c r="OPD8" s="733"/>
      <c r="OPE8" s="733"/>
      <c r="OPF8" s="733"/>
      <c r="OPG8" s="733"/>
      <c r="OPH8" s="733"/>
      <c r="OPI8" s="733"/>
      <c r="OPJ8" s="733"/>
      <c r="OPK8" s="733"/>
      <c r="OPL8" s="733"/>
      <c r="OPM8" s="733"/>
      <c r="OPN8" s="733"/>
      <c r="OPO8" s="733"/>
      <c r="OPP8" s="733"/>
      <c r="OPQ8" s="733"/>
      <c r="OPR8" s="733"/>
      <c r="OPS8" s="733"/>
      <c r="OPT8" s="733"/>
      <c r="OPU8" s="733"/>
      <c r="OPV8" s="733"/>
      <c r="OPW8" s="733"/>
      <c r="OPX8" s="733"/>
      <c r="OPY8" s="733"/>
      <c r="OPZ8" s="733"/>
      <c r="OQA8" s="733"/>
      <c r="OQB8" s="733"/>
      <c r="OQC8" s="733"/>
      <c r="OQD8" s="733"/>
      <c r="OQE8" s="733"/>
      <c r="OQF8" s="733"/>
      <c r="OQG8" s="733"/>
      <c r="OQH8" s="733"/>
      <c r="OQI8" s="733"/>
      <c r="OQJ8" s="733"/>
      <c r="OQK8" s="733"/>
      <c r="OQL8" s="733"/>
      <c r="OQM8" s="733"/>
      <c r="OQN8" s="733"/>
      <c r="OQO8" s="733"/>
      <c r="OQP8" s="733"/>
      <c r="OQQ8" s="733"/>
      <c r="OQR8" s="733"/>
      <c r="OQS8" s="733"/>
      <c r="OQT8" s="733"/>
      <c r="OQU8" s="733"/>
      <c r="OQV8" s="733"/>
      <c r="OQW8" s="733"/>
      <c r="OQX8" s="733"/>
      <c r="OQY8" s="733"/>
      <c r="OQZ8" s="733"/>
      <c r="ORA8" s="733"/>
      <c r="ORB8" s="733"/>
      <c r="ORC8" s="733"/>
      <c r="ORD8" s="733"/>
      <c r="ORE8" s="733"/>
      <c r="ORF8" s="733"/>
      <c r="ORG8" s="733"/>
      <c r="ORH8" s="733"/>
      <c r="ORI8" s="733"/>
      <c r="ORJ8" s="733"/>
      <c r="ORK8" s="733"/>
      <c r="ORL8" s="733"/>
      <c r="ORM8" s="733"/>
      <c r="ORN8" s="733"/>
      <c r="ORO8" s="733"/>
      <c r="ORP8" s="733"/>
      <c r="ORQ8" s="733"/>
      <c r="ORR8" s="733"/>
      <c r="ORS8" s="733"/>
      <c r="ORT8" s="733"/>
      <c r="ORU8" s="733"/>
      <c r="ORV8" s="733"/>
      <c r="ORW8" s="733"/>
      <c r="ORX8" s="733"/>
      <c r="ORY8" s="733"/>
      <c r="ORZ8" s="733"/>
      <c r="OSA8" s="733"/>
      <c r="OSB8" s="733"/>
      <c r="OSC8" s="733"/>
      <c r="OSD8" s="733"/>
      <c r="OSE8" s="733"/>
      <c r="OSF8" s="733"/>
      <c r="OSG8" s="733"/>
      <c r="OSH8" s="733"/>
      <c r="OSI8" s="733"/>
      <c r="OSJ8" s="733"/>
      <c r="OSK8" s="733"/>
      <c r="OSL8" s="733"/>
      <c r="OSM8" s="733"/>
      <c r="OSN8" s="733"/>
      <c r="OSO8" s="733"/>
      <c r="OSP8" s="733"/>
      <c r="OSQ8" s="733"/>
      <c r="OSR8" s="733"/>
      <c r="OSS8" s="733"/>
      <c r="OST8" s="733"/>
      <c r="OSU8" s="733"/>
      <c r="OSV8" s="733"/>
      <c r="OSW8" s="733"/>
      <c r="OSX8" s="733"/>
      <c r="OSY8" s="733"/>
      <c r="OSZ8" s="733"/>
      <c r="OTA8" s="733"/>
      <c r="OTB8" s="733"/>
      <c r="OTC8" s="733"/>
      <c r="OTD8" s="733"/>
      <c r="OTE8" s="733"/>
      <c r="OTF8" s="733"/>
      <c r="OTG8" s="733"/>
      <c r="OTH8" s="733"/>
      <c r="OTI8" s="733"/>
      <c r="OTJ8" s="733"/>
      <c r="OTK8" s="733"/>
      <c r="OTL8" s="733"/>
      <c r="OTM8" s="733"/>
      <c r="OTN8" s="733"/>
      <c r="OTO8" s="733"/>
      <c r="OTP8" s="733"/>
      <c r="OTQ8" s="733"/>
      <c r="OTR8" s="733"/>
      <c r="OTS8" s="733"/>
      <c r="OTT8" s="733"/>
      <c r="OTU8" s="733"/>
      <c r="OTV8" s="733"/>
      <c r="OTW8" s="733"/>
      <c r="OTX8" s="733"/>
      <c r="OTY8" s="733"/>
      <c r="OTZ8" s="733"/>
      <c r="OUA8" s="733"/>
      <c r="OUB8" s="733"/>
      <c r="OUC8" s="733"/>
      <c r="OUD8" s="733"/>
      <c r="OUE8" s="733"/>
      <c r="OUF8" s="733"/>
      <c r="OUG8" s="733"/>
      <c r="OUH8" s="733"/>
      <c r="OUI8" s="733"/>
      <c r="OUJ8" s="733"/>
      <c r="OUK8" s="733"/>
      <c r="OUL8" s="733"/>
      <c r="OUM8" s="733"/>
      <c r="OUN8" s="733"/>
      <c r="OUO8" s="733"/>
      <c r="OUP8" s="733"/>
      <c r="OUQ8" s="733"/>
      <c r="OUR8" s="733"/>
      <c r="OUS8" s="733"/>
      <c r="OUT8" s="733"/>
      <c r="OUU8" s="733"/>
      <c r="OUV8" s="733"/>
      <c r="OUW8" s="733"/>
      <c r="OUX8" s="733"/>
      <c r="OUY8" s="733"/>
      <c r="OUZ8" s="733"/>
      <c r="OVA8" s="733"/>
      <c r="OVB8" s="733"/>
      <c r="OVC8" s="733"/>
      <c r="OVD8" s="733"/>
      <c r="OVE8" s="733"/>
      <c r="OVF8" s="733"/>
      <c r="OVG8" s="733"/>
      <c r="OVH8" s="733"/>
      <c r="OVI8" s="733"/>
      <c r="OVJ8" s="733"/>
      <c r="OVK8" s="733"/>
      <c r="OVL8" s="733"/>
      <c r="OVM8" s="733"/>
      <c r="OVN8" s="733"/>
      <c r="OVO8" s="733"/>
      <c r="OVP8" s="733"/>
      <c r="OVQ8" s="733"/>
      <c r="OVR8" s="733"/>
      <c r="OVS8" s="733"/>
      <c r="OVT8" s="733"/>
      <c r="OVU8" s="733"/>
      <c r="OVV8" s="733"/>
      <c r="OVW8" s="733"/>
      <c r="OVX8" s="733"/>
      <c r="OVY8" s="733"/>
      <c r="OVZ8" s="733"/>
      <c r="OWA8" s="733"/>
      <c r="OWB8" s="733"/>
      <c r="OWC8" s="733"/>
      <c r="OWD8" s="733"/>
      <c r="OWE8" s="733"/>
      <c r="OWF8" s="733"/>
      <c r="OWG8" s="733"/>
      <c r="OWH8" s="733"/>
      <c r="OWI8" s="733"/>
      <c r="OWJ8" s="733"/>
      <c r="OWK8" s="733"/>
      <c r="OWL8" s="733"/>
      <c r="OWM8" s="733"/>
      <c r="OWN8" s="733"/>
      <c r="OWO8" s="733"/>
      <c r="OWP8" s="733"/>
      <c r="OWQ8" s="733"/>
      <c r="OWR8" s="733"/>
      <c r="OWS8" s="733"/>
      <c r="OWT8" s="733"/>
      <c r="OWU8" s="733"/>
      <c r="OWV8" s="733"/>
      <c r="OWW8" s="733"/>
      <c r="OWX8" s="733"/>
      <c r="OWY8" s="733"/>
      <c r="OWZ8" s="733"/>
      <c r="OXA8" s="733"/>
      <c r="OXB8" s="733"/>
      <c r="OXC8" s="733"/>
      <c r="OXD8" s="733"/>
      <c r="OXE8" s="733"/>
      <c r="OXF8" s="733"/>
      <c r="OXG8" s="733"/>
      <c r="OXH8" s="733"/>
      <c r="OXI8" s="733"/>
      <c r="OXJ8" s="733"/>
      <c r="OXK8" s="733"/>
      <c r="OXL8" s="733"/>
      <c r="OXM8" s="733"/>
      <c r="OXN8" s="733"/>
      <c r="OXO8" s="733"/>
      <c r="OXP8" s="733"/>
      <c r="OXQ8" s="733"/>
      <c r="OXR8" s="733"/>
      <c r="OXS8" s="733"/>
      <c r="OXT8" s="733"/>
      <c r="OXU8" s="733"/>
      <c r="OXV8" s="733"/>
      <c r="OXW8" s="733"/>
      <c r="OXX8" s="733"/>
      <c r="OXY8" s="733"/>
      <c r="OXZ8" s="733"/>
      <c r="OYA8" s="733"/>
      <c r="OYB8" s="733"/>
      <c r="OYC8" s="733"/>
      <c r="OYD8" s="733"/>
      <c r="OYE8" s="733"/>
      <c r="OYF8" s="733"/>
      <c r="OYG8" s="733"/>
      <c r="OYH8" s="733"/>
      <c r="OYI8" s="733"/>
      <c r="OYJ8" s="733"/>
      <c r="OYK8" s="733"/>
      <c r="OYL8" s="733"/>
      <c r="OYM8" s="733"/>
      <c r="OYN8" s="733"/>
      <c r="OYO8" s="733"/>
      <c r="OYP8" s="733"/>
      <c r="OYQ8" s="733"/>
      <c r="OYR8" s="733"/>
      <c r="OYS8" s="733"/>
      <c r="OYT8" s="733"/>
      <c r="OYU8" s="733"/>
      <c r="OYV8" s="733"/>
      <c r="OYW8" s="733"/>
      <c r="OYX8" s="733"/>
      <c r="OYY8" s="733"/>
      <c r="OYZ8" s="733"/>
      <c r="OZA8" s="733"/>
      <c r="OZB8" s="733"/>
      <c r="OZC8" s="733"/>
      <c r="OZD8" s="733"/>
      <c r="OZE8" s="733"/>
      <c r="OZF8" s="733"/>
      <c r="OZG8" s="733"/>
      <c r="OZH8" s="733"/>
      <c r="OZI8" s="733"/>
      <c r="OZJ8" s="733"/>
      <c r="OZK8" s="733"/>
      <c r="OZL8" s="733"/>
      <c r="OZM8" s="733"/>
      <c r="OZN8" s="733"/>
      <c r="OZO8" s="733"/>
      <c r="OZP8" s="733"/>
      <c r="OZQ8" s="733"/>
      <c r="OZR8" s="733"/>
      <c r="OZS8" s="733"/>
      <c r="OZT8" s="733"/>
      <c r="OZU8" s="733"/>
      <c r="OZV8" s="733"/>
      <c r="OZW8" s="733"/>
      <c r="OZX8" s="733"/>
      <c r="OZY8" s="733"/>
      <c r="OZZ8" s="733"/>
      <c r="PAA8" s="733"/>
      <c r="PAB8" s="733"/>
      <c r="PAC8" s="733"/>
      <c r="PAD8" s="733"/>
      <c r="PAE8" s="733"/>
      <c r="PAF8" s="733"/>
      <c r="PAG8" s="733"/>
      <c r="PAH8" s="733"/>
      <c r="PAI8" s="733"/>
      <c r="PAJ8" s="733"/>
      <c r="PAK8" s="733"/>
      <c r="PAL8" s="733"/>
      <c r="PAM8" s="733"/>
      <c r="PAN8" s="733"/>
      <c r="PAO8" s="733"/>
      <c r="PAP8" s="733"/>
      <c r="PAQ8" s="733"/>
      <c r="PAR8" s="733"/>
      <c r="PAS8" s="733"/>
      <c r="PAT8" s="733"/>
      <c r="PAU8" s="733"/>
      <c r="PAV8" s="733"/>
      <c r="PAW8" s="733"/>
      <c r="PAX8" s="733"/>
      <c r="PAY8" s="733"/>
      <c r="PAZ8" s="733"/>
      <c r="PBA8" s="733"/>
      <c r="PBB8" s="733"/>
      <c r="PBC8" s="733"/>
      <c r="PBD8" s="733"/>
      <c r="PBE8" s="733"/>
      <c r="PBF8" s="733"/>
      <c r="PBG8" s="733"/>
      <c r="PBH8" s="733"/>
      <c r="PBI8" s="733"/>
      <c r="PBJ8" s="733"/>
      <c r="PBK8" s="733"/>
      <c r="PBL8" s="733"/>
      <c r="PBM8" s="733"/>
      <c r="PBN8" s="733"/>
      <c r="PBO8" s="733"/>
      <c r="PBP8" s="733"/>
      <c r="PBQ8" s="733"/>
      <c r="PBR8" s="733"/>
      <c r="PBS8" s="733"/>
      <c r="PBT8" s="733"/>
      <c r="PBU8" s="733"/>
      <c r="PBV8" s="733"/>
      <c r="PBW8" s="733"/>
      <c r="PBX8" s="733"/>
      <c r="PBY8" s="733"/>
      <c r="PBZ8" s="733"/>
      <c r="PCA8" s="733"/>
      <c r="PCB8" s="733"/>
      <c r="PCC8" s="733"/>
      <c r="PCD8" s="733"/>
      <c r="PCE8" s="733"/>
      <c r="PCF8" s="733"/>
      <c r="PCG8" s="733"/>
      <c r="PCH8" s="733"/>
      <c r="PCI8" s="733"/>
      <c r="PCJ8" s="733"/>
      <c r="PCK8" s="733"/>
      <c r="PCL8" s="733"/>
      <c r="PCM8" s="733"/>
      <c r="PCN8" s="733"/>
      <c r="PCO8" s="733"/>
      <c r="PCP8" s="733"/>
      <c r="PCQ8" s="733"/>
      <c r="PCR8" s="733"/>
      <c r="PCS8" s="733"/>
      <c r="PCT8" s="733"/>
      <c r="PCU8" s="733"/>
      <c r="PCV8" s="733"/>
      <c r="PCW8" s="733"/>
      <c r="PCX8" s="733"/>
      <c r="PCY8" s="733"/>
      <c r="PCZ8" s="733"/>
      <c r="PDA8" s="733"/>
      <c r="PDB8" s="733"/>
      <c r="PDC8" s="733"/>
      <c r="PDD8" s="733"/>
      <c r="PDE8" s="733"/>
      <c r="PDF8" s="733"/>
      <c r="PDG8" s="733"/>
      <c r="PDH8" s="733"/>
      <c r="PDI8" s="733"/>
      <c r="PDJ8" s="733"/>
      <c r="PDK8" s="733"/>
      <c r="PDL8" s="733"/>
      <c r="PDM8" s="733"/>
      <c r="PDN8" s="733"/>
      <c r="PDO8" s="733"/>
      <c r="PDP8" s="733"/>
      <c r="PDQ8" s="733"/>
      <c r="PDR8" s="733"/>
      <c r="PDS8" s="733"/>
      <c r="PDT8" s="733"/>
      <c r="PDU8" s="733"/>
      <c r="PDV8" s="733"/>
      <c r="PDW8" s="733"/>
      <c r="PDX8" s="733"/>
      <c r="PDY8" s="733"/>
      <c r="PDZ8" s="733"/>
      <c r="PEA8" s="733"/>
      <c r="PEB8" s="733"/>
      <c r="PEC8" s="733"/>
      <c r="PED8" s="733"/>
      <c r="PEE8" s="733"/>
      <c r="PEF8" s="733"/>
      <c r="PEG8" s="733"/>
      <c r="PEH8" s="733"/>
      <c r="PEI8" s="733"/>
      <c r="PEJ8" s="733"/>
      <c r="PEK8" s="733"/>
      <c r="PEL8" s="733"/>
      <c r="PEM8" s="733"/>
      <c r="PEN8" s="733"/>
      <c r="PEO8" s="733"/>
      <c r="PEP8" s="733"/>
      <c r="PEQ8" s="733"/>
      <c r="PER8" s="733"/>
      <c r="PES8" s="733"/>
      <c r="PET8" s="733"/>
      <c r="PEU8" s="733"/>
      <c r="PEV8" s="733"/>
      <c r="PEW8" s="733"/>
      <c r="PEX8" s="733"/>
      <c r="PEY8" s="733"/>
      <c r="PEZ8" s="733"/>
      <c r="PFA8" s="733"/>
      <c r="PFB8" s="733"/>
      <c r="PFC8" s="733"/>
      <c r="PFD8" s="733"/>
      <c r="PFE8" s="733"/>
      <c r="PFF8" s="733"/>
      <c r="PFG8" s="733"/>
      <c r="PFH8" s="733"/>
      <c r="PFI8" s="733"/>
      <c r="PFJ8" s="733"/>
      <c r="PFK8" s="733"/>
      <c r="PFL8" s="733"/>
      <c r="PFM8" s="733"/>
      <c r="PFN8" s="733"/>
      <c r="PFO8" s="733"/>
      <c r="PFP8" s="733"/>
      <c r="PFQ8" s="733"/>
      <c r="PFR8" s="733"/>
      <c r="PFS8" s="733"/>
      <c r="PFT8" s="733"/>
      <c r="PFU8" s="733"/>
      <c r="PFV8" s="733"/>
      <c r="PFW8" s="733"/>
      <c r="PFX8" s="733"/>
      <c r="PFY8" s="733"/>
      <c r="PFZ8" s="733"/>
      <c r="PGA8" s="733"/>
      <c r="PGB8" s="733"/>
      <c r="PGC8" s="733"/>
      <c r="PGD8" s="733"/>
      <c r="PGE8" s="733"/>
      <c r="PGF8" s="733"/>
      <c r="PGG8" s="733"/>
      <c r="PGH8" s="733"/>
      <c r="PGI8" s="733"/>
      <c r="PGJ8" s="733"/>
      <c r="PGK8" s="733"/>
      <c r="PGL8" s="733"/>
      <c r="PGM8" s="733"/>
      <c r="PGN8" s="733"/>
      <c r="PGO8" s="733"/>
      <c r="PGP8" s="733"/>
      <c r="PGQ8" s="733"/>
      <c r="PGR8" s="733"/>
      <c r="PGS8" s="733"/>
      <c r="PGT8" s="733"/>
      <c r="PGU8" s="733"/>
      <c r="PGV8" s="733"/>
      <c r="PGW8" s="733"/>
      <c r="PGX8" s="733"/>
      <c r="PGY8" s="733"/>
      <c r="PGZ8" s="733"/>
      <c r="PHA8" s="733"/>
      <c r="PHB8" s="733"/>
      <c r="PHC8" s="733"/>
      <c r="PHD8" s="733"/>
      <c r="PHE8" s="733"/>
      <c r="PHF8" s="733"/>
      <c r="PHG8" s="733"/>
      <c r="PHH8" s="733"/>
      <c r="PHI8" s="733"/>
      <c r="PHJ8" s="733"/>
      <c r="PHK8" s="733"/>
      <c r="PHL8" s="733"/>
      <c r="PHM8" s="733"/>
      <c r="PHN8" s="733"/>
      <c r="PHO8" s="733"/>
      <c r="PHP8" s="733"/>
      <c r="PHQ8" s="733"/>
      <c r="PHR8" s="733"/>
      <c r="PHS8" s="733"/>
      <c r="PHT8" s="733"/>
      <c r="PHU8" s="733"/>
      <c r="PHV8" s="733"/>
      <c r="PHW8" s="733"/>
      <c r="PHX8" s="733"/>
      <c r="PHY8" s="733"/>
      <c r="PHZ8" s="733"/>
      <c r="PIA8" s="733"/>
      <c r="PIB8" s="733"/>
      <c r="PIC8" s="733"/>
      <c r="PID8" s="733"/>
      <c r="PIE8" s="733"/>
      <c r="PIF8" s="733"/>
      <c r="PIG8" s="733"/>
      <c r="PIH8" s="733"/>
      <c r="PII8" s="733"/>
      <c r="PIJ8" s="733"/>
      <c r="PIK8" s="733"/>
      <c r="PIL8" s="733"/>
      <c r="PIM8" s="733"/>
      <c r="PIN8" s="733"/>
      <c r="PIO8" s="733"/>
      <c r="PIP8" s="733"/>
      <c r="PIQ8" s="733"/>
      <c r="PIR8" s="733"/>
      <c r="PIS8" s="733"/>
      <c r="PIT8" s="733"/>
      <c r="PIU8" s="733"/>
      <c r="PIV8" s="733"/>
      <c r="PIW8" s="733"/>
      <c r="PIX8" s="733"/>
      <c r="PIY8" s="733"/>
      <c r="PIZ8" s="733"/>
      <c r="PJA8" s="733"/>
      <c r="PJB8" s="733"/>
      <c r="PJC8" s="733"/>
      <c r="PJD8" s="733"/>
      <c r="PJE8" s="733"/>
      <c r="PJF8" s="733"/>
      <c r="PJG8" s="733"/>
      <c r="PJH8" s="733"/>
      <c r="PJI8" s="733"/>
      <c r="PJJ8" s="733"/>
      <c r="PJK8" s="733"/>
      <c r="PJL8" s="733"/>
      <c r="PJM8" s="733"/>
      <c r="PJN8" s="733"/>
      <c r="PJO8" s="733"/>
      <c r="PJP8" s="733"/>
      <c r="PJQ8" s="733"/>
      <c r="PJR8" s="733"/>
      <c r="PJS8" s="733"/>
      <c r="PJT8" s="733"/>
      <c r="PJU8" s="733"/>
      <c r="PJV8" s="733"/>
      <c r="PJW8" s="733"/>
      <c r="PJX8" s="733"/>
      <c r="PJY8" s="733"/>
      <c r="PJZ8" s="733"/>
      <c r="PKA8" s="733"/>
      <c r="PKB8" s="733"/>
      <c r="PKC8" s="733"/>
      <c r="PKD8" s="733"/>
      <c r="PKE8" s="733"/>
      <c r="PKF8" s="733"/>
      <c r="PKG8" s="733"/>
      <c r="PKH8" s="733"/>
      <c r="PKI8" s="733"/>
      <c r="PKJ8" s="733"/>
      <c r="PKK8" s="733"/>
      <c r="PKL8" s="733"/>
      <c r="PKM8" s="733"/>
      <c r="PKN8" s="733"/>
      <c r="PKO8" s="733"/>
      <c r="PKP8" s="733"/>
      <c r="PKQ8" s="733"/>
      <c r="PKR8" s="733"/>
      <c r="PKS8" s="733"/>
      <c r="PKT8" s="733"/>
      <c r="PKU8" s="733"/>
      <c r="PKV8" s="733"/>
      <c r="PKW8" s="733"/>
      <c r="PKX8" s="733"/>
      <c r="PKY8" s="733"/>
      <c r="PKZ8" s="733"/>
      <c r="PLA8" s="733"/>
      <c r="PLB8" s="733"/>
      <c r="PLC8" s="733"/>
      <c r="PLD8" s="733"/>
      <c r="PLE8" s="733"/>
      <c r="PLF8" s="733"/>
      <c r="PLG8" s="733"/>
      <c r="PLH8" s="733"/>
      <c r="PLI8" s="733"/>
      <c r="PLJ8" s="733"/>
      <c r="PLK8" s="733"/>
      <c r="PLL8" s="733"/>
      <c r="PLM8" s="733"/>
      <c r="PLN8" s="733"/>
      <c r="PLO8" s="733"/>
      <c r="PLP8" s="733"/>
      <c r="PLQ8" s="733"/>
      <c r="PLR8" s="733"/>
      <c r="PLS8" s="733"/>
      <c r="PLT8" s="733"/>
      <c r="PLU8" s="733"/>
      <c r="PLV8" s="733"/>
      <c r="PLW8" s="733"/>
      <c r="PLX8" s="733"/>
      <c r="PLY8" s="733"/>
      <c r="PLZ8" s="733"/>
      <c r="PMA8" s="733"/>
      <c r="PMB8" s="733"/>
      <c r="PMC8" s="733"/>
      <c r="PMD8" s="733"/>
      <c r="PME8" s="733"/>
      <c r="PMF8" s="733"/>
      <c r="PMG8" s="733"/>
      <c r="PMH8" s="733"/>
      <c r="PMI8" s="733"/>
      <c r="PMJ8" s="733"/>
      <c r="PMK8" s="733"/>
      <c r="PML8" s="733"/>
      <c r="PMM8" s="733"/>
      <c r="PMN8" s="733"/>
      <c r="PMO8" s="733"/>
      <c r="PMP8" s="733"/>
      <c r="PMQ8" s="733"/>
      <c r="PMR8" s="733"/>
      <c r="PMS8" s="733"/>
      <c r="PMT8" s="733"/>
      <c r="PMU8" s="733"/>
      <c r="PMV8" s="733"/>
      <c r="PMW8" s="733"/>
      <c r="PMX8" s="733"/>
      <c r="PMY8" s="733"/>
      <c r="PMZ8" s="733"/>
      <c r="PNA8" s="733"/>
      <c r="PNB8" s="733"/>
      <c r="PNC8" s="733"/>
      <c r="PND8" s="733"/>
      <c r="PNE8" s="733"/>
      <c r="PNF8" s="733"/>
      <c r="PNG8" s="733"/>
      <c r="PNH8" s="733"/>
      <c r="PNI8" s="733"/>
      <c r="PNJ8" s="733"/>
      <c r="PNK8" s="733"/>
      <c r="PNL8" s="733"/>
      <c r="PNM8" s="733"/>
      <c r="PNN8" s="733"/>
      <c r="PNO8" s="733"/>
      <c r="PNP8" s="733"/>
      <c r="PNQ8" s="733"/>
      <c r="PNR8" s="733"/>
      <c r="PNS8" s="733"/>
      <c r="PNT8" s="733"/>
      <c r="PNU8" s="733"/>
      <c r="PNV8" s="733"/>
      <c r="PNW8" s="733"/>
      <c r="PNX8" s="733"/>
      <c r="PNY8" s="733"/>
      <c r="PNZ8" s="733"/>
      <c r="POA8" s="733"/>
      <c r="POB8" s="733"/>
      <c r="POC8" s="733"/>
      <c r="POD8" s="733"/>
      <c r="POE8" s="733"/>
      <c r="POF8" s="733"/>
      <c r="POG8" s="733"/>
      <c r="POH8" s="733"/>
      <c r="POI8" s="733"/>
      <c r="POJ8" s="733"/>
      <c r="POK8" s="733"/>
      <c r="POL8" s="733"/>
      <c r="POM8" s="733"/>
      <c r="PON8" s="733"/>
      <c r="POO8" s="733"/>
      <c r="POP8" s="733"/>
      <c r="POQ8" s="733"/>
      <c r="POR8" s="733"/>
      <c r="POS8" s="733"/>
      <c r="POT8" s="733"/>
      <c r="POU8" s="733"/>
      <c r="POV8" s="733"/>
      <c r="POW8" s="733"/>
      <c r="POX8" s="733"/>
      <c r="POY8" s="733"/>
      <c r="POZ8" s="733"/>
      <c r="PPA8" s="733"/>
      <c r="PPB8" s="733"/>
      <c r="PPC8" s="733"/>
      <c r="PPD8" s="733"/>
      <c r="PPE8" s="733"/>
      <c r="PPF8" s="733"/>
      <c r="PPG8" s="733"/>
      <c r="PPH8" s="733"/>
      <c r="PPI8" s="733"/>
      <c r="PPJ8" s="733"/>
      <c r="PPK8" s="733"/>
      <c r="PPL8" s="733"/>
      <c r="PPM8" s="733"/>
      <c r="PPN8" s="733"/>
      <c r="PPO8" s="733"/>
      <c r="PPP8" s="733"/>
      <c r="PPQ8" s="733"/>
      <c r="PPR8" s="733"/>
      <c r="PPS8" s="733"/>
      <c r="PPT8" s="733"/>
      <c r="PPU8" s="733"/>
      <c r="PPV8" s="733"/>
      <c r="PPW8" s="733"/>
      <c r="PPX8" s="733"/>
      <c r="PPY8" s="733"/>
      <c r="PPZ8" s="733"/>
      <c r="PQA8" s="733"/>
      <c r="PQB8" s="733"/>
      <c r="PQC8" s="733"/>
      <c r="PQD8" s="733"/>
      <c r="PQE8" s="733"/>
      <c r="PQF8" s="733"/>
      <c r="PQG8" s="733"/>
      <c r="PQH8" s="733"/>
      <c r="PQI8" s="733"/>
      <c r="PQJ8" s="733"/>
      <c r="PQK8" s="733"/>
      <c r="PQL8" s="733"/>
      <c r="PQM8" s="733"/>
      <c r="PQN8" s="733"/>
      <c r="PQO8" s="733"/>
      <c r="PQP8" s="733"/>
      <c r="PQQ8" s="733"/>
      <c r="PQR8" s="733"/>
      <c r="PQS8" s="733"/>
      <c r="PQT8" s="733"/>
      <c r="PQU8" s="733"/>
      <c r="PQV8" s="733"/>
      <c r="PQW8" s="733"/>
      <c r="PQX8" s="733"/>
      <c r="PQY8" s="733"/>
      <c r="PQZ8" s="733"/>
      <c r="PRA8" s="733"/>
      <c r="PRB8" s="733"/>
      <c r="PRC8" s="733"/>
      <c r="PRD8" s="733"/>
      <c r="PRE8" s="733"/>
      <c r="PRF8" s="733"/>
      <c r="PRG8" s="733"/>
      <c r="PRH8" s="733"/>
      <c r="PRI8" s="733"/>
      <c r="PRJ8" s="733"/>
      <c r="PRK8" s="733"/>
      <c r="PRL8" s="733"/>
      <c r="PRM8" s="733"/>
      <c r="PRN8" s="733"/>
      <c r="PRO8" s="733"/>
      <c r="PRP8" s="733"/>
      <c r="PRQ8" s="733"/>
      <c r="PRR8" s="733"/>
      <c r="PRS8" s="733"/>
      <c r="PRT8" s="733"/>
      <c r="PRU8" s="733"/>
      <c r="PRV8" s="733"/>
      <c r="PRW8" s="733"/>
      <c r="PRX8" s="733"/>
      <c r="PRY8" s="733"/>
      <c r="PRZ8" s="733"/>
      <c r="PSA8" s="733"/>
      <c r="PSB8" s="733"/>
      <c r="PSC8" s="733"/>
      <c r="PSD8" s="733"/>
      <c r="PSE8" s="733"/>
      <c r="PSF8" s="733"/>
      <c r="PSG8" s="733"/>
      <c r="PSH8" s="733"/>
      <c r="PSI8" s="733"/>
      <c r="PSJ8" s="733"/>
      <c r="PSK8" s="733"/>
      <c r="PSL8" s="733"/>
      <c r="PSM8" s="733"/>
      <c r="PSN8" s="733"/>
      <c r="PSO8" s="733"/>
      <c r="PSP8" s="733"/>
      <c r="PSQ8" s="733"/>
      <c r="PSR8" s="733"/>
      <c r="PSS8" s="733"/>
      <c r="PST8" s="733"/>
      <c r="PSU8" s="733"/>
      <c r="PSV8" s="733"/>
      <c r="PSW8" s="733"/>
      <c r="PSX8" s="733"/>
      <c r="PSY8" s="733"/>
      <c r="PSZ8" s="733"/>
      <c r="PTA8" s="733"/>
      <c r="PTB8" s="733"/>
      <c r="PTC8" s="733"/>
      <c r="PTD8" s="733"/>
      <c r="PTE8" s="733"/>
      <c r="PTF8" s="733"/>
      <c r="PTG8" s="733"/>
      <c r="PTH8" s="733"/>
      <c r="PTI8" s="733"/>
      <c r="PTJ8" s="733"/>
      <c r="PTK8" s="733"/>
      <c r="PTL8" s="733"/>
      <c r="PTM8" s="733"/>
      <c r="PTN8" s="733"/>
      <c r="PTO8" s="733"/>
      <c r="PTP8" s="733"/>
      <c r="PTQ8" s="733"/>
      <c r="PTR8" s="733"/>
      <c r="PTS8" s="733"/>
      <c r="PTT8" s="733"/>
      <c r="PTU8" s="733"/>
      <c r="PTV8" s="733"/>
      <c r="PTW8" s="733"/>
      <c r="PTX8" s="733"/>
      <c r="PTY8" s="733"/>
      <c r="PTZ8" s="733"/>
      <c r="PUA8" s="733"/>
      <c r="PUB8" s="733"/>
      <c r="PUC8" s="733"/>
      <c r="PUD8" s="733"/>
      <c r="PUE8" s="733"/>
      <c r="PUF8" s="733"/>
      <c r="PUG8" s="733"/>
      <c r="PUH8" s="733"/>
      <c r="PUI8" s="733"/>
      <c r="PUJ8" s="733"/>
      <c r="PUK8" s="733"/>
      <c r="PUL8" s="733"/>
      <c r="PUM8" s="733"/>
      <c r="PUN8" s="733"/>
      <c r="PUO8" s="733"/>
      <c r="PUP8" s="733"/>
      <c r="PUQ8" s="733"/>
      <c r="PUR8" s="733"/>
      <c r="PUS8" s="733"/>
      <c r="PUT8" s="733"/>
      <c r="PUU8" s="733"/>
      <c r="PUV8" s="733"/>
      <c r="PUW8" s="733"/>
      <c r="PUX8" s="733"/>
      <c r="PUY8" s="733"/>
      <c r="PUZ8" s="733"/>
      <c r="PVA8" s="733"/>
      <c r="PVB8" s="733"/>
      <c r="PVC8" s="733"/>
      <c r="PVD8" s="733"/>
      <c r="PVE8" s="733"/>
      <c r="PVF8" s="733"/>
      <c r="PVG8" s="733"/>
      <c r="PVH8" s="733"/>
      <c r="PVI8" s="733"/>
      <c r="PVJ8" s="733"/>
      <c r="PVK8" s="733"/>
      <c r="PVL8" s="733"/>
      <c r="PVM8" s="733"/>
      <c r="PVN8" s="733"/>
      <c r="PVO8" s="733"/>
      <c r="PVP8" s="733"/>
      <c r="PVQ8" s="733"/>
      <c r="PVR8" s="733"/>
      <c r="PVS8" s="733"/>
      <c r="PVT8" s="733"/>
      <c r="PVU8" s="733"/>
      <c r="PVV8" s="733"/>
      <c r="PVW8" s="733"/>
      <c r="PVX8" s="733"/>
      <c r="PVY8" s="733"/>
      <c r="PVZ8" s="733"/>
      <c r="PWA8" s="733"/>
      <c r="PWB8" s="733"/>
      <c r="PWC8" s="733"/>
      <c r="PWD8" s="733"/>
      <c r="PWE8" s="733"/>
      <c r="PWF8" s="733"/>
      <c r="PWG8" s="733"/>
      <c r="PWH8" s="733"/>
      <c r="PWI8" s="733"/>
      <c r="PWJ8" s="733"/>
      <c r="PWK8" s="733"/>
      <c r="PWL8" s="733"/>
      <c r="PWM8" s="733"/>
      <c r="PWN8" s="733"/>
      <c r="PWO8" s="733"/>
      <c r="PWP8" s="733"/>
      <c r="PWQ8" s="733"/>
      <c r="PWR8" s="733"/>
      <c r="PWS8" s="733"/>
      <c r="PWT8" s="733"/>
      <c r="PWU8" s="733"/>
      <c r="PWV8" s="733"/>
      <c r="PWW8" s="733"/>
      <c r="PWX8" s="733"/>
      <c r="PWY8" s="733"/>
      <c r="PWZ8" s="733"/>
      <c r="PXA8" s="733"/>
      <c r="PXB8" s="733"/>
      <c r="PXC8" s="733"/>
      <c r="PXD8" s="733"/>
      <c r="PXE8" s="733"/>
      <c r="PXF8" s="733"/>
      <c r="PXG8" s="733"/>
      <c r="PXH8" s="733"/>
      <c r="PXI8" s="733"/>
      <c r="PXJ8" s="733"/>
      <c r="PXK8" s="733"/>
      <c r="PXL8" s="733"/>
      <c r="PXM8" s="733"/>
      <c r="PXN8" s="733"/>
      <c r="PXO8" s="733"/>
      <c r="PXP8" s="733"/>
      <c r="PXQ8" s="733"/>
      <c r="PXR8" s="733"/>
      <c r="PXS8" s="733"/>
      <c r="PXT8" s="733"/>
      <c r="PXU8" s="733"/>
      <c r="PXV8" s="733"/>
      <c r="PXW8" s="733"/>
      <c r="PXX8" s="733"/>
      <c r="PXY8" s="733"/>
      <c r="PXZ8" s="733"/>
      <c r="PYA8" s="733"/>
      <c r="PYB8" s="733"/>
      <c r="PYC8" s="733"/>
      <c r="PYD8" s="733"/>
      <c r="PYE8" s="733"/>
      <c r="PYF8" s="733"/>
      <c r="PYG8" s="733"/>
      <c r="PYH8" s="733"/>
      <c r="PYI8" s="733"/>
      <c r="PYJ8" s="733"/>
      <c r="PYK8" s="733"/>
      <c r="PYL8" s="733"/>
      <c r="PYM8" s="733"/>
      <c r="PYN8" s="733"/>
      <c r="PYO8" s="733"/>
      <c r="PYP8" s="733"/>
      <c r="PYQ8" s="733"/>
      <c r="PYR8" s="733"/>
      <c r="PYS8" s="733"/>
      <c r="PYT8" s="733"/>
      <c r="PYU8" s="733"/>
      <c r="PYV8" s="733"/>
      <c r="PYW8" s="733"/>
      <c r="PYX8" s="733"/>
      <c r="PYY8" s="733"/>
      <c r="PYZ8" s="733"/>
      <c r="PZA8" s="733"/>
      <c r="PZB8" s="733"/>
      <c r="PZC8" s="733"/>
      <c r="PZD8" s="733"/>
      <c r="PZE8" s="733"/>
      <c r="PZF8" s="733"/>
      <c r="PZG8" s="733"/>
      <c r="PZH8" s="733"/>
      <c r="PZI8" s="733"/>
      <c r="PZJ8" s="733"/>
      <c r="PZK8" s="733"/>
      <c r="PZL8" s="733"/>
      <c r="PZM8" s="733"/>
      <c r="PZN8" s="733"/>
      <c r="PZO8" s="733"/>
      <c r="PZP8" s="733"/>
      <c r="PZQ8" s="733"/>
      <c r="PZR8" s="733"/>
      <c r="PZS8" s="733"/>
      <c r="PZT8" s="733"/>
      <c r="PZU8" s="733"/>
      <c r="PZV8" s="733"/>
      <c r="PZW8" s="733"/>
      <c r="PZX8" s="733"/>
      <c r="PZY8" s="733"/>
      <c r="PZZ8" s="733"/>
      <c r="QAA8" s="733"/>
      <c r="QAB8" s="733"/>
      <c r="QAC8" s="733"/>
      <c r="QAD8" s="733"/>
      <c r="QAE8" s="733"/>
      <c r="QAF8" s="733"/>
      <c r="QAG8" s="733"/>
      <c r="QAH8" s="733"/>
      <c r="QAI8" s="733"/>
      <c r="QAJ8" s="733"/>
      <c r="QAK8" s="733"/>
      <c r="QAL8" s="733"/>
      <c r="QAM8" s="733"/>
      <c r="QAN8" s="733"/>
      <c r="QAO8" s="733"/>
      <c r="QAP8" s="733"/>
      <c r="QAQ8" s="733"/>
      <c r="QAR8" s="733"/>
      <c r="QAS8" s="733"/>
      <c r="QAT8" s="733"/>
      <c r="QAU8" s="733"/>
      <c r="QAV8" s="733"/>
      <c r="QAW8" s="733"/>
      <c r="QAX8" s="733"/>
      <c r="QAY8" s="733"/>
      <c r="QAZ8" s="733"/>
      <c r="QBA8" s="733"/>
      <c r="QBB8" s="733"/>
      <c r="QBC8" s="733"/>
      <c r="QBD8" s="733"/>
      <c r="QBE8" s="733"/>
      <c r="QBF8" s="733"/>
      <c r="QBG8" s="733"/>
      <c r="QBH8" s="733"/>
      <c r="QBI8" s="733"/>
      <c r="QBJ8" s="733"/>
      <c r="QBK8" s="733"/>
      <c r="QBL8" s="733"/>
      <c r="QBM8" s="733"/>
      <c r="QBN8" s="733"/>
      <c r="QBO8" s="733"/>
      <c r="QBP8" s="733"/>
      <c r="QBQ8" s="733"/>
      <c r="QBR8" s="733"/>
      <c r="QBS8" s="733"/>
      <c r="QBT8" s="733"/>
      <c r="QBU8" s="733"/>
      <c r="QBV8" s="733"/>
      <c r="QBW8" s="733"/>
      <c r="QBX8" s="733"/>
      <c r="QBY8" s="733"/>
      <c r="QBZ8" s="733"/>
      <c r="QCA8" s="733"/>
      <c r="QCB8" s="733"/>
      <c r="QCC8" s="733"/>
      <c r="QCD8" s="733"/>
      <c r="QCE8" s="733"/>
      <c r="QCF8" s="733"/>
      <c r="QCG8" s="733"/>
      <c r="QCH8" s="733"/>
      <c r="QCI8" s="733"/>
      <c r="QCJ8" s="733"/>
      <c r="QCK8" s="733"/>
      <c r="QCL8" s="733"/>
      <c r="QCM8" s="733"/>
      <c r="QCN8" s="733"/>
      <c r="QCO8" s="733"/>
      <c r="QCP8" s="733"/>
      <c r="QCQ8" s="733"/>
      <c r="QCR8" s="733"/>
      <c r="QCS8" s="733"/>
      <c r="QCT8" s="733"/>
      <c r="QCU8" s="733"/>
      <c r="QCV8" s="733"/>
      <c r="QCW8" s="733"/>
      <c r="QCX8" s="733"/>
      <c r="QCY8" s="733"/>
      <c r="QCZ8" s="733"/>
      <c r="QDA8" s="733"/>
      <c r="QDB8" s="733"/>
      <c r="QDC8" s="733"/>
      <c r="QDD8" s="733"/>
      <c r="QDE8" s="733"/>
      <c r="QDF8" s="733"/>
      <c r="QDG8" s="733"/>
      <c r="QDH8" s="733"/>
      <c r="QDI8" s="733"/>
      <c r="QDJ8" s="733"/>
      <c r="QDK8" s="733"/>
      <c r="QDL8" s="733"/>
      <c r="QDM8" s="733"/>
      <c r="QDN8" s="733"/>
      <c r="QDO8" s="733"/>
      <c r="QDP8" s="733"/>
      <c r="QDQ8" s="733"/>
      <c r="QDR8" s="733"/>
      <c r="QDS8" s="733"/>
      <c r="QDT8" s="733"/>
      <c r="QDU8" s="733"/>
      <c r="QDV8" s="733"/>
      <c r="QDW8" s="733"/>
      <c r="QDX8" s="733"/>
      <c r="QDY8" s="733"/>
      <c r="QDZ8" s="733"/>
      <c r="QEA8" s="733"/>
      <c r="QEB8" s="733"/>
      <c r="QEC8" s="733"/>
      <c r="QED8" s="733"/>
      <c r="QEE8" s="733"/>
      <c r="QEF8" s="733"/>
      <c r="QEG8" s="733"/>
      <c r="QEH8" s="733"/>
      <c r="QEI8" s="733"/>
      <c r="QEJ8" s="733"/>
      <c r="QEK8" s="733"/>
      <c r="QEL8" s="733"/>
      <c r="QEM8" s="733"/>
      <c r="QEN8" s="733"/>
      <c r="QEO8" s="733"/>
      <c r="QEP8" s="733"/>
      <c r="QEQ8" s="733"/>
      <c r="QER8" s="733"/>
      <c r="QES8" s="733"/>
      <c r="QET8" s="733"/>
      <c r="QEU8" s="733"/>
      <c r="QEV8" s="733"/>
      <c r="QEW8" s="733"/>
      <c r="QEX8" s="733"/>
      <c r="QEY8" s="733"/>
      <c r="QEZ8" s="733"/>
      <c r="QFA8" s="733"/>
      <c r="QFB8" s="733"/>
      <c r="QFC8" s="733"/>
      <c r="QFD8" s="733"/>
      <c r="QFE8" s="733"/>
      <c r="QFF8" s="733"/>
      <c r="QFG8" s="733"/>
      <c r="QFH8" s="733"/>
      <c r="QFI8" s="733"/>
      <c r="QFJ8" s="733"/>
      <c r="QFK8" s="733"/>
      <c r="QFL8" s="733"/>
      <c r="QFM8" s="733"/>
      <c r="QFN8" s="733"/>
      <c r="QFO8" s="733"/>
      <c r="QFP8" s="733"/>
      <c r="QFQ8" s="733"/>
      <c r="QFR8" s="733"/>
      <c r="QFS8" s="733"/>
      <c r="QFT8" s="733"/>
      <c r="QFU8" s="733"/>
      <c r="QFV8" s="733"/>
      <c r="QFW8" s="733"/>
      <c r="QFX8" s="733"/>
      <c r="QFY8" s="733"/>
      <c r="QFZ8" s="733"/>
      <c r="QGA8" s="733"/>
      <c r="QGB8" s="733"/>
      <c r="QGC8" s="733"/>
      <c r="QGD8" s="733"/>
      <c r="QGE8" s="733"/>
      <c r="QGF8" s="733"/>
      <c r="QGG8" s="733"/>
      <c r="QGH8" s="733"/>
      <c r="QGI8" s="733"/>
      <c r="QGJ8" s="733"/>
      <c r="QGK8" s="733"/>
      <c r="QGL8" s="733"/>
      <c r="QGM8" s="733"/>
      <c r="QGN8" s="733"/>
      <c r="QGO8" s="733"/>
      <c r="QGP8" s="733"/>
      <c r="QGQ8" s="733"/>
      <c r="QGR8" s="733"/>
      <c r="QGS8" s="733"/>
      <c r="QGT8" s="733"/>
      <c r="QGU8" s="733"/>
      <c r="QGV8" s="733"/>
      <c r="QGW8" s="733"/>
      <c r="QGX8" s="733"/>
      <c r="QGY8" s="733"/>
      <c r="QGZ8" s="733"/>
      <c r="QHA8" s="733"/>
      <c r="QHB8" s="733"/>
      <c r="QHC8" s="733"/>
      <c r="QHD8" s="733"/>
      <c r="QHE8" s="733"/>
      <c r="QHF8" s="733"/>
      <c r="QHG8" s="733"/>
      <c r="QHH8" s="733"/>
      <c r="QHI8" s="733"/>
      <c r="QHJ8" s="733"/>
      <c r="QHK8" s="733"/>
      <c r="QHL8" s="733"/>
      <c r="QHM8" s="733"/>
      <c r="QHN8" s="733"/>
      <c r="QHO8" s="733"/>
      <c r="QHP8" s="733"/>
      <c r="QHQ8" s="733"/>
      <c r="QHR8" s="733"/>
      <c r="QHS8" s="733"/>
      <c r="QHT8" s="733"/>
      <c r="QHU8" s="733"/>
      <c r="QHV8" s="733"/>
      <c r="QHW8" s="733"/>
      <c r="QHX8" s="733"/>
      <c r="QHY8" s="733"/>
      <c r="QHZ8" s="733"/>
      <c r="QIA8" s="733"/>
      <c r="QIB8" s="733"/>
      <c r="QIC8" s="733"/>
      <c r="QID8" s="733"/>
      <c r="QIE8" s="733"/>
      <c r="QIF8" s="733"/>
      <c r="QIG8" s="733"/>
      <c r="QIH8" s="733"/>
      <c r="QII8" s="733"/>
      <c r="QIJ8" s="733"/>
      <c r="QIK8" s="733"/>
      <c r="QIL8" s="733"/>
      <c r="QIM8" s="733"/>
      <c r="QIN8" s="733"/>
      <c r="QIO8" s="733"/>
      <c r="QIP8" s="733"/>
      <c r="QIQ8" s="733"/>
      <c r="QIR8" s="733"/>
      <c r="QIS8" s="733"/>
      <c r="QIT8" s="733"/>
      <c r="QIU8" s="733"/>
      <c r="QIV8" s="733"/>
      <c r="QIW8" s="733"/>
      <c r="QIX8" s="733"/>
      <c r="QIY8" s="733"/>
      <c r="QIZ8" s="733"/>
      <c r="QJA8" s="733"/>
      <c r="QJB8" s="733"/>
      <c r="QJC8" s="733"/>
      <c r="QJD8" s="733"/>
      <c r="QJE8" s="733"/>
      <c r="QJF8" s="733"/>
      <c r="QJG8" s="733"/>
      <c r="QJH8" s="733"/>
      <c r="QJI8" s="733"/>
      <c r="QJJ8" s="733"/>
      <c r="QJK8" s="733"/>
      <c r="QJL8" s="733"/>
      <c r="QJM8" s="733"/>
      <c r="QJN8" s="733"/>
      <c r="QJO8" s="733"/>
      <c r="QJP8" s="733"/>
      <c r="QJQ8" s="733"/>
      <c r="QJR8" s="733"/>
      <c r="QJS8" s="733"/>
      <c r="QJT8" s="733"/>
      <c r="QJU8" s="733"/>
      <c r="QJV8" s="733"/>
      <c r="QJW8" s="733"/>
      <c r="QJX8" s="733"/>
      <c r="QJY8" s="733"/>
      <c r="QJZ8" s="733"/>
      <c r="QKA8" s="733"/>
      <c r="QKB8" s="733"/>
      <c r="QKC8" s="733"/>
      <c r="QKD8" s="733"/>
      <c r="QKE8" s="733"/>
      <c r="QKF8" s="733"/>
      <c r="QKG8" s="733"/>
      <c r="QKH8" s="733"/>
      <c r="QKI8" s="733"/>
      <c r="QKJ8" s="733"/>
      <c r="QKK8" s="733"/>
      <c r="QKL8" s="733"/>
      <c r="QKM8" s="733"/>
      <c r="QKN8" s="733"/>
      <c r="QKO8" s="733"/>
      <c r="QKP8" s="733"/>
      <c r="QKQ8" s="733"/>
      <c r="QKR8" s="733"/>
      <c r="QKS8" s="733"/>
      <c r="QKT8" s="733"/>
      <c r="QKU8" s="733"/>
      <c r="QKV8" s="733"/>
      <c r="QKW8" s="733"/>
      <c r="QKX8" s="733"/>
      <c r="QKY8" s="733"/>
      <c r="QKZ8" s="733"/>
      <c r="QLA8" s="733"/>
      <c r="QLB8" s="733"/>
      <c r="QLC8" s="733"/>
      <c r="QLD8" s="733"/>
      <c r="QLE8" s="733"/>
      <c r="QLF8" s="733"/>
      <c r="QLG8" s="733"/>
      <c r="QLH8" s="733"/>
      <c r="QLI8" s="733"/>
      <c r="QLJ8" s="733"/>
      <c r="QLK8" s="733"/>
      <c r="QLL8" s="733"/>
      <c r="QLM8" s="733"/>
      <c r="QLN8" s="733"/>
      <c r="QLO8" s="733"/>
      <c r="QLP8" s="733"/>
      <c r="QLQ8" s="733"/>
      <c r="QLR8" s="733"/>
      <c r="QLS8" s="733"/>
      <c r="QLT8" s="733"/>
      <c r="QLU8" s="733"/>
      <c r="QLV8" s="733"/>
      <c r="QLW8" s="733"/>
      <c r="QLX8" s="733"/>
      <c r="QLY8" s="733"/>
      <c r="QLZ8" s="733"/>
      <c r="QMA8" s="733"/>
      <c r="QMB8" s="733"/>
      <c r="QMC8" s="733"/>
      <c r="QMD8" s="733"/>
      <c r="QME8" s="733"/>
      <c r="QMF8" s="733"/>
      <c r="QMG8" s="733"/>
      <c r="QMH8" s="733"/>
      <c r="QMI8" s="733"/>
      <c r="QMJ8" s="733"/>
      <c r="QMK8" s="733"/>
      <c r="QML8" s="733"/>
      <c r="QMM8" s="733"/>
      <c r="QMN8" s="733"/>
      <c r="QMO8" s="733"/>
      <c r="QMP8" s="733"/>
      <c r="QMQ8" s="733"/>
      <c r="QMR8" s="733"/>
      <c r="QMS8" s="733"/>
      <c r="QMT8" s="733"/>
      <c r="QMU8" s="733"/>
      <c r="QMV8" s="733"/>
      <c r="QMW8" s="733"/>
      <c r="QMX8" s="733"/>
      <c r="QMY8" s="733"/>
      <c r="QMZ8" s="733"/>
      <c r="QNA8" s="733"/>
      <c r="QNB8" s="733"/>
      <c r="QNC8" s="733"/>
      <c r="QND8" s="733"/>
      <c r="QNE8" s="733"/>
      <c r="QNF8" s="733"/>
      <c r="QNG8" s="733"/>
      <c r="QNH8" s="733"/>
      <c r="QNI8" s="733"/>
      <c r="QNJ8" s="733"/>
      <c r="QNK8" s="733"/>
      <c r="QNL8" s="733"/>
      <c r="QNM8" s="733"/>
      <c r="QNN8" s="733"/>
      <c r="QNO8" s="733"/>
      <c r="QNP8" s="733"/>
      <c r="QNQ8" s="733"/>
      <c r="QNR8" s="733"/>
      <c r="QNS8" s="733"/>
      <c r="QNT8" s="733"/>
      <c r="QNU8" s="733"/>
      <c r="QNV8" s="733"/>
      <c r="QNW8" s="733"/>
      <c r="QNX8" s="733"/>
      <c r="QNY8" s="733"/>
      <c r="QNZ8" s="733"/>
      <c r="QOA8" s="733"/>
      <c r="QOB8" s="733"/>
      <c r="QOC8" s="733"/>
      <c r="QOD8" s="733"/>
      <c r="QOE8" s="733"/>
      <c r="QOF8" s="733"/>
      <c r="QOG8" s="733"/>
      <c r="QOH8" s="733"/>
      <c r="QOI8" s="733"/>
      <c r="QOJ8" s="733"/>
      <c r="QOK8" s="733"/>
      <c r="QOL8" s="733"/>
      <c r="QOM8" s="733"/>
      <c r="QON8" s="733"/>
      <c r="QOO8" s="733"/>
      <c r="QOP8" s="733"/>
      <c r="QOQ8" s="733"/>
      <c r="QOR8" s="733"/>
      <c r="QOS8" s="733"/>
      <c r="QOT8" s="733"/>
      <c r="QOU8" s="733"/>
      <c r="QOV8" s="733"/>
      <c r="QOW8" s="733"/>
      <c r="QOX8" s="733"/>
      <c r="QOY8" s="733"/>
      <c r="QOZ8" s="733"/>
      <c r="QPA8" s="733"/>
      <c r="QPB8" s="733"/>
      <c r="QPC8" s="733"/>
      <c r="QPD8" s="733"/>
      <c r="QPE8" s="733"/>
      <c r="QPF8" s="733"/>
      <c r="QPG8" s="733"/>
      <c r="QPH8" s="733"/>
      <c r="QPI8" s="733"/>
      <c r="QPJ8" s="733"/>
      <c r="QPK8" s="733"/>
      <c r="QPL8" s="733"/>
      <c r="QPM8" s="733"/>
      <c r="QPN8" s="733"/>
      <c r="QPO8" s="733"/>
      <c r="QPP8" s="733"/>
      <c r="QPQ8" s="733"/>
      <c r="QPR8" s="733"/>
      <c r="QPS8" s="733"/>
      <c r="QPT8" s="733"/>
      <c r="QPU8" s="733"/>
      <c r="QPV8" s="733"/>
      <c r="QPW8" s="733"/>
      <c r="QPX8" s="733"/>
      <c r="QPY8" s="733"/>
      <c r="QPZ8" s="733"/>
      <c r="QQA8" s="733"/>
      <c r="QQB8" s="733"/>
      <c r="QQC8" s="733"/>
      <c r="QQD8" s="733"/>
      <c r="QQE8" s="733"/>
      <c r="QQF8" s="733"/>
      <c r="QQG8" s="733"/>
      <c r="QQH8" s="733"/>
      <c r="QQI8" s="733"/>
      <c r="QQJ8" s="733"/>
      <c r="QQK8" s="733"/>
      <c r="QQL8" s="733"/>
      <c r="QQM8" s="733"/>
      <c r="QQN8" s="733"/>
      <c r="QQO8" s="733"/>
      <c r="QQP8" s="733"/>
      <c r="QQQ8" s="733"/>
      <c r="QQR8" s="733"/>
      <c r="QQS8" s="733"/>
      <c r="QQT8" s="733"/>
      <c r="QQU8" s="733"/>
      <c r="QQV8" s="733"/>
      <c r="QQW8" s="733"/>
      <c r="QQX8" s="733"/>
      <c r="QQY8" s="733"/>
      <c r="QQZ8" s="733"/>
      <c r="QRA8" s="733"/>
      <c r="QRB8" s="733"/>
      <c r="QRC8" s="733"/>
      <c r="QRD8" s="733"/>
      <c r="QRE8" s="733"/>
      <c r="QRF8" s="733"/>
      <c r="QRG8" s="733"/>
      <c r="QRH8" s="733"/>
      <c r="QRI8" s="733"/>
      <c r="QRJ8" s="733"/>
      <c r="QRK8" s="733"/>
      <c r="QRL8" s="733"/>
      <c r="QRM8" s="733"/>
      <c r="QRN8" s="733"/>
      <c r="QRO8" s="733"/>
      <c r="QRP8" s="733"/>
      <c r="QRQ8" s="733"/>
      <c r="QRR8" s="733"/>
      <c r="QRS8" s="733"/>
      <c r="QRT8" s="733"/>
      <c r="QRU8" s="733"/>
      <c r="QRV8" s="733"/>
      <c r="QRW8" s="733"/>
      <c r="QRX8" s="733"/>
      <c r="QRY8" s="733"/>
      <c r="QRZ8" s="733"/>
      <c r="QSA8" s="733"/>
      <c r="QSB8" s="733"/>
      <c r="QSC8" s="733"/>
      <c r="QSD8" s="733"/>
      <c r="QSE8" s="733"/>
      <c r="QSF8" s="733"/>
      <c r="QSG8" s="733"/>
      <c r="QSH8" s="733"/>
      <c r="QSI8" s="733"/>
      <c r="QSJ8" s="733"/>
      <c r="QSK8" s="733"/>
      <c r="QSL8" s="733"/>
      <c r="QSM8" s="733"/>
      <c r="QSN8" s="733"/>
      <c r="QSO8" s="733"/>
      <c r="QSP8" s="733"/>
      <c r="QSQ8" s="733"/>
      <c r="QSR8" s="733"/>
      <c r="QSS8" s="733"/>
      <c r="QST8" s="733"/>
      <c r="QSU8" s="733"/>
      <c r="QSV8" s="733"/>
      <c r="QSW8" s="733"/>
      <c r="QSX8" s="733"/>
      <c r="QSY8" s="733"/>
      <c r="QSZ8" s="733"/>
      <c r="QTA8" s="733"/>
      <c r="QTB8" s="733"/>
      <c r="QTC8" s="733"/>
      <c r="QTD8" s="733"/>
      <c r="QTE8" s="733"/>
      <c r="QTF8" s="733"/>
      <c r="QTG8" s="733"/>
      <c r="QTH8" s="733"/>
      <c r="QTI8" s="733"/>
      <c r="QTJ8" s="733"/>
      <c r="QTK8" s="733"/>
      <c r="QTL8" s="733"/>
      <c r="QTM8" s="733"/>
      <c r="QTN8" s="733"/>
      <c r="QTO8" s="733"/>
      <c r="QTP8" s="733"/>
      <c r="QTQ8" s="733"/>
      <c r="QTR8" s="733"/>
      <c r="QTS8" s="733"/>
      <c r="QTT8" s="733"/>
      <c r="QTU8" s="733"/>
      <c r="QTV8" s="733"/>
      <c r="QTW8" s="733"/>
      <c r="QTX8" s="733"/>
      <c r="QTY8" s="733"/>
      <c r="QTZ8" s="733"/>
      <c r="QUA8" s="733"/>
      <c r="QUB8" s="733"/>
      <c r="QUC8" s="733"/>
      <c r="QUD8" s="733"/>
      <c r="QUE8" s="733"/>
      <c r="QUF8" s="733"/>
      <c r="QUG8" s="733"/>
      <c r="QUH8" s="733"/>
      <c r="QUI8" s="733"/>
      <c r="QUJ8" s="733"/>
      <c r="QUK8" s="733"/>
      <c r="QUL8" s="733"/>
      <c r="QUM8" s="733"/>
      <c r="QUN8" s="733"/>
      <c r="QUO8" s="733"/>
      <c r="QUP8" s="733"/>
      <c r="QUQ8" s="733"/>
      <c r="QUR8" s="733"/>
      <c r="QUS8" s="733"/>
      <c r="QUT8" s="733"/>
      <c r="QUU8" s="733"/>
      <c r="QUV8" s="733"/>
      <c r="QUW8" s="733"/>
      <c r="QUX8" s="733"/>
      <c r="QUY8" s="733"/>
      <c r="QUZ8" s="733"/>
      <c r="QVA8" s="733"/>
      <c r="QVB8" s="733"/>
      <c r="QVC8" s="733"/>
      <c r="QVD8" s="733"/>
      <c r="QVE8" s="733"/>
      <c r="QVF8" s="733"/>
      <c r="QVG8" s="733"/>
      <c r="QVH8" s="733"/>
      <c r="QVI8" s="733"/>
      <c r="QVJ8" s="733"/>
      <c r="QVK8" s="733"/>
      <c r="QVL8" s="733"/>
      <c r="QVM8" s="733"/>
      <c r="QVN8" s="733"/>
      <c r="QVO8" s="733"/>
      <c r="QVP8" s="733"/>
      <c r="QVQ8" s="733"/>
      <c r="QVR8" s="733"/>
      <c r="QVS8" s="733"/>
      <c r="QVT8" s="733"/>
      <c r="QVU8" s="733"/>
      <c r="QVV8" s="733"/>
      <c r="QVW8" s="733"/>
      <c r="QVX8" s="733"/>
      <c r="QVY8" s="733"/>
      <c r="QVZ8" s="733"/>
      <c r="QWA8" s="733"/>
      <c r="QWB8" s="733"/>
      <c r="QWC8" s="733"/>
      <c r="QWD8" s="733"/>
      <c r="QWE8" s="733"/>
      <c r="QWF8" s="733"/>
      <c r="QWG8" s="733"/>
      <c r="QWH8" s="733"/>
      <c r="QWI8" s="733"/>
      <c r="QWJ8" s="733"/>
      <c r="QWK8" s="733"/>
      <c r="QWL8" s="733"/>
      <c r="QWM8" s="733"/>
      <c r="QWN8" s="733"/>
      <c r="QWO8" s="733"/>
      <c r="QWP8" s="733"/>
      <c r="QWQ8" s="733"/>
      <c r="QWR8" s="733"/>
      <c r="QWS8" s="733"/>
      <c r="QWT8" s="733"/>
      <c r="QWU8" s="733"/>
      <c r="QWV8" s="733"/>
      <c r="QWW8" s="733"/>
      <c r="QWX8" s="733"/>
      <c r="QWY8" s="733"/>
      <c r="QWZ8" s="733"/>
      <c r="QXA8" s="733"/>
      <c r="QXB8" s="733"/>
      <c r="QXC8" s="733"/>
      <c r="QXD8" s="733"/>
      <c r="QXE8" s="733"/>
      <c r="QXF8" s="733"/>
      <c r="QXG8" s="733"/>
      <c r="QXH8" s="733"/>
      <c r="QXI8" s="733"/>
      <c r="QXJ8" s="733"/>
      <c r="QXK8" s="733"/>
      <c r="QXL8" s="733"/>
      <c r="QXM8" s="733"/>
      <c r="QXN8" s="733"/>
      <c r="QXO8" s="733"/>
      <c r="QXP8" s="733"/>
      <c r="QXQ8" s="733"/>
      <c r="QXR8" s="733"/>
      <c r="QXS8" s="733"/>
      <c r="QXT8" s="733"/>
      <c r="QXU8" s="733"/>
      <c r="QXV8" s="733"/>
      <c r="QXW8" s="733"/>
      <c r="QXX8" s="733"/>
      <c r="QXY8" s="733"/>
      <c r="QXZ8" s="733"/>
      <c r="QYA8" s="733"/>
      <c r="QYB8" s="733"/>
      <c r="QYC8" s="733"/>
      <c r="QYD8" s="733"/>
      <c r="QYE8" s="733"/>
      <c r="QYF8" s="733"/>
      <c r="QYG8" s="733"/>
      <c r="QYH8" s="733"/>
      <c r="QYI8" s="733"/>
      <c r="QYJ8" s="733"/>
      <c r="QYK8" s="733"/>
      <c r="QYL8" s="733"/>
      <c r="QYM8" s="733"/>
      <c r="QYN8" s="733"/>
      <c r="QYO8" s="733"/>
      <c r="QYP8" s="733"/>
      <c r="QYQ8" s="733"/>
      <c r="QYR8" s="733"/>
      <c r="QYS8" s="733"/>
      <c r="QYT8" s="733"/>
      <c r="QYU8" s="733"/>
      <c r="QYV8" s="733"/>
      <c r="QYW8" s="733"/>
      <c r="QYX8" s="733"/>
      <c r="QYY8" s="733"/>
      <c r="QYZ8" s="733"/>
      <c r="QZA8" s="733"/>
      <c r="QZB8" s="733"/>
      <c r="QZC8" s="733"/>
      <c r="QZD8" s="733"/>
      <c r="QZE8" s="733"/>
      <c r="QZF8" s="733"/>
      <c r="QZG8" s="733"/>
      <c r="QZH8" s="733"/>
      <c r="QZI8" s="733"/>
      <c r="QZJ8" s="733"/>
      <c r="QZK8" s="733"/>
      <c r="QZL8" s="733"/>
      <c r="QZM8" s="733"/>
      <c r="QZN8" s="733"/>
      <c r="QZO8" s="733"/>
      <c r="QZP8" s="733"/>
      <c r="QZQ8" s="733"/>
      <c r="QZR8" s="733"/>
      <c r="QZS8" s="733"/>
      <c r="QZT8" s="733"/>
      <c r="QZU8" s="733"/>
      <c r="QZV8" s="733"/>
      <c r="QZW8" s="733"/>
      <c r="QZX8" s="733"/>
      <c r="QZY8" s="733"/>
      <c r="QZZ8" s="733"/>
      <c r="RAA8" s="733"/>
      <c r="RAB8" s="733"/>
      <c r="RAC8" s="733"/>
      <c r="RAD8" s="733"/>
      <c r="RAE8" s="733"/>
      <c r="RAF8" s="733"/>
      <c r="RAG8" s="733"/>
      <c r="RAH8" s="733"/>
      <c r="RAI8" s="733"/>
      <c r="RAJ8" s="733"/>
      <c r="RAK8" s="733"/>
      <c r="RAL8" s="733"/>
      <c r="RAM8" s="733"/>
      <c r="RAN8" s="733"/>
      <c r="RAO8" s="733"/>
      <c r="RAP8" s="733"/>
      <c r="RAQ8" s="733"/>
      <c r="RAR8" s="733"/>
      <c r="RAS8" s="733"/>
      <c r="RAT8" s="733"/>
      <c r="RAU8" s="733"/>
      <c r="RAV8" s="733"/>
      <c r="RAW8" s="733"/>
      <c r="RAX8" s="733"/>
      <c r="RAY8" s="733"/>
      <c r="RAZ8" s="733"/>
      <c r="RBA8" s="733"/>
      <c r="RBB8" s="733"/>
      <c r="RBC8" s="733"/>
      <c r="RBD8" s="733"/>
      <c r="RBE8" s="733"/>
      <c r="RBF8" s="733"/>
      <c r="RBG8" s="733"/>
      <c r="RBH8" s="733"/>
      <c r="RBI8" s="733"/>
      <c r="RBJ8" s="733"/>
      <c r="RBK8" s="733"/>
      <c r="RBL8" s="733"/>
      <c r="RBM8" s="733"/>
      <c r="RBN8" s="733"/>
      <c r="RBO8" s="733"/>
      <c r="RBP8" s="733"/>
      <c r="RBQ8" s="733"/>
      <c r="RBR8" s="733"/>
      <c r="RBS8" s="733"/>
      <c r="RBT8" s="733"/>
      <c r="RBU8" s="733"/>
      <c r="RBV8" s="733"/>
      <c r="RBW8" s="733"/>
      <c r="RBX8" s="733"/>
      <c r="RBY8" s="733"/>
      <c r="RBZ8" s="733"/>
      <c r="RCA8" s="733"/>
      <c r="RCB8" s="733"/>
      <c r="RCC8" s="733"/>
      <c r="RCD8" s="733"/>
      <c r="RCE8" s="733"/>
      <c r="RCF8" s="733"/>
      <c r="RCG8" s="733"/>
      <c r="RCH8" s="733"/>
      <c r="RCI8" s="733"/>
      <c r="RCJ8" s="733"/>
      <c r="RCK8" s="733"/>
      <c r="RCL8" s="733"/>
      <c r="RCM8" s="733"/>
      <c r="RCN8" s="733"/>
      <c r="RCO8" s="733"/>
      <c r="RCP8" s="733"/>
      <c r="RCQ8" s="733"/>
      <c r="RCR8" s="733"/>
      <c r="RCS8" s="733"/>
      <c r="RCT8" s="733"/>
      <c r="RCU8" s="733"/>
      <c r="RCV8" s="733"/>
      <c r="RCW8" s="733"/>
      <c r="RCX8" s="733"/>
      <c r="RCY8" s="733"/>
      <c r="RCZ8" s="733"/>
      <c r="RDA8" s="733"/>
      <c r="RDB8" s="733"/>
      <c r="RDC8" s="733"/>
      <c r="RDD8" s="733"/>
      <c r="RDE8" s="733"/>
      <c r="RDF8" s="733"/>
      <c r="RDG8" s="733"/>
      <c r="RDH8" s="733"/>
      <c r="RDI8" s="733"/>
      <c r="RDJ8" s="733"/>
      <c r="RDK8" s="733"/>
      <c r="RDL8" s="733"/>
      <c r="RDM8" s="733"/>
      <c r="RDN8" s="733"/>
      <c r="RDO8" s="733"/>
      <c r="RDP8" s="733"/>
      <c r="RDQ8" s="733"/>
      <c r="RDR8" s="733"/>
      <c r="RDS8" s="733"/>
      <c r="RDT8" s="733"/>
      <c r="RDU8" s="733"/>
      <c r="RDV8" s="733"/>
      <c r="RDW8" s="733"/>
      <c r="RDX8" s="733"/>
      <c r="RDY8" s="733"/>
      <c r="RDZ8" s="733"/>
      <c r="REA8" s="733"/>
      <c r="REB8" s="733"/>
      <c r="REC8" s="733"/>
      <c r="RED8" s="733"/>
      <c r="REE8" s="733"/>
      <c r="REF8" s="733"/>
      <c r="REG8" s="733"/>
      <c r="REH8" s="733"/>
      <c r="REI8" s="733"/>
      <c r="REJ8" s="733"/>
      <c r="REK8" s="733"/>
      <c r="REL8" s="733"/>
      <c r="REM8" s="733"/>
      <c r="REN8" s="733"/>
      <c r="REO8" s="733"/>
      <c r="REP8" s="733"/>
      <c r="REQ8" s="733"/>
      <c r="RER8" s="733"/>
      <c r="RES8" s="733"/>
      <c r="RET8" s="733"/>
      <c r="REU8" s="733"/>
      <c r="REV8" s="733"/>
      <c r="REW8" s="733"/>
      <c r="REX8" s="733"/>
      <c r="REY8" s="733"/>
      <c r="REZ8" s="733"/>
      <c r="RFA8" s="733"/>
      <c r="RFB8" s="733"/>
      <c r="RFC8" s="733"/>
      <c r="RFD8" s="733"/>
      <c r="RFE8" s="733"/>
      <c r="RFF8" s="733"/>
      <c r="RFG8" s="733"/>
      <c r="RFH8" s="733"/>
      <c r="RFI8" s="733"/>
      <c r="RFJ8" s="733"/>
      <c r="RFK8" s="733"/>
      <c r="RFL8" s="733"/>
      <c r="RFM8" s="733"/>
      <c r="RFN8" s="733"/>
      <c r="RFO8" s="733"/>
      <c r="RFP8" s="733"/>
      <c r="RFQ8" s="733"/>
      <c r="RFR8" s="733"/>
      <c r="RFS8" s="733"/>
      <c r="RFT8" s="733"/>
      <c r="RFU8" s="733"/>
      <c r="RFV8" s="733"/>
      <c r="RFW8" s="733"/>
      <c r="RFX8" s="733"/>
      <c r="RFY8" s="733"/>
      <c r="RFZ8" s="733"/>
      <c r="RGA8" s="733"/>
      <c r="RGB8" s="733"/>
      <c r="RGC8" s="733"/>
      <c r="RGD8" s="733"/>
      <c r="RGE8" s="733"/>
      <c r="RGF8" s="733"/>
      <c r="RGG8" s="733"/>
      <c r="RGH8" s="733"/>
      <c r="RGI8" s="733"/>
      <c r="RGJ8" s="733"/>
      <c r="RGK8" s="733"/>
      <c r="RGL8" s="733"/>
      <c r="RGM8" s="733"/>
      <c r="RGN8" s="733"/>
      <c r="RGO8" s="733"/>
      <c r="RGP8" s="733"/>
      <c r="RGQ8" s="733"/>
      <c r="RGR8" s="733"/>
      <c r="RGS8" s="733"/>
      <c r="RGT8" s="733"/>
      <c r="RGU8" s="733"/>
      <c r="RGV8" s="733"/>
      <c r="RGW8" s="733"/>
      <c r="RGX8" s="733"/>
      <c r="RGY8" s="733"/>
      <c r="RGZ8" s="733"/>
      <c r="RHA8" s="733"/>
      <c r="RHB8" s="733"/>
      <c r="RHC8" s="733"/>
      <c r="RHD8" s="733"/>
      <c r="RHE8" s="733"/>
      <c r="RHF8" s="733"/>
      <c r="RHG8" s="733"/>
      <c r="RHH8" s="733"/>
      <c r="RHI8" s="733"/>
      <c r="RHJ8" s="733"/>
      <c r="RHK8" s="733"/>
      <c r="RHL8" s="733"/>
      <c r="RHM8" s="733"/>
      <c r="RHN8" s="733"/>
      <c r="RHO8" s="733"/>
      <c r="RHP8" s="733"/>
      <c r="RHQ8" s="733"/>
      <c r="RHR8" s="733"/>
      <c r="RHS8" s="733"/>
      <c r="RHT8" s="733"/>
      <c r="RHU8" s="733"/>
      <c r="RHV8" s="733"/>
      <c r="RHW8" s="733"/>
      <c r="RHX8" s="733"/>
      <c r="RHY8" s="733"/>
      <c r="RHZ8" s="733"/>
      <c r="RIA8" s="733"/>
      <c r="RIB8" s="733"/>
      <c r="RIC8" s="733"/>
      <c r="RID8" s="733"/>
      <c r="RIE8" s="733"/>
      <c r="RIF8" s="733"/>
      <c r="RIG8" s="733"/>
      <c r="RIH8" s="733"/>
      <c r="RII8" s="733"/>
      <c r="RIJ8" s="733"/>
      <c r="RIK8" s="733"/>
      <c r="RIL8" s="733"/>
      <c r="RIM8" s="733"/>
      <c r="RIN8" s="733"/>
      <c r="RIO8" s="733"/>
      <c r="RIP8" s="733"/>
      <c r="RIQ8" s="733"/>
      <c r="RIR8" s="733"/>
      <c r="RIS8" s="733"/>
      <c r="RIT8" s="733"/>
      <c r="RIU8" s="733"/>
      <c r="RIV8" s="733"/>
      <c r="RIW8" s="733"/>
      <c r="RIX8" s="733"/>
      <c r="RIY8" s="733"/>
      <c r="RIZ8" s="733"/>
      <c r="RJA8" s="733"/>
      <c r="RJB8" s="733"/>
      <c r="RJC8" s="733"/>
      <c r="RJD8" s="733"/>
      <c r="RJE8" s="733"/>
      <c r="RJF8" s="733"/>
      <c r="RJG8" s="733"/>
      <c r="RJH8" s="733"/>
      <c r="RJI8" s="733"/>
      <c r="RJJ8" s="733"/>
      <c r="RJK8" s="733"/>
      <c r="RJL8" s="733"/>
      <c r="RJM8" s="733"/>
      <c r="RJN8" s="733"/>
      <c r="RJO8" s="733"/>
      <c r="RJP8" s="733"/>
      <c r="RJQ8" s="733"/>
      <c r="RJR8" s="733"/>
      <c r="RJS8" s="733"/>
      <c r="RJT8" s="733"/>
      <c r="RJU8" s="733"/>
      <c r="RJV8" s="733"/>
      <c r="RJW8" s="733"/>
      <c r="RJX8" s="733"/>
      <c r="RJY8" s="733"/>
      <c r="RJZ8" s="733"/>
      <c r="RKA8" s="733"/>
      <c r="RKB8" s="733"/>
      <c r="RKC8" s="733"/>
      <c r="RKD8" s="733"/>
      <c r="RKE8" s="733"/>
      <c r="RKF8" s="733"/>
      <c r="RKG8" s="733"/>
      <c r="RKH8" s="733"/>
      <c r="RKI8" s="733"/>
      <c r="RKJ8" s="733"/>
      <c r="RKK8" s="733"/>
      <c r="RKL8" s="733"/>
      <c r="RKM8" s="733"/>
      <c r="RKN8" s="733"/>
      <c r="RKO8" s="733"/>
      <c r="RKP8" s="733"/>
      <c r="RKQ8" s="733"/>
      <c r="RKR8" s="733"/>
      <c r="RKS8" s="733"/>
      <c r="RKT8" s="733"/>
      <c r="RKU8" s="733"/>
      <c r="RKV8" s="733"/>
      <c r="RKW8" s="733"/>
      <c r="RKX8" s="733"/>
      <c r="RKY8" s="733"/>
      <c r="RKZ8" s="733"/>
      <c r="RLA8" s="733"/>
      <c r="RLB8" s="733"/>
      <c r="RLC8" s="733"/>
      <c r="RLD8" s="733"/>
      <c r="RLE8" s="733"/>
      <c r="RLF8" s="733"/>
      <c r="RLG8" s="733"/>
      <c r="RLH8" s="733"/>
      <c r="RLI8" s="733"/>
      <c r="RLJ8" s="733"/>
      <c r="RLK8" s="733"/>
      <c r="RLL8" s="733"/>
      <c r="RLM8" s="733"/>
      <c r="RLN8" s="733"/>
      <c r="RLO8" s="733"/>
      <c r="RLP8" s="733"/>
      <c r="RLQ8" s="733"/>
      <c r="RLR8" s="733"/>
      <c r="RLS8" s="733"/>
      <c r="RLT8" s="733"/>
      <c r="RLU8" s="733"/>
      <c r="RLV8" s="733"/>
      <c r="RLW8" s="733"/>
      <c r="RLX8" s="733"/>
      <c r="RLY8" s="733"/>
      <c r="RLZ8" s="733"/>
      <c r="RMA8" s="733"/>
      <c r="RMB8" s="733"/>
      <c r="RMC8" s="733"/>
      <c r="RMD8" s="733"/>
      <c r="RME8" s="733"/>
      <c r="RMF8" s="733"/>
      <c r="RMG8" s="733"/>
      <c r="RMH8" s="733"/>
      <c r="RMI8" s="733"/>
      <c r="RMJ8" s="733"/>
      <c r="RMK8" s="733"/>
      <c r="RML8" s="733"/>
      <c r="RMM8" s="733"/>
      <c r="RMN8" s="733"/>
      <c r="RMO8" s="733"/>
      <c r="RMP8" s="733"/>
      <c r="RMQ8" s="733"/>
      <c r="RMR8" s="733"/>
      <c r="RMS8" s="733"/>
      <c r="RMT8" s="733"/>
      <c r="RMU8" s="733"/>
      <c r="RMV8" s="733"/>
      <c r="RMW8" s="733"/>
      <c r="RMX8" s="733"/>
      <c r="RMY8" s="733"/>
      <c r="RMZ8" s="733"/>
      <c r="RNA8" s="733"/>
      <c r="RNB8" s="733"/>
      <c r="RNC8" s="733"/>
      <c r="RND8" s="733"/>
      <c r="RNE8" s="733"/>
      <c r="RNF8" s="733"/>
      <c r="RNG8" s="733"/>
      <c r="RNH8" s="733"/>
      <c r="RNI8" s="733"/>
      <c r="RNJ8" s="733"/>
      <c r="RNK8" s="733"/>
      <c r="RNL8" s="733"/>
      <c r="RNM8" s="733"/>
      <c r="RNN8" s="733"/>
      <c r="RNO8" s="733"/>
      <c r="RNP8" s="733"/>
      <c r="RNQ8" s="733"/>
      <c r="RNR8" s="733"/>
      <c r="RNS8" s="733"/>
      <c r="RNT8" s="733"/>
      <c r="RNU8" s="733"/>
      <c r="RNV8" s="733"/>
      <c r="RNW8" s="733"/>
      <c r="RNX8" s="733"/>
      <c r="RNY8" s="733"/>
      <c r="RNZ8" s="733"/>
      <c r="ROA8" s="733"/>
      <c r="ROB8" s="733"/>
      <c r="ROC8" s="733"/>
      <c r="ROD8" s="733"/>
      <c r="ROE8" s="733"/>
      <c r="ROF8" s="733"/>
      <c r="ROG8" s="733"/>
      <c r="ROH8" s="733"/>
      <c r="ROI8" s="733"/>
      <c r="ROJ8" s="733"/>
      <c r="ROK8" s="733"/>
      <c r="ROL8" s="733"/>
      <c r="ROM8" s="733"/>
      <c r="RON8" s="733"/>
      <c r="ROO8" s="733"/>
      <c r="ROP8" s="733"/>
      <c r="ROQ8" s="733"/>
      <c r="ROR8" s="733"/>
      <c r="ROS8" s="733"/>
      <c r="ROT8" s="733"/>
      <c r="ROU8" s="733"/>
      <c r="ROV8" s="733"/>
      <c r="ROW8" s="733"/>
      <c r="ROX8" s="733"/>
      <c r="ROY8" s="733"/>
      <c r="ROZ8" s="733"/>
      <c r="RPA8" s="733"/>
      <c r="RPB8" s="733"/>
      <c r="RPC8" s="733"/>
      <c r="RPD8" s="733"/>
      <c r="RPE8" s="733"/>
      <c r="RPF8" s="733"/>
      <c r="RPG8" s="733"/>
      <c r="RPH8" s="733"/>
      <c r="RPI8" s="733"/>
      <c r="RPJ8" s="733"/>
      <c r="RPK8" s="733"/>
      <c r="RPL8" s="733"/>
      <c r="RPM8" s="733"/>
      <c r="RPN8" s="733"/>
      <c r="RPO8" s="733"/>
      <c r="RPP8" s="733"/>
      <c r="RPQ8" s="733"/>
      <c r="RPR8" s="733"/>
      <c r="RPS8" s="733"/>
      <c r="RPT8" s="733"/>
      <c r="RPU8" s="733"/>
      <c r="RPV8" s="733"/>
      <c r="RPW8" s="733"/>
      <c r="RPX8" s="733"/>
      <c r="RPY8" s="733"/>
      <c r="RPZ8" s="733"/>
      <c r="RQA8" s="733"/>
      <c r="RQB8" s="733"/>
      <c r="RQC8" s="733"/>
      <c r="RQD8" s="733"/>
      <c r="RQE8" s="733"/>
      <c r="RQF8" s="733"/>
      <c r="RQG8" s="733"/>
      <c r="RQH8" s="733"/>
      <c r="RQI8" s="733"/>
      <c r="RQJ8" s="733"/>
      <c r="RQK8" s="733"/>
      <c r="RQL8" s="733"/>
      <c r="RQM8" s="733"/>
      <c r="RQN8" s="733"/>
      <c r="RQO8" s="733"/>
      <c r="RQP8" s="733"/>
      <c r="RQQ8" s="733"/>
      <c r="RQR8" s="733"/>
      <c r="RQS8" s="733"/>
      <c r="RQT8" s="733"/>
      <c r="RQU8" s="733"/>
      <c r="RQV8" s="733"/>
      <c r="RQW8" s="733"/>
      <c r="RQX8" s="733"/>
      <c r="RQY8" s="733"/>
      <c r="RQZ8" s="733"/>
      <c r="RRA8" s="733"/>
      <c r="RRB8" s="733"/>
      <c r="RRC8" s="733"/>
      <c r="RRD8" s="733"/>
      <c r="RRE8" s="733"/>
      <c r="RRF8" s="733"/>
      <c r="RRG8" s="733"/>
      <c r="RRH8" s="733"/>
      <c r="RRI8" s="733"/>
      <c r="RRJ8" s="733"/>
      <c r="RRK8" s="733"/>
      <c r="RRL8" s="733"/>
      <c r="RRM8" s="733"/>
      <c r="RRN8" s="733"/>
      <c r="RRO8" s="733"/>
      <c r="RRP8" s="733"/>
      <c r="RRQ8" s="733"/>
      <c r="RRR8" s="733"/>
      <c r="RRS8" s="733"/>
      <c r="RRT8" s="733"/>
      <c r="RRU8" s="733"/>
      <c r="RRV8" s="733"/>
      <c r="RRW8" s="733"/>
      <c r="RRX8" s="733"/>
      <c r="RRY8" s="733"/>
      <c r="RRZ8" s="733"/>
      <c r="RSA8" s="733"/>
      <c r="RSB8" s="733"/>
      <c r="RSC8" s="733"/>
      <c r="RSD8" s="733"/>
      <c r="RSE8" s="733"/>
      <c r="RSF8" s="733"/>
      <c r="RSG8" s="733"/>
      <c r="RSH8" s="733"/>
      <c r="RSI8" s="733"/>
      <c r="RSJ8" s="733"/>
      <c r="RSK8" s="733"/>
      <c r="RSL8" s="733"/>
      <c r="RSM8" s="733"/>
      <c r="RSN8" s="733"/>
      <c r="RSO8" s="733"/>
      <c r="RSP8" s="733"/>
      <c r="RSQ8" s="733"/>
      <c r="RSR8" s="733"/>
      <c r="RSS8" s="733"/>
      <c r="RST8" s="733"/>
      <c r="RSU8" s="733"/>
      <c r="RSV8" s="733"/>
      <c r="RSW8" s="733"/>
      <c r="RSX8" s="733"/>
      <c r="RSY8" s="733"/>
      <c r="RSZ8" s="733"/>
      <c r="RTA8" s="733"/>
      <c r="RTB8" s="733"/>
      <c r="RTC8" s="733"/>
      <c r="RTD8" s="733"/>
      <c r="RTE8" s="733"/>
      <c r="RTF8" s="733"/>
      <c r="RTG8" s="733"/>
      <c r="RTH8" s="733"/>
      <c r="RTI8" s="733"/>
      <c r="RTJ8" s="733"/>
      <c r="RTK8" s="733"/>
      <c r="RTL8" s="733"/>
      <c r="RTM8" s="733"/>
      <c r="RTN8" s="733"/>
      <c r="RTO8" s="733"/>
      <c r="RTP8" s="733"/>
      <c r="RTQ8" s="733"/>
      <c r="RTR8" s="733"/>
      <c r="RTS8" s="733"/>
      <c r="RTT8" s="733"/>
      <c r="RTU8" s="733"/>
      <c r="RTV8" s="733"/>
      <c r="RTW8" s="733"/>
      <c r="RTX8" s="733"/>
      <c r="RTY8" s="733"/>
      <c r="RTZ8" s="733"/>
      <c r="RUA8" s="733"/>
      <c r="RUB8" s="733"/>
      <c r="RUC8" s="733"/>
      <c r="RUD8" s="733"/>
      <c r="RUE8" s="733"/>
      <c r="RUF8" s="733"/>
      <c r="RUG8" s="733"/>
      <c r="RUH8" s="733"/>
      <c r="RUI8" s="733"/>
      <c r="RUJ8" s="733"/>
      <c r="RUK8" s="733"/>
      <c r="RUL8" s="733"/>
      <c r="RUM8" s="733"/>
      <c r="RUN8" s="733"/>
      <c r="RUO8" s="733"/>
      <c r="RUP8" s="733"/>
      <c r="RUQ8" s="733"/>
      <c r="RUR8" s="733"/>
      <c r="RUS8" s="733"/>
      <c r="RUT8" s="733"/>
      <c r="RUU8" s="733"/>
      <c r="RUV8" s="733"/>
      <c r="RUW8" s="733"/>
      <c r="RUX8" s="733"/>
      <c r="RUY8" s="733"/>
      <c r="RUZ8" s="733"/>
      <c r="RVA8" s="733"/>
      <c r="RVB8" s="733"/>
      <c r="RVC8" s="733"/>
      <c r="RVD8" s="733"/>
      <c r="RVE8" s="733"/>
      <c r="RVF8" s="733"/>
      <c r="RVG8" s="733"/>
      <c r="RVH8" s="733"/>
      <c r="RVI8" s="733"/>
      <c r="RVJ8" s="733"/>
      <c r="RVK8" s="733"/>
      <c r="RVL8" s="733"/>
      <c r="RVM8" s="733"/>
      <c r="RVN8" s="733"/>
      <c r="RVO8" s="733"/>
      <c r="RVP8" s="733"/>
      <c r="RVQ8" s="733"/>
      <c r="RVR8" s="733"/>
      <c r="RVS8" s="733"/>
      <c r="RVT8" s="733"/>
      <c r="RVU8" s="733"/>
      <c r="RVV8" s="733"/>
      <c r="RVW8" s="733"/>
      <c r="RVX8" s="733"/>
      <c r="RVY8" s="733"/>
      <c r="RVZ8" s="733"/>
      <c r="RWA8" s="733"/>
      <c r="RWB8" s="733"/>
      <c r="RWC8" s="733"/>
      <c r="RWD8" s="733"/>
      <c r="RWE8" s="733"/>
      <c r="RWF8" s="733"/>
      <c r="RWG8" s="733"/>
      <c r="RWH8" s="733"/>
      <c r="RWI8" s="733"/>
      <c r="RWJ8" s="733"/>
      <c r="RWK8" s="733"/>
      <c r="RWL8" s="733"/>
      <c r="RWM8" s="733"/>
      <c r="RWN8" s="733"/>
      <c r="RWO8" s="733"/>
      <c r="RWP8" s="733"/>
      <c r="RWQ8" s="733"/>
      <c r="RWR8" s="733"/>
      <c r="RWS8" s="733"/>
      <c r="RWT8" s="733"/>
      <c r="RWU8" s="733"/>
      <c r="RWV8" s="733"/>
      <c r="RWW8" s="733"/>
      <c r="RWX8" s="733"/>
      <c r="RWY8" s="733"/>
      <c r="RWZ8" s="733"/>
      <c r="RXA8" s="733"/>
      <c r="RXB8" s="733"/>
      <c r="RXC8" s="733"/>
      <c r="RXD8" s="733"/>
      <c r="RXE8" s="733"/>
      <c r="RXF8" s="733"/>
      <c r="RXG8" s="733"/>
      <c r="RXH8" s="733"/>
      <c r="RXI8" s="733"/>
      <c r="RXJ8" s="733"/>
      <c r="RXK8" s="733"/>
      <c r="RXL8" s="733"/>
      <c r="RXM8" s="733"/>
      <c r="RXN8" s="733"/>
      <c r="RXO8" s="733"/>
      <c r="RXP8" s="733"/>
      <c r="RXQ8" s="733"/>
      <c r="RXR8" s="733"/>
      <c r="RXS8" s="733"/>
      <c r="RXT8" s="733"/>
      <c r="RXU8" s="733"/>
      <c r="RXV8" s="733"/>
      <c r="RXW8" s="733"/>
      <c r="RXX8" s="733"/>
      <c r="RXY8" s="733"/>
      <c r="RXZ8" s="733"/>
      <c r="RYA8" s="733"/>
      <c r="RYB8" s="733"/>
      <c r="RYC8" s="733"/>
      <c r="RYD8" s="733"/>
      <c r="RYE8" s="733"/>
      <c r="RYF8" s="733"/>
      <c r="RYG8" s="733"/>
      <c r="RYH8" s="733"/>
      <c r="RYI8" s="733"/>
      <c r="RYJ8" s="733"/>
      <c r="RYK8" s="733"/>
      <c r="RYL8" s="733"/>
      <c r="RYM8" s="733"/>
      <c r="RYN8" s="733"/>
      <c r="RYO8" s="733"/>
      <c r="RYP8" s="733"/>
      <c r="RYQ8" s="733"/>
      <c r="RYR8" s="733"/>
      <c r="RYS8" s="733"/>
      <c r="RYT8" s="733"/>
      <c r="RYU8" s="733"/>
      <c r="RYV8" s="733"/>
      <c r="RYW8" s="733"/>
      <c r="RYX8" s="733"/>
      <c r="RYY8" s="733"/>
      <c r="RYZ8" s="733"/>
      <c r="RZA8" s="733"/>
      <c r="RZB8" s="733"/>
      <c r="RZC8" s="733"/>
      <c r="RZD8" s="733"/>
      <c r="RZE8" s="733"/>
      <c r="RZF8" s="733"/>
      <c r="RZG8" s="733"/>
      <c r="RZH8" s="733"/>
      <c r="RZI8" s="733"/>
      <c r="RZJ8" s="733"/>
      <c r="RZK8" s="733"/>
      <c r="RZL8" s="733"/>
      <c r="RZM8" s="733"/>
      <c r="RZN8" s="733"/>
      <c r="RZO8" s="733"/>
      <c r="RZP8" s="733"/>
      <c r="RZQ8" s="733"/>
      <c r="RZR8" s="733"/>
      <c r="RZS8" s="733"/>
      <c r="RZT8" s="733"/>
      <c r="RZU8" s="733"/>
      <c r="RZV8" s="733"/>
      <c r="RZW8" s="733"/>
      <c r="RZX8" s="733"/>
      <c r="RZY8" s="733"/>
      <c r="RZZ8" s="733"/>
      <c r="SAA8" s="733"/>
      <c r="SAB8" s="733"/>
      <c r="SAC8" s="733"/>
      <c r="SAD8" s="733"/>
      <c r="SAE8" s="733"/>
      <c r="SAF8" s="733"/>
      <c r="SAG8" s="733"/>
      <c r="SAH8" s="733"/>
      <c r="SAI8" s="733"/>
      <c r="SAJ8" s="733"/>
      <c r="SAK8" s="733"/>
      <c r="SAL8" s="733"/>
      <c r="SAM8" s="733"/>
      <c r="SAN8" s="733"/>
      <c r="SAO8" s="733"/>
      <c r="SAP8" s="733"/>
      <c r="SAQ8" s="733"/>
      <c r="SAR8" s="733"/>
      <c r="SAS8" s="733"/>
      <c r="SAT8" s="733"/>
      <c r="SAU8" s="733"/>
      <c r="SAV8" s="733"/>
      <c r="SAW8" s="733"/>
      <c r="SAX8" s="733"/>
      <c r="SAY8" s="733"/>
      <c r="SAZ8" s="733"/>
      <c r="SBA8" s="733"/>
      <c r="SBB8" s="733"/>
      <c r="SBC8" s="733"/>
      <c r="SBD8" s="733"/>
      <c r="SBE8" s="733"/>
      <c r="SBF8" s="733"/>
      <c r="SBG8" s="733"/>
      <c r="SBH8" s="733"/>
      <c r="SBI8" s="733"/>
      <c r="SBJ8" s="733"/>
      <c r="SBK8" s="733"/>
      <c r="SBL8" s="733"/>
      <c r="SBM8" s="733"/>
      <c r="SBN8" s="733"/>
      <c r="SBO8" s="733"/>
      <c r="SBP8" s="733"/>
      <c r="SBQ8" s="733"/>
      <c r="SBR8" s="733"/>
      <c r="SBS8" s="733"/>
      <c r="SBT8" s="733"/>
      <c r="SBU8" s="733"/>
      <c r="SBV8" s="733"/>
      <c r="SBW8" s="733"/>
      <c r="SBX8" s="733"/>
      <c r="SBY8" s="733"/>
      <c r="SBZ8" s="733"/>
      <c r="SCA8" s="733"/>
      <c r="SCB8" s="733"/>
      <c r="SCC8" s="733"/>
      <c r="SCD8" s="733"/>
      <c r="SCE8" s="733"/>
      <c r="SCF8" s="733"/>
      <c r="SCG8" s="733"/>
      <c r="SCH8" s="733"/>
      <c r="SCI8" s="733"/>
      <c r="SCJ8" s="733"/>
      <c r="SCK8" s="733"/>
      <c r="SCL8" s="733"/>
      <c r="SCM8" s="733"/>
      <c r="SCN8" s="733"/>
      <c r="SCO8" s="733"/>
      <c r="SCP8" s="733"/>
      <c r="SCQ8" s="733"/>
      <c r="SCR8" s="733"/>
      <c r="SCS8" s="733"/>
      <c r="SCT8" s="733"/>
      <c r="SCU8" s="733"/>
      <c r="SCV8" s="733"/>
      <c r="SCW8" s="733"/>
      <c r="SCX8" s="733"/>
      <c r="SCY8" s="733"/>
      <c r="SCZ8" s="733"/>
      <c r="SDA8" s="733"/>
      <c r="SDB8" s="733"/>
      <c r="SDC8" s="733"/>
      <c r="SDD8" s="733"/>
      <c r="SDE8" s="733"/>
      <c r="SDF8" s="733"/>
      <c r="SDG8" s="733"/>
      <c r="SDH8" s="733"/>
      <c r="SDI8" s="733"/>
      <c r="SDJ8" s="733"/>
      <c r="SDK8" s="733"/>
      <c r="SDL8" s="733"/>
      <c r="SDM8" s="733"/>
      <c r="SDN8" s="733"/>
      <c r="SDO8" s="733"/>
      <c r="SDP8" s="733"/>
      <c r="SDQ8" s="733"/>
      <c r="SDR8" s="733"/>
      <c r="SDS8" s="733"/>
      <c r="SDT8" s="733"/>
      <c r="SDU8" s="733"/>
      <c r="SDV8" s="733"/>
      <c r="SDW8" s="733"/>
      <c r="SDX8" s="733"/>
      <c r="SDY8" s="733"/>
      <c r="SDZ8" s="733"/>
      <c r="SEA8" s="733"/>
      <c r="SEB8" s="733"/>
      <c r="SEC8" s="733"/>
      <c r="SED8" s="733"/>
      <c r="SEE8" s="733"/>
      <c r="SEF8" s="733"/>
      <c r="SEG8" s="733"/>
      <c r="SEH8" s="733"/>
      <c r="SEI8" s="733"/>
      <c r="SEJ8" s="733"/>
      <c r="SEK8" s="733"/>
      <c r="SEL8" s="733"/>
      <c r="SEM8" s="733"/>
      <c r="SEN8" s="733"/>
      <c r="SEO8" s="733"/>
      <c r="SEP8" s="733"/>
      <c r="SEQ8" s="733"/>
      <c r="SER8" s="733"/>
      <c r="SES8" s="733"/>
      <c r="SET8" s="733"/>
      <c r="SEU8" s="733"/>
      <c r="SEV8" s="733"/>
      <c r="SEW8" s="733"/>
      <c r="SEX8" s="733"/>
      <c r="SEY8" s="733"/>
      <c r="SEZ8" s="733"/>
      <c r="SFA8" s="733"/>
      <c r="SFB8" s="733"/>
      <c r="SFC8" s="733"/>
      <c r="SFD8" s="733"/>
      <c r="SFE8" s="733"/>
      <c r="SFF8" s="733"/>
      <c r="SFG8" s="733"/>
      <c r="SFH8" s="733"/>
      <c r="SFI8" s="733"/>
      <c r="SFJ8" s="733"/>
      <c r="SFK8" s="733"/>
      <c r="SFL8" s="733"/>
      <c r="SFM8" s="733"/>
      <c r="SFN8" s="733"/>
      <c r="SFO8" s="733"/>
      <c r="SFP8" s="733"/>
      <c r="SFQ8" s="733"/>
      <c r="SFR8" s="733"/>
      <c r="SFS8" s="733"/>
      <c r="SFT8" s="733"/>
      <c r="SFU8" s="733"/>
      <c r="SFV8" s="733"/>
      <c r="SFW8" s="733"/>
      <c r="SFX8" s="733"/>
      <c r="SFY8" s="733"/>
      <c r="SFZ8" s="733"/>
      <c r="SGA8" s="733"/>
      <c r="SGB8" s="733"/>
      <c r="SGC8" s="733"/>
      <c r="SGD8" s="733"/>
      <c r="SGE8" s="733"/>
      <c r="SGF8" s="733"/>
      <c r="SGG8" s="733"/>
      <c r="SGH8" s="733"/>
      <c r="SGI8" s="733"/>
      <c r="SGJ8" s="733"/>
      <c r="SGK8" s="733"/>
      <c r="SGL8" s="733"/>
      <c r="SGM8" s="733"/>
      <c r="SGN8" s="733"/>
      <c r="SGO8" s="733"/>
      <c r="SGP8" s="733"/>
      <c r="SGQ8" s="733"/>
      <c r="SGR8" s="733"/>
      <c r="SGS8" s="733"/>
      <c r="SGT8" s="733"/>
      <c r="SGU8" s="733"/>
      <c r="SGV8" s="733"/>
      <c r="SGW8" s="733"/>
      <c r="SGX8" s="733"/>
      <c r="SGY8" s="733"/>
      <c r="SGZ8" s="733"/>
      <c r="SHA8" s="733"/>
      <c r="SHB8" s="733"/>
      <c r="SHC8" s="733"/>
      <c r="SHD8" s="733"/>
      <c r="SHE8" s="733"/>
      <c r="SHF8" s="733"/>
      <c r="SHG8" s="733"/>
      <c r="SHH8" s="733"/>
      <c r="SHI8" s="733"/>
      <c r="SHJ8" s="733"/>
      <c r="SHK8" s="733"/>
      <c r="SHL8" s="733"/>
      <c r="SHM8" s="733"/>
      <c r="SHN8" s="733"/>
      <c r="SHO8" s="733"/>
      <c r="SHP8" s="733"/>
      <c r="SHQ8" s="733"/>
      <c r="SHR8" s="733"/>
      <c r="SHS8" s="733"/>
      <c r="SHT8" s="733"/>
      <c r="SHU8" s="733"/>
      <c r="SHV8" s="733"/>
      <c r="SHW8" s="733"/>
      <c r="SHX8" s="733"/>
      <c r="SHY8" s="733"/>
      <c r="SHZ8" s="733"/>
      <c r="SIA8" s="733"/>
      <c r="SIB8" s="733"/>
      <c r="SIC8" s="733"/>
      <c r="SID8" s="733"/>
      <c r="SIE8" s="733"/>
      <c r="SIF8" s="733"/>
      <c r="SIG8" s="733"/>
      <c r="SIH8" s="733"/>
      <c r="SII8" s="733"/>
      <c r="SIJ8" s="733"/>
      <c r="SIK8" s="733"/>
      <c r="SIL8" s="733"/>
      <c r="SIM8" s="733"/>
      <c r="SIN8" s="733"/>
      <c r="SIO8" s="733"/>
      <c r="SIP8" s="733"/>
      <c r="SIQ8" s="733"/>
      <c r="SIR8" s="733"/>
      <c r="SIS8" s="733"/>
      <c r="SIT8" s="733"/>
      <c r="SIU8" s="733"/>
      <c r="SIV8" s="733"/>
      <c r="SIW8" s="733"/>
      <c r="SIX8" s="733"/>
      <c r="SIY8" s="733"/>
      <c r="SIZ8" s="733"/>
      <c r="SJA8" s="733"/>
      <c r="SJB8" s="733"/>
      <c r="SJC8" s="733"/>
      <c r="SJD8" s="733"/>
      <c r="SJE8" s="733"/>
      <c r="SJF8" s="733"/>
      <c r="SJG8" s="733"/>
      <c r="SJH8" s="733"/>
      <c r="SJI8" s="733"/>
      <c r="SJJ8" s="733"/>
      <c r="SJK8" s="733"/>
      <c r="SJL8" s="733"/>
      <c r="SJM8" s="733"/>
      <c r="SJN8" s="733"/>
      <c r="SJO8" s="733"/>
      <c r="SJP8" s="733"/>
      <c r="SJQ8" s="733"/>
      <c r="SJR8" s="733"/>
      <c r="SJS8" s="733"/>
      <c r="SJT8" s="733"/>
      <c r="SJU8" s="733"/>
      <c r="SJV8" s="733"/>
      <c r="SJW8" s="733"/>
      <c r="SJX8" s="733"/>
      <c r="SJY8" s="733"/>
      <c r="SJZ8" s="733"/>
      <c r="SKA8" s="733"/>
      <c r="SKB8" s="733"/>
      <c r="SKC8" s="733"/>
      <c r="SKD8" s="733"/>
      <c r="SKE8" s="733"/>
      <c r="SKF8" s="733"/>
      <c r="SKG8" s="733"/>
      <c r="SKH8" s="733"/>
      <c r="SKI8" s="733"/>
      <c r="SKJ8" s="733"/>
      <c r="SKK8" s="733"/>
      <c r="SKL8" s="733"/>
      <c r="SKM8" s="733"/>
      <c r="SKN8" s="733"/>
      <c r="SKO8" s="733"/>
      <c r="SKP8" s="733"/>
      <c r="SKQ8" s="733"/>
      <c r="SKR8" s="733"/>
      <c r="SKS8" s="733"/>
      <c r="SKT8" s="733"/>
      <c r="SKU8" s="733"/>
      <c r="SKV8" s="733"/>
      <c r="SKW8" s="733"/>
      <c r="SKX8" s="733"/>
      <c r="SKY8" s="733"/>
      <c r="SKZ8" s="733"/>
      <c r="SLA8" s="733"/>
      <c r="SLB8" s="733"/>
      <c r="SLC8" s="733"/>
      <c r="SLD8" s="733"/>
      <c r="SLE8" s="733"/>
      <c r="SLF8" s="733"/>
      <c r="SLG8" s="733"/>
      <c r="SLH8" s="733"/>
      <c r="SLI8" s="733"/>
      <c r="SLJ8" s="733"/>
      <c r="SLK8" s="733"/>
      <c r="SLL8" s="733"/>
      <c r="SLM8" s="733"/>
      <c r="SLN8" s="733"/>
      <c r="SLO8" s="733"/>
      <c r="SLP8" s="733"/>
      <c r="SLQ8" s="733"/>
      <c r="SLR8" s="733"/>
      <c r="SLS8" s="733"/>
      <c r="SLT8" s="733"/>
      <c r="SLU8" s="733"/>
      <c r="SLV8" s="733"/>
      <c r="SLW8" s="733"/>
      <c r="SLX8" s="733"/>
      <c r="SLY8" s="733"/>
      <c r="SLZ8" s="733"/>
      <c r="SMA8" s="733"/>
      <c r="SMB8" s="733"/>
      <c r="SMC8" s="733"/>
      <c r="SMD8" s="733"/>
      <c r="SME8" s="733"/>
      <c r="SMF8" s="733"/>
      <c r="SMG8" s="733"/>
      <c r="SMH8" s="733"/>
      <c r="SMI8" s="733"/>
      <c r="SMJ8" s="733"/>
      <c r="SMK8" s="733"/>
      <c r="SML8" s="733"/>
      <c r="SMM8" s="733"/>
      <c r="SMN8" s="733"/>
      <c r="SMO8" s="733"/>
      <c r="SMP8" s="733"/>
      <c r="SMQ8" s="733"/>
      <c r="SMR8" s="733"/>
      <c r="SMS8" s="733"/>
      <c r="SMT8" s="733"/>
      <c r="SMU8" s="733"/>
      <c r="SMV8" s="733"/>
      <c r="SMW8" s="733"/>
      <c r="SMX8" s="733"/>
      <c r="SMY8" s="733"/>
      <c r="SMZ8" s="733"/>
      <c r="SNA8" s="733"/>
      <c r="SNB8" s="733"/>
      <c r="SNC8" s="733"/>
      <c r="SND8" s="733"/>
      <c r="SNE8" s="733"/>
      <c r="SNF8" s="733"/>
      <c r="SNG8" s="733"/>
      <c r="SNH8" s="733"/>
      <c r="SNI8" s="733"/>
      <c r="SNJ8" s="733"/>
      <c r="SNK8" s="733"/>
      <c r="SNL8" s="733"/>
      <c r="SNM8" s="733"/>
      <c r="SNN8" s="733"/>
      <c r="SNO8" s="733"/>
      <c r="SNP8" s="733"/>
      <c r="SNQ8" s="733"/>
      <c r="SNR8" s="733"/>
      <c r="SNS8" s="733"/>
      <c r="SNT8" s="733"/>
      <c r="SNU8" s="733"/>
      <c r="SNV8" s="733"/>
      <c r="SNW8" s="733"/>
      <c r="SNX8" s="733"/>
      <c r="SNY8" s="733"/>
      <c r="SNZ8" s="733"/>
      <c r="SOA8" s="733"/>
      <c r="SOB8" s="733"/>
      <c r="SOC8" s="733"/>
      <c r="SOD8" s="733"/>
      <c r="SOE8" s="733"/>
      <c r="SOF8" s="733"/>
      <c r="SOG8" s="733"/>
      <c r="SOH8" s="733"/>
      <c r="SOI8" s="733"/>
      <c r="SOJ8" s="733"/>
      <c r="SOK8" s="733"/>
      <c r="SOL8" s="733"/>
      <c r="SOM8" s="733"/>
      <c r="SON8" s="733"/>
      <c r="SOO8" s="733"/>
      <c r="SOP8" s="733"/>
      <c r="SOQ8" s="733"/>
      <c r="SOR8" s="733"/>
      <c r="SOS8" s="733"/>
      <c r="SOT8" s="733"/>
      <c r="SOU8" s="733"/>
      <c r="SOV8" s="733"/>
      <c r="SOW8" s="733"/>
      <c r="SOX8" s="733"/>
      <c r="SOY8" s="733"/>
      <c r="SOZ8" s="733"/>
      <c r="SPA8" s="733"/>
      <c r="SPB8" s="733"/>
      <c r="SPC8" s="733"/>
      <c r="SPD8" s="733"/>
      <c r="SPE8" s="733"/>
      <c r="SPF8" s="733"/>
      <c r="SPG8" s="733"/>
      <c r="SPH8" s="733"/>
      <c r="SPI8" s="733"/>
      <c r="SPJ8" s="733"/>
      <c r="SPK8" s="733"/>
      <c r="SPL8" s="733"/>
      <c r="SPM8" s="733"/>
      <c r="SPN8" s="733"/>
      <c r="SPO8" s="733"/>
      <c r="SPP8" s="733"/>
      <c r="SPQ8" s="733"/>
      <c r="SPR8" s="733"/>
      <c r="SPS8" s="733"/>
      <c r="SPT8" s="733"/>
      <c r="SPU8" s="733"/>
      <c r="SPV8" s="733"/>
      <c r="SPW8" s="733"/>
      <c r="SPX8" s="733"/>
      <c r="SPY8" s="733"/>
      <c r="SPZ8" s="733"/>
      <c r="SQA8" s="733"/>
      <c r="SQB8" s="733"/>
      <c r="SQC8" s="733"/>
      <c r="SQD8" s="733"/>
      <c r="SQE8" s="733"/>
      <c r="SQF8" s="733"/>
      <c r="SQG8" s="733"/>
      <c r="SQH8" s="733"/>
      <c r="SQI8" s="733"/>
      <c r="SQJ8" s="733"/>
      <c r="SQK8" s="733"/>
      <c r="SQL8" s="733"/>
      <c r="SQM8" s="733"/>
      <c r="SQN8" s="733"/>
      <c r="SQO8" s="733"/>
      <c r="SQP8" s="733"/>
      <c r="SQQ8" s="733"/>
      <c r="SQR8" s="733"/>
      <c r="SQS8" s="733"/>
      <c r="SQT8" s="733"/>
      <c r="SQU8" s="733"/>
      <c r="SQV8" s="733"/>
      <c r="SQW8" s="733"/>
      <c r="SQX8" s="733"/>
      <c r="SQY8" s="733"/>
      <c r="SQZ8" s="733"/>
      <c r="SRA8" s="733"/>
      <c r="SRB8" s="733"/>
      <c r="SRC8" s="733"/>
      <c r="SRD8" s="733"/>
      <c r="SRE8" s="733"/>
      <c r="SRF8" s="733"/>
      <c r="SRG8" s="733"/>
      <c r="SRH8" s="733"/>
      <c r="SRI8" s="733"/>
      <c r="SRJ8" s="733"/>
      <c r="SRK8" s="733"/>
      <c r="SRL8" s="733"/>
      <c r="SRM8" s="733"/>
      <c r="SRN8" s="733"/>
      <c r="SRO8" s="733"/>
      <c r="SRP8" s="733"/>
      <c r="SRQ8" s="733"/>
      <c r="SRR8" s="733"/>
      <c r="SRS8" s="733"/>
      <c r="SRT8" s="733"/>
      <c r="SRU8" s="733"/>
      <c r="SRV8" s="733"/>
      <c r="SRW8" s="733"/>
      <c r="SRX8" s="733"/>
      <c r="SRY8" s="733"/>
      <c r="SRZ8" s="733"/>
      <c r="SSA8" s="733"/>
      <c r="SSB8" s="733"/>
      <c r="SSC8" s="733"/>
      <c r="SSD8" s="733"/>
      <c r="SSE8" s="733"/>
      <c r="SSF8" s="733"/>
      <c r="SSG8" s="733"/>
      <c r="SSH8" s="733"/>
      <c r="SSI8" s="733"/>
      <c r="SSJ8" s="733"/>
      <c r="SSK8" s="733"/>
      <c r="SSL8" s="733"/>
      <c r="SSM8" s="733"/>
      <c r="SSN8" s="733"/>
      <c r="SSO8" s="733"/>
      <c r="SSP8" s="733"/>
      <c r="SSQ8" s="733"/>
      <c r="SSR8" s="733"/>
      <c r="SSS8" s="733"/>
      <c r="SST8" s="733"/>
      <c r="SSU8" s="733"/>
      <c r="SSV8" s="733"/>
      <c r="SSW8" s="733"/>
      <c r="SSX8" s="733"/>
      <c r="SSY8" s="733"/>
      <c r="SSZ8" s="733"/>
      <c r="STA8" s="733"/>
      <c r="STB8" s="733"/>
      <c r="STC8" s="733"/>
      <c r="STD8" s="733"/>
      <c r="STE8" s="733"/>
      <c r="STF8" s="733"/>
      <c r="STG8" s="733"/>
      <c r="STH8" s="733"/>
      <c r="STI8" s="733"/>
      <c r="STJ8" s="733"/>
      <c r="STK8" s="733"/>
      <c r="STL8" s="733"/>
      <c r="STM8" s="733"/>
      <c r="STN8" s="733"/>
      <c r="STO8" s="733"/>
      <c r="STP8" s="733"/>
      <c r="STQ8" s="733"/>
      <c r="STR8" s="733"/>
      <c r="STS8" s="733"/>
      <c r="STT8" s="733"/>
      <c r="STU8" s="733"/>
      <c r="STV8" s="733"/>
      <c r="STW8" s="733"/>
      <c r="STX8" s="733"/>
      <c r="STY8" s="733"/>
      <c r="STZ8" s="733"/>
      <c r="SUA8" s="733"/>
      <c r="SUB8" s="733"/>
      <c r="SUC8" s="733"/>
      <c r="SUD8" s="733"/>
      <c r="SUE8" s="733"/>
      <c r="SUF8" s="733"/>
      <c r="SUG8" s="733"/>
      <c r="SUH8" s="733"/>
      <c r="SUI8" s="733"/>
      <c r="SUJ8" s="733"/>
      <c r="SUK8" s="733"/>
      <c r="SUL8" s="733"/>
      <c r="SUM8" s="733"/>
      <c r="SUN8" s="733"/>
      <c r="SUO8" s="733"/>
      <c r="SUP8" s="733"/>
      <c r="SUQ8" s="733"/>
      <c r="SUR8" s="733"/>
      <c r="SUS8" s="733"/>
      <c r="SUT8" s="733"/>
      <c r="SUU8" s="733"/>
      <c r="SUV8" s="733"/>
      <c r="SUW8" s="733"/>
      <c r="SUX8" s="733"/>
      <c r="SUY8" s="733"/>
      <c r="SUZ8" s="733"/>
      <c r="SVA8" s="733"/>
      <c r="SVB8" s="733"/>
      <c r="SVC8" s="733"/>
      <c r="SVD8" s="733"/>
      <c r="SVE8" s="733"/>
      <c r="SVF8" s="733"/>
      <c r="SVG8" s="733"/>
      <c r="SVH8" s="733"/>
      <c r="SVI8" s="733"/>
      <c r="SVJ8" s="733"/>
      <c r="SVK8" s="733"/>
      <c r="SVL8" s="733"/>
      <c r="SVM8" s="733"/>
      <c r="SVN8" s="733"/>
      <c r="SVO8" s="733"/>
      <c r="SVP8" s="733"/>
      <c r="SVQ8" s="733"/>
      <c r="SVR8" s="733"/>
      <c r="SVS8" s="733"/>
      <c r="SVT8" s="733"/>
      <c r="SVU8" s="733"/>
      <c r="SVV8" s="733"/>
      <c r="SVW8" s="733"/>
      <c r="SVX8" s="733"/>
      <c r="SVY8" s="733"/>
      <c r="SVZ8" s="733"/>
      <c r="SWA8" s="733"/>
      <c r="SWB8" s="733"/>
      <c r="SWC8" s="733"/>
      <c r="SWD8" s="733"/>
      <c r="SWE8" s="733"/>
      <c r="SWF8" s="733"/>
      <c r="SWG8" s="733"/>
      <c r="SWH8" s="733"/>
      <c r="SWI8" s="733"/>
      <c r="SWJ8" s="733"/>
      <c r="SWK8" s="733"/>
      <c r="SWL8" s="733"/>
      <c r="SWM8" s="733"/>
      <c r="SWN8" s="733"/>
      <c r="SWO8" s="733"/>
      <c r="SWP8" s="733"/>
      <c r="SWQ8" s="733"/>
      <c r="SWR8" s="733"/>
      <c r="SWS8" s="733"/>
      <c r="SWT8" s="733"/>
      <c r="SWU8" s="733"/>
      <c r="SWV8" s="733"/>
      <c r="SWW8" s="733"/>
      <c r="SWX8" s="733"/>
      <c r="SWY8" s="733"/>
      <c r="SWZ8" s="733"/>
      <c r="SXA8" s="733"/>
      <c r="SXB8" s="733"/>
      <c r="SXC8" s="733"/>
      <c r="SXD8" s="733"/>
      <c r="SXE8" s="733"/>
      <c r="SXF8" s="733"/>
      <c r="SXG8" s="733"/>
      <c r="SXH8" s="733"/>
      <c r="SXI8" s="733"/>
      <c r="SXJ8" s="733"/>
      <c r="SXK8" s="733"/>
      <c r="SXL8" s="733"/>
      <c r="SXM8" s="733"/>
      <c r="SXN8" s="733"/>
      <c r="SXO8" s="733"/>
      <c r="SXP8" s="733"/>
      <c r="SXQ8" s="733"/>
      <c r="SXR8" s="733"/>
      <c r="SXS8" s="733"/>
      <c r="SXT8" s="733"/>
      <c r="SXU8" s="733"/>
      <c r="SXV8" s="733"/>
      <c r="SXW8" s="733"/>
      <c r="SXX8" s="733"/>
      <c r="SXY8" s="733"/>
      <c r="SXZ8" s="733"/>
      <c r="SYA8" s="733"/>
      <c r="SYB8" s="733"/>
      <c r="SYC8" s="733"/>
      <c r="SYD8" s="733"/>
      <c r="SYE8" s="733"/>
      <c r="SYF8" s="733"/>
      <c r="SYG8" s="733"/>
      <c r="SYH8" s="733"/>
      <c r="SYI8" s="733"/>
      <c r="SYJ8" s="733"/>
      <c r="SYK8" s="733"/>
      <c r="SYL8" s="733"/>
      <c r="SYM8" s="733"/>
      <c r="SYN8" s="733"/>
      <c r="SYO8" s="733"/>
      <c r="SYP8" s="733"/>
      <c r="SYQ8" s="733"/>
      <c r="SYR8" s="733"/>
      <c r="SYS8" s="733"/>
      <c r="SYT8" s="733"/>
      <c r="SYU8" s="733"/>
      <c r="SYV8" s="733"/>
      <c r="SYW8" s="733"/>
      <c r="SYX8" s="733"/>
      <c r="SYY8" s="733"/>
      <c r="SYZ8" s="733"/>
      <c r="SZA8" s="733"/>
      <c r="SZB8" s="733"/>
      <c r="SZC8" s="733"/>
      <c r="SZD8" s="733"/>
      <c r="SZE8" s="733"/>
      <c r="SZF8" s="733"/>
      <c r="SZG8" s="733"/>
      <c r="SZH8" s="733"/>
      <c r="SZI8" s="733"/>
      <c r="SZJ8" s="733"/>
      <c r="SZK8" s="733"/>
      <c r="SZL8" s="733"/>
      <c r="SZM8" s="733"/>
      <c r="SZN8" s="733"/>
      <c r="SZO8" s="733"/>
      <c r="SZP8" s="733"/>
      <c r="SZQ8" s="733"/>
      <c r="SZR8" s="733"/>
      <c r="SZS8" s="733"/>
      <c r="SZT8" s="733"/>
      <c r="SZU8" s="733"/>
      <c r="SZV8" s="733"/>
      <c r="SZW8" s="733"/>
      <c r="SZX8" s="733"/>
      <c r="SZY8" s="733"/>
      <c r="SZZ8" s="733"/>
      <c r="TAA8" s="733"/>
      <c r="TAB8" s="733"/>
      <c r="TAC8" s="733"/>
      <c r="TAD8" s="733"/>
      <c r="TAE8" s="733"/>
      <c r="TAF8" s="733"/>
      <c r="TAG8" s="733"/>
      <c r="TAH8" s="733"/>
      <c r="TAI8" s="733"/>
      <c r="TAJ8" s="733"/>
      <c r="TAK8" s="733"/>
      <c r="TAL8" s="733"/>
      <c r="TAM8" s="733"/>
      <c r="TAN8" s="733"/>
      <c r="TAO8" s="733"/>
      <c r="TAP8" s="733"/>
      <c r="TAQ8" s="733"/>
      <c r="TAR8" s="733"/>
      <c r="TAS8" s="733"/>
      <c r="TAT8" s="733"/>
      <c r="TAU8" s="733"/>
      <c r="TAV8" s="733"/>
      <c r="TAW8" s="733"/>
      <c r="TAX8" s="733"/>
      <c r="TAY8" s="733"/>
      <c r="TAZ8" s="733"/>
      <c r="TBA8" s="733"/>
      <c r="TBB8" s="733"/>
      <c r="TBC8" s="733"/>
      <c r="TBD8" s="733"/>
      <c r="TBE8" s="733"/>
      <c r="TBF8" s="733"/>
      <c r="TBG8" s="733"/>
      <c r="TBH8" s="733"/>
      <c r="TBI8" s="733"/>
      <c r="TBJ8" s="733"/>
      <c r="TBK8" s="733"/>
      <c r="TBL8" s="733"/>
      <c r="TBM8" s="733"/>
      <c r="TBN8" s="733"/>
      <c r="TBO8" s="733"/>
      <c r="TBP8" s="733"/>
      <c r="TBQ8" s="733"/>
      <c r="TBR8" s="733"/>
      <c r="TBS8" s="733"/>
      <c r="TBT8" s="733"/>
      <c r="TBU8" s="733"/>
      <c r="TBV8" s="733"/>
      <c r="TBW8" s="733"/>
      <c r="TBX8" s="733"/>
      <c r="TBY8" s="733"/>
      <c r="TBZ8" s="733"/>
      <c r="TCA8" s="733"/>
      <c r="TCB8" s="733"/>
      <c r="TCC8" s="733"/>
      <c r="TCD8" s="733"/>
      <c r="TCE8" s="733"/>
      <c r="TCF8" s="733"/>
      <c r="TCG8" s="733"/>
      <c r="TCH8" s="733"/>
      <c r="TCI8" s="733"/>
      <c r="TCJ8" s="733"/>
      <c r="TCK8" s="733"/>
      <c r="TCL8" s="733"/>
      <c r="TCM8" s="733"/>
      <c r="TCN8" s="733"/>
      <c r="TCO8" s="733"/>
      <c r="TCP8" s="733"/>
      <c r="TCQ8" s="733"/>
      <c r="TCR8" s="733"/>
      <c r="TCS8" s="733"/>
      <c r="TCT8" s="733"/>
      <c r="TCU8" s="733"/>
      <c r="TCV8" s="733"/>
      <c r="TCW8" s="733"/>
      <c r="TCX8" s="733"/>
      <c r="TCY8" s="733"/>
      <c r="TCZ8" s="733"/>
      <c r="TDA8" s="733"/>
      <c r="TDB8" s="733"/>
      <c r="TDC8" s="733"/>
      <c r="TDD8" s="733"/>
      <c r="TDE8" s="733"/>
      <c r="TDF8" s="733"/>
      <c r="TDG8" s="733"/>
      <c r="TDH8" s="733"/>
      <c r="TDI8" s="733"/>
      <c r="TDJ8" s="733"/>
      <c r="TDK8" s="733"/>
      <c r="TDL8" s="733"/>
      <c r="TDM8" s="733"/>
      <c r="TDN8" s="733"/>
      <c r="TDO8" s="733"/>
      <c r="TDP8" s="733"/>
      <c r="TDQ8" s="733"/>
      <c r="TDR8" s="733"/>
      <c r="TDS8" s="733"/>
      <c r="TDT8" s="733"/>
      <c r="TDU8" s="733"/>
      <c r="TDV8" s="733"/>
      <c r="TDW8" s="733"/>
      <c r="TDX8" s="733"/>
      <c r="TDY8" s="733"/>
      <c r="TDZ8" s="733"/>
      <c r="TEA8" s="733"/>
      <c r="TEB8" s="733"/>
      <c r="TEC8" s="733"/>
      <c r="TED8" s="733"/>
      <c r="TEE8" s="733"/>
      <c r="TEF8" s="733"/>
      <c r="TEG8" s="733"/>
      <c r="TEH8" s="733"/>
      <c r="TEI8" s="733"/>
      <c r="TEJ8" s="733"/>
      <c r="TEK8" s="733"/>
      <c r="TEL8" s="733"/>
      <c r="TEM8" s="733"/>
      <c r="TEN8" s="733"/>
      <c r="TEO8" s="733"/>
      <c r="TEP8" s="733"/>
      <c r="TEQ8" s="733"/>
      <c r="TER8" s="733"/>
      <c r="TES8" s="733"/>
      <c r="TET8" s="733"/>
      <c r="TEU8" s="733"/>
      <c r="TEV8" s="733"/>
      <c r="TEW8" s="733"/>
      <c r="TEX8" s="733"/>
      <c r="TEY8" s="733"/>
      <c r="TEZ8" s="733"/>
      <c r="TFA8" s="733"/>
      <c r="TFB8" s="733"/>
      <c r="TFC8" s="733"/>
      <c r="TFD8" s="733"/>
      <c r="TFE8" s="733"/>
      <c r="TFF8" s="733"/>
      <c r="TFG8" s="733"/>
      <c r="TFH8" s="733"/>
      <c r="TFI8" s="733"/>
      <c r="TFJ8" s="733"/>
      <c r="TFK8" s="733"/>
      <c r="TFL8" s="733"/>
      <c r="TFM8" s="733"/>
      <c r="TFN8" s="733"/>
      <c r="TFO8" s="733"/>
      <c r="TFP8" s="733"/>
      <c r="TFQ8" s="733"/>
      <c r="TFR8" s="733"/>
      <c r="TFS8" s="733"/>
      <c r="TFT8" s="733"/>
      <c r="TFU8" s="733"/>
      <c r="TFV8" s="733"/>
      <c r="TFW8" s="733"/>
      <c r="TFX8" s="733"/>
      <c r="TFY8" s="733"/>
      <c r="TFZ8" s="733"/>
      <c r="TGA8" s="733"/>
      <c r="TGB8" s="733"/>
      <c r="TGC8" s="733"/>
      <c r="TGD8" s="733"/>
      <c r="TGE8" s="733"/>
      <c r="TGF8" s="733"/>
      <c r="TGG8" s="733"/>
      <c r="TGH8" s="733"/>
      <c r="TGI8" s="733"/>
      <c r="TGJ8" s="733"/>
      <c r="TGK8" s="733"/>
      <c r="TGL8" s="733"/>
      <c r="TGM8" s="733"/>
      <c r="TGN8" s="733"/>
      <c r="TGO8" s="733"/>
      <c r="TGP8" s="733"/>
      <c r="TGQ8" s="733"/>
      <c r="TGR8" s="733"/>
      <c r="TGS8" s="733"/>
      <c r="TGT8" s="733"/>
      <c r="TGU8" s="733"/>
      <c r="TGV8" s="733"/>
      <c r="TGW8" s="733"/>
      <c r="TGX8" s="733"/>
      <c r="TGY8" s="733"/>
      <c r="TGZ8" s="733"/>
      <c r="THA8" s="733"/>
      <c r="THB8" s="733"/>
      <c r="THC8" s="733"/>
      <c r="THD8" s="733"/>
      <c r="THE8" s="733"/>
      <c r="THF8" s="733"/>
      <c r="THG8" s="733"/>
      <c r="THH8" s="733"/>
      <c r="THI8" s="733"/>
      <c r="THJ8" s="733"/>
      <c r="THK8" s="733"/>
      <c r="THL8" s="733"/>
      <c r="THM8" s="733"/>
      <c r="THN8" s="733"/>
      <c r="THO8" s="733"/>
      <c r="THP8" s="733"/>
      <c r="THQ8" s="733"/>
      <c r="THR8" s="733"/>
      <c r="THS8" s="733"/>
      <c r="THT8" s="733"/>
      <c r="THU8" s="733"/>
      <c r="THV8" s="733"/>
      <c r="THW8" s="733"/>
      <c r="THX8" s="733"/>
      <c r="THY8" s="733"/>
      <c r="THZ8" s="733"/>
      <c r="TIA8" s="733"/>
      <c r="TIB8" s="733"/>
      <c r="TIC8" s="733"/>
      <c r="TID8" s="733"/>
      <c r="TIE8" s="733"/>
      <c r="TIF8" s="733"/>
      <c r="TIG8" s="733"/>
      <c r="TIH8" s="733"/>
      <c r="TII8" s="733"/>
      <c r="TIJ8" s="733"/>
      <c r="TIK8" s="733"/>
      <c r="TIL8" s="733"/>
      <c r="TIM8" s="733"/>
      <c r="TIN8" s="733"/>
      <c r="TIO8" s="733"/>
      <c r="TIP8" s="733"/>
      <c r="TIQ8" s="733"/>
      <c r="TIR8" s="733"/>
      <c r="TIS8" s="733"/>
      <c r="TIT8" s="733"/>
      <c r="TIU8" s="733"/>
      <c r="TIV8" s="733"/>
      <c r="TIW8" s="733"/>
      <c r="TIX8" s="733"/>
      <c r="TIY8" s="733"/>
      <c r="TIZ8" s="733"/>
      <c r="TJA8" s="733"/>
      <c r="TJB8" s="733"/>
      <c r="TJC8" s="733"/>
      <c r="TJD8" s="733"/>
      <c r="TJE8" s="733"/>
      <c r="TJF8" s="733"/>
      <c r="TJG8" s="733"/>
      <c r="TJH8" s="733"/>
      <c r="TJI8" s="733"/>
      <c r="TJJ8" s="733"/>
      <c r="TJK8" s="733"/>
      <c r="TJL8" s="733"/>
      <c r="TJM8" s="733"/>
      <c r="TJN8" s="733"/>
      <c r="TJO8" s="733"/>
      <c r="TJP8" s="733"/>
      <c r="TJQ8" s="733"/>
      <c r="TJR8" s="733"/>
      <c r="TJS8" s="733"/>
      <c r="TJT8" s="733"/>
      <c r="TJU8" s="733"/>
      <c r="TJV8" s="733"/>
      <c r="TJW8" s="733"/>
      <c r="TJX8" s="733"/>
      <c r="TJY8" s="733"/>
      <c r="TJZ8" s="733"/>
      <c r="TKA8" s="733"/>
      <c r="TKB8" s="733"/>
      <c r="TKC8" s="733"/>
      <c r="TKD8" s="733"/>
      <c r="TKE8" s="733"/>
      <c r="TKF8" s="733"/>
      <c r="TKG8" s="733"/>
      <c r="TKH8" s="733"/>
      <c r="TKI8" s="733"/>
      <c r="TKJ8" s="733"/>
      <c r="TKK8" s="733"/>
      <c r="TKL8" s="733"/>
      <c r="TKM8" s="733"/>
      <c r="TKN8" s="733"/>
      <c r="TKO8" s="733"/>
      <c r="TKP8" s="733"/>
      <c r="TKQ8" s="733"/>
      <c r="TKR8" s="733"/>
      <c r="TKS8" s="733"/>
      <c r="TKT8" s="733"/>
      <c r="TKU8" s="733"/>
      <c r="TKV8" s="733"/>
      <c r="TKW8" s="733"/>
      <c r="TKX8" s="733"/>
      <c r="TKY8" s="733"/>
      <c r="TKZ8" s="733"/>
      <c r="TLA8" s="733"/>
      <c r="TLB8" s="733"/>
      <c r="TLC8" s="733"/>
      <c r="TLD8" s="733"/>
      <c r="TLE8" s="733"/>
      <c r="TLF8" s="733"/>
      <c r="TLG8" s="733"/>
      <c r="TLH8" s="733"/>
      <c r="TLI8" s="733"/>
      <c r="TLJ8" s="733"/>
      <c r="TLK8" s="733"/>
      <c r="TLL8" s="733"/>
      <c r="TLM8" s="733"/>
      <c r="TLN8" s="733"/>
      <c r="TLO8" s="733"/>
      <c r="TLP8" s="733"/>
      <c r="TLQ8" s="733"/>
      <c r="TLR8" s="733"/>
      <c r="TLS8" s="733"/>
      <c r="TLT8" s="733"/>
      <c r="TLU8" s="733"/>
      <c r="TLV8" s="733"/>
      <c r="TLW8" s="733"/>
      <c r="TLX8" s="733"/>
      <c r="TLY8" s="733"/>
      <c r="TLZ8" s="733"/>
      <c r="TMA8" s="733"/>
      <c r="TMB8" s="733"/>
      <c r="TMC8" s="733"/>
      <c r="TMD8" s="733"/>
      <c r="TME8" s="733"/>
      <c r="TMF8" s="733"/>
      <c r="TMG8" s="733"/>
      <c r="TMH8" s="733"/>
      <c r="TMI8" s="733"/>
      <c r="TMJ8" s="733"/>
      <c r="TMK8" s="733"/>
      <c r="TML8" s="733"/>
      <c r="TMM8" s="733"/>
      <c r="TMN8" s="733"/>
      <c r="TMO8" s="733"/>
      <c r="TMP8" s="733"/>
      <c r="TMQ8" s="733"/>
      <c r="TMR8" s="733"/>
      <c r="TMS8" s="733"/>
      <c r="TMT8" s="733"/>
      <c r="TMU8" s="733"/>
      <c r="TMV8" s="733"/>
      <c r="TMW8" s="733"/>
      <c r="TMX8" s="733"/>
      <c r="TMY8" s="733"/>
      <c r="TMZ8" s="733"/>
      <c r="TNA8" s="733"/>
      <c r="TNB8" s="733"/>
      <c r="TNC8" s="733"/>
      <c r="TND8" s="733"/>
      <c r="TNE8" s="733"/>
      <c r="TNF8" s="733"/>
      <c r="TNG8" s="733"/>
      <c r="TNH8" s="733"/>
      <c r="TNI8" s="733"/>
      <c r="TNJ8" s="733"/>
      <c r="TNK8" s="733"/>
      <c r="TNL8" s="733"/>
      <c r="TNM8" s="733"/>
      <c r="TNN8" s="733"/>
      <c r="TNO8" s="733"/>
      <c r="TNP8" s="733"/>
      <c r="TNQ8" s="733"/>
      <c r="TNR8" s="733"/>
      <c r="TNS8" s="733"/>
      <c r="TNT8" s="733"/>
      <c r="TNU8" s="733"/>
      <c r="TNV8" s="733"/>
      <c r="TNW8" s="733"/>
      <c r="TNX8" s="733"/>
      <c r="TNY8" s="733"/>
      <c r="TNZ8" s="733"/>
      <c r="TOA8" s="733"/>
      <c r="TOB8" s="733"/>
      <c r="TOC8" s="733"/>
      <c r="TOD8" s="733"/>
      <c r="TOE8" s="733"/>
      <c r="TOF8" s="733"/>
      <c r="TOG8" s="733"/>
      <c r="TOH8" s="733"/>
      <c r="TOI8" s="733"/>
      <c r="TOJ8" s="733"/>
      <c r="TOK8" s="733"/>
      <c r="TOL8" s="733"/>
      <c r="TOM8" s="733"/>
      <c r="TON8" s="733"/>
      <c r="TOO8" s="733"/>
      <c r="TOP8" s="733"/>
      <c r="TOQ8" s="733"/>
      <c r="TOR8" s="733"/>
      <c r="TOS8" s="733"/>
      <c r="TOT8" s="733"/>
      <c r="TOU8" s="733"/>
      <c r="TOV8" s="733"/>
      <c r="TOW8" s="733"/>
      <c r="TOX8" s="733"/>
      <c r="TOY8" s="733"/>
      <c r="TOZ8" s="733"/>
      <c r="TPA8" s="733"/>
      <c r="TPB8" s="733"/>
      <c r="TPC8" s="733"/>
      <c r="TPD8" s="733"/>
      <c r="TPE8" s="733"/>
      <c r="TPF8" s="733"/>
      <c r="TPG8" s="733"/>
      <c r="TPH8" s="733"/>
      <c r="TPI8" s="733"/>
      <c r="TPJ8" s="733"/>
      <c r="TPK8" s="733"/>
      <c r="TPL8" s="733"/>
      <c r="TPM8" s="733"/>
      <c r="TPN8" s="733"/>
      <c r="TPO8" s="733"/>
      <c r="TPP8" s="733"/>
      <c r="TPQ8" s="733"/>
      <c r="TPR8" s="733"/>
      <c r="TPS8" s="733"/>
      <c r="TPT8" s="733"/>
      <c r="TPU8" s="733"/>
      <c r="TPV8" s="733"/>
      <c r="TPW8" s="733"/>
      <c r="TPX8" s="733"/>
      <c r="TPY8" s="733"/>
      <c r="TPZ8" s="733"/>
      <c r="TQA8" s="733"/>
      <c r="TQB8" s="733"/>
      <c r="TQC8" s="733"/>
      <c r="TQD8" s="733"/>
      <c r="TQE8" s="733"/>
      <c r="TQF8" s="733"/>
      <c r="TQG8" s="733"/>
      <c r="TQH8" s="733"/>
      <c r="TQI8" s="733"/>
      <c r="TQJ8" s="733"/>
      <c r="TQK8" s="733"/>
      <c r="TQL8" s="733"/>
      <c r="TQM8" s="733"/>
      <c r="TQN8" s="733"/>
      <c r="TQO8" s="733"/>
      <c r="TQP8" s="733"/>
      <c r="TQQ8" s="733"/>
      <c r="TQR8" s="733"/>
      <c r="TQS8" s="733"/>
      <c r="TQT8" s="733"/>
      <c r="TQU8" s="733"/>
      <c r="TQV8" s="733"/>
      <c r="TQW8" s="733"/>
      <c r="TQX8" s="733"/>
      <c r="TQY8" s="733"/>
      <c r="TQZ8" s="733"/>
      <c r="TRA8" s="733"/>
      <c r="TRB8" s="733"/>
      <c r="TRC8" s="733"/>
      <c r="TRD8" s="733"/>
      <c r="TRE8" s="733"/>
      <c r="TRF8" s="733"/>
      <c r="TRG8" s="733"/>
      <c r="TRH8" s="733"/>
      <c r="TRI8" s="733"/>
      <c r="TRJ8" s="733"/>
      <c r="TRK8" s="733"/>
      <c r="TRL8" s="733"/>
      <c r="TRM8" s="733"/>
      <c r="TRN8" s="733"/>
      <c r="TRO8" s="733"/>
      <c r="TRP8" s="733"/>
      <c r="TRQ8" s="733"/>
      <c r="TRR8" s="733"/>
      <c r="TRS8" s="733"/>
      <c r="TRT8" s="733"/>
      <c r="TRU8" s="733"/>
      <c r="TRV8" s="733"/>
      <c r="TRW8" s="733"/>
      <c r="TRX8" s="733"/>
      <c r="TRY8" s="733"/>
      <c r="TRZ8" s="733"/>
      <c r="TSA8" s="733"/>
      <c r="TSB8" s="733"/>
      <c r="TSC8" s="733"/>
      <c r="TSD8" s="733"/>
      <c r="TSE8" s="733"/>
      <c r="TSF8" s="733"/>
      <c r="TSG8" s="733"/>
      <c r="TSH8" s="733"/>
      <c r="TSI8" s="733"/>
      <c r="TSJ8" s="733"/>
      <c r="TSK8" s="733"/>
      <c r="TSL8" s="733"/>
      <c r="TSM8" s="733"/>
      <c r="TSN8" s="733"/>
      <c r="TSO8" s="733"/>
      <c r="TSP8" s="733"/>
      <c r="TSQ8" s="733"/>
      <c r="TSR8" s="733"/>
      <c r="TSS8" s="733"/>
      <c r="TST8" s="733"/>
      <c r="TSU8" s="733"/>
      <c r="TSV8" s="733"/>
      <c r="TSW8" s="733"/>
      <c r="TSX8" s="733"/>
      <c r="TSY8" s="733"/>
      <c r="TSZ8" s="733"/>
      <c r="TTA8" s="733"/>
      <c r="TTB8" s="733"/>
      <c r="TTC8" s="733"/>
      <c r="TTD8" s="733"/>
      <c r="TTE8" s="733"/>
      <c r="TTF8" s="733"/>
      <c r="TTG8" s="733"/>
      <c r="TTH8" s="733"/>
      <c r="TTI8" s="733"/>
      <c r="TTJ8" s="733"/>
      <c r="TTK8" s="733"/>
      <c r="TTL8" s="733"/>
      <c r="TTM8" s="733"/>
      <c r="TTN8" s="733"/>
      <c r="TTO8" s="733"/>
      <c r="TTP8" s="733"/>
      <c r="TTQ8" s="733"/>
      <c r="TTR8" s="733"/>
      <c r="TTS8" s="733"/>
      <c r="TTT8" s="733"/>
      <c r="TTU8" s="733"/>
      <c r="TTV8" s="733"/>
      <c r="TTW8" s="733"/>
      <c r="TTX8" s="733"/>
      <c r="TTY8" s="733"/>
      <c r="TTZ8" s="733"/>
      <c r="TUA8" s="733"/>
      <c r="TUB8" s="733"/>
      <c r="TUC8" s="733"/>
      <c r="TUD8" s="733"/>
      <c r="TUE8" s="733"/>
      <c r="TUF8" s="733"/>
      <c r="TUG8" s="733"/>
      <c r="TUH8" s="733"/>
      <c r="TUI8" s="733"/>
      <c r="TUJ8" s="733"/>
      <c r="TUK8" s="733"/>
      <c r="TUL8" s="733"/>
      <c r="TUM8" s="733"/>
      <c r="TUN8" s="733"/>
      <c r="TUO8" s="733"/>
      <c r="TUP8" s="733"/>
      <c r="TUQ8" s="733"/>
      <c r="TUR8" s="733"/>
      <c r="TUS8" s="733"/>
      <c r="TUT8" s="733"/>
      <c r="TUU8" s="733"/>
      <c r="TUV8" s="733"/>
      <c r="TUW8" s="733"/>
      <c r="TUX8" s="733"/>
      <c r="TUY8" s="733"/>
      <c r="TUZ8" s="733"/>
      <c r="TVA8" s="733"/>
      <c r="TVB8" s="733"/>
      <c r="TVC8" s="733"/>
      <c r="TVD8" s="733"/>
      <c r="TVE8" s="733"/>
      <c r="TVF8" s="733"/>
      <c r="TVG8" s="733"/>
      <c r="TVH8" s="733"/>
      <c r="TVI8" s="733"/>
      <c r="TVJ8" s="733"/>
      <c r="TVK8" s="733"/>
      <c r="TVL8" s="733"/>
      <c r="TVM8" s="733"/>
      <c r="TVN8" s="733"/>
      <c r="TVO8" s="733"/>
      <c r="TVP8" s="733"/>
      <c r="TVQ8" s="733"/>
      <c r="TVR8" s="733"/>
      <c r="TVS8" s="733"/>
      <c r="TVT8" s="733"/>
      <c r="TVU8" s="733"/>
      <c r="TVV8" s="733"/>
      <c r="TVW8" s="733"/>
      <c r="TVX8" s="733"/>
      <c r="TVY8" s="733"/>
      <c r="TVZ8" s="733"/>
      <c r="TWA8" s="733"/>
      <c r="TWB8" s="733"/>
      <c r="TWC8" s="733"/>
      <c r="TWD8" s="733"/>
      <c r="TWE8" s="733"/>
      <c r="TWF8" s="733"/>
      <c r="TWG8" s="733"/>
      <c r="TWH8" s="733"/>
      <c r="TWI8" s="733"/>
      <c r="TWJ8" s="733"/>
      <c r="TWK8" s="733"/>
      <c r="TWL8" s="733"/>
      <c r="TWM8" s="733"/>
      <c r="TWN8" s="733"/>
      <c r="TWO8" s="733"/>
      <c r="TWP8" s="733"/>
      <c r="TWQ8" s="733"/>
      <c r="TWR8" s="733"/>
      <c r="TWS8" s="733"/>
      <c r="TWT8" s="733"/>
      <c r="TWU8" s="733"/>
      <c r="TWV8" s="733"/>
      <c r="TWW8" s="733"/>
      <c r="TWX8" s="733"/>
      <c r="TWY8" s="733"/>
      <c r="TWZ8" s="733"/>
      <c r="TXA8" s="733"/>
      <c r="TXB8" s="733"/>
      <c r="TXC8" s="733"/>
      <c r="TXD8" s="733"/>
      <c r="TXE8" s="733"/>
      <c r="TXF8" s="733"/>
      <c r="TXG8" s="733"/>
      <c r="TXH8" s="733"/>
      <c r="TXI8" s="733"/>
      <c r="TXJ8" s="733"/>
      <c r="TXK8" s="733"/>
      <c r="TXL8" s="733"/>
      <c r="TXM8" s="733"/>
      <c r="TXN8" s="733"/>
      <c r="TXO8" s="733"/>
      <c r="TXP8" s="733"/>
      <c r="TXQ8" s="733"/>
      <c r="TXR8" s="733"/>
      <c r="TXS8" s="733"/>
      <c r="TXT8" s="733"/>
      <c r="TXU8" s="733"/>
      <c r="TXV8" s="733"/>
      <c r="TXW8" s="733"/>
      <c r="TXX8" s="733"/>
      <c r="TXY8" s="733"/>
      <c r="TXZ8" s="733"/>
      <c r="TYA8" s="733"/>
      <c r="TYB8" s="733"/>
      <c r="TYC8" s="733"/>
      <c r="TYD8" s="733"/>
      <c r="TYE8" s="733"/>
      <c r="TYF8" s="733"/>
      <c r="TYG8" s="733"/>
      <c r="TYH8" s="733"/>
      <c r="TYI8" s="733"/>
      <c r="TYJ8" s="733"/>
      <c r="TYK8" s="733"/>
      <c r="TYL8" s="733"/>
      <c r="TYM8" s="733"/>
      <c r="TYN8" s="733"/>
      <c r="TYO8" s="733"/>
      <c r="TYP8" s="733"/>
      <c r="TYQ8" s="733"/>
      <c r="TYR8" s="733"/>
      <c r="TYS8" s="733"/>
      <c r="TYT8" s="733"/>
      <c r="TYU8" s="733"/>
      <c r="TYV8" s="733"/>
      <c r="TYW8" s="733"/>
      <c r="TYX8" s="733"/>
      <c r="TYY8" s="733"/>
      <c r="TYZ8" s="733"/>
      <c r="TZA8" s="733"/>
      <c r="TZB8" s="733"/>
      <c r="TZC8" s="733"/>
      <c r="TZD8" s="733"/>
      <c r="TZE8" s="733"/>
      <c r="TZF8" s="733"/>
      <c r="TZG8" s="733"/>
      <c r="TZH8" s="733"/>
      <c r="TZI8" s="733"/>
      <c r="TZJ8" s="733"/>
      <c r="TZK8" s="733"/>
      <c r="TZL8" s="733"/>
      <c r="TZM8" s="733"/>
      <c r="TZN8" s="733"/>
      <c r="TZO8" s="733"/>
      <c r="TZP8" s="733"/>
      <c r="TZQ8" s="733"/>
      <c r="TZR8" s="733"/>
      <c r="TZS8" s="733"/>
      <c r="TZT8" s="733"/>
      <c r="TZU8" s="733"/>
      <c r="TZV8" s="733"/>
      <c r="TZW8" s="733"/>
      <c r="TZX8" s="733"/>
      <c r="TZY8" s="733"/>
      <c r="TZZ8" s="733"/>
      <c r="UAA8" s="733"/>
      <c r="UAB8" s="733"/>
      <c r="UAC8" s="733"/>
      <c r="UAD8" s="733"/>
      <c r="UAE8" s="733"/>
      <c r="UAF8" s="733"/>
      <c r="UAG8" s="733"/>
      <c r="UAH8" s="733"/>
      <c r="UAI8" s="733"/>
      <c r="UAJ8" s="733"/>
      <c r="UAK8" s="733"/>
      <c r="UAL8" s="733"/>
      <c r="UAM8" s="733"/>
      <c r="UAN8" s="733"/>
      <c r="UAO8" s="733"/>
      <c r="UAP8" s="733"/>
      <c r="UAQ8" s="733"/>
      <c r="UAR8" s="733"/>
      <c r="UAS8" s="733"/>
      <c r="UAT8" s="733"/>
      <c r="UAU8" s="733"/>
      <c r="UAV8" s="733"/>
      <c r="UAW8" s="733"/>
      <c r="UAX8" s="733"/>
      <c r="UAY8" s="733"/>
      <c r="UAZ8" s="733"/>
      <c r="UBA8" s="733"/>
      <c r="UBB8" s="733"/>
      <c r="UBC8" s="733"/>
      <c r="UBD8" s="733"/>
      <c r="UBE8" s="733"/>
      <c r="UBF8" s="733"/>
      <c r="UBG8" s="733"/>
      <c r="UBH8" s="733"/>
      <c r="UBI8" s="733"/>
      <c r="UBJ8" s="733"/>
      <c r="UBK8" s="733"/>
      <c r="UBL8" s="733"/>
      <c r="UBM8" s="733"/>
      <c r="UBN8" s="733"/>
      <c r="UBO8" s="733"/>
      <c r="UBP8" s="733"/>
      <c r="UBQ8" s="733"/>
      <c r="UBR8" s="733"/>
      <c r="UBS8" s="733"/>
      <c r="UBT8" s="733"/>
      <c r="UBU8" s="733"/>
      <c r="UBV8" s="733"/>
      <c r="UBW8" s="733"/>
      <c r="UBX8" s="733"/>
      <c r="UBY8" s="733"/>
      <c r="UBZ8" s="733"/>
      <c r="UCA8" s="733"/>
      <c r="UCB8" s="733"/>
      <c r="UCC8" s="733"/>
      <c r="UCD8" s="733"/>
      <c r="UCE8" s="733"/>
      <c r="UCF8" s="733"/>
      <c r="UCG8" s="733"/>
      <c r="UCH8" s="733"/>
      <c r="UCI8" s="733"/>
      <c r="UCJ8" s="733"/>
      <c r="UCK8" s="733"/>
      <c r="UCL8" s="733"/>
      <c r="UCM8" s="733"/>
      <c r="UCN8" s="733"/>
      <c r="UCO8" s="733"/>
      <c r="UCP8" s="733"/>
      <c r="UCQ8" s="733"/>
      <c r="UCR8" s="733"/>
      <c r="UCS8" s="733"/>
      <c r="UCT8" s="733"/>
      <c r="UCU8" s="733"/>
      <c r="UCV8" s="733"/>
      <c r="UCW8" s="733"/>
      <c r="UCX8" s="733"/>
      <c r="UCY8" s="733"/>
      <c r="UCZ8" s="733"/>
      <c r="UDA8" s="733"/>
      <c r="UDB8" s="733"/>
      <c r="UDC8" s="733"/>
      <c r="UDD8" s="733"/>
      <c r="UDE8" s="733"/>
      <c r="UDF8" s="733"/>
      <c r="UDG8" s="733"/>
      <c r="UDH8" s="733"/>
      <c r="UDI8" s="733"/>
      <c r="UDJ8" s="733"/>
      <c r="UDK8" s="733"/>
      <c r="UDL8" s="733"/>
      <c r="UDM8" s="733"/>
      <c r="UDN8" s="733"/>
      <c r="UDO8" s="733"/>
      <c r="UDP8" s="733"/>
      <c r="UDQ8" s="733"/>
      <c r="UDR8" s="733"/>
      <c r="UDS8" s="733"/>
      <c r="UDT8" s="733"/>
      <c r="UDU8" s="733"/>
      <c r="UDV8" s="733"/>
      <c r="UDW8" s="733"/>
      <c r="UDX8" s="733"/>
      <c r="UDY8" s="733"/>
      <c r="UDZ8" s="733"/>
      <c r="UEA8" s="733"/>
      <c r="UEB8" s="733"/>
      <c r="UEC8" s="733"/>
      <c r="UED8" s="733"/>
      <c r="UEE8" s="733"/>
      <c r="UEF8" s="733"/>
      <c r="UEG8" s="733"/>
      <c r="UEH8" s="733"/>
      <c r="UEI8" s="733"/>
      <c r="UEJ8" s="733"/>
      <c r="UEK8" s="733"/>
      <c r="UEL8" s="733"/>
      <c r="UEM8" s="733"/>
      <c r="UEN8" s="733"/>
      <c r="UEO8" s="733"/>
      <c r="UEP8" s="733"/>
      <c r="UEQ8" s="733"/>
      <c r="UER8" s="733"/>
      <c r="UES8" s="733"/>
      <c r="UET8" s="733"/>
      <c r="UEU8" s="733"/>
      <c r="UEV8" s="733"/>
      <c r="UEW8" s="733"/>
      <c r="UEX8" s="733"/>
      <c r="UEY8" s="733"/>
      <c r="UEZ8" s="733"/>
      <c r="UFA8" s="733"/>
      <c r="UFB8" s="733"/>
      <c r="UFC8" s="733"/>
      <c r="UFD8" s="733"/>
      <c r="UFE8" s="733"/>
      <c r="UFF8" s="733"/>
      <c r="UFG8" s="733"/>
      <c r="UFH8" s="733"/>
      <c r="UFI8" s="733"/>
      <c r="UFJ8" s="733"/>
      <c r="UFK8" s="733"/>
      <c r="UFL8" s="733"/>
      <c r="UFM8" s="733"/>
      <c r="UFN8" s="733"/>
      <c r="UFO8" s="733"/>
      <c r="UFP8" s="733"/>
      <c r="UFQ8" s="733"/>
      <c r="UFR8" s="733"/>
      <c r="UFS8" s="733"/>
      <c r="UFT8" s="733"/>
      <c r="UFU8" s="733"/>
      <c r="UFV8" s="733"/>
      <c r="UFW8" s="733"/>
      <c r="UFX8" s="733"/>
      <c r="UFY8" s="733"/>
      <c r="UFZ8" s="733"/>
      <c r="UGA8" s="733"/>
      <c r="UGB8" s="733"/>
      <c r="UGC8" s="733"/>
      <c r="UGD8" s="733"/>
      <c r="UGE8" s="733"/>
      <c r="UGF8" s="733"/>
      <c r="UGG8" s="733"/>
      <c r="UGH8" s="733"/>
      <c r="UGI8" s="733"/>
      <c r="UGJ8" s="733"/>
      <c r="UGK8" s="733"/>
      <c r="UGL8" s="733"/>
      <c r="UGM8" s="733"/>
      <c r="UGN8" s="733"/>
      <c r="UGO8" s="733"/>
      <c r="UGP8" s="733"/>
      <c r="UGQ8" s="733"/>
      <c r="UGR8" s="733"/>
      <c r="UGS8" s="733"/>
      <c r="UGT8" s="733"/>
      <c r="UGU8" s="733"/>
      <c r="UGV8" s="733"/>
      <c r="UGW8" s="733"/>
      <c r="UGX8" s="733"/>
      <c r="UGY8" s="733"/>
      <c r="UGZ8" s="733"/>
      <c r="UHA8" s="733"/>
      <c r="UHB8" s="733"/>
      <c r="UHC8" s="733"/>
      <c r="UHD8" s="733"/>
      <c r="UHE8" s="733"/>
      <c r="UHF8" s="733"/>
      <c r="UHG8" s="733"/>
      <c r="UHH8" s="733"/>
      <c r="UHI8" s="733"/>
      <c r="UHJ8" s="733"/>
      <c r="UHK8" s="733"/>
      <c r="UHL8" s="733"/>
      <c r="UHM8" s="733"/>
      <c r="UHN8" s="733"/>
      <c r="UHO8" s="733"/>
      <c r="UHP8" s="733"/>
      <c r="UHQ8" s="733"/>
      <c r="UHR8" s="733"/>
      <c r="UHS8" s="733"/>
      <c r="UHT8" s="733"/>
      <c r="UHU8" s="733"/>
      <c r="UHV8" s="733"/>
      <c r="UHW8" s="733"/>
      <c r="UHX8" s="733"/>
      <c r="UHY8" s="733"/>
      <c r="UHZ8" s="733"/>
      <c r="UIA8" s="733"/>
      <c r="UIB8" s="733"/>
      <c r="UIC8" s="733"/>
      <c r="UID8" s="733"/>
      <c r="UIE8" s="733"/>
      <c r="UIF8" s="733"/>
      <c r="UIG8" s="733"/>
      <c r="UIH8" s="733"/>
      <c r="UII8" s="733"/>
      <c r="UIJ8" s="733"/>
      <c r="UIK8" s="733"/>
      <c r="UIL8" s="733"/>
      <c r="UIM8" s="733"/>
      <c r="UIN8" s="733"/>
      <c r="UIO8" s="733"/>
      <c r="UIP8" s="733"/>
      <c r="UIQ8" s="733"/>
      <c r="UIR8" s="733"/>
      <c r="UIS8" s="733"/>
      <c r="UIT8" s="733"/>
      <c r="UIU8" s="733"/>
      <c r="UIV8" s="733"/>
      <c r="UIW8" s="733"/>
      <c r="UIX8" s="733"/>
      <c r="UIY8" s="733"/>
      <c r="UIZ8" s="733"/>
      <c r="UJA8" s="733"/>
      <c r="UJB8" s="733"/>
      <c r="UJC8" s="733"/>
      <c r="UJD8" s="733"/>
      <c r="UJE8" s="733"/>
      <c r="UJF8" s="733"/>
      <c r="UJG8" s="733"/>
      <c r="UJH8" s="733"/>
      <c r="UJI8" s="733"/>
      <c r="UJJ8" s="733"/>
      <c r="UJK8" s="733"/>
      <c r="UJL8" s="733"/>
      <c r="UJM8" s="733"/>
      <c r="UJN8" s="733"/>
      <c r="UJO8" s="733"/>
      <c r="UJP8" s="733"/>
      <c r="UJQ8" s="733"/>
      <c r="UJR8" s="733"/>
      <c r="UJS8" s="733"/>
      <c r="UJT8" s="733"/>
      <c r="UJU8" s="733"/>
      <c r="UJV8" s="733"/>
      <c r="UJW8" s="733"/>
      <c r="UJX8" s="733"/>
      <c r="UJY8" s="733"/>
      <c r="UJZ8" s="733"/>
      <c r="UKA8" s="733"/>
      <c r="UKB8" s="733"/>
      <c r="UKC8" s="733"/>
      <c r="UKD8" s="733"/>
      <c r="UKE8" s="733"/>
      <c r="UKF8" s="733"/>
      <c r="UKG8" s="733"/>
      <c r="UKH8" s="733"/>
      <c r="UKI8" s="733"/>
      <c r="UKJ8" s="733"/>
      <c r="UKK8" s="733"/>
      <c r="UKL8" s="733"/>
      <c r="UKM8" s="733"/>
      <c r="UKN8" s="733"/>
      <c r="UKO8" s="733"/>
      <c r="UKP8" s="733"/>
      <c r="UKQ8" s="733"/>
      <c r="UKR8" s="733"/>
      <c r="UKS8" s="733"/>
      <c r="UKT8" s="733"/>
      <c r="UKU8" s="733"/>
      <c r="UKV8" s="733"/>
      <c r="UKW8" s="733"/>
      <c r="UKX8" s="733"/>
      <c r="UKY8" s="733"/>
      <c r="UKZ8" s="733"/>
      <c r="ULA8" s="733"/>
      <c r="ULB8" s="733"/>
      <c r="ULC8" s="733"/>
      <c r="ULD8" s="733"/>
      <c r="ULE8" s="733"/>
      <c r="ULF8" s="733"/>
      <c r="ULG8" s="733"/>
      <c r="ULH8" s="733"/>
      <c r="ULI8" s="733"/>
      <c r="ULJ8" s="733"/>
      <c r="ULK8" s="733"/>
      <c r="ULL8" s="733"/>
      <c r="ULM8" s="733"/>
      <c r="ULN8" s="733"/>
      <c r="ULO8" s="733"/>
      <c r="ULP8" s="733"/>
      <c r="ULQ8" s="733"/>
      <c r="ULR8" s="733"/>
      <c r="ULS8" s="733"/>
      <c r="ULT8" s="733"/>
      <c r="ULU8" s="733"/>
      <c r="ULV8" s="733"/>
      <c r="ULW8" s="733"/>
      <c r="ULX8" s="733"/>
      <c r="ULY8" s="733"/>
      <c r="ULZ8" s="733"/>
      <c r="UMA8" s="733"/>
      <c r="UMB8" s="733"/>
      <c r="UMC8" s="733"/>
      <c r="UMD8" s="733"/>
      <c r="UME8" s="733"/>
      <c r="UMF8" s="733"/>
      <c r="UMG8" s="733"/>
      <c r="UMH8" s="733"/>
      <c r="UMI8" s="733"/>
      <c r="UMJ8" s="733"/>
      <c r="UMK8" s="733"/>
      <c r="UML8" s="733"/>
      <c r="UMM8" s="733"/>
      <c r="UMN8" s="733"/>
      <c r="UMO8" s="733"/>
      <c r="UMP8" s="733"/>
      <c r="UMQ8" s="733"/>
      <c r="UMR8" s="733"/>
      <c r="UMS8" s="733"/>
      <c r="UMT8" s="733"/>
      <c r="UMU8" s="733"/>
      <c r="UMV8" s="733"/>
      <c r="UMW8" s="733"/>
      <c r="UMX8" s="733"/>
      <c r="UMY8" s="733"/>
      <c r="UMZ8" s="733"/>
      <c r="UNA8" s="733"/>
      <c r="UNB8" s="733"/>
      <c r="UNC8" s="733"/>
      <c r="UND8" s="733"/>
      <c r="UNE8" s="733"/>
      <c r="UNF8" s="733"/>
      <c r="UNG8" s="733"/>
      <c r="UNH8" s="733"/>
      <c r="UNI8" s="733"/>
      <c r="UNJ8" s="733"/>
      <c r="UNK8" s="733"/>
      <c r="UNL8" s="733"/>
      <c r="UNM8" s="733"/>
      <c r="UNN8" s="733"/>
      <c r="UNO8" s="733"/>
      <c r="UNP8" s="733"/>
      <c r="UNQ8" s="733"/>
      <c r="UNR8" s="733"/>
      <c r="UNS8" s="733"/>
      <c r="UNT8" s="733"/>
      <c r="UNU8" s="733"/>
      <c r="UNV8" s="733"/>
      <c r="UNW8" s="733"/>
      <c r="UNX8" s="733"/>
      <c r="UNY8" s="733"/>
      <c r="UNZ8" s="733"/>
      <c r="UOA8" s="733"/>
      <c r="UOB8" s="733"/>
      <c r="UOC8" s="733"/>
      <c r="UOD8" s="733"/>
      <c r="UOE8" s="733"/>
      <c r="UOF8" s="733"/>
      <c r="UOG8" s="733"/>
      <c r="UOH8" s="733"/>
      <c r="UOI8" s="733"/>
      <c r="UOJ8" s="733"/>
      <c r="UOK8" s="733"/>
      <c r="UOL8" s="733"/>
      <c r="UOM8" s="733"/>
      <c r="UON8" s="733"/>
      <c r="UOO8" s="733"/>
      <c r="UOP8" s="733"/>
      <c r="UOQ8" s="733"/>
      <c r="UOR8" s="733"/>
      <c r="UOS8" s="733"/>
      <c r="UOT8" s="733"/>
      <c r="UOU8" s="733"/>
      <c r="UOV8" s="733"/>
      <c r="UOW8" s="733"/>
      <c r="UOX8" s="733"/>
      <c r="UOY8" s="733"/>
      <c r="UOZ8" s="733"/>
      <c r="UPA8" s="733"/>
      <c r="UPB8" s="733"/>
      <c r="UPC8" s="733"/>
      <c r="UPD8" s="733"/>
      <c r="UPE8" s="733"/>
      <c r="UPF8" s="733"/>
      <c r="UPG8" s="733"/>
      <c r="UPH8" s="733"/>
      <c r="UPI8" s="733"/>
      <c r="UPJ8" s="733"/>
      <c r="UPK8" s="733"/>
      <c r="UPL8" s="733"/>
      <c r="UPM8" s="733"/>
      <c r="UPN8" s="733"/>
      <c r="UPO8" s="733"/>
      <c r="UPP8" s="733"/>
      <c r="UPQ8" s="733"/>
      <c r="UPR8" s="733"/>
      <c r="UPS8" s="733"/>
      <c r="UPT8" s="733"/>
      <c r="UPU8" s="733"/>
      <c r="UPV8" s="733"/>
      <c r="UPW8" s="733"/>
      <c r="UPX8" s="733"/>
      <c r="UPY8" s="733"/>
      <c r="UPZ8" s="733"/>
      <c r="UQA8" s="733"/>
      <c r="UQB8" s="733"/>
      <c r="UQC8" s="733"/>
      <c r="UQD8" s="733"/>
      <c r="UQE8" s="733"/>
      <c r="UQF8" s="733"/>
      <c r="UQG8" s="733"/>
      <c r="UQH8" s="733"/>
      <c r="UQI8" s="733"/>
      <c r="UQJ8" s="733"/>
      <c r="UQK8" s="733"/>
      <c r="UQL8" s="733"/>
      <c r="UQM8" s="733"/>
      <c r="UQN8" s="733"/>
      <c r="UQO8" s="733"/>
      <c r="UQP8" s="733"/>
      <c r="UQQ8" s="733"/>
      <c r="UQR8" s="733"/>
      <c r="UQS8" s="733"/>
      <c r="UQT8" s="733"/>
      <c r="UQU8" s="733"/>
      <c r="UQV8" s="733"/>
      <c r="UQW8" s="733"/>
      <c r="UQX8" s="733"/>
      <c r="UQY8" s="733"/>
      <c r="UQZ8" s="733"/>
      <c r="URA8" s="733"/>
      <c r="URB8" s="733"/>
      <c r="URC8" s="733"/>
      <c r="URD8" s="733"/>
      <c r="URE8" s="733"/>
      <c r="URF8" s="733"/>
      <c r="URG8" s="733"/>
      <c r="URH8" s="733"/>
      <c r="URI8" s="733"/>
      <c r="URJ8" s="733"/>
      <c r="URK8" s="733"/>
      <c r="URL8" s="733"/>
      <c r="URM8" s="733"/>
      <c r="URN8" s="733"/>
      <c r="URO8" s="733"/>
      <c r="URP8" s="733"/>
      <c r="URQ8" s="733"/>
      <c r="URR8" s="733"/>
      <c r="URS8" s="733"/>
      <c r="URT8" s="733"/>
      <c r="URU8" s="733"/>
      <c r="URV8" s="733"/>
      <c r="URW8" s="733"/>
      <c r="URX8" s="733"/>
      <c r="URY8" s="733"/>
      <c r="URZ8" s="733"/>
      <c r="USA8" s="733"/>
      <c r="USB8" s="733"/>
      <c r="USC8" s="733"/>
      <c r="USD8" s="733"/>
      <c r="USE8" s="733"/>
      <c r="USF8" s="733"/>
      <c r="USG8" s="733"/>
      <c r="USH8" s="733"/>
      <c r="USI8" s="733"/>
      <c r="USJ8" s="733"/>
      <c r="USK8" s="733"/>
      <c r="USL8" s="733"/>
      <c r="USM8" s="733"/>
      <c r="USN8" s="733"/>
      <c r="USO8" s="733"/>
      <c r="USP8" s="733"/>
      <c r="USQ8" s="733"/>
      <c r="USR8" s="733"/>
      <c r="USS8" s="733"/>
      <c r="UST8" s="733"/>
      <c r="USU8" s="733"/>
      <c r="USV8" s="733"/>
      <c r="USW8" s="733"/>
      <c r="USX8" s="733"/>
      <c r="USY8" s="733"/>
      <c r="USZ8" s="733"/>
      <c r="UTA8" s="733"/>
      <c r="UTB8" s="733"/>
      <c r="UTC8" s="733"/>
      <c r="UTD8" s="733"/>
      <c r="UTE8" s="733"/>
      <c r="UTF8" s="733"/>
      <c r="UTG8" s="733"/>
      <c r="UTH8" s="733"/>
      <c r="UTI8" s="733"/>
      <c r="UTJ8" s="733"/>
      <c r="UTK8" s="733"/>
      <c r="UTL8" s="733"/>
      <c r="UTM8" s="733"/>
      <c r="UTN8" s="733"/>
      <c r="UTO8" s="733"/>
      <c r="UTP8" s="733"/>
      <c r="UTQ8" s="733"/>
      <c r="UTR8" s="733"/>
      <c r="UTS8" s="733"/>
      <c r="UTT8" s="733"/>
      <c r="UTU8" s="733"/>
      <c r="UTV8" s="733"/>
      <c r="UTW8" s="733"/>
      <c r="UTX8" s="733"/>
      <c r="UTY8" s="733"/>
      <c r="UTZ8" s="733"/>
      <c r="UUA8" s="733"/>
      <c r="UUB8" s="733"/>
      <c r="UUC8" s="733"/>
      <c r="UUD8" s="733"/>
      <c r="UUE8" s="733"/>
      <c r="UUF8" s="733"/>
      <c r="UUG8" s="733"/>
      <c r="UUH8" s="733"/>
      <c r="UUI8" s="733"/>
      <c r="UUJ8" s="733"/>
      <c r="UUK8" s="733"/>
      <c r="UUL8" s="733"/>
      <c r="UUM8" s="733"/>
      <c r="UUN8" s="733"/>
      <c r="UUO8" s="733"/>
      <c r="UUP8" s="733"/>
      <c r="UUQ8" s="733"/>
      <c r="UUR8" s="733"/>
      <c r="UUS8" s="733"/>
      <c r="UUT8" s="733"/>
      <c r="UUU8" s="733"/>
      <c r="UUV8" s="733"/>
      <c r="UUW8" s="733"/>
      <c r="UUX8" s="733"/>
      <c r="UUY8" s="733"/>
      <c r="UUZ8" s="733"/>
      <c r="UVA8" s="733"/>
      <c r="UVB8" s="733"/>
      <c r="UVC8" s="733"/>
      <c r="UVD8" s="733"/>
      <c r="UVE8" s="733"/>
      <c r="UVF8" s="733"/>
      <c r="UVG8" s="733"/>
      <c r="UVH8" s="733"/>
      <c r="UVI8" s="733"/>
      <c r="UVJ8" s="733"/>
      <c r="UVK8" s="733"/>
      <c r="UVL8" s="733"/>
      <c r="UVM8" s="733"/>
      <c r="UVN8" s="733"/>
      <c r="UVO8" s="733"/>
      <c r="UVP8" s="733"/>
      <c r="UVQ8" s="733"/>
      <c r="UVR8" s="733"/>
      <c r="UVS8" s="733"/>
      <c r="UVT8" s="733"/>
      <c r="UVU8" s="733"/>
      <c r="UVV8" s="733"/>
      <c r="UVW8" s="733"/>
      <c r="UVX8" s="733"/>
      <c r="UVY8" s="733"/>
      <c r="UVZ8" s="733"/>
      <c r="UWA8" s="733"/>
      <c r="UWB8" s="733"/>
      <c r="UWC8" s="733"/>
      <c r="UWD8" s="733"/>
      <c r="UWE8" s="733"/>
      <c r="UWF8" s="733"/>
      <c r="UWG8" s="733"/>
      <c r="UWH8" s="733"/>
      <c r="UWI8" s="733"/>
      <c r="UWJ8" s="733"/>
      <c r="UWK8" s="733"/>
      <c r="UWL8" s="733"/>
      <c r="UWM8" s="733"/>
      <c r="UWN8" s="733"/>
      <c r="UWO8" s="733"/>
      <c r="UWP8" s="733"/>
      <c r="UWQ8" s="733"/>
      <c r="UWR8" s="733"/>
      <c r="UWS8" s="733"/>
      <c r="UWT8" s="733"/>
      <c r="UWU8" s="733"/>
      <c r="UWV8" s="733"/>
      <c r="UWW8" s="733"/>
      <c r="UWX8" s="733"/>
      <c r="UWY8" s="733"/>
      <c r="UWZ8" s="733"/>
      <c r="UXA8" s="733"/>
      <c r="UXB8" s="733"/>
      <c r="UXC8" s="733"/>
      <c r="UXD8" s="733"/>
      <c r="UXE8" s="733"/>
      <c r="UXF8" s="733"/>
      <c r="UXG8" s="733"/>
      <c r="UXH8" s="733"/>
      <c r="UXI8" s="733"/>
      <c r="UXJ8" s="733"/>
      <c r="UXK8" s="733"/>
      <c r="UXL8" s="733"/>
      <c r="UXM8" s="733"/>
      <c r="UXN8" s="733"/>
      <c r="UXO8" s="733"/>
      <c r="UXP8" s="733"/>
      <c r="UXQ8" s="733"/>
      <c r="UXR8" s="733"/>
      <c r="UXS8" s="733"/>
      <c r="UXT8" s="733"/>
      <c r="UXU8" s="733"/>
      <c r="UXV8" s="733"/>
      <c r="UXW8" s="733"/>
      <c r="UXX8" s="733"/>
      <c r="UXY8" s="733"/>
      <c r="UXZ8" s="733"/>
      <c r="UYA8" s="733"/>
      <c r="UYB8" s="733"/>
      <c r="UYC8" s="733"/>
      <c r="UYD8" s="733"/>
      <c r="UYE8" s="733"/>
      <c r="UYF8" s="733"/>
      <c r="UYG8" s="733"/>
      <c r="UYH8" s="733"/>
      <c r="UYI8" s="733"/>
      <c r="UYJ8" s="733"/>
      <c r="UYK8" s="733"/>
      <c r="UYL8" s="733"/>
      <c r="UYM8" s="733"/>
      <c r="UYN8" s="733"/>
      <c r="UYO8" s="733"/>
      <c r="UYP8" s="733"/>
      <c r="UYQ8" s="733"/>
      <c r="UYR8" s="733"/>
      <c r="UYS8" s="733"/>
      <c r="UYT8" s="733"/>
      <c r="UYU8" s="733"/>
      <c r="UYV8" s="733"/>
      <c r="UYW8" s="733"/>
      <c r="UYX8" s="733"/>
      <c r="UYY8" s="733"/>
      <c r="UYZ8" s="733"/>
      <c r="UZA8" s="733"/>
      <c r="UZB8" s="733"/>
      <c r="UZC8" s="733"/>
      <c r="UZD8" s="733"/>
      <c r="UZE8" s="733"/>
      <c r="UZF8" s="733"/>
      <c r="UZG8" s="733"/>
      <c r="UZH8" s="733"/>
      <c r="UZI8" s="733"/>
      <c r="UZJ8" s="733"/>
      <c r="UZK8" s="733"/>
      <c r="UZL8" s="733"/>
      <c r="UZM8" s="733"/>
      <c r="UZN8" s="733"/>
      <c r="UZO8" s="733"/>
      <c r="UZP8" s="733"/>
      <c r="UZQ8" s="733"/>
      <c r="UZR8" s="733"/>
      <c r="UZS8" s="733"/>
      <c r="UZT8" s="733"/>
      <c r="UZU8" s="733"/>
      <c r="UZV8" s="733"/>
      <c r="UZW8" s="733"/>
      <c r="UZX8" s="733"/>
      <c r="UZY8" s="733"/>
      <c r="UZZ8" s="733"/>
      <c r="VAA8" s="733"/>
      <c r="VAB8" s="733"/>
      <c r="VAC8" s="733"/>
      <c r="VAD8" s="733"/>
      <c r="VAE8" s="733"/>
      <c r="VAF8" s="733"/>
      <c r="VAG8" s="733"/>
      <c r="VAH8" s="733"/>
      <c r="VAI8" s="733"/>
      <c r="VAJ8" s="733"/>
      <c r="VAK8" s="733"/>
      <c r="VAL8" s="733"/>
      <c r="VAM8" s="733"/>
      <c r="VAN8" s="733"/>
      <c r="VAO8" s="733"/>
      <c r="VAP8" s="733"/>
      <c r="VAQ8" s="733"/>
      <c r="VAR8" s="733"/>
      <c r="VAS8" s="733"/>
      <c r="VAT8" s="733"/>
      <c r="VAU8" s="733"/>
      <c r="VAV8" s="733"/>
      <c r="VAW8" s="733"/>
      <c r="VAX8" s="733"/>
      <c r="VAY8" s="733"/>
      <c r="VAZ8" s="733"/>
      <c r="VBA8" s="733"/>
      <c r="VBB8" s="733"/>
      <c r="VBC8" s="733"/>
      <c r="VBD8" s="733"/>
      <c r="VBE8" s="733"/>
      <c r="VBF8" s="733"/>
      <c r="VBG8" s="733"/>
      <c r="VBH8" s="733"/>
      <c r="VBI8" s="733"/>
      <c r="VBJ8" s="733"/>
      <c r="VBK8" s="733"/>
      <c r="VBL8" s="733"/>
      <c r="VBM8" s="733"/>
      <c r="VBN8" s="733"/>
      <c r="VBO8" s="733"/>
      <c r="VBP8" s="733"/>
      <c r="VBQ8" s="733"/>
      <c r="VBR8" s="733"/>
      <c r="VBS8" s="733"/>
      <c r="VBT8" s="733"/>
      <c r="VBU8" s="733"/>
      <c r="VBV8" s="733"/>
      <c r="VBW8" s="733"/>
      <c r="VBX8" s="733"/>
      <c r="VBY8" s="733"/>
      <c r="VBZ8" s="733"/>
      <c r="VCA8" s="733"/>
      <c r="VCB8" s="733"/>
      <c r="VCC8" s="733"/>
      <c r="VCD8" s="733"/>
      <c r="VCE8" s="733"/>
      <c r="VCF8" s="733"/>
      <c r="VCG8" s="733"/>
      <c r="VCH8" s="733"/>
      <c r="VCI8" s="733"/>
      <c r="VCJ8" s="733"/>
      <c r="VCK8" s="733"/>
      <c r="VCL8" s="733"/>
      <c r="VCM8" s="733"/>
      <c r="VCN8" s="733"/>
      <c r="VCO8" s="733"/>
      <c r="VCP8" s="733"/>
      <c r="VCQ8" s="733"/>
      <c r="VCR8" s="733"/>
      <c r="VCS8" s="733"/>
      <c r="VCT8" s="733"/>
      <c r="VCU8" s="733"/>
      <c r="VCV8" s="733"/>
      <c r="VCW8" s="733"/>
      <c r="VCX8" s="733"/>
      <c r="VCY8" s="733"/>
      <c r="VCZ8" s="733"/>
      <c r="VDA8" s="733"/>
      <c r="VDB8" s="733"/>
      <c r="VDC8" s="733"/>
      <c r="VDD8" s="733"/>
      <c r="VDE8" s="733"/>
      <c r="VDF8" s="733"/>
      <c r="VDG8" s="733"/>
      <c r="VDH8" s="733"/>
      <c r="VDI8" s="733"/>
      <c r="VDJ8" s="733"/>
      <c r="VDK8" s="733"/>
      <c r="VDL8" s="733"/>
      <c r="VDM8" s="733"/>
      <c r="VDN8" s="733"/>
      <c r="VDO8" s="733"/>
      <c r="VDP8" s="733"/>
      <c r="VDQ8" s="733"/>
      <c r="VDR8" s="733"/>
      <c r="VDS8" s="733"/>
      <c r="VDT8" s="733"/>
      <c r="VDU8" s="733"/>
      <c r="VDV8" s="733"/>
      <c r="VDW8" s="733"/>
      <c r="VDX8" s="733"/>
      <c r="VDY8" s="733"/>
      <c r="VDZ8" s="733"/>
      <c r="VEA8" s="733"/>
      <c r="VEB8" s="733"/>
      <c r="VEC8" s="733"/>
      <c r="VED8" s="733"/>
      <c r="VEE8" s="733"/>
      <c r="VEF8" s="733"/>
      <c r="VEG8" s="733"/>
      <c r="VEH8" s="733"/>
      <c r="VEI8" s="733"/>
      <c r="VEJ8" s="733"/>
      <c r="VEK8" s="733"/>
      <c r="VEL8" s="733"/>
      <c r="VEM8" s="733"/>
      <c r="VEN8" s="733"/>
      <c r="VEO8" s="733"/>
      <c r="VEP8" s="733"/>
      <c r="VEQ8" s="733"/>
      <c r="VER8" s="733"/>
      <c r="VES8" s="733"/>
      <c r="VET8" s="733"/>
      <c r="VEU8" s="733"/>
      <c r="VEV8" s="733"/>
      <c r="VEW8" s="733"/>
      <c r="VEX8" s="733"/>
      <c r="VEY8" s="733"/>
      <c r="VEZ8" s="733"/>
      <c r="VFA8" s="733"/>
      <c r="VFB8" s="733"/>
      <c r="VFC8" s="733"/>
      <c r="VFD8" s="733"/>
      <c r="VFE8" s="733"/>
      <c r="VFF8" s="733"/>
      <c r="VFG8" s="733"/>
      <c r="VFH8" s="733"/>
      <c r="VFI8" s="733"/>
      <c r="VFJ8" s="733"/>
      <c r="VFK8" s="733"/>
      <c r="VFL8" s="733"/>
      <c r="VFM8" s="733"/>
      <c r="VFN8" s="733"/>
      <c r="VFO8" s="733"/>
      <c r="VFP8" s="733"/>
      <c r="VFQ8" s="733"/>
      <c r="VFR8" s="733"/>
      <c r="VFS8" s="733"/>
      <c r="VFT8" s="733"/>
      <c r="VFU8" s="733"/>
      <c r="VFV8" s="733"/>
      <c r="VFW8" s="733"/>
      <c r="VFX8" s="733"/>
      <c r="VFY8" s="733"/>
      <c r="VFZ8" s="733"/>
      <c r="VGA8" s="733"/>
      <c r="VGB8" s="733"/>
      <c r="VGC8" s="733"/>
      <c r="VGD8" s="733"/>
      <c r="VGE8" s="733"/>
      <c r="VGF8" s="733"/>
      <c r="VGG8" s="733"/>
      <c r="VGH8" s="733"/>
      <c r="VGI8" s="733"/>
      <c r="VGJ8" s="733"/>
      <c r="VGK8" s="733"/>
      <c r="VGL8" s="733"/>
      <c r="VGM8" s="733"/>
      <c r="VGN8" s="733"/>
      <c r="VGO8" s="733"/>
      <c r="VGP8" s="733"/>
      <c r="VGQ8" s="733"/>
      <c r="VGR8" s="733"/>
      <c r="VGS8" s="733"/>
      <c r="VGT8" s="733"/>
      <c r="VGU8" s="733"/>
      <c r="VGV8" s="733"/>
      <c r="VGW8" s="733"/>
      <c r="VGX8" s="733"/>
      <c r="VGY8" s="733"/>
      <c r="VGZ8" s="733"/>
      <c r="VHA8" s="733"/>
      <c r="VHB8" s="733"/>
      <c r="VHC8" s="733"/>
      <c r="VHD8" s="733"/>
      <c r="VHE8" s="733"/>
      <c r="VHF8" s="733"/>
      <c r="VHG8" s="733"/>
      <c r="VHH8" s="733"/>
      <c r="VHI8" s="733"/>
      <c r="VHJ8" s="733"/>
      <c r="VHK8" s="733"/>
      <c r="VHL8" s="733"/>
      <c r="VHM8" s="733"/>
      <c r="VHN8" s="733"/>
      <c r="VHO8" s="733"/>
      <c r="VHP8" s="733"/>
      <c r="VHQ8" s="733"/>
      <c r="VHR8" s="733"/>
      <c r="VHS8" s="733"/>
      <c r="VHT8" s="733"/>
      <c r="VHU8" s="733"/>
      <c r="VHV8" s="733"/>
      <c r="VHW8" s="733"/>
      <c r="VHX8" s="733"/>
      <c r="VHY8" s="733"/>
      <c r="VHZ8" s="733"/>
      <c r="VIA8" s="733"/>
      <c r="VIB8" s="733"/>
      <c r="VIC8" s="733"/>
      <c r="VID8" s="733"/>
      <c r="VIE8" s="733"/>
      <c r="VIF8" s="733"/>
      <c r="VIG8" s="733"/>
      <c r="VIH8" s="733"/>
      <c r="VII8" s="733"/>
      <c r="VIJ8" s="733"/>
      <c r="VIK8" s="733"/>
      <c r="VIL8" s="733"/>
      <c r="VIM8" s="733"/>
      <c r="VIN8" s="733"/>
      <c r="VIO8" s="733"/>
      <c r="VIP8" s="733"/>
      <c r="VIQ8" s="733"/>
      <c r="VIR8" s="733"/>
      <c r="VIS8" s="733"/>
      <c r="VIT8" s="733"/>
      <c r="VIU8" s="733"/>
      <c r="VIV8" s="733"/>
      <c r="VIW8" s="733"/>
      <c r="VIX8" s="733"/>
      <c r="VIY8" s="733"/>
      <c r="VIZ8" s="733"/>
      <c r="VJA8" s="733"/>
      <c r="VJB8" s="733"/>
      <c r="VJC8" s="733"/>
      <c r="VJD8" s="733"/>
      <c r="VJE8" s="733"/>
      <c r="VJF8" s="733"/>
      <c r="VJG8" s="733"/>
      <c r="VJH8" s="733"/>
      <c r="VJI8" s="733"/>
      <c r="VJJ8" s="733"/>
      <c r="VJK8" s="733"/>
      <c r="VJL8" s="733"/>
      <c r="VJM8" s="733"/>
      <c r="VJN8" s="733"/>
      <c r="VJO8" s="733"/>
      <c r="VJP8" s="733"/>
      <c r="VJQ8" s="733"/>
      <c r="VJR8" s="733"/>
      <c r="VJS8" s="733"/>
      <c r="VJT8" s="733"/>
      <c r="VJU8" s="733"/>
      <c r="VJV8" s="733"/>
      <c r="VJW8" s="733"/>
      <c r="VJX8" s="733"/>
      <c r="VJY8" s="733"/>
      <c r="VJZ8" s="733"/>
      <c r="VKA8" s="733"/>
      <c r="VKB8" s="733"/>
      <c r="VKC8" s="733"/>
      <c r="VKD8" s="733"/>
      <c r="VKE8" s="733"/>
      <c r="VKF8" s="733"/>
      <c r="VKG8" s="733"/>
      <c r="VKH8" s="733"/>
      <c r="VKI8" s="733"/>
      <c r="VKJ8" s="733"/>
      <c r="VKK8" s="733"/>
      <c r="VKL8" s="733"/>
      <c r="VKM8" s="733"/>
      <c r="VKN8" s="733"/>
      <c r="VKO8" s="733"/>
      <c r="VKP8" s="733"/>
      <c r="VKQ8" s="733"/>
      <c r="VKR8" s="733"/>
      <c r="VKS8" s="733"/>
      <c r="VKT8" s="733"/>
      <c r="VKU8" s="733"/>
      <c r="VKV8" s="733"/>
      <c r="VKW8" s="733"/>
      <c r="VKX8" s="733"/>
      <c r="VKY8" s="733"/>
      <c r="VKZ8" s="733"/>
      <c r="VLA8" s="733"/>
      <c r="VLB8" s="733"/>
      <c r="VLC8" s="733"/>
      <c r="VLD8" s="733"/>
      <c r="VLE8" s="733"/>
      <c r="VLF8" s="733"/>
      <c r="VLG8" s="733"/>
      <c r="VLH8" s="733"/>
      <c r="VLI8" s="733"/>
      <c r="VLJ8" s="733"/>
      <c r="VLK8" s="733"/>
      <c r="VLL8" s="733"/>
      <c r="VLM8" s="733"/>
      <c r="VLN8" s="733"/>
      <c r="VLO8" s="733"/>
      <c r="VLP8" s="733"/>
      <c r="VLQ8" s="733"/>
      <c r="VLR8" s="733"/>
      <c r="VLS8" s="733"/>
      <c r="VLT8" s="733"/>
      <c r="VLU8" s="733"/>
      <c r="VLV8" s="733"/>
      <c r="VLW8" s="733"/>
      <c r="VLX8" s="733"/>
      <c r="VLY8" s="733"/>
      <c r="VLZ8" s="733"/>
      <c r="VMA8" s="733"/>
      <c r="VMB8" s="733"/>
      <c r="VMC8" s="733"/>
      <c r="VMD8" s="733"/>
      <c r="VME8" s="733"/>
      <c r="VMF8" s="733"/>
      <c r="VMG8" s="733"/>
      <c r="VMH8" s="733"/>
      <c r="VMI8" s="733"/>
      <c r="VMJ8" s="733"/>
      <c r="VMK8" s="733"/>
      <c r="VML8" s="733"/>
      <c r="VMM8" s="733"/>
      <c r="VMN8" s="733"/>
      <c r="VMO8" s="733"/>
      <c r="VMP8" s="733"/>
      <c r="VMQ8" s="733"/>
      <c r="VMR8" s="733"/>
      <c r="VMS8" s="733"/>
      <c r="VMT8" s="733"/>
      <c r="VMU8" s="733"/>
      <c r="VMV8" s="733"/>
      <c r="VMW8" s="733"/>
      <c r="VMX8" s="733"/>
      <c r="VMY8" s="733"/>
      <c r="VMZ8" s="733"/>
      <c r="VNA8" s="733"/>
      <c r="VNB8" s="733"/>
      <c r="VNC8" s="733"/>
      <c r="VND8" s="733"/>
      <c r="VNE8" s="733"/>
      <c r="VNF8" s="733"/>
      <c r="VNG8" s="733"/>
      <c r="VNH8" s="733"/>
      <c r="VNI8" s="733"/>
      <c r="VNJ8" s="733"/>
      <c r="VNK8" s="733"/>
      <c r="VNL8" s="733"/>
      <c r="VNM8" s="733"/>
      <c r="VNN8" s="733"/>
      <c r="VNO8" s="733"/>
      <c r="VNP8" s="733"/>
      <c r="VNQ8" s="733"/>
      <c r="VNR8" s="733"/>
      <c r="VNS8" s="733"/>
      <c r="VNT8" s="733"/>
      <c r="VNU8" s="733"/>
      <c r="VNV8" s="733"/>
      <c r="VNW8" s="733"/>
      <c r="VNX8" s="733"/>
      <c r="VNY8" s="733"/>
      <c r="VNZ8" s="733"/>
      <c r="VOA8" s="733"/>
      <c r="VOB8" s="733"/>
      <c r="VOC8" s="733"/>
      <c r="VOD8" s="733"/>
      <c r="VOE8" s="733"/>
      <c r="VOF8" s="733"/>
      <c r="VOG8" s="733"/>
      <c r="VOH8" s="733"/>
      <c r="VOI8" s="733"/>
      <c r="VOJ8" s="733"/>
      <c r="VOK8" s="733"/>
      <c r="VOL8" s="733"/>
      <c r="VOM8" s="733"/>
      <c r="VON8" s="733"/>
      <c r="VOO8" s="733"/>
      <c r="VOP8" s="733"/>
      <c r="VOQ8" s="733"/>
      <c r="VOR8" s="733"/>
      <c r="VOS8" s="733"/>
      <c r="VOT8" s="733"/>
      <c r="VOU8" s="733"/>
      <c r="VOV8" s="733"/>
      <c r="VOW8" s="733"/>
      <c r="VOX8" s="733"/>
      <c r="VOY8" s="733"/>
      <c r="VOZ8" s="733"/>
      <c r="VPA8" s="733"/>
      <c r="VPB8" s="733"/>
      <c r="VPC8" s="733"/>
      <c r="VPD8" s="733"/>
      <c r="VPE8" s="733"/>
      <c r="VPF8" s="733"/>
      <c r="VPG8" s="733"/>
      <c r="VPH8" s="733"/>
      <c r="VPI8" s="733"/>
      <c r="VPJ8" s="733"/>
      <c r="VPK8" s="733"/>
      <c r="VPL8" s="733"/>
      <c r="VPM8" s="733"/>
      <c r="VPN8" s="733"/>
      <c r="VPO8" s="733"/>
      <c r="VPP8" s="733"/>
      <c r="VPQ8" s="733"/>
      <c r="VPR8" s="733"/>
      <c r="VPS8" s="733"/>
      <c r="VPT8" s="733"/>
      <c r="VPU8" s="733"/>
      <c r="VPV8" s="733"/>
      <c r="VPW8" s="733"/>
      <c r="VPX8" s="733"/>
      <c r="VPY8" s="733"/>
      <c r="VPZ8" s="733"/>
      <c r="VQA8" s="733"/>
      <c r="VQB8" s="733"/>
      <c r="VQC8" s="733"/>
      <c r="VQD8" s="733"/>
      <c r="VQE8" s="733"/>
      <c r="VQF8" s="733"/>
      <c r="VQG8" s="733"/>
      <c r="VQH8" s="733"/>
      <c r="VQI8" s="733"/>
      <c r="VQJ8" s="733"/>
      <c r="VQK8" s="733"/>
      <c r="VQL8" s="733"/>
      <c r="VQM8" s="733"/>
      <c r="VQN8" s="733"/>
      <c r="VQO8" s="733"/>
      <c r="VQP8" s="733"/>
      <c r="VQQ8" s="733"/>
      <c r="VQR8" s="733"/>
      <c r="VQS8" s="733"/>
      <c r="VQT8" s="733"/>
      <c r="VQU8" s="733"/>
      <c r="VQV8" s="733"/>
      <c r="VQW8" s="733"/>
      <c r="VQX8" s="733"/>
      <c r="VQY8" s="733"/>
      <c r="VQZ8" s="733"/>
      <c r="VRA8" s="733"/>
      <c r="VRB8" s="733"/>
      <c r="VRC8" s="733"/>
      <c r="VRD8" s="733"/>
      <c r="VRE8" s="733"/>
      <c r="VRF8" s="733"/>
      <c r="VRG8" s="733"/>
      <c r="VRH8" s="733"/>
      <c r="VRI8" s="733"/>
      <c r="VRJ8" s="733"/>
      <c r="VRK8" s="733"/>
      <c r="VRL8" s="733"/>
      <c r="VRM8" s="733"/>
      <c r="VRN8" s="733"/>
      <c r="VRO8" s="733"/>
      <c r="VRP8" s="733"/>
      <c r="VRQ8" s="733"/>
      <c r="VRR8" s="733"/>
      <c r="VRS8" s="733"/>
      <c r="VRT8" s="733"/>
      <c r="VRU8" s="733"/>
      <c r="VRV8" s="733"/>
      <c r="VRW8" s="733"/>
      <c r="VRX8" s="733"/>
      <c r="VRY8" s="733"/>
      <c r="VRZ8" s="733"/>
      <c r="VSA8" s="733"/>
      <c r="VSB8" s="733"/>
      <c r="VSC8" s="733"/>
      <c r="VSD8" s="733"/>
      <c r="VSE8" s="733"/>
      <c r="VSF8" s="733"/>
      <c r="VSG8" s="733"/>
      <c r="VSH8" s="733"/>
      <c r="VSI8" s="733"/>
      <c r="VSJ8" s="733"/>
      <c r="VSK8" s="733"/>
      <c r="VSL8" s="733"/>
      <c r="VSM8" s="733"/>
      <c r="VSN8" s="733"/>
      <c r="VSO8" s="733"/>
      <c r="VSP8" s="733"/>
      <c r="VSQ8" s="733"/>
      <c r="VSR8" s="733"/>
      <c r="VSS8" s="733"/>
      <c r="VST8" s="733"/>
      <c r="VSU8" s="733"/>
      <c r="VSV8" s="733"/>
      <c r="VSW8" s="733"/>
      <c r="VSX8" s="733"/>
      <c r="VSY8" s="733"/>
      <c r="VSZ8" s="733"/>
      <c r="VTA8" s="733"/>
      <c r="VTB8" s="733"/>
      <c r="VTC8" s="733"/>
      <c r="VTD8" s="733"/>
      <c r="VTE8" s="733"/>
      <c r="VTF8" s="733"/>
      <c r="VTG8" s="733"/>
      <c r="VTH8" s="733"/>
      <c r="VTI8" s="733"/>
      <c r="VTJ8" s="733"/>
      <c r="VTK8" s="733"/>
      <c r="VTL8" s="733"/>
      <c r="VTM8" s="733"/>
      <c r="VTN8" s="733"/>
      <c r="VTO8" s="733"/>
      <c r="VTP8" s="733"/>
      <c r="VTQ8" s="733"/>
      <c r="VTR8" s="733"/>
      <c r="VTS8" s="733"/>
      <c r="VTT8" s="733"/>
      <c r="VTU8" s="733"/>
      <c r="VTV8" s="733"/>
      <c r="VTW8" s="733"/>
      <c r="VTX8" s="733"/>
      <c r="VTY8" s="733"/>
      <c r="VTZ8" s="733"/>
      <c r="VUA8" s="733"/>
      <c r="VUB8" s="733"/>
      <c r="VUC8" s="733"/>
      <c r="VUD8" s="733"/>
      <c r="VUE8" s="733"/>
      <c r="VUF8" s="733"/>
      <c r="VUG8" s="733"/>
      <c r="VUH8" s="733"/>
      <c r="VUI8" s="733"/>
      <c r="VUJ8" s="733"/>
      <c r="VUK8" s="733"/>
      <c r="VUL8" s="733"/>
      <c r="VUM8" s="733"/>
      <c r="VUN8" s="733"/>
      <c r="VUO8" s="733"/>
      <c r="VUP8" s="733"/>
      <c r="VUQ8" s="733"/>
      <c r="VUR8" s="733"/>
      <c r="VUS8" s="733"/>
      <c r="VUT8" s="733"/>
      <c r="VUU8" s="733"/>
      <c r="VUV8" s="733"/>
      <c r="VUW8" s="733"/>
      <c r="VUX8" s="733"/>
      <c r="VUY8" s="733"/>
      <c r="VUZ8" s="733"/>
      <c r="VVA8" s="733"/>
      <c r="VVB8" s="733"/>
      <c r="VVC8" s="733"/>
      <c r="VVD8" s="733"/>
      <c r="VVE8" s="733"/>
      <c r="VVF8" s="733"/>
      <c r="VVG8" s="733"/>
      <c r="VVH8" s="733"/>
      <c r="VVI8" s="733"/>
      <c r="VVJ8" s="733"/>
      <c r="VVK8" s="733"/>
      <c r="VVL8" s="733"/>
      <c r="VVM8" s="733"/>
      <c r="VVN8" s="733"/>
      <c r="VVO8" s="733"/>
      <c r="VVP8" s="733"/>
      <c r="VVQ8" s="733"/>
      <c r="VVR8" s="733"/>
      <c r="VVS8" s="733"/>
      <c r="VVT8" s="733"/>
      <c r="VVU8" s="733"/>
      <c r="VVV8" s="733"/>
      <c r="VVW8" s="733"/>
      <c r="VVX8" s="733"/>
      <c r="VVY8" s="733"/>
      <c r="VVZ8" s="733"/>
      <c r="VWA8" s="733"/>
      <c r="VWB8" s="733"/>
      <c r="VWC8" s="733"/>
      <c r="VWD8" s="733"/>
      <c r="VWE8" s="733"/>
      <c r="VWF8" s="733"/>
      <c r="VWG8" s="733"/>
      <c r="VWH8" s="733"/>
      <c r="VWI8" s="733"/>
      <c r="VWJ8" s="733"/>
      <c r="VWK8" s="733"/>
      <c r="VWL8" s="733"/>
      <c r="VWM8" s="733"/>
      <c r="VWN8" s="733"/>
      <c r="VWO8" s="733"/>
      <c r="VWP8" s="733"/>
      <c r="VWQ8" s="733"/>
      <c r="VWR8" s="733"/>
      <c r="VWS8" s="733"/>
      <c r="VWT8" s="733"/>
      <c r="VWU8" s="733"/>
      <c r="VWV8" s="733"/>
      <c r="VWW8" s="733"/>
      <c r="VWX8" s="733"/>
      <c r="VWY8" s="733"/>
      <c r="VWZ8" s="733"/>
      <c r="VXA8" s="733"/>
      <c r="VXB8" s="733"/>
      <c r="VXC8" s="733"/>
      <c r="VXD8" s="733"/>
      <c r="VXE8" s="733"/>
      <c r="VXF8" s="733"/>
      <c r="VXG8" s="733"/>
      <c r="VXH8" s="733"/>
      <c r="VXI8" s="733"/>
      <c r="VXJ8" s="733"/>
      <c r="VXK8" s="733"/>
      <c r="VXL8" s="733"/>
      <c r="VXM8" s="733"/>
      <c r="VXN8" s="733"/>
      <c r="VXO8" s="733"/>
      <c r="VXP8" s="733"/>
      <c r="VXQ8" s="733"/>
      <c r="VXR8" s="733"/>
      <c r="VXS8" s="733"/>
      <c r="VXT8" s="733"/>
      <c r="VXU8" s="733"/>
      <c r="VXV8" s="733"/>
      <c r="VXW8" s="733"/>
      <c r="VXX8" s="733"/>
      <c r="VXY8" s="733"/>
      <c r="VXZ8" s="733"/>
      <c r="VYA8" s="733"/>
      <c r="VYB8" s="733"/>
      <c r="VYC8" s="733"/>
      <c r="VYD8" s="733"/>
      <c r="VYE8" s="733"/>
      <c r="VYF8" s="733"/>
      <c r="VYG8" s="733"/>
      <c r="VYH8" s="733"/>
      <c r="VYI8" s="733"/>
      <c r="VYJ8" s="733"/>
      <c r="VYK8" s="733"/>
      <c r="VYL8" s="733"/>
      <c r="VYM8" s="733"/>
      <c r="VYN8" s="733"/>
      <c r="VYO8" s="733"/>
      <c r="VYP8" s="733"/>
      <c r="VYQ8" s="733"/>
      <c r="VYR8" s="733"/>
      <c r="VYS8" s="733"/>
      <c r="VYT8" s="733"/>
      <c r="VYU8" s="733"/>
      <c r="VYV8" s="733"/>
      <c r="VYW8" s="733"/>
      <c r="VYX8" s="733"/>
      <c r="VYY8" s="733"/>
      <c r="VYZ8" s="733"/>
      <c r="VZA8" s="733"/>
      <c r="VZB8" s="733"/>
      <c r="VZC8" s="733"/>
      <c r="VZD8" s="733"/>
      <c r="VZE8" s="733"/>
      <c r="VZF8" s="733"/>
      <c r="VZG8" s="733"/>
      <c r="VZH8" s="733"/>
      <c r="VZI8" s="733"/>
      <c r="VZJ8" s="733"/>
      <c r="VZK8" s="733"/>
      <c r="VZL8" s="733"/>
      <c r="VZM8" s="733"/>
      <c r="VZN8" s="733"/>
      <c r="VZO8" s="733"/>
      <c r="VZP8" s="733"/>
      <c r="VZQ8" s="733"/>
      <c r="VZR8" s="733"/>
      <c r="VZS8" s="733"/>
      <c r="VZT8" s="733"/>
      <c r="VZU8" s="733"/>
      <c r="VZV8" s="733"/>
      <c r="VZW8" s="733"/>
      <c r="VZX8" s="733"/>
      <c r="VZY8" s="733"/>
      <c r="VZZ8" s="733"/>
      <c r="WAA8" s="733"/>
      <c r="WAB8" s="733"/>
      <c r="WAC8" s="733"/>
      <c r="WAD8" s="733"/>
      <c r="WAE8" s="733"/>
      <c r="WAF8" s="733"/>
      <c r="WAG8" s="733"/>
      <c r="WAH8" s="733"/>
      <c r="WAI8" s="733"/>
      <c r="WAJ8" s="733"/>
      <c r="WAK8" s="733"/>
      <c r="WAL8" s="733"/>
      <c r="WAM8" s="733"/>
      <c r="WAN8" s="733"/>
      <c r="WAO8" s="733"/>
      <c r="WAP8" s="733"/>
      <c r="WAQ8" s="733"/>
      <c r="WAR8" s="733"/>
      <c r="WAS8" s="733"/>
      <c r="WAT8" s="733"/>
      <c r="WAU8" s="733"/>
      <c r="WAV8" s="733"/>
      <c r="WAW8" s="733"/>
      <c r="WAX8" s="733"/>
      <c r="WAY8" s="733"/>
      <c r="WAZ8" s="733"/>
      <c r="WBA8" s="733"/>
      <c r="WBB8" s="733"/>
      <c r="WBC8" s="733"/>
      <c r="WBD8" s="733"/>
      <c r="WBE8" s="733"/>
      <c r="WBF8" s="733"/>
      <c r="WBG8" s="733"/>
      <c r="WBH8" s="733"/>
      <c r="WBI8" s="733"/>
      <c r="WBJ8" s="733"/>
      <c r="WBK8" s="733"/>
      <c r="WBL8" s="733"/>
      <c r="WBM8" s="733"/>
      <c r="WBN8" s="733"/>
      <c r="WBO8" s="733"/>
      <c r="WBP8" s="733"/>
      <c r="WBQ8" s="733"/>
      <c r="WBR8" s="733"/>
      <c r="WBS8" s="733"/>
      <c r="WBT8" s="733"/>
      <c r="WBU8" s="733"/>
      <c r="WBV8" s="733"/>
      <c r="WBW8" s="733"/>
      <c r="WBX8" s="733"/>
      <c r="WBY8" s="733"/>
      <c r="WBZ8" s="733"/>
      <c r="WCA8" s="733"/>
      <c r="WCB8" s="733"/>
      <c r="WCC8" s="733"/>
      <c r="WCD8" s="733"/>
      <c r="WCE8" s="733"/>
      <c r="WCF8" s="733"/>
      <c r="WCG8" s="733"/>
      <c r="WCH8" s="733"/>
      <c r="WCI8" s="733"/>
      <c r="WCJ8" s="733"/>
      <c r="WCK8" s="733"/>
      <c r="WCL8" s="733"/>
      <c r="WCM8" s="733"/>
      <c r="WCN8" s="733"/>
      <c r="WCO8" s="733"/>
      <c r="WCP8" s="733"/>
      <c r="WCQ8" s="733"/>
      <c r="WCR8" s="733"/>
      <c r="WCS8" s="733"/>
      <c r="WCT8" s="733"/>
      <c r="WCU8" s="733"/>
      <c r="WCV8" s="733"/>
      <c r="WCW8" s="733"/>
      <c r="WCX8" s="733"/>
      <c r="WCY8" s="733"/>
      <c r="WCZ8" s="733"/>
      <c r="WDA8" s="733"/>
      <c r="WDB8" s="733"/>
      <c r="WDC8" s="733"/>
      <c r="WDD8" s="733"/>
      <c r="WDE8" s="733"/>
      <c r="WDF8" s="733"/>
      <c r="WDG8" s="733"/>
      <c r="WDH8" s="733"/>
      <c r="WDI8" s="733"/>
      <c r="WDJ8" s="733"/>
      <c r="WDK8" s="733"/>
      <c r="WDL8" s="733"/>
      <c r="WDM8" s="733"/>
      <c r="WDN8" s="733"/>
      <c r="WDO8" s="733"/>
      <c r="WDP8" s="733"/>
      <c r="WDQ8" s="733"/>
      <c r="WDR8" s="733"/>
      <c r="WDS8" s="733"/>
      <c r="WDT8" s="733"/>
      <c r="WDU8" s="733"/>
      <c r="WDV8" s="733"/>
      <c r="WDW8" s="733"/>
      <c r="WDX8" s="733"/>
      <c r="WDY8" s="733"/>
      <c r="WDZ8" s="733"/>
      <c r="WEA8" s="733"/>
      <c r="WEB8" s="733"/>
      <c r="WEC8" s="733"/>
      <c r="WED8" s="733"/>
      <c r="WEE8" s="733"/>
      <c r="WEF8" s="733"/>
      <c r="WEG8" s="733"/>
      <c r="WEH8" s="733"/>
      <c r="WEI8" s="733"/>
      <c r="WEJ8" s="733"/>
      <c r="WEK8" s="733"/>
      <c r="WEL8" s="733"/>
      <c r="WEM8" s="733"/>
      <c r="WEN8" s="733"/>
      <c r="WEO8" s="733"/>
      <c r="WEP8" s="733"/>
      <c r="WEQ8" s="733"/>
      <c r="WER8" s="733"/>
      <c r="WES8" s="733"/>
      <c r="WET8" s="733"/>
      <c r="WEU8" s="733"/>
      <c r="WEV8" s="733"/>
      <c r="WEW8" s="733"/>
      <c r="WEX8" s="733"/>
      <c r="WEY8" s="733"/>
      <c r="WEZ8" s="733"/>
      <c r="WFA8" s="733"/>
      <c r="WFB8" s="733"/>
      <c r="WFC8" s="733"/>
      <c r="WFD8" s="733"/>
      <c r="WFE8" s="733"/>
      <c r="WFF8" s="733"/>
      <c r="WFG8" s="733"/>
      <c r="WFH8" s="733"/>
      <c r="WFI8" s="733"/>
      <c r="WFJ8" s="733"/>
      <c r="WFK8" s="733"/>
      <c r="WFL8" s="733"/>
      <c r="WFM8" s="733"/>
      <c r="WFN8" s="733"/>
      <c r="WFO8" s="733"/>
      <c r="WFP8" s="733"/>
      <c r="WFQ8" s="733"/>
      <c r="WFR8" s="733"/>
      <c r="WFS8" s="733"/>
      <c r="WFT8" s="733"/>
      <c r="WFU8" s="733"/>
      <c r="WFV8" s="733"/>
      <c r="WFW8" s="733"/>
      <c r="WFX8" s="733"/>
      <c r="WFY8" s="733"/>
      <c r="WFZ8" s="733"/>
      <c r="WGA8" s="733"/>
      <c r="WGB8" s="733"/>
      <c r="WGC8" s="733"/>
      <c r="WGD8" s="733"/>
      <c r="WGE8" s="733"/>
      <c r="WGF8" s="733"/>
      <c r="WGG8" s="733"/>
      <c r="WGH8" s="733"/>
      <c r="WGI8" s="733"/>
      <c r="WGJ8" s="733"/>
      <c r="WGK8" s="733"/>
      <c r="WGL8" s="733"/>
      <c r="WGM8" s="733"/>
      <c r="WGN8" s="733"/>
      <c r="WGO8" s="733"/>
      <c r="WGP8" s="733"/>
      <c r="WGQ8" s="733"/>
      <c r="WGR8" s="733"/>
      <c r="WGS8" s="733"/>
      <c r="WGT8" s="733"/>
      <c r="WGU8" s="733"/>
      <c r="WGV8" s="733"/>
      <c r="WGW8" s="733"/>
      <c r="WGX8" s="733"/>
      <c r="WGY8" s="733"/>
      <c r="WGZ8" s="733"/>
      <c r="WHA8" s="733"/>
      <c r="WHB8" s="733"/>
      <c r="WHC8" s="733"/>
      <c r="WHD8" s="733"/>
      <c r="WHE8" s="733"/>
      <c r="WHF8" s="733"/>
      <c r="WHG8" s="733"/>
      <c r="WHH8" s="733"/>
      <c r="WHI8" s="733"/>
      <c r="WHJ8" s="733"/>
      <c r="WHK8" s="733"/>
      <c r="WHL8" s="733"/>
      <c r="WHM8" s="733"/>
      <c r="WHN8" s="733"/>
      <c r="WHO8" s="733"/>
      <c r="WHP8" s="733"/>
      <c r="WHQ8" s="733"/>
      <c r="WHR8" s="733"/>
      <c r="WHS8" s="733"/>
      <c r="WHT8" s="733"/>
      <c r="WHU8" s="733"/>
      <c r="WHV8" s="733"/>
      <c r="WHW8" s="733"/>
      <c r="WHX8" s="733"/>
      <c r="WHY8" s="733"/>
      <c r="WHZ8" s="733"/>
      <c r="WIA8" s="733"/>
      <c r="WIB8" s="733"/>
      <c r="WIC8" s="733"/>
      <c r="WID8" s="733"/>
      <c r="WIE8" s="733"/>
      <c r="WIF8" s="733"/>
      <c r="WIG8" s="733"/>
      <c r="WIH8" s="733"/>
      <c r="WII8" s="733"/>
      <c r="WIJ8" s="733"/>
      <c r="WIK8" s="733"/>
      <c r="WIL8" s="733"/>
      <c r="WIM8" s="733"/>
      <c r="WIN8" s="733"/>
      <c r="WIO8" s="733"/>
      <c r="WIP8" s="733"/>
      <c r="WIQ8" s="733"/>
      <c r="WIR8" s="733"/>
      <c r="WIS8" s="733"/>
      <c r="WIT8" s="733"/>
      <c r="WIU8" s="733"/>
      <c r="WIV8" s="733"/>
      <c r="WIW8" s="733"/>
      <c r="WIX8" s="733"/>
      <c r="WIY8" s="733"/>
      <c r="WIZ8" s="733"/>
      <c r="WJA8" s="733"/>
      <c r="WJB8" s="733"/>
      <c r="WJC8" s="733"/>
      <c r="WJD8" s="733"/>
      <c r="WJE8" s="733"/>
      <c r="WJF8" s="733"/>
      <c r="WJG8" s="733"/>
      <c r="WJH8" s="733"/>
      <c r="WJI8" s="733"/>
      <c r="WJJ8" s="733"/>
      <c r="WJK8" s="733"/>
      <c r="WJL8" s="733"/>
      <c r="WJM8" s="733"/>
      <c r="WJN8" s="733"/>
      <c r="WJO8" s="733"/>
      <c r="WJP8" s="733"/>
      <c r="WJQ8" s="733"/>
      <c r="WJR8" s="733"/>
      <c r="WJS8" s="733"/>
      <c r="WJT8" s="733"/>
      <c r="WJU8" s="733"/>
      <c r="WJV8" s="733"/>
      <c r="WJW8" s="733"/>
      <c r="WJX8" s="733"/>
      <c r="WJY8" s="733"/>
      <c r="WJZ8" s="733"/>
      <c r="WKA8" s="733"/>
      <c r="WKB8" s="733"/>
      <c r="WKC8" s="733"/>
      <c r="WKD8" s="733"/>
      <c r="WKE8" s="733"/>
      <c r="WKF8" s="733"/>
      <c r="WKG8" s="733"/>
      <c r="WKH8" s="733"/>
      <c r="WKI8" s="733"/>
      <c r="WKJ8" s="733"/>
      <c r="WKK8" s="733"/>
      <c r="WKL8" s="733"/>
      <c r="WKM8" s="733"/>
      <c r="WKN8" s="733"/>
      <c r="WKO8" s="733"/>
      <c r="WKP8" s="733"/>
      <c r="WKQ8" s="733"/>
      <c r="WKR8" s="733"/>
      <c r="WKS8" s="733"/>
      <c r="WKT8" s="733"/>
      <c r="WKU8" s="733"/>
      <c r="WKV8" s="733"/>
      <c r="WKW8" s="733"/>
      <c r="WKX8" s="733"/>
      <c r="WKY8" s="733"/>
      <c r="WKZ8" s="733"/>
      <c r="WLA8" s="733"/>
      <c r="WLB8" s="733"/>
      <c r="WLC8" s="733"/>
      <c r="WLD8" s="733"/>
      <c r="WLE8" s="733"/>
      <c r="WLF8" s="733"/>
      <c r="WLG8" s="733"/>
      <c r="WLH8" s="733"/>
      <c r="WLI8" s="733"/>
      <c r="WLJ8" s="733"/>
      <c r="WLK8" s="733"/>
      <c r="WLL8" s="733"/>
      <c r="WLM8" s="733"/>
      <c r="WLN8" s="733"/>
      <c r="WLO8" s="733"/>
      <c r="WLP8" s="733"/>
      <c r="WLQ8" s="733"/>
      <c r="WLR8" s="733"/>
      <c r="WLS8" s="733"/>
      <c r="WLT8" s="733"/>
      <c r="WLU8" s="733"/>
      <c r="WLV8" s="733"/>
      <c r="WLW8" s="733"/>
      <c r="WLX8" s="733"/>
      <c r="WLY8" s="733"/>
      <c r="WLZ8" s="733"/>
      <c r="WMA8" s="733"/>
      <c r="WMB8" s="733"/>
      <c r="WMC8" s="733"/>
      <c r="WMD8" s="733"/>
      <c r="WME8" s="733"/>
      <c r="WMF8" s="733"/>
      <c r="WMG8" s="733"/>
      <c r="WMH8" s="733"/>
      <c r="WMI8" s="733"/>
      <c r="WMJ8" s="733"/>
      <c r="WMK8" s="733"/>
      <c r="WML8" s="733"/>
      <c r="WMM8" s="733"/>
      <c r="WMN8" s="733"/>
      <c r="WMO8" s="733"/>
      <c r="WMP8" s="733"/>
      <c r="WMQ8" s="733"/>
      <c r="WMR8" s="733"/>
      <c r="WMS8" s="733"/>
      <c r="WMT8" s="733"/>
      <c r="WMU8" s="733"/>
      <c r="WMV8" s="733"/>
      <c r="WMW8" s="733"/>
      <c r="WMX8" s="733"/>
      <c r="WMY8" s="733"/>
      <c r="WMZ8" s="733"/>
      <c r="WNA8" s="733"/>
      <c r="WNB8" s="733"/>
      <c r="WNC8" s="733"/>
      <c r="WND8" s="733"/>
      <c r="WNE8" s="733"/>
      <c r="WNF8" s="733"/>
      <c r="WNG8" s="733"/>
      <c r="WNH8" s="733"/>
      <c r="WNI8" s="733"/>
      <c r="WNJ8" s="733"/>
      <c r="WNK8" s="733"/>
      <c r="WNL8" s="733"/>
      <c r="WNM8" s="733"/>
      <c r="WNN8" s="733"/>
      <c r="WNO8" s="733"/>
      <c r="WNP8" s="733"/>
      <c r="WNQ8" s="733"/>
      <c r="WNR8" s="733"/>
      <c r="WNS8" s="733"/>
      <c r="WNT8" s="733"/>
      <c r="WNU8" s="733"/>
      <c r="WNV8" s="733"/>
      <c r="WNW8" s="733"/>
      <c r="WNX8" s="733"/>
      <c r="WNY8" s="733"/>
      <c r="WNZ8" s="733"/>
      <c r="WOA8" s="733"/>
      <c r="WOB8" s="733"/>
      <c r="WOC8" s="733"/>
      <c r="WOD8" s="733"/>
      <c r="WOE8" s="733"/>
      <c r="WOF8" s="733"/>
      <c r="WOG8" s="733"/>
      <c r="WOH8" s="733"/>
      <c r="WOI8" s="733"/>
      <c r="WOJ8" s="733"/>
      <c r="WOK8" s="733"/>
      <c r="WOL8" s="733"/>
      <c r="WOM8" s="733"/>
      <c r="WON8" s="733"/>
      <c r="WOO8" s="733"/>
      <c r="WOP8" s="733"/>
      <c r="WOQ8" s="733"/>
      <c r="WOR8" s="733"/>
      <c r="WOS8" s="733"/>
      <c r="WOT8" s="733"/>
      <c r="WOU8" s="733"/>
      <c r="WOV8" s="733"/>
      <c r="WOW8" s="733"/>
      <c r="WOX8" s="733"/>
      <c r="WOY8" s="733"/>
      <c r="WOZ8" s="733"/>
      <c r="WPA8" s="733"/>
      <c r="WPB8" s="733"/>
      <c r="WPC8" s="733"/>
      <c r="WPD8" s="733"/>
      <c r="WPE8" s="733"/>
      <c r="WPF8" s="733"/>
      <c r="WPG8" s="733"/>
      <c r="WPH8" s="733"/>
      <c r="WPI8" s="733"/>
      <c r="WPJ8" s="733"/>
      <c r="WPK8" s="733"/>
      <c r="WPL8" s="733"/>
      <c r="WPM8" s="733"/>
      <c r="WPN8" s="733"/>
      <c r="WPO8" s="733"/>
      <c r="WPP8" s="733"/>
      <c r="WPQ8" s="733"/>
      <c r="WPR8" s="733"/>
      <c r="WPS8" s="733"/>
      <c r="WPT8" s="733"/>
      <c r="WPU8" s="733"/>
      <c r="WPV8" s="733"/>
      <c r="WPW8" s="733"/>
      <c r="WPX8" s="733"/>
      <c r="WPY8" s="733"/>
      <c r="WPZ8" s="733"/>
      <c r="WQA8" s="733"/>
      <c r="WQB8" s="733"/>
      <c r="WQC8" s="733"/>
      <c r="WQD8" s="733"/>
      <c r="WQE8" s="733"/>
      <c r="WQF8" s="733"/>
      <c r="WQG8" s="733"/>
      <c r="WQH8" s="733"/>
      <c r="WQI8" s="733"/>
      <c r="WQJ8" s="733"/>
      <c r="WQK8" s="733"/>
      <c r="WQL8" s="733"/>
      <c r="WQM8" s="733"/>
      <c r="WQN8" s="733"/>
      <c r="WQO8" s="733"/>
      <c r="WQP8" s="733"/>
      <c r="WQQ8" s="733"/>
      <c r="WQR8" s="733"/>
      <c r="WQS8" s="733"/>
      <c r="WQT8" s="733"/>
      <c r="WQU8" s="733"/>
      <c r="WQV8" s="733"/>
      <c r="WQW8" s="733"/>
      <c r="WQX8" s="733"/>
      <c r="WQY8" s="733"/>
      <c r="WQZ8" s="733"/>
      <c r="WRA8" s="733"/>
      <c r="WRB8" s="733"/>
      <c r="WRC8" s="733"/>
      <c r="WRD8" s="733"/>
      <c r="WRE8" s="733"/>
      <c r="WRF8" s="733"/>
      <c r="WRG8" s="733"/>
      <c r="WRH8" s="733"/>
      <c r="WRI8" s="733"/>
      <c r="WRJ8" s="733"/>
      <c r="WRK8" s="733"/>
      <c r="WRL8" s="733"/>
      <c r="WRM8" s="733"/>
      <c r="WRN8" s="733"/>
      <c r="WRO8" s="733"/>
      <c r="WRP8" s="733"/>
      <c r="WRQ8" s="733"/>
      <c r="WRR8" s="733"/>
      <c r="WRS8" s="733"/>
      <c r="WRT8" s="733"/>
      <c r="WRU8" s="733"/>
      <c r="WRV8" s="733"/>
      <c r="WRW8" s="733"/>
      <c r="WRX8" s="733"/>
      <c r="WRY8" s="733"/>
      <c r="WRZ8" s="733"/>
      <c r="WSA8" s="733"/>
      <c r="WSB8" s="733"/>
      <c r="WSC8" s="733"/>
      <c r="WSD8" s="733"/>
      <c r="WSE8" s="733"/>
      <c r="WSF8" s="733"/>
      <c r="WSG8" s="733"/>
      <c r="WSH8" s="733"/>
      <c r="WSI8" s="733"/>
      <c r="WSJ8" s="733"/>
      <c r="WSK8" s="733"/>
      <c r="WSL8" s="733"/>
      <c r="WSM8" s="733"/>
      <c r="WSN8" s="733"/>
      <c r="WSO8" s="733"/>
      <c r="WSP8" s="733"/>
      <c r="WSQ8" s="733"/>
      <c r="WSR8" s="733"/>
      <c r="WSS8" s="733"/>
      <c r="WST8" s="733"/>
      <c r="WSU8" s="733"/>
      <c r="WSV8" s="733"/>
      <c r="WSW8" s="733"/>
      <c r="WSX8" s="733"/>
      <c r="WSY8" s="733"/>
      <c r="WSZ8" s="733"/>
      <c r="WTA8" s="733"/>
      <c r="WTB8" s="733"/>
      <c r="WTC8" s="733"/>
      <c r="WTD8" s="733"/>
      <c r="WTE8" s="733"/>
      <c r="WTF8" s="733"/>
      <c r="WTG8" s="733"/>
      <c r="WTH8" s="733"/>
      <c r="WTI8" s="733"/>
      <c r="WTJ8" s="733"/>
      <c r="WTK8" s="733"/>
      <c r="WTL8" s="733"/>
      <c r="WTM8" s="733"/>
      <c r="WTN8" s="733"/>
      <c r="WTO8" s="733"/>
      <c r="WTP8" s="733"/>
      <c r="WTQ8" s="733"/>
      <c r="WTR8" s="733"/>
      <c r="WTS8" s="733"/>
      <c r="WTT8" s="733"/>
      <c r="WTU8" s="733"/>
      <c r="WTV8" s="733"/>
      <c r="WTW8" s="733"/>
      <c r="WTX8" s="733"/>
      <c r="WTY8" s="733"/>
      <c r="WTZ8" s="733"/>
      <c r="WUA8" s="733"/>
      <c r="WUB8" s="733"/>
      <c r="WUC8" s="733"/>
      <c r="WUD8" s="733"/>
      <c r="WUE8" s="733"/>
      <c r="WUF8" s="733"/>
      <c r="WUG8" s="733"/>
      <c r="WUH8" s="733"/>
      <c r="WUI8" s="733"/>
      <c r="WUJ8" s="733"/>
      <c r="WUK8" s="733"/>
      <c r="WUL8" s="733"/>
      <c r="WUM8" s="733"/>
      <c r="WUN8" s="733"/>
      <c r="WUO8" s="733"/>
      <c r="WUP8" s="733"/>
      <c r="WUQ8" s="733"/>
      <c r="WUR8" s="733"/>
      <c r="WUS8" s="733"/>
      <c r="WUT8" s="733"/>
      <c r="WUU8" s="733"/>
      <c r="WUV8" s="733"/>
      <c r="WUW8" s="733"/>
      <c r="WUX8" s="733"/>
      <c r="WUY8" s="733"/>
      <c r="WUZ8" s="733"/>
      <c r="WVA8" s="733"/>
      <c r="WVB8" s="733"/>
      <c r="WVC8" s="733"/>
      <c r="WVD8" s="733"/>
      <c r="WVE8" s="733"/>
      <c r="WVF8" s="733"/>
      <c r="WVG8" s="733"/>
      <c r="WVH8" s="733"/>
      <c r="WVI8" s="733"/>
      <c r="WVJ8" s="733"/>
      <c r="WVK8" s="733"/>
      <c r="WVL8" s="733"/>
      <c r="WVM8" s="733"/>
      <c r="WVN8" s="733"/>
      <c r="WVO8" s="733"/>
      <c r="WVP8" s="733"/>
      <c r="WVQ8" s="733"/>
      <c r="WVR8" s="733"/>
      <c r="WVS8" s="733"/>
      <c r="WVT8" s="733"/>
      <c r="WVU8" s="733"/>
      <c r="WVV8" s="733"/>
      <c r="WVW8" s="733"/>
      <c r="WVX8" s="733"/>
      <c r="WVY8" s="733"/>
      <c r="WVZ8" s="733"/>
      <c r="WWA8" s="733"/>
      <c r="WWB8" s="733"/>
      <c r="WWC8" s="733"/>
      <c r="WWD8" s="733"/>
      <c r="WWE8" s="733"/>
      <c r="WWF8" s="733"/>
      <c r="WWG8" s="733"/>
      <c r="WWH8" s="733"/>
      <c r="WWI8" s="733"/>
      <c r="WWJ8" s="733"/>
      <c r="WWK8" s="733"/>
      <c r="WWL8" s="733"/>
      <c r="WWM8" s="733"/>
      <c r="WWN8" s="733"/>
      <c r="WWO8" s="733"/>
      <c r="WWP8" s="733"/>
      <c r="WWQ8" s="733"/>
      <c r="WWR8" s="733"/>
      <c r="WWS8" s="733"/>
      <c r="WWT8" s="733"/>
      <c r="WWU8" s="733"/>
      <c r="WWV8" s="733"/>
      <c r="WWW8" s="733"/>
      <c r="WWX8" s="733"/>
      <c r="WWY8" s="733"/>
      <c r="WWZ8" s="733"/>
      <c r="WXA8" s="733"/>
      <c r="WXB8" s="733"/>
      <c r="WXC8" s="733"/>
      <c r="WXD8" s="733"/>
      <c r="WXE8" s="733"/>
      <c r="WXF8" s="733"/>
      <c r="WXG8" s="733"/>
      <c r="WXH8" s="733"/>
      <c r="WXI8" s="733"/>
      <c r="WXJ8" s="733"/>
      <c r="WXK8" s="733"/>
      <c r="WXL8" s="733"/>
      <c r="WXM8" s="733"/>
      <c r="WXN8" s="733"/>
      <c r="WXO8" s="733"/>
      <c r="WXP8" s="733"/>
      <c r="WXQ8" s="733"/>
      <c r="WXR8" s="733"/>
      <c r="WXS8" s="733"/>
      <c r="WXT8" s="733"/>
      <c r="WXU8" s="733"/>
      <c r="WXV8" s="733"/>
      <c r="WXW8" s="733"/>
      <c r="WXX8" s="733"/>
      <c r="WXY8" s="733"/>
      <c r="WXZ8" s="733"/>
      <c r="WYA8" s="733"/>
      <c r="WYB8" s="733"/>
      <c r="WYC8" s="733"/>
      <c r="WYD8" s="733"/>
      <c r="WYE8" s="733"/>
      <c r="WYF8" s="733"/>
      <c r="WYG8" s="733"/>
      <c r="WYH8" s="733"/>
      <c r="WYI8" s="733"/>
      <c r="WYJ8" s="733"/>
      <c r="WYK8" s="733"/>
      <c r="WYL8" s="733"/>
      <c r="WYM8" s="733"/>
      <c r="WYN8" s="733"/>
      <c r="WYO8" s="733"/>
      <c r="WYP8" s="733"/>
      <c r="WYQ8" s="733"/>
      <c r="WYR8" s="733"/>
      <c r="WYS8" s="733"/>
      <c r="WYT8" s="733"/>
      <c r="WYU8" s="733"/>
      <c r="WYV8" s="733"/>
      <c r="WYW8" s="733"/>
      <c r="WYX8" s="733"/>
      <c r="WYY8" s="733"/>
      <c r="WYZ8" s="733"/>
      <c r="WZA8" s="733"/>
      <c r="WZB8" s="733"/>
      <c r="WZC8" s="733"/>
      <c r="WZD8" s="733"/>
      <c r="WZE8" s="733"/>
      <c r="WZF8" s="733"/>
      <c r="WZG8" s="733"/>
      <c r="WZH8" s="733"/>
      <c r="WZI8" s="733"/>
      <c r="WZJ8" s="733"/>
      <c r="WZK8" s="733"/>
      <c r="WZL8" s="733"/>
      <c r="WZM8" s="733"/>
      <c r="WZN8" s="733"/>
      <c r="WZO8" s="733"/>
      <c r="WZP8" s="733"/>
      <c r="WZQ8" s="733"/>
      <c r="WZR8" s="733"/>
      <c r="WZS8" s="733"/>
      <c r="WZT8" s="733"/>
      <c r="WZU8" s="733"/>
      <c r="WZV8" s="733"/>
      <c r="WZW8" s="733"/>
      <c r="WZX8" s="733"/>
      <c r="WZY8" s="733"/>
      <c r="WZZ8" s="733"/>
      <c r="XAA8" s="733"/>
      <c r="XAB8" s="733"/>
      <c r="XAC8" s="733"/>
      <c r="XAD8" s="733"/>
      <c r="XAE8" s="733"/>
      <c r="XAF8" s="733"/>
      <c r="XAG8" s="733"/>
      <c r="XAH8" s="733"/>
      <c r="XAI8" s="733"/>
      <c r="XAJ8" s="733"/>
      <c r="XAK8" s="733"/>
      <c r="XAL8" s="733"/>
      <c r="XAM8" s="733"/>
      <c r="XAN8" s="733"/>
      <c r="XAO8" s="733"/>
      <c r="XAP8" s="733"/>
      <c r="XAQ8" s="733"/>
      <c r="XAR8" s="733"/>
      <c r="XAS8" s="733"/>
      <c r="XAT8" s="733"/>
      <c r="XAU8" s="733"/>
      <c r="XAV8" s="733"/>
      <c r="XAW8" s="733"/>
      <c r="XAX8" s="733"/>
      <c r="XAY8" s="733"/>
      <c r="XAZ8" s="733"/>
      <c r="XBA8" s="733"/>
      <c r="XBB8" s="733"/>
      <c r="XBC8" s="733"/>
      <c r="XBD8" s="733"/>
      <c r="XBE8" s="733"/>
      <c r="XBF8" s="733"/>
      <c r="XBG8" s="733"/>
      <c r="XBH8" s="733"/>
      <c r="XBI8" s="733"/>
      <c r="XBJ8" s="733"/>
      <c r="XBK8" s="733"/>
      <c r="XBL8" s="733"/>
      <c r="XBM8" s="733"/>
      <c r="XBN8" s="733"/>
      <c r="XBO8" s="733"/>
      <c r="XBP8" s="733"/>
      <c r="XBQ8" s="733"/>
      <c r="XBR8" s="733"/>
      <c r="XBS8" s="733"/>
      <c r="XBT8" s="733"/>
      <c r="XBU8" s="733"/>
      <c r="XBV8" s="733"/>
      <c r="XBW8" s="733"/>
      <c r="XBX8" s="733"/>
      <c r="XBY8" s="733"/>
      <c r="XBZ8" s="733"/>
      <c r="XCA8" s="733"/>
      <c r="XCB8" s="733"/>
      <c r="XCC8" s="733"/>
      <c r="XCD8" s="733"/>
      <c r="XCE8" s="733"/>
      <c r="XCF8" s="733"/>
      <c r="XCG8" s="733"/>
      <c r="XCH8" s="733"/>
      <c r="XCI8" s="733"/>
      <c r="XCJ8" s="733"/>
      <c r="XCK8" s="733"/>
      <c r="XCL8" s="733"/>
      <c r="XCM8" s="733"/>
      <c r="XCN8" s="733"/>
      <c r="XCO8" s="733"/>
      <c r="XCP8" s="733"/>
      <c r="XCQ8" s="733"/>
      <c r="XCR8" s="733"/>
      <c r="XCS8" s="733"/>
      <c r="XCT8" s="733"/>
      <c r="XCU8" s="733"/>
      <c r="XCV8" s="733"/>
      <c r="XCW8" s="733"/>
      <c r="XCX8" s="733"/>
      <c r="XCY8" s="733"/>
      <c r="XCZ8" s="733"/>
      <c r="XDA8" s="733"/>
      <c r="XDB8" s="733"/>
      <c r="XDC8" s="733"/>
      <c r="XDD8" s="733"/>
      <c r="XDE8" s="733"/>
      <c r="XDF8" s="733"/>
      <c r="XDG8" s="733"/>
      <c r="XDH8" s="733"/>
      <c r="XDI8" s="733"/>
      <c r="XDJ8" s="733"/>
      <c r="XDK8" s="733"/>
      <c r="XDL8" s="733"/>
      <c r="XDM8" s="733"/>
      <c r="XDN8" s="733"/>
      <c r="XDO8" s="733"/>
      <c r="XDP8" s="733"/>
      <c r="XDQ8" s="733"/>
      <c r="XDR8" s="733"/>
      <c r="XDS8" s="733"/>
      <c r="XDT8" s="733"/>
      <c r="XDU8" s="733"/>
      <c r="XDV8" s="733"/>
      <c r="XDW8" s="733"/>
      <c r="XDX8" s="733"/>
      <c r="XDY8" s="733"/>
      <c r="XDZ8" s="733"/>
      <c r="XEA8" s="733"/>
      <c r="XEB8" s="733"/>
      <c r="XEC8" s="733"/>
      <c r="XED8" s="733"/>
      <c r="XEE8" s="733"/>
      <c r="XEF8" s="733"/>
    </row>
    <row r="9" spans="1:16360" s="738" customFormat="1" ht="16.5" customHeight="1" x14ac:dyDescent="0.2">
      <c r="A9" s="734">
        <v>2</v>
      </c>
      <c r="B9" s="2523" t="s">
        <v>740</v>
      </c>
      <c r="C9" s="2524"/>
      <c r="D9" s="2524"/>
      <c r="E9" s="2524"/>
      <c r="F9" s="2524"/>
      <c r="G9" s="2524"/>
      <c r="H9" s="2524"/>
      <c r="I9" s="2524"/>
      <c r="J9" s="2524"/>
      <c r="K9" s="2524"/>
      <c r="L9" s="2524"/>
      <c r="M9" s="2524"/>
      <c r="N9" s="2524"/>
      <c r="O9" s="2524"/>
      <c r="P9" s="2524"/>
      <c r="Q9" s="2524"/>
      <c r="R9" s="2524"/>
      <c r="S9" s="2524"/>
      <c r="T9" s="2524"/>
      <c r="U9" s="2524"/>
      <c r="V9" s="2524"/>
      <c r="W9" s="2524"/>
      <c r="X9" s="2524"/>
      <c r="Y9" s="2524"/>
      <c r="Z9" s="2524"/>
      <c r="AA9" s="2524"/>
      <c r="AB9" s="2524"/>
      <c r="AC9" s="2524"/>
      <c r="AD9" s="2524"/>
      <c r="AE9" s="2524"/>
      <c r="AF9" s="2524"/>
      <c r="AG9" s="2524"/>
      <c r="AH9" s="2524"/>
      <c r="AI9" s="2524"/>
      <c r="AJ9" s="2524"/>
      <c r="AK9" s="2524"/>
      <c r="AL9" s="2524"/>
      <c r="AM9" s="735"/>
      <c r="AN9" s="736"/>
      <c r="AO9" s="736"/>
      <c r="AP9" s="736"/>
      <c r="AQ9" s="736"/>
      <c r="AR9" s="736"/>
      <c r="AS9" s="736"/>
      <c r="AT9" s="736"/>
      <c r="AU9" s="736"/>
      <c r="AV9" s="736"/>
      <c r="AW9" s="736"/>
      <c r="AX9" s="736"/>
      <c r="AY9" s="736"/>
      <c r="AZ9" s="736"/>
      <c r="BA9" s="736"/>
      <c r="BB9" s="736"/>
      <c r="BC9" s="736"/>
      <c r="BD9" s="736"/>
      <c r="BE9" s="736"/>
      <c r="BF9" s="736"/>
      <c r="BG9" s="736"/>
      <c r="BH9" s="736"/>
      <c r="BI9" s="736"/>
      <c r="BJ9" s="736"/>
      <c r="BK9" s="736"/>
      <c r="BL9" s="736"/>
      <c r="BM9" s="736"/>
      <c r="BN9" s="736"/>
      <c r="BO9" s="736"/>
      <c r="BP9" s="736"/>
      <c r="BQ9" s="736"/>
      <c r="BR9" s="736"/>
      <c r="BS9" s="736"/>
      <c r="BT9" s="736"/>
      <c r="BU9" s="736"/>
      <c r="BV9" s="736"/>
      <c r="BW9" s="736"/>
      <c r="BX9" s="736"/>
      <c r="BY9" s="736"/>
      <c r="BZ9" s="736"/>
      <c r="CA9" s="736"/>
      <c r="CB9" s="736"/>
      <c r="CC9" s="736"/>
      <c r="CD9" s="736"/>
      <c r="CE9" s="736"/>
      <c r="CF9" s="736"/>
      <c r="CG9" s="736"/>
      <c r="CH9" s="736"/>
      <c r="CI9" s="736"/>
      <c r="CJ9" s="736"/>
      <c r="CK9" s="736"/>
      <c r="CL9" s="736"/>
      <c r="CM9" s="736"/>
      <c r="CN9" s="736"/>
      <c r="CO9" s="736"/>
      <c r="CP9" s="736"/>
      <c r="CQ9" s="736"/>
      <c r="CR9" s="736"/>
      <c r="CS9" s="736"/>
      <c r="CT9" s="736"/>
      <c r="CU9" s="736"/>
      <c r="CV9" s="736"/>
      <c r="CW9" s="736"/>
      <c r="CX9" s="736"/>
      <c r="CY9" s="736"/>
      <c r="CZ9" s="736"/>
      <c r="DA9" s="736"/>
      <c r="DB9" s="736"/>
      <c r="DC9" s="736"/>
      <c r="DD9" s="736"/>
      <c r="DE9" s="736"/>
      <c r="DF9" s="736"/>
      <c r="DG9" s="736"/>
      <c r="DH9" s="736"/>
      <c r="DI9" s="736"/>
      <c r="DJ9" s="736"/>
      <c r="DK9" s="736"/>
      <c r="DL9" s="736"/>
      <c r="DM9" s="736"/>
      <c r="DN9" s="736"/>
      <c r="DO9" s="736"/>
      <c r="DP9" s="736"/>
      <c r="DQ9" s="736"/>
      <c r="DR9" s="736"/>
      <c r="DS9" s="736"/>
      <c r="DT9" s="736"/>
      <c r="DU9" s="736"/>
      <c r="DV9" s="736"/>
      <c r="DW9" s="736"/>
      <c r="DX9" s="736"/>
      <c r="DY9" s="736"/>
      <c r="DZ9" s="736"/>
      <c r="EA9" s="736"/>
      <c r="EB9" s="736"/>
      <c r="EC9" s="736"/>
      <c r="ED9" s="736"/>
      <c r="EE9" s="736"/>
      <c r="EF9" s="736"/>
      <c r="EG9" s="736"/>
      <c r="EH9" s="736"/>
      <c r="EI9" s="736"/>
      <c r="EJ9" s="736"/>
      <c r="EK9" s="736"/>
      <c r="EL9" s="736"/>
      <c r="EM9" s="736"/>
      <c r="EN9" s="736"/>
      <c r="EO9" s="736"/>
      <c r="EP9" s="736"/>
      <c r="EQ9" s="736"/>
      <c r="ER9" s="736"/>
      <c r="ES9" s="736"/>
      <c r="ET9" s="736"/>
      <c r="EU9" s="736"/>
      <c r="EV9" s="736"/>
      <c r="EW9" s="736"/>
      <c r="EX9" s="736"/>
      <c r="EY9" s="736"/>
      <c r="EZ9" s="736"/>
      <c r="FA9" s="736"/>
      <c r="FB9" s="736"/>
      <c r="FC9" s="736"/>
      <c r="FD9" s="736"/>
      <c r="FE9" s="736"/>
      <c r="FF9" s="736"/>
      <c r="FG9" s="736"/>
      <c r="FH9" s="736"/>
      <c r="FI9" s="736"/>
      <c r="FJ9" s="736"/>
      <c r="FK9" s="736"/>
      <c r="FL9" s="736"/>
      <c r="FM9" s="736"/>
      <c r="FN9" s="736"/>
      <c r="FO9" s="736"/>
      <c r="FP9" s="736"/>
      <c r="FQ9" s="736"/>
      <c r="FR9" s="736"/>
      <c r="FS9" s="736"/>
      <c r="FT9" s="736"/>
      <c r="FU9" s="736"/>
      <c r="FV9" s="736"/>
      <c r="FW9" s="736"/>
      <c r="FX9" s="736"/>
      <c r="FY9" s="736"/>
      <c r="FZ9" s="736"/>
      <c r="GA9" s="736"/>
      <c r="GB9" s="736"/>
      <c r="GC9" s="736"/>
      <c r="GD9" s="736"/>
      <c r="GE9" s="736"/>
      <c r="GF9" s="736"/>
      <c r="GG9" s="736"/>
      <c r="GH9" s="736"/>
      <c r="GI9" s="736"/>
      <c r="GJ9" s="736"/>
      <c r="GK9" s="736"/>
      <c r="GL9" s="736"/>
      <c r="GM9" s="736"/>
      <c r="GN9" s="736"/>
      <c r="GO9" s="736"/>
      <c r="GP9" s="736"/>
      <c r="GQ9" s="736"/>
      <c r="GR9" s="736"/>
      <c r="GS9" s="736"/>
      <c r="GT9" s="736"/>
      <c r="GU9" s="736"/>
      <c r="GV9" s="736"/>
      <c r="GW9" s="736"/>
      <c r="GX9" s="736"/>
      <c r="GY9" s="736"/>
      <c r="GZ9" s="736"/>
      <c r="HA9" s="736"/>
      <c r="HB9" s="736"/>
      <c r="HC9" s="736"/>
      <c r="HD9" s="736"/>
      <c r="HE9" s="736"/>
      <c r="HF9" s="736"/>
      <c r="HG9" s="736"/>
      <c r="HH9" s="736"/>
      <c r="HI9" s="736"/>
      <c r="HJ9" s="736"/>
      <c r="HK9" s="736"/>
      <c r="HL9" s="736"/>
      <c r="HM9" s="736"/>
      <c r="HN9" s="736"/>
      <c r="HO9" s="736"/>
      <c r="HP9" s="736"/>
      <c r="HQ9" s="736"/>
      <c r="HR9" s="736"/>
      <c r="HS9" s="736"/>
      <c r="HT9" s="736"/>
      <c r="HU9" s="736"/>
      <c r="HV9" s="736"/>
      <c r="HW9" s="736"/>
      <c r="HX9" s="736"/>
      <c r="HY9" s="736"/>
      <c r="HZ9" s="736"/>
      <c r="IA9" s="736"/>
      <c r="IB9" s="736"/>
      <c r="IC9" s="736"/>
      <c r="ID9" s="736"/>
      <c r="IE9" s="736"/>
      <c r="IF9" s="736"/>
      <c r="IG9" s="736"/>
      <c r="IH9" s="736"/>
      <c r="II9" s="736"/>
      <c r="IJ9" s="736"/>
      <c r="IK9" s="736"/>
      <c r="IL9" s="736"/>
      <c r="IM9" s="736"/>
      <c r="IN9" s="736"/>
      <c r="IO9" s="736"/>
      <c r="IP9" s="736"/>
      <c r="IQ9" s="736"/>
      <c r="IR9" s="736"/>
      <c r="IS9" s="736"/>
      <c r="IT9" s="736"/>
      <c r="IU9" s="736"/>
      <c r="IV9" s="736"/>
      <c r="IW9" s="736"/>
      <c r="IX9" s="736"/>
      <c r="IY9" s="736"/>
      <c r="IZ9" s="736"/>
      <c r="JA9" s="736"/>
      <c r="JB9" s="736"/>
      <c r="JC9" s="736"/>
      <c r="JD9" s="736"/>
      <c r="JE9" s="736"/>
      <c r="JF9" s="736"/>
      <c r="JG9" s="736"/>
      <c r="JH9" s="736"/>
      <c r="JI9" s="736"/>
      <c r="JJ9" s="736"/>
      <c r="JK9" s="736"/>
      <c r="JL9" s="736"/>
      <c r="JM9" s="736"/>
      <c r="JN9" s="736"/>
      <c r="JO9" s="736"/>
      <c r="JP9" s="736"/>
      <c r="JQ9" s="736"/>
      <c r="JR9" s="736"/>
      <c r="JS9" s="736"/>
      <c r="JT9" s="736"/>
      <c r="JU9" s="736"/>
      <c r="JV9" s="736"/>
      <c r="JW9" s="736"/>
      <c r="JX9" s="736"/>
      <c r="JY9" s="736"/>
      <c r="JZ9" s="736"/>
      <c r="KA9" s="736"/>
      <c r="KB9" s="736"/>
      <c r="KC9" s="736"/>
      <c r="KD9" s="736"/>
      <c r="KE9" s="736"/>
      <c r="KF9" s="736"/>
      <c r="KG9" s="736"/>
      <c r="KH9" s="736"/>
      <c r="KI9" s="736"/>
      <c r="KJ9" s="736"/>
      <c r="KK9" s="736"/>
      <c r="KL9" s="736"/>
      <c r="KM9" s="736"/>
      <c r="KN9" s="736"/>
      <c r="KO9" s="736"/>
      <c r="KP9" s="736"/>
      <c r="KQ9" s="736"/>
      <c r="KR9" s="736"/>
      <c r="KS9" s="736"/>
      <c r="KT9" s="736"/>
      <c r="KU9" s="736"/>
      <c r="KV9" s="736"/>
      <c r="KW9" s="736"/>
      <c r="KX9" s="736"/>
      <c r="KY9" s="736"/>
      <c r="KZ9" s="736"/>
      <c r="LA9" s="736"/>
      <c r="LB9" s="736"/>
      <c r="LC9" s="736"/>
      <c r="LD9" s="736"/>
      <c r="LE9" s="736"/>
      <c r="LF9" s="736"/>
      <c r="LG9" s="736"/>
      <c r="LH9" s="736"/>
      <c r="LI9" s="736"/>
      <c r="LJ9" s="736"/>
      <c r="LK9" s="736"/>
      <c r="LL9" s="736"/>
      <c r="LM9" s="736"/>
      <c r="LN9" s="736"/>
      <c r="LO9" s="736"/>
      <c r="LP9" s="736"/>
      <c r="LQ9" s="736"/>
      <c r="LR9" s="736"/>
      <c r="LS9" s="736"/>
      <c r="LT9" s="736"/>
      <c r="LU9" s="736"/>
      <c r="LV9" s="736"/>
      <c r="LW9" s="736"/>
      <c r="LX9" s="736"/>
      <c r="LY9" s="736"/>
      <c r="LZ9" s="736"/>
      <c r="MA9" s="736"/>
      <c r="MB9" s="736"/>
      <c r="MC9" s="736"/>
      <c r="MD9" s="736"/>
      <c r="ME9" s="736"/>
      <c r="MF9" s="736"/>
      <c r="MG9" s="736"/>
      <c r="MH9" s="736"/>
      <c r="MI9" s="736"/>
      <c r="MJ9" s="736"/>
      <c r="MK9" s="736"/>
      <c r="ML9" s="736"/>
      <c r="MM9" s="736"/>
      <c r="MN9" s="736"/>
      <c r="MO9" s="736"/>
      <c r="MP9" s="736"/>
      <c r="MQ9" s="736"/>
      <c r="MR9" s="736"/>
      <c r="MS9" s="736"/>
      <c r="MT9" s="736"/>
      <c r="MU9" s="736"/>
      <c r="MV9" s="736"/>
      <c r="MW9" s="736"/>
      <c r="MX9" s="736"/>
      <c r="MY9" s="736"/>
      <c r="MZ9" s="736"/>
      <c r="NA9" s="736"/>
      <c r="NB9" s="736"/>
      <c r="NC9" s="736"/>
      <c r="ND9" s="736"/>
      <c r="NE9" s="736"/>
      <c r="NF9" s="736"/>
      <c r="NG9" s="736"/>
      <c r="NH9" s="736"/>
      <c r="NI9" s="736"/>
      <c r="NJ9" s="736"/>
      <c r="NK9" s="736"/>
      <c r="NL9" s="736"/>
      <c r="NM9" s="736"/>
      <c r="NN9" s="736"/>
      <c r="NO9" s="736"/>
      <c r="NP9" s="736"/>
      <c r="NQ9" s="736"/>
      <c r="NR9" s="736"/>
      <c r="NS9" s="736"/>
      <c r="NT9" s="736"/>
      <c r="NU9" s="736"/>
      <c r="NV9" s="736"/>
      <c r="NW9" s="736"/>
      <c r="NX9" s="736"/>
      <c r="NY9" s="736"/>
      <c r="NZ9" s="736"/>
      <c r="OA9" s="736"/>
      <c r="OB9" s="736"/>
      <c r="OC9" s="736"/>
      <c r="OD9" s="736"/>
      <c r="OE9" s="736"/>
      <c r="OF9" s="736"/>
      <c r="OG9" s="736"/>
      <c r="OH9" s="736"/>
      <c r="OI9" s="736"/>
      <c r="OJ9" s="736"/>
      <c r="OK9" s="736"/>
      <c r="OL9" s="736"/>
      <c r="OM9" s="736"/>
      <c r="ON9" s="736"/>
      <c r="OO9" s="736"/>
      <c r="OP9" s="736"/>
      <c r="OQ9" s="736"/>
      <c r="OR9" s="736"/>
      <c r="OS9" s="736"/>
      <c r="OT9" s="736"/>
      <c r="OU9" s="736"/>
      <c r="OV9" s="736"/>
      <c r="OW9" s="736"/>
      <c r="OX9" s="736"/>
      <c r="OY9" s="736"/>
      <c r="OZ9" s="736"/>
      <c r="PA9" s="736"/>
      <c r="PB9" s="736"/>
      <c r="PC9" s="736"/>
      <c r="PD9" s="736"/>
      <c r="PE9" s="736"/>
      <c r="PF9" s="736"/>
      <c r="PG9" s="736"/>
      <c r="PH9" s="736"/>
      <c r="PI9" s="736"/>
      <c r="PJ9" s="736"/>
      <c r="PK9" s="736"/>
      <c r="PL9" s="736"/>
      <c r="PM9" s="736"/>
      <c r="PN9" s="736"/>
      <c r="PO9" s="736"/>
      <c r="PP9" s="736"/>
      <c r="PQ9" s="736"/>
      <c r="PR9" s="736"/>
      <c r="PS9" s="736"/>
      <c r="PT9" s="736"/>
      <c r="PU9" s="736"/>
      <c r="PV9" s="736"/>
      <c r="PW9" s="736"/>
      <c r="PX9" s="736"/>
      <c r="PY9" s="736"/>
      <c r="PZ9" s="736"/>
      <c r="QA9" s="736"/>
      <c r="QB9" s="736"/>
      <c r="QC9" s="736"/>
      <c r="QD9" s="736"/>
      <c r="QE9" s="736"/>
      <c r="QF9" s="736"/>
      <c r="QG9" s="736"/>
      <c r="QH9" s="736"/>
      <c r="QI9" s="736"/>
      <c r="QJ9" s="736"/>
      <c r="QK9" s="736"/>
      <c r="QL9" s="736"/>
      <c r="QM9" s="736"/>
      <c r="QN9" s="736"/>
      <c r="QO9" s="736"/>
      <c r="QP9" s="736"/>
      <c r="QQ9" s="736"/>
      <c r="QR9" s="736"/>
      <c r="QS9" s="736"/>
      <c r="QT9" s="736"/>
      <c r="QU9" s="736"/>
      <c r="QV9" s="736"/>
      <c r="QW9" s="736"/>
      <c r="QX9" s="736"/>
      <c r="QY9" s="736"/>
      <c r="QZ9" s="736"/>
      <c r="RA9" s="736"/>
      <c r="RB9" s="736"/>
      <c r="RC9" s="736"/>
      <c r="RD9" s="736"/>
      <c r="RE9" s="736"/>
      <c r="RF9" s="736"/>
      <c r="RG9" s="736"/>
      <c r="RH9" s="736"/>
      <c r="RI9" s="736"/>
      <c r="RJ9" s="736"/>
      <c r="RK9" s="736"/>
      <c r="RL9" s="736"/>
      <c r="RM9" s="736"/>
      <c r="RN9" s="736"/>
      <c r="RO9" s="736"/>
      <c r="RP9" s="736"/>
      <c r="RQ9" s="736"/>
      <c r="RR9" s="736"/>
      <c r="RS9" s="736"/>
      <c r="RT9" s="736"/>
      <c r="RU9" s="736"/>
      <c r="RV9" s="736"/>
      <c r="RW9" s="736"/>
      <c r="RX9" s="736"/>
      <c r="RY9" s="736"/>
      <c r="RZ9" s="736"/>
      <c r="SA9" s="736"/>
      <c r="SB9" s="736"/>
      <c r="SC9" s="736"/>
      <c r="SD9" s="736"/>
      <c r="SE9" s="736"/>
      <c r="SF9" s="736"/>
      <c r="SG9" s="736"/>
      <c r="SH9" s="736"/>
      <c r="SI9" s="736"/>
      <c r="SJ9" s="736"/>
      <c r="SK9" s="736"/>
      <c r="SL9" s="736"/>
      <c r="SM9" s="736"/>
      <c r="SN9" s="736"/>
      <c r="SO9" s="736"/>
      <c r="SP9" s="736"/>
      <c r="SQ9" s="736"/>
      <c r="SR9" s="736"/>
      <c r="SS9" s="736"/>
      <c r="ST9" s="736"/>
      <c r="SU9" s="736"/>
      <c r="SV9" s="736"/>
      <c r="SW9" s="736"/>
      <c r="SX9" s="736"/>
      <c r="SY9" s="736"/>
      <c r="SZ9" s="736"/>
      <c r="TA9" s="736"/>
      <c r="TB9" s="736"/>
      <c r="TC9" s="736"/>
      <c r="TD9" s="736"/>
      <c r="TE9" s="736"/>
      <c r="TF9" s="736"/>
      <c r="TG9" s="736"/>
      <c r="TH9" s="736"/>
      <c r="TI9" s="736"/>
      <c r="TJ9" s="736"/>
      <c r="TK9" s="736"/>
      <c r="TL9" s="736"/>
      <c r="TM9" s="736"/>
      <c r="TN9" s="736"/>
      <c r="TO9" s="736"/>
      <c r="TP9" s="736"/>
      <c r="TQ9" s="736"/>
      <c r="TR9" s="736"/>
      <c r="TS9" s="736"/>
      <c r="TT9" s="736"/>
      <c r="TU9" s="736"/>
      <c r="TV9" s="736"/>
      <c r="TW9" s="736"/>
      <c r="TX9" s="736"/>
      <c r="TY9" s="736"/>
      <c r="TZ9" s="736"/>
      <c r="UA9" s="736"/>
      <c r="UB9" s="736"/>
      <c r="UC9" s="736"/>
      <c r="UD9" s="736"/>
      <c r="UE9" s="736"/>
      <c r="UF9" s="736"/>
      <c r="UG9" s="736"/>
      <c r="UH9" s="736"/>
      <c r="UI9" s="736"/>
      <c r="UJ9" s="736"/>
      <c r="UK9" s="736"/>
      <c r="UL9" s="736"/>
      <c r="UM9" s="736"/>
      <c r="UN9" s="736"/>
      <c r="UO9" s="736"/>
      <c r="UP9" s="736"/>
      <c r="UQ9" s="736"/>
      <c r="UR9" s="736"/>
      <c r="US9" s="736"/>
      <c r="UT9" s="736"/>
      <c r="UU9" s="736"/>
      <c r="UV9" s="736"/>
      <c r="UW9" s="736"/>
      <c r="UX9" s="736"/>
      <c r="UY9" s="736"/>
      <c r="UZ9" s="736"/>
      <c r="VA9" s="736"/>
      <c r="VB9" s="736"/>
      <c r="VC9" s="736"/>
      <c r="VD9" s="736"/>
      <c r="VE9" s="736"/>
      <c r="VF9" s="736"/>
      <c r="VG9" s="736"/>
      <c r="VH9" s="736"/>
      <c r="VI9" s="736"/>
      <c r="VJ9" s="736"/>
      <c r="VK9" s="736"/>
      <c r="VL9" s="736"/>
      <c r="VM9" s="736"/>
      <c r="VN9" s="736"/>
      <c r="VO9" s="736"/>
      <c r="VP9" s="736"/>
      <c r="VQ9" s="736"/>
      <c r="VR9" s="736"/>
      <c r="VS9" s="736"/>
      <c r="VT9" s="736"/>
      <c r="VU9" s="736"/>
      <c r="VV9" s="736"/>
      <c r="VW9" s="736"/>
      <c r="VX9" s="736"/>
      <c r="VY9" s="736"/>
      <c r="VZ9" s="736"/>
      <c r="WA9" s="736"/>
      <c r="WB9" s="736"/>
      <c r="WC9" s="736"/>
      <c r="WD9" s="736"/>
      <c r="WE9" s="736"/>
      <c r="WF9" s="736"/>
      <c r="WG9" s="736"/>
      <c r="WH9" s="736"/>
      <c r="WI9" s="736"/>
      <c r="WJ9" s="736"/>
      <c r="WK9" s="736"/>
      <c r="WL9" s="736"/>
      <c r="WM9" s="736"/>
      <c r="WN9" s="736"/>
      <c r="WO9" s="736"/>
      <c r="WP9" s="736"/>
      <c r="WQ9" s="736"/>
      <c r="WR9" s="736"/>
      <c r="WS9" s="736"/>
      <c r="WT9" s="736"/>
      <c r="WU9" s="736"/>
      <c r="WV9" s="736"/>
      <c r="WW9" s="736"/>
      <c r="WX9" s="736"/>
      <c r="WY9" s="736"/>
      <c r="WZ9" s="736"/>
      <c r="XA9" s="736"/>
      <c r="XB9" s="736"/>
      <c r="XC9" s="736"/>
      <c r="XD9" s="736"/>
      <c r="XE9" s="736"/>
      <c r="XF9" s="736"/>
      <c r="XG9" s="736"/>
      <c r="XH9" s="736"/>
      <c r="XI9" s="736"/>
      <c r="XJ9" s="736"/>
      <c r="XK9" s="736"/>
      <c r="XL9" s="736"/>
      <c r="XM9" s="736"/>
      <c r="XN9" s="736"/>
      <c r="XO9" s="736"/>
      <c r="XP9" s="736"/>
      <c r="XQ9" s="736"/>
      <c r="XR9" s="736"/>
      <c r="XS9" s="736"/>
      <c r="XT9" s="736"/>
      <c r="XU9" s="736"/>
      <c r="XV9" s="736"/>
      <c r="XW9" s="736"/>
      <c r="XX9" s="736"/>
      <c r="XY9" s="736"/>
      <c r="XZ9" s="736"/>
      <c r="YA9" s="736"/>
      <c r="YB9" s="736"/>
      <c r="YC9" s="736"/>
      <c r="YD9" s="736"/>
      <c r="YE9" s="736"/>
      <c r="YF9" s="736"/>
      <c r="YG9" s="736"/>
      <c r="YH9" s="736"/>
      <c r="YI9" s="736"/>
      <c r="YJ9" s="736"/>
      <c r="YK9" s="736"/>
      <c r="YL9" s="736"/>
      <c r="YM9" s="736"/>
      <c r="YN9" s="736"/>
      <c r="YO9" s="736"/>
      <c r="YP9" s="736"/>
      <c r="YQ9" s="736"/>
      <c r="YR9" s="736"/>
      <c r="YS9" s="736"/>
      <c r="YT9" s="736"/>
      <c r="YU9" s="736"/>
      <c r="YV9" s="736"/>
      <c r="YW9" s="736"/>
      <c r="YX9" s="736"/>
      <c r="YY9" s="736"/>
      <c r="YZ9" s="736"/>
      <c r="ZA9" s="736"/>
      <c r="ZB9" s="736"/>
      <c r="ZC9" s="736"/>
      <c r="ZD9" s="736"/>
      <c r="ZE9" s="736"/>
      <c r="ZF9" s="736"/>
      <c r="ZG9" s="736"/>
      <c r="ZH9" s="736"/>
      <c r="ZI9" s="736"/>
      <c r="ZJ9" s="736"/>
      <c r="ZK9" s="736"/>
      <c r="ZL9" s="736"/>
      <c r="ZM9" s="736"/>
      <c r="ZN9" s="736"/>
      <c r="ZO9" s="736"/>
      <c r="ZP9" s="736"/>
      <c r="ZQ9" s="736"/>
      <c r="ZR9" s="736"/>
      <c r="ZS9" s="736"/>
      <c r="ZT9" s="736"/>
      <c r="ZU9" s="736"/>
      <c r="ZV9" s="736"/>
      <c r="ZW9" s="736"/>
      <c r="ZX9" s="736"/>
      <c r="ZY9" s="736"/>
      <c r="ZZ9" s="736"/>
      <c r="AAA9" s="736"/>
      <c r="AAB9" s="736"/>
      <c r="AAC9" s="736"/>
      <c r="AAD9" s="736"/>
      <c r="AAE9" s="736"/>
      <c r="AAF9" s="736"/>
      <c r="AAG9" s="736"/>
      <c r="AAH9" s="736"/>
      <c r="AAI9" s="736"/>
      <c r="AAJ9" s="736"/>
      <c r="AAK9" s="736"/>
      <c r="AAL9" s="736"/>
      <c r="AAM9" s="736"/>
      <c r="AAN9" s="736"/>
      <c r="AAO9" s="736"/>
      <c r="AAP9" s="736"/>
      <c r="AAQ9" s="736"/>
      <c r="AAR9" s="736"/>
      <c r="AAS9" s="736"/>
      <c r="AAT9" s="736"/>
      <c r="AAU9" s="736"/>
      <c r="AAV9" s="736"/>
      <c r="AAW9" s="736"/>
      <c r="AAX9" s="736"/>
      <c r="AAY9" s="736"/>
      <c r="AAZ9" s="736"/>
      <c r="ABA9" s="736"/>
      <c r="ABB9" s="736"/>
      <c r="ABC9" s="736"/>
      <c r="ABD9" s="736"/>
      <c r="ABE9" s="736"/>
      <c r="ABF9" s="736"/>
      <c r="ABG9" s="736"/>
      <c r="ABH9" s="736"/>
      <c r="ABI9" s="736"/>
      <c r="ABJ9" s="736"/>
      <c r="ABK9" s="736"/>
      <c r="ABL9" s="736"/>
      <c r="ABM9" s="736"/>
      <c r="ABN9" s="736"/>
      <c r="ABO9" s="736"/>
      <c r="ABP9" s="736"/>
      <c r="ABQ9" s="736"/>
      <c r="ABR9" s="736"/>
      <c r="ABS9" s="736"/>
      <c r="ABT9" s="736"/>
      <c r="ABU9" s="736"/>
      <c r="ABV9" s="736"/>
      <c r="ABW9" s="736"/>
      <c r="ABX9" s="736"/>
      <c r="ABY9" s="736"/>
      <c r="ABZ9" s="736"/>
      <c r="ACA9" s="736"/>
      <c r="ACB9" s="736"/>
      <c r="ACC9" s="736"/>
      <c r="ACD9" s="736"/>
      <c r="ACE9" s="736"/>
      <c r="ACF9" s="736"/>
      <c r="ACG9" s="736"/>
      <c r="ACH9" s="736"/>
      <c r="ACI9" s="736"/>
      <c r="ACJ9" s="736"/>
      <c r="ACK9" s="736"/>
      <c r="ACL9" s="736"/>
      <c r="ACM9" s="736"/>
      <c r="ACN9" s="736"/>
      <c r="ACO9" s="736"/>
      <c r="ACP9" s="736"/>
      <c r="ACQ9" s="736"/>
      <c r="ACR9" s="736"/>
      <c r="ACS9" s="736"/>
      <c r="ACT9" s="736"/>
      <c r="ACU9" s="736"/>
      <c r="ACV9" s="736"/>
      <c r="ACW9" s="736"/>
      <c r="ACX9" s="736"/>
      <c r="ACY9" s="736"/>
      <c r="ACZ9" s="736"/>
      <c r="ADA9" s="736"/>
      <c r="ADB9" s="736"/>
      <c r="ADC9" s="736"/>
      <c r="ADD9" s="736"/>
      <c r="ADE9" s="736"/>
      <c r="ADF9" s="736"/>
      <c r="ADG9" s="736"/>
      <c r="ADH9" s="736"/>
      <c r="ADI9" s="736"/>
      <c r="ADJ9" s="736"/>
      <c r="ADK9" s="736"/>
      <c r="ADL9" s="736"/>
      <c r="ADM9" s="736"/>
      <c r="ADN9" s="736"/>
      <c r="ADO9" s="736"/>
      <c r="ADP9" s="736"/>
      <c r="ADQ9" s="736"/>
      <c r="ADR9" s="736"/>
      <c r="ADS9" s="736"/>
      <c r="ADT9" s="736"/>
      <c r="ADU9" s="736"/>
      <c r="ADV9" s="736"/>
      <c r="ADW9" s="736"/>
      <c r="ADX9" s="736"/>
      <c r="ADY9" s="736"/>
      <c r="ADZ9" s="736"/>
      <c r="AEA9" s="736"/>
      <c r="AEB9" s="736"/>
      <c r="AEC9" s="736"/>
      <c r="AED9" s="736"/>
      <c r="AEE9" s="736"/>
      <c r="AEF9" s="736"/>
      <c r="AEG9" s="736"/>
      <c r="AEH9" s="736"/>
      <c r="AEI9" s="736"/>
      <c r="AEJ9" s="736"/>
      <c r="AEK9" s="736"/>
      <c r="AEL9" s="736"/>
      <c r="AEM9" s="736"/>
      <c r="AEN9" s="736"/>
      <c r="AEO9" s="736"/>
      <c r="AEP9" s="736"/>
      <c r="AEQ9" s="736"/>
      <c r="AER9" s="736"/>
      <c r="AES9" s="736"/>
      <c r="AET9" s="736"/>
      <c r="AEU9" s="736"/>
      <c r="AEV9" s="736"/>
      <c r="AEW9" s="736"/>
      <c r="AEX9" s="736"/>
      <c r="AEY9" s="736"/>
      <c r="AEZ9" s="736"/>
      <c r="AFA9" s="736"/>
      <c r="AFB9" s="736"/>
      <c r="AFC9" s="736"/>
      <c r="AFD9" s="736"/>
      <c r="AFE9" s="736"/>
      <c r="AFF9" s="736"/>
      <c r="AFG9" s="736"/>
      <c r="AFH9" s="736"/>
      <c r="AFI9" s="736"/>
      <c r="AFJ9" s="736"/>
      <c r="AFK9" s="736"/>
      <c r="AFL9" s="736"/>
      <c r="AFM9" s="736"/>
      <c r="AFN9" s="736"/>
      <c r="AFO9" s="736"/>
      <c r="AFP9" s="736"/>
      <c r="AFQ9" s="736"/>
      <c r="AFR9" s="736"/>
      <c r="AFS9" s="736"/>
      <c r="AFT9" s="736"/>
      <c r="AFU9" s="736"/>
      <c r="AFV9" s="736"/>
      <c r="AFW9" s="736"/>
      <c r="AFX9" s="736"/>
      <c r="AFY9" s="736"/>
      <c r="AFZ9" s="736"/>
      <c r="AGA9" s="737"/>
      <c r="AGB9" s="737"/>
      <c r="AGC9" s="737"/>
      <c r="AGD9" s="737"/>
      <c r="AGE9" s="737"/>
      <c r="AGF9" s="737"/>
      <c r="AGG9" s="737"/>
      <c r="AGH9" s="737"/>
      <c r="AGI9" s="737"/>
      <c r="AGJ9" s="737"/>
      <c r="AGK9" s="737"/>
      <c r="AGL9" s="737"/>
      <c r="AGM9" s="737"/>
      <c r="AGN9" s="737"/>
      <c r="AGO9" s="737"/>
      <c r="AGP9" s="737"/>
      <c r="AGQ9" s="737"/>
      <c r="AGR9" s="737"/>
      <c r="AGS9" s="737"/>
      <c r="AGT9" s="737"/>
      <c r="AGU9" s="737"/>
      <c r="AGV9" s="737"/>
      <c r="AGW9" s="737"/>
      <c r="AGX9" s="737"/>
      <c r="AGY9" s="737"/>
      <c r="AGZ9" s="737"/>
      <c r="AHA9" s="737"/>
      <c r="AHB9" s="737"/>
      <c r="AHC9" s="737"/>
      <c r="AHD9" s="737"/>
      <c r="AHE9" s="737"/>
      <c r="AHF9" s="737"/>
      <c r="AHG9" s="737"/>
      <c r="AHH9" s="737"/>
      <c r="AHI9" s="737"/>
      <c r="AHJ9" s="737"/>
      <c r="AHK9" s="737"/>
      <c r="AHL9" s="737"/>
      <c r="AHM9" s="737"/>
      <c r="AHN9" s="737"/>
      <c r="AHO9" s="737"/>
      <c r="AHP9" s="737"/>
      <c r="AHQ9" s="737"/>
      <c r="AHR9" s="737"/>
      <c r="AHS9" s="737"/>
      <c r="AHT9" s="737"/>
      <c r="AHU9" s="737"/>
      <c r="AHV9" s="737"/>
      <c r="AHW9" s="737"/>
      <c r="AHX9" s="737"/>
      <c r="AHY9" s="737"/>
      <c r="AHZ9" s="737"/>
      <c r="AIA9" s="737"/>
      <c r="AIB9" s="737"/>
      <c r="AIC9" s="737"/>
      <c r="AID9" s="737"/>
      <c r="AIE9" s="737"/>
      <c r="AIF9" s="737"/>
      <c r="AIG9" s="737"/>
      <c r="AIH9" s="737"/>
      <c r="AII9" s="737"/>
      <c r="AIJ9" s="737"/>
      <c r="AIK9" s="737"/>
      <c r="AIL9" s="737"/>
      <c r="AIM9" s="737"/>
      <c r="AIN9" s="737"/>
      <c r="AIO9" s="737"/>
      <c r="AIP9" s="737"/>
      <c r="AIQ9" s="737"/>
      <c r="AIR9" s="737"/>
      <c r="AIS9" s="737"/>
      <c r="AIT9" s="737"/>
      <c r="AIU9" s="737"/>
      <c r="AIV9" s="737"/>
      <c r="AIW9" s="737"/>
      <c r="AIX9" s="737"/>
      <c r="AIY9" s="737"/>
      <c r="AIZ9" s="737"/>
      <c r="AJA9" s="737"/>
      <c r="AJB9" s="737"/>
      <c r="AJC9" s="737"/>
      <c r="AJD9" s="737"/>
      <c r="AJE9" s="737"/>
      <c r="AJF9" s="737"/>
      <c r="AJG9" s="737"/>
      <c r="AJH9" s="737"/>
      <c r="AJI9" s="737"/>
      <c r="AJJ9" s="737"/>
      <c r="AJK9" s="737"/>
      <c r="AJL9" s="737"/>
      <c r="AJM9" s="737"/>
      <c r="AJN9" s="737"/>
      <c r="AJO9" s="737"/>
      <c r="AJP9" s="737"/>
      <c r="AJQ9" s="737"/>
      <c r="AJR9" s="737"/>
      <c r="AJS9" s="737"/>
      <c r="AJT9" s="737"/>
      <c r="AJU9" s="737"/>
      <c r="AJV9" s="737"/>
      <c r="AJW9" s="737"/>
      <c r="AJX9" s="737"/>
      <c r="AJY9" s="737"/>
      <c r="AJZ9" s="737"/>
      <c r="AKA9" s="737"/>
      <c r="AKB9" s="737"/>
      <c r="AKC9" s="737"/>
      <c r="AKD9" s="737"/>
      <c r="AKE9" s="737"/>
      <c r="AKF9" s="737"/>
      <c r="AKG9" s="737"/>
      <c r="AKH9" s="737"/>
      <c r="AKI9" s="737"/>
      <c r="AKJ9" s="737"/>
      <c r="AKK9" s="737"/>
      <c r="AKL9" s="737"/>
      <c r="AKM9" s="737"/>
      <c r="AKN9" s="737"/>
      <c r="AKO9" s="737"/>
      <c r="AKP9" s="737"/>
      <c r="AKQ9" s="737"/>
      <c r="AKR9" s="737"/>
      <c r="AKS9" s="737"/>
      <c r="AKT9" s="737"/>
      <c r="AKU9" s="737"/>
      <c r="AKV9" s="737"/>
      <c r="AKW9" s="737"/>
      <c r="AKX9" s="737"/>
      <c r="AKY9" s="737"/>
      <c r="AKZ9" s="737"/>
      <c r="ALA9" s="737"/>
      <c r="ALB9" s="737"/>
      <c r="ALC9" s="737"/>
      <c r="ALD9" s="737"/>
      <c r="ALE9" s="737"/>
      <c r="ALF9" s="737"/>
      <c r="ALG9" s="737"/>
      <c r="ALH9" s="737"/>
      <c r="ALI9" s="737"/>
      <c r="ALJ9" s="737"/>
      <c r="ALK9" s="737"/>
      <c r="ALL9" s="737"/>
      <c r="ALM9" s="737"/>
      <c r="ALN9" s="737"/>
      <c r="ALO9" s="737"/>
      <c r="ALP9" s="737"/>
      <c r="ALQ9" s="737"/>
      <c r="ALR9" s="737"/>
      <c r="ALS9" s="737"/>
      <c r="ALT9" s="737"/>
      <c r="ALU9" s="737"/>
      <c r="ALV9" s="737"/>
      <c r="ALW9" s="737"/>
      <c r="ALX9" s="737"/>
      <c r="ALY9" s="737"/>
      <c r="ALZ9" s="737"/>
      <c r="AMA9" s="737"/>
      <c r="AMB9" s="737"/>
      <c r="AMC9" s="737"/>
      <c r="AMD9" s="737"/>
      <c r="AME9" s="737"/>
      <c r="AMF9" s="737"/>
      <c r="AMG9" s="737"/>
      <c r="AMH9" s="737"/>
      <c r="AMI9" s="737"/>
      <c r="AMJ9" s="737"/>
      <c r="AMK9" s="737"/>
      <c r="AML9" s="737"/>
      <c r="AMM9" s="737"/>
      <c r="AMN9" s="737"/>
      <c r="AMO9" s="737"/>
      <c r="AMP9" s="737"/>
      <c r="AMQ9" s="737"/>
      <c r="AMR9" s="737"/>
      <c r="AMS9" s="737"/>
      <c r="AMT9" s="737"/>
      <c r="AMU9" s="737"/>
      <c r="AMV9" s="737"/>
      <c r="AMW9" s="737"/>
      <c r="AMX9" s="737"/>
      <c r="AMY9" s="737"/>
      <c r="AMZ9" s="737"/>
      <c r="ANA9" s="737"/>
      <c r="ANB9" s="737"/>
      <c r="ANC9" s="737"/>
      <c r="AND9" s="737"/>
      <c r="ANE9" s="737"/>
      <c r="ANF9" s="737"/>
      <c r="ANG9" s="737"/>
      <c r="ANH9" s="737"/>
      <c r="ANI9" s="737"/>
      <c r="ANJ9" s="737"/>
      <c r="ANK9" s="737"/>
      <c r="ANL9" s="737"/>
      <c r="ANM9" s="737"/>
      <c r="ANN9" s="737"/>
      <c r="ANO9" s="737"/>
      <c r="ANP9" s="737"/>
      <c r="ANQ9" s="737"/>
      <c r="ANR9" s="737"/>
      <c r="ANS9" s="737"/>
      <c r="ANT9" s="737"/>
      <c r="ANU9" s="737"/>
      <c r="ANV9" s="737"/>
      <c r="ANW9" s="737"/>
      <c r="ANX9" s="737"/>
      <c r="ANY9" s="737"/>
      <c r="ANZ9" s="737"/>
      <c r="AOA9" s="737"/>
      <c r="AOB9" s="737"/>
      <c r="AOC9" s="737"/>
      <c r="AOD9" s="737"/>
      <c r="AOE9" s="737"/>
      <c r="AOF9" s="737"/>
      <c r="AOG9" s="737"/>
      <c r="AOH9" s="737"/>
      <c r="AOI9" s="737"/>
      <c r="AOJ9" s="737"/>
      <c r="AOK9" s="737"/>
      <c r="AOL9" s="737"/>
      <c r="AOM9" s="737"/>
      <c r="AON9" s="737"/>
      <c r="AOO9" s="737"/>
      <c r="AOP9" s="737"/>
      <c r="AOQ9" s="737"/>
      <c r="AOR9" s="737"/>
      <c r="AOS9" s="737"/>
      <c r="AOT9" s="737"/>
      <c r="AOU9" s="737"/>
      <c r="AOV9" s="737"/>
      <c r="AOW9" s="737"/>
      <c r="AOX9" s="737"/>
      <c r="AOY9" s="737"/>
      <c r="AOZ9" s="737"/>
      <c r="APA9" s="737"/>
      <c r="APB9" s="737"/>
      <c r="APC9" s="737"/>
      <c r="APD9" s="737"/>
      <c r="APE9" s="737"/>
      <c r="APF9" s="737"/>
      <c r="APG9" s="737"/>
      <c r="APH9" s="737"/>
      <c r="API9" s="737"/>
      <c r="APJ9" s="737"/>
      <c r="APK9" s="737"/>
      <c r="APL9" s="737"/>
      <c r="APM9" s="737"/>
      <c r="APN9" s="737"/>
      <c r="APO9" s="737"/>
      <c r="APP9" s="737"/>
      <c r="APQ9" s="737"/>
      <c r="APR9" s="737"/>
      <c r="APS9" s="737"/>
      <c r="APT9" s="737"/>
      <c r="APU9" s="737"/>
      <c r="APV9" s="737"/>
      <c r="APW9" s="737"/>
      <c r="APX9" s="737"/>
      <c r="APY9" s="737"/>
      <c r="APZ9" s="737"/>
      <c r="AQA9" s="737"/>
      <c r="AQB9" s="737"/>
      <c r="AQC9" s="737"/>
      <c r="AQD9" s="737"/>
      <c r="AQE9" s="737"/>
      <c r="AQF9" s="737"/>
      <c r="AQG9" s="737"/>
      <c r="AQH9" s="737"/>
      <c r="AQI9" s="737"/>
      <c r="AQJ9" s="737"/>
      <c r="AQK9" s="737"/>
      <c r="AQL9" s="737"/>
      <c r="AQM9" s="737"/>
      <c r="AQN9" s="737"/>
      <c r="AQO9" s="737"/>
      <c r="AQP9" s="737"/>
      <c r="AQQ9" s="737"/>
      <c r="AQR9" s="737"/>
      <c r="AQS9" s="737"/>
      <c r="AQT9" s="737"/>
      <c r="AQU9" s="737"/>
      <c r="AQV9" s="737"/>
      <c r="AQW9" s="737"/>
      <c r="AQX9" s="737"/>
      <c r="AQY9" s="737"/>
      <c r="AQZ9" s="737"/>
      <c r="ARA9" s="737"/>
      <c r="ARB9" s="737"/>
      <c r="ARC9" s="737"/>
      <c r="ARD9" s="737"/>
      <c r="ARE9" s="737"/>
      <c r="ARF9" s="737"/>
      <c r="ARG9" s="737"/>
      <c r="ARH9" s="737"/>
      <c r="ARI9" s="737"/>
      <c r="ARJ9" s="737"/>
      <c r="ARK9" s="737"/>
      <c r="ARL9" s="737"/>
      <c r="ARM9" s="737"/>
      <c r="ARN9" s="737"/>
      <c r="ARO9" s="737"/>
      <c r="ARP9" s="737"/>
      <c r="ARQ9" s="737"/>
      <c r="ARR9" s="737"/>
      <c r="ARS9" s="737"/>
      <c r="ART9" s="737"/>
      <c r="ARU9" s="737"/>
      <c r="ARV9" s="737"/>
      <c r="ARW9" s="737"/>
      <c r="ARX9" s="737"/>
      <c r="ARY9" s="737"/>
      <c r="ARZ9" s="737"/>
      <c r="ASA9" s="737"/>
      <c r="ASB9" s="737"/>
      <c r="ASC9" s="737"/>
      <c r="ASD9" s="737"/>
      <c r="ASE9" s="737"/>
      <c r="ASF9" s="737"/>
      <c r="ASG9" s="737"/>
      <c r="ASH9" s="737"/>
      <c r="ASI9" s="737"/>
      <c r="ASJ9" s="737"/>
      <c r="ASK9" s="737"/>
      <c r="ASL9" s="737"/>
      <c r="ASM9" s="737"/>
      <c r="ASN9" s="737"/>
      <c r="ASO9" s="737"/>
      <c r="ASP9" s="737"/>
      <c r="ASQ9" s="737"/>
      <c r="ASR9" s="737"/>
      <c r="ASS9" s="737"/>
      <c r="AST9" s="737"/>
      <c r="ASU9" s="737"/>
      <c r="ASV9" s="737"/>
      <c r="ASW9" s="737"/>
      <c r="ASX9" s="737"/>
      <c r="ASY9" s="737"/>
      <c r="ASZ9" s="737"/>
      <c r="ATA9" s="737"/>
      <c r="ATB9" s="737"/>
      <c r="ATC9" s="737"/>
      <c r="ATD9" s="737"/>
      <c r="ATE9" s="737"/>
      <c r="ATF9" s="737"/>
      <c r="ATG9" s="737"/>
      <c r="ATH9" s="737"/>
      <c r="ATI9" s="737"/>
      <c r="ATJ9" s="737"/>
      <c r="ATK9" s="737"/>
      <c r="ATL9" s="737"/>
      <c r="ATM9" s="737"/>
      <c r="ATN9" s="737"/>
      <c r="ATO9" s="737"/>
      <c r="ATP9" s="737"/>
      <c r="ATQ9" s="737"/>
      <c r="ATR9" s="737"/>
      <c r="ATS9" s="737"/>
      <c r="ATT9" s="737"/>
      <c r="ATU9" s="737"/>
      <c r="ATV9" s="737"/>
      <c r="ATW9" s="737"/>
      <c r="ATX9" s="737"/>
      <c r="ATY9" s="737"/>
      <c r="ATZ9" s="737"/>
      <c r="AUA9" s="737"/>
      <c r="AUB9" s="737"/>
      <c r="AUC9" s="737"/>
      <c r="AUD9" s="737"/>
      <c r="AUE9" s="737"/>
      <c r="AUF9" s="737"/>
      <c r="AUG9" s="737"/>
      <c r="AUH9" s="737"/>
      <c r="AUI9" s="737"/>
      <c r="AUJ9" s="737"/>
      <c r="AUK9" s="737"/>
      <c r="AUL9" s="737"/>
      <c r="AUM9" s="737"/>
      <c r="AUN9" s="737"/>
      <c r="AUO9" s="737"/>
      <c r="AUP9" s="737"/>
      <c r="AUQ9" s="737"/>
      <c r="AUR9" s="737"/>
      <c r="AUS9" s="737"/>
      <c r="AUT9" s="737"/>
      <c r="AUU9" s="737"/>
      <c r="AUV9" s="737"/>
      <c r="AUW9" s="737"/>
      <c r="AUX9" s="737"/>
      <c r="AUY9" s="737"/>
      <c r="AUZ9" s="737"/>
      <c r="AVA9" s="737"/>
      <c r="AVB9" s="737"/>
      <c r="AVC9" s="737"/>
      <c r="AVD9" s="737"/>
      <c r="AVE9" s="737"/>
      <c r="AVF9" s="737"/>
      <c r="AVG9" s="737"/>
      <c r="AVH9" s="737"/>
      <c r="AVI9" s="737"/>
      <c r="AVJ9" s="737"/>
      <c r="AVK9" s="737"/>
      <c r="AVL9" s="737"/>
      <c r="AVM9" s="737"/>
      <c r="AVN9" s="737"/>
      <c r="AVO9" s="737"/>
      <c r="AVP9" s="737"/>
      <c r="AVQ9" s="737"/>
      <c r="AVR9" s="737"/>
      <c r="AVS9" s="737"/>
      <c r="AVT9" s="737"/>
      <c r="AVU9" s="737"/>
      <c r="AVV9" s="737"/>
      <c r="AVW9" s="737"/>
      <c r="AVX9" s="737"/>
      <c r="AVY9" s="737"/>
      <c r="AVZ9" s="737"/>
      <c r="AWA9" s="737"/>
      <c r="AWB9" s="737"/>
      <c r="AWC9" s="737"/>
      <c r="AWD9" s="737"/>
      <c r="AWE9" s="737"/>
      <c r="AWF9" s="737"/>
      <c r="AWG9" s="737"/>
      <c r="AWH9" s="737"/>
      <c r="AWI9" s="737"/>
      <c r="AWJ9" s="737"/>
      <c r="AWK9" s="737"/>
      <c r="AWL9" s="737"/>
      <c r="AWM9" s="737"/>
      <c r="AWN9" s="737"/>
      <c r="AWO9" s="737"/>
      <c r="AWP9" s="737"/>
      <c r="AWQ9" s="737"/>
      <c r="AWR9" s="737"/>
      <c r="AWS9" s="737"/>
      <c r="AWT9" s="737"/>
      <c r="AWU9" s="737"/>
      <c r="AWV9" s="737"/>
      <c r="AWW9" s="737"/>
      <c r="AWX9" s="737"/>
      <c r="AWY9" s="737"/>
      <c r="AWZ9" s="737"/>
      <c r="AXA9" s="737"/>
      <c r="AXB9" s="737"/>
      <c r="AXC9" s="737"/>
      <c r="AXD9" s="737"/>
      <c r="AXE9" s="737"/>
      <c r="AXF9" s="737"/>
      <c r="AXG9" s="737"/>
      <c r="AXH9" s="737"/>
      <c r="AXI9" s="737"/>
      <c r="AXJ9" s="737"/>
      <c r="AXK9" s="737"/>
      <c r="AXL9" s="737"/>
      <c r="AXM9" s="737"/>
      <c r="AXN9" s="737"/>
      <c r="AXO9" s="737"/>
      <c r="AXP9" s="737"/>
      <c r="AXQ9" s="737"/>
      <c r="AXR9" s="737"/>
      <c r="AXS9" s="737"/>
      <c r="AXT9" s="737"/>
      <c r="AXU9" s="737"/>
      <c r="AXV9" s="737"/>
      <c r="AXW9" s="737"/>
      <c r="AXX9" s="737"/>
      <c r="AXY9" s="737"/>
      <c r="AXZ9" s="737"/>
      <c r="AYA9" s="737"/>
      <c r="AYB9" s="737"/>
      <c r="AYC9" s="737"/>
      <c r="AYD9" s="737"/>
      <c r="AYE9" s="737"/>
      <c r="AYF9" s="737"/>
      <c r="AYG9" s="737"/>
      <c r="AYH9" s="737"/>
      <c r="AYI9" s="737"/>
      <c r="AYJ9" s="737"/>
      <c r="AYK9" s="737"/>
      <c r="AYL9" s="737"/>
      <c r="AYM9" s="737"/>
      <c r="AYN9" s="737"/>
      <c r="AYO9" s="737"/>
      <c r="AYP9" s="737"/>
      <c r="AYQ9" s="737"/>
      <c r="AYR9" s="737"/>
      <c r="AYS9" s="737"/>
      <c r="AYT9" s="737"/>
      <c r="AYU9" s="737"/>
      <c r="AYV9" s="737"/>
      <c r="AYW9" s="737"/>
      <c r="AYX9" s="737"/>
      <c r="AYY9" s="737"/>
      <c r="AYZ9" s="737"/>
      <c r="AZA9" s="737"/>
      <c r="AZB9" s="737"/>
      <c r="AZC9" s="737"/>
      <c r="AZD9" s="737"/>
      <c r="AZE9" s="737"/>
      <c r="AZF9" s="737"/>
      <c r="AZG9" s="737"/>
      <c r="AZH9" s="737"/>
      <c r="AZI9" s="737"/>
      <c r="AZJ9" s="737"/>
      <c r="AZK9" s="737"/>
      <c r="AZL9" s="737"/>
      <c r="AZM9" s="737"/>
      <c r="AZN9" s="737"/>
      <c r="AZO9" s="737"/>
      <c r="AZP9" s="737"/>
      <c r="AZQ9" s="737"/>
      <c r="AZR9" s="737"/>
      <c r="AZS9" s="737"/>
      <c r="AZT9" s="737"/>
      <c r="AZU9" s="737"/>
      <c r="AZV9" s="737"/>
      <c r="AZW9" s="737"/>
      <c r="AZX9" s="737"/>
      <c r="AZY9" s="737"/>
      <c r="AZZ9" s="737"/>
      <c r="BAA9" s="737"/>
      <c r="BAB9" s="737"/>
      <c r="BAC9" s="737"/>
      <c r="BAD9" s="737"/>
      <c r="BAE9" s="737"/>
      <c r="BAF9" s="737"/>
      <c r="BAG9" s="737"/>
      <c r="BAH9" s="737"/>
      <c r="BAI9" s="737"/>
      <c r="BAJ9" s="737"/>
      <c r="BAK9" s="737"/>
      <c r="BAL9" s="737"/>
      <c r="BAM9" s="737"/>
      <c r="BAN9" s="737"/>
      <c r="BAO9" s="737"/>
      <c r="BAP9" s="737"/>
      <c r="BAQ9" s="737"/>
      <c r="BAR9" s="737"/>
      <c r="BAS9" s="737"/>
      <c r="BAT9" s="737"/>
      <c r="BAU9" s="737"/>
      <c r="BAV9" s="737"/>
      <c r="BAW9" s="737"/>
      <c r="BAX9" s="737"/>
      <c r="BAY9" s="737"/>
      <c r="BAZ9" s="737"/>
      <c r="BBA9" s="737"/>
      <c r="BBB9" s="737"/>
      <c r="BBC9" s="737"/>
      <c r="BBD9" s="737"/>
      <c r="BBE9" s="737"/>
      <c r="BBF9" s="737"/>
      <c r="BBG9" s="737"/>
      <c r="BBH9" s="737"/>
      <c r="BBI9" s="737"/>
      <c r="BBJ9" s="737"/>
      <c r="BBK9" s="737"/>
      <c r="BBL9" s="737"/>
      <c r="BBM9" s="737"/>
      <c r="BBN9" s="737"/>
      <c r="BBO9" s="737"/>
      <c r="BBP9" s="737"/>
      <c r="BBQ9" s="737"/>
      <c r="BBR9" s="737"/>
      <c r="BBS9" s="737"/>
      <c r="BBT9" s="737"/>
      <c r="BBU9" s="737"/>
      <c r="BBV9" s="737"/>
      <c r="BBW9" s="737"/>
      <c r="BBX9" s="737"/>
      <c r="BBY9" s="737"/>
      <c r="BBZ9" s="737"/>
      <c r="BCA9" s="737"/>
      <c r="BCB9" s="737"/>
      <c r="BCC9" s="737"/>
      <c r="BCD9" s="737"/>
      <c r="BCE9" s="737"/>
      <c r="BCF9" s="737"/>
      <c r="BCG9" s="737"/>
      <c r="BCH9" s="737"/>
      <c r="BCI9" s="737"/>
      <c r="BCJ9" s="737"/>
      <c r="BCK9" s="737"/>
      <c r="BCL9" s="737"/>
      <c r="BCM9" s="737"/>
      <c r="BCN9" s="737"/>
      <c r="BCO9" s="737"/>
      <c r="BCP9" s="737"/>
      <c r="BCQ9" s="737"/>
      <c r="BCR9" s="737"/>
      <c r="BCS9" s="737"/>
      <c r="BCT9" s="737"/>
      <c r="BCU9" s="737"/>
      <c r="BCV9" s="737"/>
      <c r="BCW9" s="737"/>
      <c r="BCX9" s="737"/>
      <c r="BCY9" s="737"/>
      <c r="BCZ9" s="737"/>
      <c r="BDA9" s="737"/>
      <c r="BDB9" s="737"/>
      <c r="BDC9" s="737"/>
      <c r="BDD9" s="737"/>
      <c r="BDE9" s="737"/>
      <c r="BDF9" s="737"/>
      <c r="BDG9" s="737"/>
      <c r="BDH9" s="737"/>
      <c r="BDI9" s="737"/>
      <c r="BDJ9" s="737"/>
      <c r="BDK9" s="737"/>
      <c r="BDL9" s="737"/>
      <c r="BDM9" s="737"/>
      <c r="BDN9" s="737"/>
      <c r="BDO9" s="737"/>
      <c r="BDP9" s="737"/>
      <c r="BDQ9" s="737"/>
      <c r="BDR9" s="737"/>
      <c r="BDS9" s="737"/>
      <c r="BDT9" s="737"/>
      <c r="BDU9" s="737"/>
      <c r="BDV9" s="737"/>
      <c r="BDW9" s="737"/>
      <c r="BDX9" s="737"/>
      <c r="BDY9" s="737"/>
      <c r="BDZ9" s="737"/>
      <c r="BEA9" s="737"/>
      <c r="BEB9" s="737"/>
      <c r="BEC9" s="737"/>
      <c r="BED9" s="737"/>
      <c r="BEE9" s="737"/>
      <c r="BEF9" s="737"/>
      <c r="BEG9" s="737"/>
      <c r="BEH9" s="737"/>
      <c r="BEI9" s="737"/>
      <c r="BEJ9" s="737"/>
      <c r="BEK9" s="737"/>
      <c r="BEL9" s="737"/>
      <c r="BEM9" s="737"/>
      <c r="BEN9" s="737"/>
      <c r="BEO9" s="737"/>
      <c r="BEP9" s="737"/>
      <c r="BEQ9" s="737"/>
      <c r="BER9" s="737"/>
      <c r="BES9" s="737"/>
      <c r="BET9" s="737"/>
      <c r="BEU9" s="737"/>
      <c r="BEV9" s="737"/>
      <c r="BEW9" s="737"/>
      <c r="BEX9" s="737"/>
      <c r="BEY9" s="737"/>
      <c r="BEZ9" s="737"/>
      <c r="BFA9" s="737"/>
      <c r="BFB9" s="737"/>
      <c r="BFC9" s="737"/>
      <c r="BFD9" s="737"/>
      <c r="BFE9" s="737"/>
      <c r="BFF9" s="737"/>
      <c r="BFG9" s="737"/>
      <c r="BFH9" s="737"/>
      <c r="BFI9" s="737"/>
      <c r="BFJ9" s="737"/>
      <c r="BFK9" s="737"/>
      <c r="BFL9" s="737"/>
      <c r="BFM9" s="737"/>
      <c r="BFN9" s="737"/>
      <c r="BFO9" s="737"/>
      <c r="BFP9" s="737"/>
      <c r="BFQ9" s="737"/>
      <c r="BFR9" s="737"/>
      <c r="BFS9" s="737"/>
      <c r="BFT9" s="737"/>
      <c r="BFU9" s="737"/>
      <c r="BFV9" s="737"/>
      <c r="BFW9" s="737"/>
      <c r="BFX9" s="737"/>
      <c r="BFY9" s="737"/>
      <c r="BFZ9" s="737"/>
      <c r="BGA9" s="737"/>
      <c r="BGB9" s="737"/>
      <c r="BGC9" s="737"/>
      <c r="BGD9" s="737"/>
      <c r="BGE9" s="737"/>
      <c r="BGF9" s="737"/>
      <c r="BGG9" s="737"/>
      <c r="BGH9" s="737"/>
      <c r="BGI9" s="737"/>
      <c r="BGJ9" s="737"/>
      <c r="BGK9" s="737"/>
      <c r="BGL9" s="737"/>
      <c r="BGM9" s="737"/>
      <c r="BGN9" s="737"/>
      <c r="BGO9" s="737"/>
      <c r="BGP9" s="737"/>
      <c r="BGQ9" s="737"/>
      <c r="BGR9" s="737"/>
      <c r="BGS9" s="737"/>
      <c r="BGT9" s="737"/>
      <c r="BGU9" s="737"/>
      <c r="BGV9" s="737"/>
      <c r="BGW9" s="737"/>
      <c r="BGX9" s="737"/>
      <c r="BGY9" s="737"/>
      <c r="BGZ9" s="737"/>
      <c r="BHA9" s="737"/>
      <c r="BHB9" s="737"/>
      <c r="BHC9" s="737"/>
      <c r="BHD9" s="737"/>
      <c r="BHE9" s="737"/>
      <c r="BHF9" s="737"/>
      <c r="BHG9" s="737"/>
      <c r="BHH9" s="737"/>
      <c r="BHI9" s="737"/>
      <c r="BHJ9" s="737"/>
      <c r="BHK9" s="737"/>
      <c r="BHL9" s="737"/>
      <c r="BHM9" s="737"/>
      <c r="BHN9" s="737"/>
      <c r="BHO9" s="737"/>
      <c r="BHP9" s="737"/>
      <c r="BHQ9" s="737"/>
      <c r="BHR9" s="737"/>
      <c r="BHS9" s="737"/>
      <c r="BHT9" s="737"/>
      <c r="BHU9" s="737"/>
      <c r="BHV9" s="737"/>
      <c r="BHW9" s="737"/>
      <c r="BHX9" s="737"/>
      <c r="BHY9" s="737"/>
      <c r="BHZ9" s="737"/>
      <c r="BIA9" s="737"/>
      <c r="BIB9" s="737"/>
      <c r="BIC9" s="737"/>
      <c r="BID9" s="737"/>
      <c r="BIE9" s="737"/>
      <c r="BIF9" s="737"/>
      <c r="BIG9" s="737"/>
      <c r="BIH9" s="737"/>
      <c r="BII9" s="737"/>
      <c r="BIJ9" s="737"/>
      <c r="BIK9" s="737"/>
      <c r="BIL9" s="737"/>
      <c r="BIM9" s="737"/>
      <c r="BIN9" s="737"/>
      <c r="BIO9" s="737"/>
      <c r="BIP9" s="737"/>
      <c r="BIQ9" s="737"/>
      <c r="BIR9" s="737"/>
      <c r="BIS9" s="737"/>
      <c r="BIT9" s="737"/>
      <c r="BIU9" s="737"/>
      <c r="BIV9" s="737"/>
      <c r="BIW9" s="737"/>
      <c r="BIX9" s="737"/>
      <c r="BIY9" s="737"/>
      <c r="BIZ9" s="737"/>
      <c r="BJA9" s="737"/>
      <c r="BJB9" s="737"/>
      <c r="BJC9" s="737"/>
      <c r="BJD9" s="737"/>
      <c r="BJE9" s="737"/>
      <c r="BJF9" s="737"/>
      <c r="BJG9" s="737"/>
      <c r="BJH9" s="737"/>
      <c r="BJI9" s="737"/>
      <c r="BJJ9" s="737"/>
      <c r="BJK9" s="737"/>
      <c r="BJL9" s="737"/>
      <c r="BJM9" s="737"/>
      <c r="BJN9" s="737"/>
      <c r="BJO9" s="737"/>
      <c r="BJP9" s="737"/>
      <c r="BJQ9" s="737"/>
      <c r="BJR9" s="737"/>
      <c r="BJS9" s="737"/>
      <c r="BJT9" s="737"/>
      <c r="BJU9" s="737"/>
      <c r="BJV9" s="737"/>
      <c r="BJW9" s="737"/>
      <c r="BJX9" s="737"/>
      <c r="BJY9" s="737"/>
      <c r="BJZ9" s="737"/>
      <c r="BKA9" s="737"/>
      <c r="BKB9" s="737"/>
      <c r="BKC9" s="737"/>
      <c r="BKD9" s="737"/>
      <c r="BKE9" s="737"/>
      <c r="BKF9" s="737"/>
      <c r="BKG9" s="737"/>
      <c r="BKH9" s="737"/>
      <c r="BKI9" s="737"/>
      <c r="BKJ9" s="737"/>
      <c r="BKK9" s="737"/>
      <c r="BKL9" s="737"/>
      <c r="BKM9" s="737"/>
      <c r="BKN9" s="737"/>
      <c r="BKO9" s="737"/>
      <c r="BKP9" s="737"/>
      <c r="BKQ9" s="737"/>
      <c r="BKR9" s="737"/>
      <c r="BKS9" s="737"/>
      <c r="BKT9" s="737"/>
      <c r="BKU9" s="737"/>
      <c r="BKV9" s="737"/>
      <c r="BKW9" s="737"/>
      <c r="BKX9" s="737"/>
      <c r="BKY9" s="737"/>
      <c r="BKZ9" s="737"/>
      <c r="BLA9" s="737"/>
      <c r="BLB9" s="737"/>
      <c r="BLC9" s="737"/>
      <c r="BLD9" s="737"/>
      <c r="BLE9" s="737"/>
      <c r="BLF9" s="737"/>
      <c r="BLG9" s="737"/>
      <c r="BLH9" s="737"/>
      <c r="BLI9" s="737"/>
      <c r="BLJ9" s="737"/>
      <c r="BLK9" s="737"/>
      <c r="BLL9" s="737"/>
      <c r="BLM9" s="737"/>
      <c r="BLN9" s="737"/>
      <c r="BLO9" s="737"/>
      <c r="BLP9" s="737"/>
      <c r="BLQ9" s="737"/>
      <c r="BLR9" s="737"/>
      <c r="BLS9" s="737"/>
      <c r="BLT9" s="737"/>
      <c r="BLU9" s="737"/>
      <c r="BLV9" s="737"/>
      <c r="BLW9" s="737"/>
      <c r="BLX9" s="737"/>
      <c r="BLY9" s="737"/>
      <c r="BLZ9" s="737"/>
      <c r="BMA9" s="737"/>
      <c r="BMB9" s="737"/>
      <c r="BMC9" s="737"/>
      <c r="BMD9" s="737"/>
      <c r="BME9" s="737"/>
      <c r="BMF9" s="737"/>
      <c r="BMG9" s="737"/>
      <c r="BMH9" s="737"/>
      <c r="BMI9" s="737"/>
      <c r="BMJ9" s="737"/>
      <c r="BMK9" s="737"/>
      <c r="BML9" s="737"/>
      <c r="BMM9" s="737"/>
      <c r="BMN9" s="737"/>
      <c r="BMO9" s="737"/>
      <c r="BMP9" s="737"/>
      <c r="BMQ9" s="737"/>
      <c r="BMR9" s="737"/>
      <c r="BMS9" s="737"/>
      <c r="BMT9" s="737"/>
      <c r="BMU9" s="737"/>
      <c r="BMV9" s="737"/>
      <c r="BMW9" s="737"/>
      <c r="BMX9" s="737"/>
      <c r="BMY9" s="737"/>
      <c r="BMZ9" s="737"/>
      <c r="BNA9" s="737"/>
      <c r="BNB9" s="737"/>
      <c r="BNC9" s="737"/>
      <c r="BND9" s="737"/>
      <c r="BNE9" s="737"/>
      <c r="BNF9" s="737"/>
      <c r="BNG9" s="737"/>
      <c r="BNH9" s="737"/>
      <c r="BNI9" s="737"/>
      <c r="BNJ9" s="737"/>
      <c r="BNK9" s="737"/>
      <c r="BNL9" s="737"/>
      <c r="BNM9" s="737"/>
      <c r="BNN9" s="737"/>
      <c r="BNO9" s="737"/>
      <c r="BNP9" s="737"/>
      <c r="BNQ9" s="737"/>
      <c r="BNR9" s="737"/>
      <c r="BNS9" s="737"/>
      <c r="BNT9" s="737"/>
      <c r="BNU9" s="737"/>
      <c r="BNV9" s="737"/>
      <c r="BNW9" s="737"/>
      <c r="BNX9" s="737"/>
      <c r="BNY9" s="737"/>
      <c r="BNZ9" s="737"/>
      <c r="BOA9" s="737"/>
      <c r="BOB9" s="737"/>
      <c r="BOC9" s="737"/>
      <c r="BOD9" s="737"/>
      <c r="BOE9" s="737"/>
      <c r="BOF9" s="737"/>
      <c r="BOG9" s="737"/>
      <c r="BOH9" s="737"/>
      <c r="BOI9" s="737"/>
      <c r="BOJ9" s="737"/>
      <c r="BOK9" s="737"/>
      <c r="BOL9" s="737"/>
      <c r="BOM9" s="737"/>
      <c r="BON9" s="737"/>
      <c r="BOO9" s="737"/>
      <c r="BOP9" s="737"/>
      <c r="BOQ9" s="737"/>
      <c r="BOR9" s="737"/>
      <c r="BOS9" s="737"/>
      <c r="BOT9" s="737"/>
      <c r="BOU9" s="737"/>
      <c r="BOV9" s="737"/>
      <c r="BOW9" s="737"/>
      <c r="BOX9" s="737"/>
      <c r="BOY9" s="737"/>
      <c r="BOZ9" s="737"/>
      <c r="BPA9" s="737"/>
      <c r="BPB9" s="737"/>
      <c r="BPC9" s="737"/>
      <c r="BPD9" s="737"/>
      <c r="BPE9" s="737"/>
      <c r="BPF9" s="737"/>
      <c r="BPG9" s="737"/>
      <c r="BPH9" s="737"/>
      <c r="BPI9" s="737"/>
      <c r="BPJ9" s="737"/>
      <c r="BPK9" s="737"/>
      <c r="BPL9" s="737"/>
      <c r="BPM9" s="737"/>
      <c r="BPN9" s="737"/>
      <c r="BPO9" s="737"/>
      <c r="BPP9" s="737"/>
      <c r="BPQ9" s="737"/>
      <c r="BPR9" s="737"/>
      <c r="BPS9" s="737"/>
      <c r="BPT9" s="737"/>
      <c r="BPU9" s="737"/>
      <c r="BPV9" s="737"/>
      <c r="BPW9" s="737"/>
      <c r="BPX9" s="737"/>
      <c r="BPY9" s="737"/>
      <c r="BPZ9" s="737"/>
      <c r="BQA9" s="737"/>
      <c r="BQB9" s="737"/>
      <c r="BQC9" s="737"/>
      <c r="BQD9" s="737"/>
      <c r="BQE9" s="737"/>
      <c r="BQF9" s="737"/>
      <c r="BQG9" s="737"/>
      <c r="BQH9" s="737"/>
      <c r="BQI9" s="737"/>
      <c r="BQJ9" s="737"/>
      <c r="BQK9" s="737"/>
      <c r="BQL9" s="737"/>
      <c r="BQM9" s="737"/>
      <c r="BQN9" s="737"/>
      <c r="BQO9" s="737"/>
      <c r="BQP9" s="737"/>
      <c r="BQQ9" s="737"/>
      <c r="BQR9" s="737"/>
      <c r="BQS9" s="737"/>
      <c r="BQT9" s="737"/>
      <c r="BQU9" s="737"/>
      <c r="BQV9" s="737"/>
      <c r="BQW9" s="737"/>
      <c r="BQX9" s="737"/>
      <c r="BQY9" s="737"/>
      <c r="BQZ9" s="737"/>
      <c r="BRA9" s="737"/>
      <c r="BRB9" s="737"/>
      <c r="BRC9" s="737"/>
      <c r="BRD9" s="737"/>
      <c r="BRE9" s="737"/>
      <c r="BRF9" s="737"/>
      <c r="BRG9" s="737"/>
      <c r="BRH9" s="737"/>
      <c r="BRI9" s="737"/>
      <c r="BRJ9" s="737"/>
      <c r="BRK9" s="737"/>
      <c r="BRL9" s="737"/>
      <c r="BRM9" s="737"/>
      <c r="BRN9" s="737"/>
      <c r="BRO9" s="737"/>
      <c r="BRP9" s="737"/>
      <c r="BRQ9" s="737"/>
      <c r="BRR9" s="737"/>
      <c r="BRS9" s="737"/>
      <c r="BRT9" s="737"/>
      <c r="BRU9" s="737"/>
      <c r="BRV9" s="737"/>
      <c r="BRW9" s="737"/>
      <c r="BRX9" s="737"/>
      <c r="BRY9" s="737"/>
      <c r="BRZ9" s="737"/>
      <c r="BSA9" s="737"/>
      <c r="BSB9" s="737"/>
      <c r="BSC9" s="737"/>
      <c r="BSD9" s="737"/>
      <c r="BSE9" s="737"/>
      <c r="BSF9" s="737"/>
      <c r="BSG9" s="737"/>
      <c r="BSH9" s="737"/>
      <c r="BSI9" s="737"/>
      <c r="BSJ9" s="737"/>
      <c r="BSK9" s="737"/>
      <c r="BSL9" s="737"/>
      <c r="BSM9" s="737"/>
      <c r="BSN9" s="737"/>
      <c r="BSO9" s="737"/>
      <c r="BSP9" s="737"/>
      <c r="BSQ9" s="737"/>
      <c r="BSR9" s="737"/>
      <c r="BSS9" s="737"/>
      <c r="BST9" s="737"/>
      <c r="BSU9" s="737"/>
      <c r="BSV9" s="737"/>
      <c r="BSW9" s="737"/>
      <c r="BSX9" s="737"/>
      <c r="BSY9" s="737"/>
      <c r="BSZ9" s="737"/>
      <c r="BTA9" s="737"/>
      <c r="BTB9" s="737"/>
      <c r="BTC9" s="737"/>
      <c r="BTD9" s="737"/>
      <c r="BTE9" s="737"/>
      <c r="BTF9" s="737"/>
      <c r="BTG9" s="737"/>
      <c r="BTH9" s="737"/>
      <c r="BTI9" s="737"/>
      <c r="BTJ9" s="737"/>
      <c r="BTK9" s="737"/>
      <c r="BTL9" s="737"/>
      <c r="BTM9" s="737"/>
      <c r="BTN9" s="737"/>
      <c r="BTO9" s="737"/>
      <c r="BTP9" s="737"/>
      <c r="BTQ9" s="737"/>
      <c r="BTR9" s="737"/>
      <c r="BTS9" s="737"/>
      <c r="BTT9" s="737"/>
      <c r="BTU9" s="737"/>
      <c r="BTV9" s="737"/>
      <c r="BTW9" s="737"/>
      <c r="BTX9" s="737"/>
      <c r="BTY9" s="737"/>
      <c r="BTZ9" s="737"/>
      <c r="BUA9" s="737"/>
      <c r="BUB9" s="737"/>
      <c r="BUC9" s="737"/>
      <c r="BUD9" s="737"/>
      <c r="BUE9" s="737"/>
      <c r="BUF9" s="737"/>
      <c r="BUG9" s="737"/>
      <c r="BUH9" s="737"/>
      <c r="BUI9" s="737"/>
      <c r="BUJ9" s="737"/>
      <c r="BUK9" s="737"/>
      <c r="BUL9" s="737"/>
      <c r="BUM9" s="737"/>
      <c r="BUN9" s="737"/>
      <c r="BUO9" s="737"/>
      <c r="BUP9" s="737"/>
      <c r="BUQ9" s="737"/>
      <c r="BUR9" s="737"/>
      <c r="BUS9" s="737"/>
      <c r="BUT9" s="737"/>
      <c r="BUU9" s="737"/>
      <c r="BUV9" s="737"/>
      <c r="BUW9" s="737"/>
      <c r="BUX9" s="737"/>
      <c r="BUY9" s="737"/>
      <c r="BUZ9" s="737"/>
      <c r="BVA9" s="737"/>
      <c r="BVB9" s="737"/>
      <c r="BVC9" s="737"/>
      <c r="BVD9" s="737"/>
      <c r="BVE9" s="737"/>
      <c r="BVF9" s="737"/>
      <c r="BVG9" s="737"/>
      <c r="BVH9" s="737"/>
      <c r="BVI9" s="737"/>
      <c r="BVJ9" s="737"/>
      <c r="BVK9" s="737"/>
      <c r="BVL9" s="737"/>
      <c r="BVM9" s="737"/>
      <c r="BVN9" s="737"/>
      <c r="BVO9" s="737"/>
      <c r="BVP9" s="737"/>
      <c r="BVQ9" s="737"/>
      <c r="BVR9" s="737"/>
      <c r="BVS9" s="737"/>
      <c r="BVT9" s="737"/>
      <c r="BVU9" s="737"/>
      <c r="BVV9" s="737"/>
      <c r="BVW9" s="737"/>
      <c r="BVX9" s="737"/>
      <c r="BVY9" s="737"/>
      <c r="BVZ9" s="737"/>
      <c r="BWA9" s="737"/>
      <c r="BWB9" s="737"/>
      <c r="BWC9" s="737"/>
      <c r="BWD9" s="737"/>
      <c r="BWE9" s="737"/>
      <c r="BWF9" s="737"/>
      <c r="BWG9" s="737"/>
      <c r="BWH9" s="737"/>
      <c r="BWI9" s="737"/>
      <c r="BWJ9" s="737"/>
      <c r="BWK9" s="737"/>
      <c r="BWL9" s="737"/>
      <c r="BWM9" s="737"/>
      <c r="BWN9" s="737"/>
      <c r="BWO9" s="737"/>
      <c r="BWP9" s="737"/>
      <c r="BWQ9" s="737"/>
      <c r="BWR9" s="737"/>
      <c r="BWS9" s="737"/>
      <c r="BWT9" s="737"/>
      <c r="BWU9" s="737"/>
      <c r="BWV9" s="737"/>
      <c r="BWW9" s="737"/>
      <c r="BWX9" s="737"/>
      <c r="BWY9" s="737"/>
      <c r="BWZ9" s="737"/>
      <c r="BXA9" s="737"/>
      <c r="BXB9" s="737"/>
      <c r="BXC9" s="737"/>
      <c r="BXD9" s="737"/>
      <c r="BXE9" s="737"/>
      <c r="BXF9" s="737"/>
      <c r="BXG9" s="737"/>
      <c r="BXH9" s="737"/>
      <c r="BXI9" s="737"/>
      <c r="BXJ9" s="737"/>
      <c r="BXK9" s="737"/>
      <c r="BXL9" s="737"/>
      <c r="BXM9" s="737"/>
      <c r="BXN9" s="737"/>
      <c r="BXO9" s="737"/>
      <c r="BXP9" s="737"/>
      <c r="BXQ9" s="737"/>
      <c r="BXR9" s="737"/>
      <c r="BXS9" s="737"/>
      <c r="BXT9" s="737"/>
      <c r="BXU9" s="737"/>
      <c r="BXV9" s="737"/>
      <c r="BXW9" s="737"/>
      <c r="BXX9" s="737"/>
      <c r="BXY9" s="737"/>
      <c r="BXZ9" s="737"/>
      <c r="BYA9" s="737"/>
      <c r="BYB9" s="737"/>
      <c r="BYC9" s="737"/>
      <c r="BYD9" s="737"/>
      <c r="BYE9" s="737"/>
      <c r="BYF9" s="737"/>
      <c r="BYG9" s="737"/>
      <c r="BYH9" s="737"/>
      <c r="BYI9" s="737"/>
      <c r="BYJ9" s="737"/>
      <c r="BYK9" s="737"/>
      <c r="BYL9" s="737"/>
      <c r="BYM9" s="737"/>
      <c r="BYN9" s="737"/>
      <c r="BYO9" s="737"/>
      <c r="BYP9" s="737"/>
      <c r="BYQ9" s="737"/>
      <c r="BYR9" s="737"/>
      <c r="BYS9" s="737"/>
      <c r="BYT9" s="737"/>
      <c r="BYU9" s="737"/>
      <c r="BYV9" s="737"/>
      <c r="BYW9" s="737"/>
      <c r="BYX9" s="737"/>
      <c r="BYY9" s="737"/>
      <c r="BYZ9" s="737"/>
      <c r="BZA9" s="737"/>
      <c r="BZB9" s="737"/>
      <c r="BZC9" s="737"/>
      <c r="BZD9" s="737"/>
      <c r="BZE9" s="737"/>
      <c r="BZF9" s="737"/>
      <c r="BZG9" s="737"/>
      <c r="BZH9" s="737"/>
      <c r="BZI9" s="737"/>
      <c r="BZJ9" s="737"/>
      <c r="BZK9" s="737"/>
      <c r="BZL9" s="737"/>
      <c r="BZM9" s="737"/>
      <c r="BZN9" s="737"/>
      <c r="BZO9" s="737"/>
      <c r="BZP9" s="737"/>
      <c r="BZQ9" s="737"/>
      <c r="BZR9" s="737"/>
      <c r="BZS9" s="737"/>
      <c r="BZT9" s="737"/>
      <c r="BZU9" s="737"/>
      <c r="BZV9" s="737"/>
      <c r="BZW9" s="737"/>
      <c r="BZX9" s="737"/>
      <c r="BZY9" s="737"/>
      <c r="BZZ9" s="737"/>
      <c r="CAA9" s="737"/>
      <c r="CAB9" s="737"/>
      <c r="CAC9" s="737"/>
      <c r="CAD9" s="737"/>
      <c r="CAE9" s="737"/>
      <c r="CAF9" s="737"/>
      <c r="CAG9" s="737"/>
      <c r="CAH9" s="737"/>
      <c r="CAI9" s="737"/>
      <c r="CAJ9" s="737"/>
      <c r="CAK9" s="737"/>
      <c r="CAL9" s="737"/>
      <c r="CAM9" s="737"/>
      <c r="CAN9" s="737"/>
      <c r="CAO9" s="737"/>
      <c r="CAP9" s="737"/>
      <c r="CAQ9" s="737"/>
      <c r="CAR9" s="737"/>
      <c r="CAS9" s="737"/>
      <c r="CAT9" s="737"/>
      <c r="CAU9" s="737"/>
      <c r="CAV9" s="737"/>
      <c r="CAW9" s="737"/>
      <c r="CAX9" s="737"/>
      <c r="CAY9" s="737"/>
      <c r="CAZ9" s="737"/>
      <c r="CBA9" s="737"/>
      <c r="CBB9" s="737"/>
      <c r="CBC9" s="737"/>
      <c r="CBD9" s="737"/>
      <c r="CBE9" s="737"/>
      <c r="CBF9" s="737"/>
      <c r="CBG9" s="737"/>
      <c r="CBH9" s="737"/>
      <c r="CBI9" s="737"/>
      <c r="CBJ9" s="737"/>
      <c r="CBK9" s="737"/>
      <c r="CBL9" s="737"/>
      <c r="CBM9" s="737"/>
      <c r="CBN9" s="737"/>
      <c r="CBO9" s="737"/>
      <c r="CBP9" s="737"/>
      <c r="CBQ9" s="737"/>
      <c r="CBR9" s="737"/>
      <c r="CBS9" s="737"/>
      <c r="CBT9" s="737"/>
      <c r="CBU9" s="737"/>
      <c r="CBV9" s="737"/>
      <c r="CBW9" s="737"/>
      <c r="CBX9" s="737"/>
      <c r="CBY9" s="737"/>
      <c r="CBZ9" s="737"/>
      <c r="CCA9" s="737"/>
      <c r="CCB9" s="737"/>
      <c r="CCC9" s="737"/>
      <c r="CCD9" s="737"/>
      <c r="CCE9" s="737"/>
      <c r="CCF9" s="737"/>
      <c r="CCG9" s="737"/>
      <c r="CCH9" s="737"/>
      <c r="CCI9" s="737"/>
      <c r="CCJ9" s="737"/>
      <c r="CCK9" s="737"/>
      <c r="CCL9" s="737"/>
      <c r="CCM9" s="737"/>
      <c r="CCN9" s="737"/>
      <c r="CCO9" s="737"/>
      <c r="CCP9" s="737"/>
      <c r="CCQ9" s="737"/>
      <c r="CCR9" s="737"/>
      <c r="CCS9" s="737"/>
      <c r="CCT9" s="737"/>
      <c r="CCU9" s="737"/>
      <c r="CCV9" s="737"/>
      <c r="CCW9" s="737"/>
      <c r="CCX9" s="737"/>
      <c r="CCY9" s="737"/>
      <c r="CCZ9" s="737"/>
      <c r="CDA9" s="737"/>
      <c r="CDB9" s="737"/>
      <c r="CDC9" s="737"/>
      <c r="CDD9" s="737"/>
      <c r="CDE9" s="737"/>
      <c r="CDF9" s="737"/>
      <c r="CDG9" s="737"/>
      <c r="CDH9" s="737"/>
      <c r="CDI9" s="737"/>
      <c r="CDJ9" s="737"/>
      <c r="CDK9" s="737"/>
      <c r="CDL9" s="737"/>
      <c r="CDM9" s="737"/>
      <c r="CDN9" s="737"/>
      <c r="CDO9" s="737"/>
      <c r="CDP9" s="737"/>
      <c r="CDQ9" s="737"/>
      <c r="CDR9" s="737"/>
      <c r="CDS9" s="737"/>
      <c r="CDT9" s="737"/>
      <c r="CDU9" s="737"/>
      <c r="CDV9" s="737"/>
      <c r="CDW9" s="737"/>
      <c r="CDX9" s="737"/>
      <c r="CDY9" s="737"/>
      <c r="CDZ9" s="737"/>
      <c r="CEA9" s="737"/>
      <c r="CEB9" s="737"/>
      <c r="CEC9" s="737"/>
      <c r="CED9" s="737"/>
      <c r="CEE9" s="737"/>
      <c r="CEF9" s="737"/>
      <c r="CEG9" s="737"/>
      <c r="CEH9" s="737"/>
      <c r="CEI9" s="737"/>
      <c r="CEJ9" s="737"/>
      <c r="CEK9" s="737"/>
      <c r="CEL9" s="737"/>
      <c r="CEM9" s="737"/>
      <c r="CEN9" s="737"/>
      <c r="CEO9" s="737"/>
      <c r="CEP9" s="737"/>
      <c r="CEQ9" s="737"/>
      <c r="CER9" s="737"/>
      <c r="CES9" s="737"/>
      <c r="CET9" s="737"/>
      <c r="CEU9" s="737"/>
      <c r="CEV9" s="737"/>
      <c r="CEW9" s="737"/>
      <c r="CEX9" s="737"/>
      <c r="CEY9" s="737"/>
      <c r="CEZ9" s="737"/>
      <c r="CFA9" s="737"/>
      <c r="CFB9" s="737"/>
      <c r="CFC9" s="737"/>
      <c r="CFD9" s="737"/>
      <c r="CFE9" s="737"/>
      <c r="CFF9" s="737"/>
      <c r="CFG9" s="737"/>
      <c r="CFH9" s="737"/>
      <c r="CFI9" s="737"/>
      <c r="CFJ9" s="737"/>
      <c r="CFK9" s="737"/>
      <c r="CFL9" s="737"/>
      <c r="CFM9" s="737"/>
      <c r="CFN9" s="737"/>
      <c r="CFO9" s="737"/>
      <c r="CFP9" s="737"/>
      <c r="CFQ9" s="737"/>
      <c r="CFR9" s="737"/>
      <c r="CFS9" s="737"/>
      <c r="CFT9" s="737"/>
      <c r="CFU9" s="737"/>
      <c r="CFV9" s="737"/>
      <c r="CFW9" s="737"/>
      <c r="CFX9" s="737"/>
      <c r="CFY9" s="737"/>
      <c r="CFZ9" s="737"/>
      <c r="CGA9" s="737"/>
      <c r="CGB9" s="737"/>
      <c r="CGC9" s="737"/>
      <c r="CGD9" s="737"/>
      <c r="CGE9" s="737"/>
      <c r="CGF9" s="737"/>
      <c r="CGG9" s="737"/>
      <c r="CGH9" s="737"/>
      <c r="CGI9" s="737"/>
      <c r="CGJ9" s="737"/>
      <c r="CGK9" s="737"/>
      <c r="CGL9" s="737"/>
      <c r="CGM9" s="737"/>
      <c r="CGN9" s="737"/>
      <c r="CGO9" s="737"/>
      <c r="CGP9" s="737"/>
      <c r="CGQ9" s="737"/>
      <c r="CGR9" s="737"/>
      <c r="CGS9" s="737"/>
      <c r="CGT9" s="737"/>
      <c r="CGU9" s="737"/>
      <c r="CGV9" s="737"/>
      <c r="CGW9" s="737"/>
      <c r="CGX9" s="737"/>
      <c r="CGY9" s="737"/>
      <c r="CGZ9" s="737"/>
      <c r="CHA9" s="737"/>
      <c r="CHB9" s="737"/>
      <c r="CHC9" s="737"/>
      <c r="CHD9" s="737"/>
      <c r="CHE9" s="737"/>
      <c r="CHF9" s="737"/>
      <c r="CHG9" s="737"/>
      <c r="CHH9" s="737"/>
      <c r="CHI9" s="737"/>
      <c r="CHJ9" s="737"/>
      <c r="CHK9" s="737"/>
      <c r="CHL9" s="737"/>
      <c r="CHM9" s="737"/>
      <c r="CHN9" s="737"/>
      <c r="CHO9" s="737"/>
      <c r="CHP9" s="737"/>
      <c r="CHQ9" s="737"/>
      <c r="CHR9" s="737"/>
      <c r="CHS9" s="737"/>
      <c r="CHT9" s="737"/>
      <c r="CHU9" s="737"/>
      <c r="CHV9" s="737"/>
      <c r="CHW9" s="737"/>
      <c r="CHX9" s="737"/>
      <c r="CHY9" s="737"/>
      <c r="CHZ9" s="737"/>
      <c r="CIA9" s="737"/>
      <c r="CIB9" s="737"/>
      <c r="CIC9" s="737"/>
      <c r="CID9" s="737"/>
      <c r="CIE9" s="737"/>
      <c r="CIF9" s="737"/>
      <c r="CIG9" s="737"/>
      <c r="CIH9" s="737"/>
      <c r="CII9" s="737"/>
      <c r="CIJ9" s="737"/>
      <c r="CIK9" s="737"/>
      <c r="CIL9" s="737"/>
      <c r="CIM9" s="737"/>
      <c r="CIN9" s="737"/>
      <c r="CIO9" s="737"/>
      <c r="CIP9" s="737"/>
      <c r="CIQ9" s="737"/>
      <c r="CIR9" s="737"/>
      <c r="CIS9" s="737"/>
      <c r="CIT9" s="737"/>
      <c r="CIU9" s="737"/>
      <c r="CIV9" s="737"/>
      <c r="CIW9" s="737"/>
      <c r="CIX9" s="737"/>
      <c r="CIY9" s="737"/>
      <c r="CIZ9" s="737"/>
      <c r="CJA9" s="737"/>
      <c r="CJB9" s="737"/>
      <c r="CJC9" s="737"/>
      <c r="CJD9" s="737"/>
      <c r="CJE9" s="737"/>
      <c r="CJF9" s="737"/>
      <c r="CJG9" s="737"/>
      <c r="CJH9" s="737"/>
      <c r="CJI9" s="737"/>
      <c r="CJJ9" s="737"/>
      <c r="CJK9" s="737"/>
      <c r="CJL9" s="737"/>
      <c r="CJM9" s="737"/>
      <c r="CJN9" s="737"/>
      <c r="CJO9" s="737"/>
      <c r="CJP9" s="737"/>
      <c r="CJQ9" s="737"/>
      <c r="CJR9" s="737"/>
      <c r="CJS9" s="737"/>
      <c r="CJT9" s="737"/>
      <c r="CJU9" s="737"/>
      <c r="CJV9" s="737"/>
      <c r="CJW9" s="737"/>
      <c r="CJX9" s="737"/>
      <c r="CJY9" s="737"/>
      <c r="CJZ9" s="737"/>
      <c r="CKA9" s="737"/>
      <c r="CKB9" s="737"/>
      <c r="CKC9" s="737"/>
      <c r="CKD9" s="737"/>
      <c r="CKE9" s="737"/>
      <c r="CKF9" s="737"/>
      <c r="CKG9" s="737"/>
      <c r="CKH9" s="737"/>
      <c r="CKI9" s="737"/>
      <c r="CKJ9" s="737"/>
      <c r="CKK9" s="737"/>
      <c r="CKL9" s="737"/>
      <c r="CKM9" s="737"/>
      <c r="CKN9" s="737"/>
      <c r="CKO9" s="737"/>
      <c r="CKP9" s="737"/>
      <c r="CKQ9" s="737"/>
      <c r="CKR9" s="737"/>
      <c r="CKS9" s="737"/>
      <c r="CKT9" s="737"/>
      <c r="CKU9" s="737"/>
      <c r="CKV9" s="737"/>
      <c r="CKW9" s="737"/>
      <c r="CKX9" s="737"/>
      <c r="CKY9" s="737"/>
      <c r="CKZ9" s="737"/>
      <c r="CLA9" s="737"/>
      <c r="CLB9" s="737"/>
      <c r="CLC9" s="737"/>
      <c r="CLD9" s="737"/>
      <c r="CLE9" s="737"/>
      <c r="CLF9" s="737"/>
      <c r="CLG9" s="737"/>
      <c r="CLH9" s="737"/>
      <c r="CLI9" s="737"/>
      <c r="CLJ9" s="737"/>
      <c r="CLK9" s="737"/>
      <c r="CLL9" s="737"/>
      <c r="CLM9" s="737"/>
      <c r="CLN9" s="737"/>
      <c r="CLO9" s="737"/>
      <c r="CLP9" s="737"/>
      <c r="CLQ9" s="737"/>
      <c r="CLR9" s="737"/>
      <c r="CLS9" s="737"/>
      <c r="CLT9" s="737"/>
      <c r="CLU9" s="737"/>
      <c r="CLV9" s="737"/>
      <c r="CLW9" s="737"/>
      <c r="CLX9" s="737"/>
      <c r="CLY9" s="737"/>
      <c r="CLZ9" s="737"/>
      <c r="CMA9" s="737"/>
      <c r="CMB9" s="737"/>
      <c r="CMC9" s="737"/>
      <c r="CMD9" s="737"/>
      <c r="CME9" s="737"/>
      <c r="CMF9" s="737"/>
      <c r="CMG9" s="737"/>
      <c r="CMH9" s="737"/>
      <c r="CMI9" s="737"/>
      <c r="CMJ9" s="737"/>
      <c r="CMK9" s="737"/>
      <c r="CML9" s="737"/>
      <c r="CMM9" s="737"/>
      <c r="CMN9" s="737"/>
      <c r="CMO9" s="737"/>
      <c r="CMP9" s="737"/>
      <c r="CMQ9" s="737"/>
      <c r="CMR9" s="737"/>
      <c r="CMS9" s="737"/>
      <c r="CMT9" s="737"/>
      <c r="CMU9" s="737"/>
      <c r="CMV9" s="737"/>
      <c r="CMW9" s="737"/>
      <c r="CMX9" s="737"/>
      <c r="CMY9" s="737"/>
      <c r="CMZ9" s="737"/>
      <c r="CNA9" s="737"/>
      <c r="CNB9" s="737"/>
      <c r="CNC9" s="737"/>
      <c r="CND9" s="737"/>
      <c r="CNE9" s="737"/>
      <c r="CNF9" s="737"/>
      <c r="CNG9" s="737"/>
      <c r="CNH9" s="737"/>
      <c r="CNI9" s="737"/>
      <c r="CNJ9" s="737"/>
      <c r="CNK9" s="737"/>
      <c r="CNL9" s="737"/>
      <c r="CNM9" s="737"/>
      <c r="CNN9" s="737"/>
      <c r="CNO9" s="737"/>
      <c r="CNP9" s="737"/>
      <c r="CNQ9" s="737"/>
      <c r="CNR9" s="737"/>
      <c r="CNS9" s="737"/>
      <c r="CNT9" s="737"/>
      <c r="CNU9" s="737"/>
      <c r="CNV9" s="737"/>
      <c r="CNW9" s="737"/>
      <c r="CNX9" s="737"/>
      <c r="CNY9" s="737"/>
      <c r="CNZ9" s="737"/>
      <c r="COA9" s="737"/>
      <c r="COB9" s="737"/>
      <c r="COC9" s="737"/>
      <c r="COD9" s="737"/>
      <c r="COE9" s="737"/>
      <c r="COF9" s="737"/>
      <c r="COG9" s="737"/>
      <c r="COH9" s="737"/>
      <c r="COI9" s="737"/>
      <c r="COJ9" s="737"/>
      <c r="COK9" s="737"/>
      <c r="COL9" s="737"/>
      <c r="COM9" s="737"/>
      <c r="CON9" s="737"/>
      <c r="COO9" s="737"/>
      <c r="COP9" s="737"/>
      <c r="COQ9" s="737"/>
      <c r="COR9" s="737"/>
      <c r="COS9" s="737"/>
      <c r="COT9" s="737"/>
      <c r="COU9" s="737"/>
      <c r="COV9" s="737"/>
      <c r="COW9" s="737"/>
      <c r="COX9" s="737"/>
      <c r="COY9" s="737"/>
      <c r="COZ9" s="737"/>
      <c r="CPA9" s="737"/>
      <c r="CPB9" s="737"/>
      <c r="CPC9" s="737"/>
      <c r="CPD9" s="737"/>
      <c r="CPE9" s="737"/>
      <c r="CPF9" s="737"/>
      <c r="CPG9" s="737"/>
      <c r="CPH9" s="737"/>
      <c r="CPI9" s="737"/>
      <c r="CPJ9" s="737"/>
      <c r="CPK9" s="737"/>
      <c r="CPL9" s="737"/>
      <c r="CPM9" s="737"/>
      <c r="CPN9" s="737"/>
      <c r="CPO9" s="737"/>
      <c r="CPP9" s="737"/>
      <c r="CPQ9" s="737"/>
      <c r="CPR9" s="737"/>
      <c r="CPS9" s="737"/>
      <c r="CPT9" s="737"/>
      <c r="CPU9" s="737"/>
      <c r="CPV9" s="737"/>
      <c r="CPW9" s="737"/>
      <c r="CPX9" s="737"/>
      <c r="CPY9" s="737"/>
      <c r="CPZ9" s="737"/>
      <c r="CQA9" s="737"/>
      <c r="CQB9" s="737"/>
      <c r="CQC9" s="737"/>
      <c r="CQD9" s="737"/>
      <c r="CQE9" s="737"/>
      <c r="CQF9" s="737"/>
      <c r="CQG9" s="737"/>
      <c r="CQH9" s="737"/>
      <c r="CQI9" s="737"/>
      <c r="CQJ9" s="737"/>
      <c r="CQK9" s="737"/>
      <c r="CQL9" s="737"/>
      <c r="CQM9" s="737"/>
      <c r="CQN9" s="737"/>
      <c r="CQO9" s="737"/>
      <c r="CQP9" s="737"/>
      <c r="CQQ9" s="737"/>
      <c r="CQR9" s="737"/>
      <c r="CQS9" s="737"/>
      <c r="CQT9" s="737"/>
      <c r="CQU9" s="737"/>
      <c r="CQV9" s="737"/>
      <c r="CQW9" s="737"/>
      <c r="CQX9" s="737"/>
      <c r="CQY9" s="737"/>
      <c r="CQZ9" s="737"/>
      <c r="CRA9" s="737"/>
      <c r="CRB9" s="737"/>
      <c r="CRC9" s="737"/>
      <c r="CRD9" s="737"/>
      <c r="CRE9" s="737"/>
      <c r="CRF9" s="737"/>
      <c r="CRG9" s="737"/>
      <c r="CRH9" s="737"/>
      <c r="CRI9" s="737"/>
      <c r="CRJ9" s="737"/>
      <c r="CRK9" s="737"/>
      <c r="CRL9" s="737"/>
      <c r="CRM9" s="737"/>
      <c r="CRN9" s="737"/>
      <c r="CRO9" s="737"/>
      <c r="CRP9" s="737"/>
      <c r="CRQ9" s="737"/>
      <c r="CRR9" s="737"/>
      <c r="CRS9" s="737"/>
      <c r="CRT9" s="737"/>
      <c r="CRU9" s="737"/>
      <c r="CRV9" s="737"/>
      <c r="CRW9" s="737"/>
      <c r="CRX9" s="737"/>
      <c r="CRY9" s="737"/>
      <c r="CRZ9" s="737"/>
      <c r="CSA9" s="737"/>
      <c r="CSB9" s="737"/>
      <c r="CSC9" s="737"/>
      <c r="CSD9" s="737"/>
      <c r="CSE9" s="737"/>
      <c r="CSF9" s="737"/>
      <c r="CSG9" s="737"/>
      <c r="CSH9" s="737"/>
      <c r="CSI9" s="737"/>
      <c r="CSJ9" s="737"/>
      <c r="CSK9" s="737"/>
      <c r="CSL9" s="737"/>
      <c r="CSM9" s="737"/>
      <c r="CSN9" s="737"/>
      <c r="CSO9" s="737"/>
      <c r="CSP9" s="737"/>
      <c r="CSQ9" s="737"/>
      <c r="CSR9" s="737"/>
      <c r="CSS9" s="737"/>
      <c r="CST9" s="737"/>
      <c r="CSU9" s="737"/>
      <c r="CSV9" s="737"/>
      <c r="CSW9" s="737"/>
      <c r="CSX9" s="737"/>
      <c r="CSY9" s="737"/>
      <c r="CSZ9" s="737"/>
      <c r="CTA9" s="737"/>
      <c r="CTB9" s="737"/>
      <c r="CTC9" s="737"/>
      <c r="CTD9" s="737"/>
      <c r="CTE9" s="737"/>
      <c r="CTF9" s="737"/>
      <c r="CTG9" s="737"/>
      <c r="CTH9" s="737"/>
      <c r="CTI9" s="737"/>
      <c r="CTJ9" s="737"/>
      <c r="CTK9" s="737"/>
      <c r="CTL9" s="737"/>
      <c r="CTM9" s="737"/>
      <c r="CTN9" s="737"/>
      <c r="CTO9" s="737"/>
      <c r="CTP9" s="737"/>
      <c r="CTQ9" s="737"/>
      <c r="CTR9" s="737"/>
      <c r="CTS9" s="737"/>
      <c r="CTT9" s="737"/>
      <c r="CTU9" s="737"/>
      <c r="CTV9" s="737"/>
      <c r="CTW9" s="737"/>
      <c r="CTX9" s="737"/>
      <c r="CTY9" s="737"/>
      <c r="CTZ9" s="737"/>
      <c r="CUA9" s="737"/>
      <c r="CUB9" s="737"/>
      <c r="CUC9" s="737"/>
      <c r="CUD9" s="737"/>
      <c r="CUE9" s="737"/>
      <c r="CUF9" s="737"/>
      <c r="CUG9" s="737"/>
      <c r="CUH9" s="737"/>
      <c r="CUI9" s="737"/>
      <c r="CUJ9" s="737"/>
      <c r="CUK9" s="737"/>
      <c r="CUL9" s="737"/>
      <c r="CUM9" s="737"/>
      <c r="CUN9" s="737"/>
      <c r="CUO9" s="737"/>
      <c r="CUP9" s="737"/>
      <c r="CUQ9" s="737"/>
      <c r="CUR9" s="737"/>
      <c r="CUS9" s="737"/>
      <c r="CUT9" s="737"/>
      <c r="CUU9" s="737"/>
      <c r="CUV9" s="737"/>
      <c r="CUW9" s="737"/>
      <c r="CUX9" s="737"/>
      <c r="CUY9" s="737"/>
      <c r="CUZ9" s="737"/>
      <c r="CVA9" s="737"/>
      <c r="CVB9" s="737"/>
      <c r="CVC9" s="737"/>
      <c r="CVD9" s="737"/>
      <c r="CVE9" s="737"/>
      <c r="CVF9" s="737"/>
      <c r="CVG9" s="737"/>
      <c r="CVH9" s="737"/>
      <c r="CVI9" s="737"/>
      <c r="CVJ9" s="737"/>
      <c r="CVK9" s="737"/>
      <c r="CVL9" s="737"/>
      <c r="CVM9" s="737"/>
      <c r="CVN9" s="737"/>
      <c r="CVO9" s="737"/>
      <c r="CVP9" s="737"/>
      <c r="CVQ9" s="737"/>
      <c r="CVR9" s="737"/>
      <c r="CVS9" s="737"/>
      <c r="CVT9" s="737"/>
      <c r="CVU9" s="737"/>
      <c r="CVV9" s="737"/>
      <c r="CVW9" s="737"/>
      <c r="CVX9" s="737"/>
      <c r="CVY9" s="737"/>
      <c r="CVZ9" s="737"/>
      <c r="CWA9" s="737"/>
      <c r="CWB9" s="737"/>
      <c r="CWC9" s="737"/>
      <c r="CWD9" s="737"/>
      <c r="CWE9" s="737"/>
      <c r="CWF9" s="737"/>
      <c r="CWG9" s="737"/>
      <c r="CWH9" s="737"/>
      <c r="CWI9" s="737"/>
      <c r="CWJ9" s="737"/>
      <c r="CWK9" s="737"/>
      <c r="CWL9" s="737"/>
      <c r="CWM9" s="737"/>
      <c r="CWN9" s="737"/>
      <c r="CWO9" s="737"/>
      <c r="CWP9" s="737"/>
      <c r="CWQ9" s="737"/>
      <c r="CWR9" s="737"/>
      <c r="CWS9" s="737"/>
      <c r="CWT9" s="737"/>
      <c r="CWU9" s="737"/>
      <c r="CWV9" s="737"/>
      <c r="CWW9" s="737"/>
      <c r="CWX9" s="737"/>
      <c r="CWY9" s="737"/>
      <c r="CWZ9" s="737"/>
      <c r="CXA9" s="737"/>
      <c r="CXB9" s="737"/>
      <c r="CXC9" s="737"/>
      <c r="CXD9" s="737"/>
      <c r="CXE9" s="737"/>
      <c r="CXF9" s="737"/>
      <c r="CXG9" s="737"/>
      <c r="CXH9" s="737"/>
      <c r="CXI9" s="737"/>
      <c r="CXJ9" s="737"/>
      <c r="CXK9" s="737"/>
      <c r="CXL9" s="737"/>
      <c r="CXM9" s="737"/>
      <c r="CXN9" s="737"/>
      <c r="CXO9" s="737"/>
      <c r="CXP9" s="737"/>
      <c r="CXQ9" s="737"/>
      <c r="CXR9" s="737"/>
      <c r="CXS9" s="737"/>
      <c r="CXT9" s="737"/>
      <c r="CXU9" s="737"/>
      <c r="CXV9" s="737"/>
      <c r="CXW9" s="737"/>
      <c r="CXX9" s="737"/>
      <c r="CXY9" s="737"/>
      <c r="CXZ9" s="737"/>
      <c r="CYA9" s="737"/>
      <c r="CYB9" s="737"/>
      <c r="CYC9" s="737"/>
      <c r="CYD9" s="737"/>
      <c r="CYE9" s="737"/>
      <c r="CYF9" s="737"/>
      <c r="CYG9" s="737"/>
      <c r="CYH9" s="737"/>
      <c r="CYI9" s="737"/>
      <c r="CYJ9" s="737"/>
      <c r="CYK9" s="737"/>
      <c r="CYL9" s="737"/>
      <c r="CYM9" s="737"/>
      <c r="CYN9" s="737"/>
      <c r="CYO9" s="737"/>
      <c r="CYP9" s="737"/>
      <c r="CYQ9" s="737"/>
      <c r="CYR9" s="737"/>
      <c r="CYS9" s="737"/>
      <c r="CYT9" s="737"/>
      <c r="CYU9" s="737"/>
      <c r="CYV9" s="737"/>
      <c r="CYW9" s="737"/>
      <c r="CYX9" s="737"/>
      <c r="CYY9" s="737"/>
      <c r="CYZ9" s="737"/>
      <c r="CZA9" s="737"/>
      <c r="CZB9" s="737"/>
      <c r="CZC9" s="737"/>
      <c r="CZD9" s="737"/>
      <c r="CZE9" s="737"/>
      <c r="CZF9" s="737"/>
      <c r="CZG9" s="737"/>
      <c r="CZH9" s="737"/>
      <c r="CZI9" s="737"/>
      <c r="CZJ9" s="737"/>
      <c r="CZK9" s="737"/>
      <c r="CZL9" s="737"/>
      <c r="CZM9" s="737"/>
      <c r="CZN9" s="737"/>
      <c r="CZO9" s="737"/>
      <c r="CZP9" s="737"/>
      <c r="CZQ9" s="737"/>
      <c r="CZR9" s="737"/>
      <c r="CZS9" s="737"/>
      <c r="CZT9" s="737"/>
      <c r="CZU9" s="737"/>
      <c r="CZV9" s="737"/>
      <c r="CZW9" s="737"/>
      <c r="CZX9" s="737"/>
      <c r="CZY9" s="737"/>
      <c r="CZZ9" s="737"/>
      <c r="DAA9" s="737"/>
      <c r="DAB9" s="737"/>
      <c r="DAC9" s="737"/>
      <c r="DAD9" s="737"/>
      <c r="DAE9" s="737"/>
      <c r="DAF9" s="737"/>
      <c r="DAG9" s="737"/>
      <c r="DAH9" s="737"/>
      <c r="DAI9" s="737"/>
      <c r="DAJ9" s="737"/>
      <c r="DAK9" s="737"/>
      <c r="DAL9" s="737"/>
      <c r="DAM9" s="737"/>
      <c r="DAN9" s="737"/>
      <c r="DAO9" s="737"/>
      <c r="DAP9" s="737"/>
      <c r="DAQ9" s="737"/>
      <c r="DAR9" s="737"/>
      <c r="DAS9" s="737"/>
      <c r="DAT9" s="737"/>
      <c r="DAU9" s="737"/>
      <c r="DAV9" s="737"/>
      <c r="DAW9" s="737"/>
      <c r="DAX9" s="737"/>
      <c r="DAY9" s="737"/>
      <c r="DAZ9" s="737"/>
      <c r="DBA9" s="737"/>
      <c r="DBB9" s="737"/>
      <c r="DBC9" s="737"/>
      <c r="DBD9" s="737"/>
      <c r="DBE9" s="737"/>
      <c r="DBF9" s="737"/>
      <c r="DBG9" s="737"/>
      <c r="DBH9" s="737"/>
      <c r="DBI9" s="737"/>
      <c r="DBJ9" s="737"/>
      <c r="DBK9" s="737"/>
      <c r="DBL9" s="737"/>
      <c r="DBM9" s="737"/>
      <c r="DBN9" s="737"/>
      <c r="DBO9" s="737"/>
      <c r="DBP9" s="737"/>
      <c r="DBQ9" s="737"/>
      <c r="DBR9" s="737"/>
      <c r="DBS9" s="737"/>
      <c r="DBT9" s="737"/>
      <c r="DBU9" s="737"/>
      <c r="DBV9" s="737"/>
      <c r="DBW9" s="737"/>
      <c r="DBX9" s="737"/>
      <c r="DBY9" s="737"/>
      <c r="DBZ9" s="737"/>
      <c r="DCA9" s="737"/>
      <c r="DCB9" s="737"/>
      <c r="DCC9" s="737"/>
      <c r="DCD9" s="737"/>
      <c r="DCE9" s="737"/>
      <c r="DCF9" s="737"/>
      <c r="DCG9" s="737"/>
      <c r="DCH9" s="737"/>
      <c r="DCI9" s="737"/>
      <c r="DCJ9" s="737"/>
      <c r="DCK9" s="737"/>
      <c r="DCL9" s="737"/>
      <c r="DCM9" s="737"/>
      <c r="DCN9" s="737"/>
      <c r="DCO9" s="737"/>
      <c r="DCP9" s="737"/>
      <c r="DCQ9" s="737"/>
      <c r="DCR9" s="737"/>
      <c r="DCS9" s="737"/>
      <c r="DCT9" s="737"/>
      <c r="DCU9" s="737"/>
      <c r="DCV9" s="737"/>
      <c r="DCW9" s="737"/>
      <c r="DCX9" s="737"/>
      <c r="DCY9" s="737"/>
      <c r="DCZ9" s="737"/>
      <c r="DDA9" s="737"/>
      <c r="DDB9" s="737"/>
      <c r="DDC9" s="737"/>
      <c r="DDD9" s="737"/>
      <c r="DDE9" s="737"/>
      <c r="DDF9" s="737"/>
      <c r="DDG9" s="737"/>
      <c r="DDH9" s="737"/>
      <c r="DDI9" s="737"/>
      <c r="DDJ9" s="737"/>
      <c r="DDK9" s="737"/>
      <c r="DDL9" s="737"/>
      <c r="DDM9" s="737"/>
      <c r="DDN9" s="737"/>
      <c r="DDO9" s="737"/>
      <c r="DDP9" s="737"/>
      <c r="DDQ9" s="737"/>
      <c r="DDR9" s="737"/>
      <c r="DDS9" s="737"/>
      <c r="DDT9" s="737"/>
      <c r="DDU9" s="737"/>
      <c r="DDV9" s="737"/>
      <c r="DDW9" s="737"/>
      <c r="DDX9" s="737"/>
      <c r="DDY9" s="737"/>
      <c r="DDZ9" s="737"/>
      <c r="DEA9" s="737"/>
      <c r="DEB9" s="737"/>
      <c r="DEC9" s="737"/>
      <c r="DED9" s="737"/>
      <c r="DEE9" s="737"/>
      <c r="DEF9" s="737"/>
      <c r="DEG9" s="737"/>
      <c r="DEH9" s="737"/>
      <c r="DEI9" s="737"/>
      <c r="DEJ9" s="737"/>
      <c r="DEK9" s="737"/>
      <c r="DEL9" s="737"/>
      <c r="DEM9" s="737"/>
      <c r="DEN9" s="737"/>
      <c r="DEO9" s="737"/>
      <c r="DEP9" s="737"/>
      <c r="DEQ9" s="737"/>
      <c r="DER9" s="737"/>
      <c r="DES9" s="737"/>
      <c r="DET9" s="737"/>
      <c r="DEU9" s="737"/>
      <c r="DEV9" s="737"/>
      <c r="DEW9" s="737"/>
      <c r="DEX9" s="737"/>
      <c r="DEY9" s="737"/>
      <c r="DEZ9" s="737"/>
      <c r="DFA9" s="737"/>
      <c r="DFB9" s="737"/>
      <c r="DFC9" s="737"/>
      <c r="DFD9" s="737"/>
      <c r="DFE9" s="737"/>
      <c r="DFF9" s="737"/>
      <c r="DFG9" s="737"/>
      <c r="DFH9" s="737"/>
      <c r="DFI9" s="737"/>
      <c r="DFJ9" s="737"/>
      <c r="DFK9" s="737"/>
      <c r="DFL9" s="737"/>
      <c r="DFM9" s="737"/>
      <c r="DFN9" s="737"/>
      <c r="DFO9" s="737"/>
      <c r="DFP9" s="737"/>
      <c r="DFQ9" s="737"/>
      <c r="DFR9" s="737"/>
      <c r="DFS9" s="737"/>
      <c r="DFT9" s="737"/>
      <c r="DFU9" s="737"/>
      <c r="DFV9" s="737"/>
      <c r="DFW9" s="737"/>
      <c r="DFX9" s="737"/>
      <c r="DFY9" s="737"/>
      <c r="DFZ9" s="737"/>
      <c r="DGA9" s="737"/>
      <c r="DGB9" s="737"/>
      <c r="DGC9" s="737"/>
      <c r="DGD9" s="737"/>
      <c r="DGE9" s="737"/>
      <c r="DGF9" s="737"/>
      <c r="DGG9" s="737"/>
      <c r="DGH9" s="737"/>
      <c r="DGI9" s="737"/>
      <c r="DGJ9" s="737"/>
      <c r="DGK9" s="737"/>
      <c r="DGL9" s="737"/>
      <c r="DGM9" s="737"/>
      <c r="DGN9" s="737"/>
      <c r="DGO9" s="737"/>
      <c r="DGP9" s="737"/>
      <c r="DGQ9" s="737"/>
      <c r="DGR9" s="737"/>
      <c r="DGS9" s="737"/>
      <c r="DGT9" s="737"/>
      <c r="DGU9" s="737"/>
      <c r="DGV9" s="737"/>
      <c r="DGW9" s="737"/>
      <c r="DGX9" s="737"/>
      <c r="DGY9" s="737"/>
      <c r="DGZ9" s="737"/>
      <c r="DHA9" s="737"/>
      <c r="DHB9" s="737"/>
      <c r="DHC9" s="737"/>
      <c r="DHD9" s="737"/>
      <c r="DHE9" s="737"/>
      <c r="DHF9" s="737"/>
      <c r="DHG9" s="737"/>
      <c r="DHH9" s="737"/>
      <c r="DHI9" s="737"/>
      <c r="DHJ9" s="737"/>
      <c r="DHK9" s="737"/>
      <c r="DHL9" s="737"/>
      <c r="DHM9" s="737"/>
      <c r="DHN9" s="737"/>
      <c r="DHO9" s="737"/>
      <c r="DHP9" s="737"/>
      <c r="DHQ9" s="737"/>
      <c r="DHR9" s="737"/>
      <c r="DHS9" s="737"/>
      <c r="DHT9" s="737"/>
      <c r="DHU9" s="737"/>
      <c r="DHV9" s="737"/>
      <c r="DHW9" s="737"/>
      <c r="DHX9" s="737"/>
      <c r="DHY9" s="737"/>
      <c r="DHZ9" s="737"/>
      <c r="DIA9" s="737"/>
      <c r="DIB9" s="737"/>
      <c r="DIC9" s="737"/>
      <c r="DID9" s="737"/>
      <c r="DIE9" s="737"/>
      <c r="DIF9" s="737"/>
      <c r="DIG9" s="737"/>
      <c r="DIH9" s="737"/>
      <c r="DII9" s="737"/>
      <c r="DIJ9" s="737"/>
      <c r="DIK9" s="737"/>
      <c r="DIL9" s="737"/>
      <c r="DIM9" s="737"/>
      <c r="DIN9" s="737"/>
      <c r="DIO9" s="737"/>
      <c r="DIP9" s="737"/>
      <c r="DIQ9" s="737"/>
      <c r="DIR9" s="737"/>
      <c r="DIS9" s="737"/>
      <c r="DIT9" s="737"/>
      <c r="DIU9" s="737"/>
      <c r="DIV9" s="737"/>
      <c r="DIW9" s="737"/>
      <c r="DIX9" s="737"/>
      <c r="DIY9" s="737"/>
      <c r="DIZ9" s="737"/>
      <c r="DJA9" s="737"/>
      <c r="DJB9" s="737"/>
      <c r="DJC9" s="737"/>
      <c r="DJD9" s="737"/>
      <c r="DJE9" s="737"/>
      <c r="DJF9" s="737"/>
      <c r="DJG9" s="737"/>
      <c r="DJH9" s="737"/>
      <c r="DJI9" s="737"/>
      <c r="DJJ9" s="737"/>
      <c r="DJK9" s="737"/>
      <c r="DJL9" s="737"/>
      <c r="DJM9" s="737"/>
      <c r="DJN9" s="737"/>
      <c r="DJO9" s="737"/>
      <c r="DJP9" s="737"/>
      <c r="DJQ9" s="737"/>
      <c r="DJR9" s="737"/>
      <c r="DJS9" s="737"/>
      <c r="DJT9" s="737"/>
      <c r="DJU9" s="737"/>
      <c r="DJV9" s="737"/>
      <c r="DJW9" s="737"/>
      <c r="DJX9" s="737"/>
      <c r="DJY9" s="737"/>
      <c r="DJZ9" s="737"/>
      <c r="DKA9" s="737"/>
      <c r="DKB9" s="737"/>
      <c r="DKC9" s="737"/>
      <c r="DKD9" s="737"/>
      <c r="DKE9" s="737"/>
      <c r="DKF9" s="737"/>
      <c r="DKG9" s="737"/>
      <c r="DKH9" s="737"/>
      <c r="DKI9" s="737"/>
      <c r="DKJ9" s="737"/>
      <c r="DKK9" s="737"/>
      <c r="DKL9" s="737"/>
      <c r="DKM9" s="737"/>
      <c r="DKN9" s="737"/>
      <c r="DKO9" s="737"/>
      <c r="DKP9" s="737"/>
      <c r="DKQ9" s="737"/>
      <c r="DKR9" s="737"/>
      <c r="DKS9" s="737"/>
      <c r="DKT9" s="737"/>
      <c r="DKU9" s="737"/>
      <c r="DKV9" s="737"/>
      <c r="DKW9" s="737"/>
      <c r="DKX9" s="737"/>
      <c r="DKY9" s="737"/>
      <c r="DKZ9" s="737"/>
      <c r="DLA9" s="737"/>
      <c r="DLB9" s="737"/>
      <c r="DLC9" s="737"/>
      <c r="DLD9" s="737"/>
      <c r="DLE9" s="737"/>
      <c r="DLF9" s="737"/>
      <c r="DLG9" s="737"/>
      <c r="DLH9" s="737"/>
      <c r="DLI9" s="737"/>
      <c r="DLJ9" s="737"/>
      <c r="DLK9" s="737"/>
      <c r="DLL9" s="737"/>
      <c r="DLM9" s="737"/>
      <c r="DLN9" s="737"/>
      <c r="DLO9" s="737"/>
      <c r="DLP9" s="737"/>
      <c r="DLQ9" s="737"/>
      <c r="DLR9" s="737"/>
      <c r="DLS9" s="737"/>
      <c r="DLT9" s="737"/>
      <c r="DLU9" s="737"/>
      <c r="DLV9" s="737"/>
      <c r="DLW9" s="737"/>
      <c r="DLX9" s="737"/>
      <c r="DLY9" s="737"/>
      <c r="DLZ9" s="737"/>
      <c r="DMA9" s="737"/>
      <c r="DMB9" s="737"/>
      <c r="DMC9" s="737"/>
      <c r="DMD9" s="737"/>
      <c r="DME9" s="737"/>
      <c r="DMF9" s="737"/>
      <c r="DMG9" s="737"/>
      <c r="DMH9" s="737"/>
      <c r="DMI9" s="737"/>
      <c r="DMJ9" s="737"/>
      <c r="DMK9" s="737"/>
      <c r="DML9" s="737"/>
      <c r="DMM9" s="737"/>
      <c r="DMN9" s="737"/>
      <c r="DMO9" s="737"/>
      <c r="DMP9" s="737"/>
      <c r="DMQ9" s="737"/>
      <c r="DMR9" s="737"/>
      <c r="DMS9" s="737"/>
      <c r="DMT9" s="737"/>
      <c r="DMU9" s="737"/>
      <c r="DMV9" s="737"/>
      <c r="DMW9" s="737"/>
      <c r="DMX9" s="737"/>
      <c r="DMY9" s="737"/>
      <c r="DMZ9" s="737"/>
      <c r="DNA9" s="737"/>
      <c r="DNB9" s="737"/>
      <c r="DNC9" s="737"/>
      <c r="DND9" s="737"/>
      <c r="DNE9" s="737"/>
      <c r="DNF9" s="737"/>
      <c r="DNG9" s="737"/>
      <c r="DNH9" s="737"/>
      <c r="DNI9" s="737"/>
      <c r="DNJ9" s="737"/>
      <c r="DNK9" s="737"/>
      <c r="DNL9" s="737"/>
      <c r="DNM9" s="737"/>
      <c r="DNN9" s="737"/>
      <c r="DNO9" s="737"/>
      <c r="DNP9" s="737"/>
      <c r="DNQ9" s="737"/>
      <c r="DNR9" s="737"/>
      <c r="DNS9" s="737"/>
      <c r="DNT9" s="737"/>
      <c r="DNU9" s="737"/>
      <c r="DNV9" s="737"/>
      <c r="DNW9" s="737"/>
      <c r="DNX9" s="737"/>
      <c r="DNY9" s="737"/>
      <c r="DNZ9" s="737"/>
      <c r="DOA9" s="737"/>
      <c r="DOB9" s="737"/>
      <c r="DOC9" s="737"/>
      <c r="DOD9" s="737"/>
      <c r="DOE9" s="737"/>
      <c r="DOF9" s="737"/>
      <c r="DOG9" s="737"/>
      <c r="DOH9" s="737"/>
      <c r="DOI9" s="737"/>
      <c r="DOJ9" s="737"/>
      <c r="DOK9" s="737"/>
      <c r="DOL9" s="737"/>
      <c r="DOM9" s="737"/>
      <c r="DON9" s="737"/>
      <c r="DOO9" s="737"/>
      <c r="DOP9" s="737"/>
      <c r="DOQ9" s="737"/>
      <c r="DOR9" s="737"/>
      <c r="DOS9" s="737"/>
      <c r="DOT9" s="737"/>
      <c r="DOU9" s="737"/>
      <c r="DOV9" s="737"/>
      <c r="DOW9" s="737"/>
      <c r="DOX9" s="737"/>
      <c r="DOY9" s="737"/>
      <c r="DOZ9" s="737"/>
      <c r="DPA9" s="737"/>
      <c r="DPB9" s="737"/>
      <c r="DPC9" s="737"/>
      <c r="DPD9" s="737"/>
      <c r="DPE9" s="737"/>
      <c r="DPF9" s="737"/>
      <c r="DPG9" s="737"/>
      <c r="DPH9" s="737"/>
      <c r="DPI9" s="737"/>
      <c r="DPJ9" s="737"/>
      <c r="DPK9" s="737"/>
      <c r="DPL9" s="737"/>
      <c r="DPM9" s="737"/>
      <c r="DPN9" s="737"/>
      <c r="DPO9" s="737"/>
      <c r="DPP9" s="737"/>
      <c r="DPQ9" s="737"/>
      <c r="DPR9" s="737"/>
      <c r="DPS9" s="737"/>
      <c r="DPT9" s="737"/>
      <c r="DPU9" s="737"/>
      <c r="DPV9" s="737"/>
      <c r="DPW9" s="737"/>
      <c r="DPX9" s="737"/>
      <c r="DPY9" s="737"/>
      <c r="DPZ9" s="737"/>
      <c r="DQA9" s="737"/>
      <c r="DQB9" s="737"/>
      <c r="DQC9" s="737"/>
      <c r="DQD9" s="737"/>
      <c r="DQE9" s="737"/>
      <c r="DQF9" s="737"/>
      <c r="DQG9" s="737"/>
      <c r="DQH9" s="737"/>
      <c r="DQI9" s="737"/>
      <c r="DQJ9" s="737"/>
      <c r="DQK9" s="737"/>
      <c r="DQL9" s="737"/>
      <c r="DQM9" s="737"/>
      <c r="DQN9" s="737"/>
      <c r="DQO9" s="737"/>
      <c r="DQP9" s="737"/>
      <c r="DQQ9" s="737"/>
      <c r="DQR9" s="737"/>
      <c r="DQS9" s="737"/>
      <c r="DQT9" s="737"/>
      <c r="DQU9" s="737"/>
      <c r="DQV9" s="737"/>
      <c r="DQW9" s="737"/>
      <c r="DQX9" s="737"/>
      <c r="DQY9" s="737"/>
      <c r="DQZ9" s="737"/>
      <c r="DRA9" s="737"/>
      <c r="DRB9" s="737"/>
      <c r="DRC9" s="737"/>
      <c r="DRD9" s="737"/>
      <c r="DRE9" s="737"/>
      <c r="DRF9" s="737"/>
      <c r="DRG9" s="737"/>
      <c r="DRH9" s="737"/>
      <c r="DRI9" s="737"/>
      <c r="DRJ9" s="737"/>
      <c r="DRK9" s="737"/>
      <c r="DRL9" s="737"/>
      <c r="DRM9" s="737"/>
      <c r="DRN9" s="737"/>
      <c r="DRO9" s="737"/>
      <c r="DRP9" s="737"/>
      <c r="DRQ9" s="737"/>
      <c r="DRR9" s="737"/>
      <c r="DRS9" s="737"/>
      <c r="DRT9" s="737"/>
      <c r="DRU9" s="737"/>
      <c r="DRV9" s="737"/>
      <c r="DRW9" s="737"/>
      <c r="DRX9" s="737"/>
      <c r="DRY9" s="737"/>
      <c r="DRZ9" s="737"/>
      <c r="DSA9" s="737"/>
      <c r="DSB9" s="737"/>
      <c r="DSC9" s="737"/>
      <c r="DSD9" s="737"/>
      <c r="DSE9" s="737"/>
      <c r="DSF9" s="737"/>
      <c r="DSG9" s="737"/>
      <c r="DSH9" s="737"/>
      <c r="DSI9" s="737"/>
      <c r="DSJ9" s="737"/>
      <c r="DSK9" s="737"/>
      <c r="DSL9" s="737"/>
      <c r="DSM9" s="737"/>
      <c r="DSN9" s="737"/>
      <c r="DSO9" s="737"/>
      <c r="DSP9" s="737"/>
      <c r="DSQ9" s="737"/>
      <c r="DSR9" s="737"/>
      <c r="DSS9" s="737"/>
      <c r="DST9" s="737"/>
      <c r="DSU9" s="737"/>
      <c r="DSV9" s="737"/>
      <c r="DSW9" s="737"/>
      <c r="DSX9" s="737"/>
      <c r="DSY9" s="737"/>
      <c r="DSZ9" s="737"/>
      <c r="DTA9" s="737"/>
      <c r="DTB9" s="737"/>
      <c r="DTC9" s="737"/>
      <c r="DTD9" s="737"/>
      <c r="DTE9" s="737"/>
      <c r="DTF9" s="737"/>
      <c r="DTG9" s="737"/>
      <c r="DTH9" s="737"/>
      <c r="DTI9" s="737"/>
      <c r="DTJ9" s="737"/>
      <c r="DTK9" s="737"/>
      <c r="DTL9" s="737"/>
      <c r="DTM9" s="737"/>
      <c r="DTN9" s="737"/>
      <c r="DTO9" s="737"/>
      <c r="DTP9" s="737"/>
      <c r="DTQ9" s="737"/>
      <c r="DTR9" s="737"/>
      <c r="DTS9" s="737"/>
      <c r="DTT9" s="737"/>
      <c r="DTU9" s="737"/>
      <c r="DTV9" s="737"/>
      <c r="DTW9" s="737"/>
      <c r="DTX9" s="737"/>
      <c r="DTY9" s="737"/>
      <c r="DTZ9" s="737"/>
      <c r="DUA9" s="737"/>
      <c r="DUB9" s="737"/>
      <c r="DUC9" s="737"/>
      <c r="DUD9" s="737"/>
      <c r="DUE9" s="737"/>
      <c r="DUF9" s="737"/>
      <c r="DUG9" s="737"/>
      <c r="DUH9" s="737"/>
      <c r="DUI9" s="737"/>
      <c r="DUJ9" s="737"/>
      <c r="DUK9" s="737"/>
      <c r="DUL9" s="737"/>
      <c r="DUM9" s="737"/>
      <c r="DUN9" s="737"/>
      <c r="DUO9" s="737"/>
      <c r="DUP9" s="737"/>
      <c r="DUQ9" s="737"/>
      <c r="DUR9" s="737"/>
      <c r="DUS9" s="737"/>
      <c r="DUT9" s="737"/>
      <c r="DUU9" s="737"/>
      <c r="DUV9" s="737"/>
      <c r="DUW9" s="737"/>
      <c r="DUX9" s="737"/>
      <c r="DUY9" s="737"/>
      <c r="DUZ9" s="737"/>
      <c r="DVA9" s="737"/>
      <c r="DVB9" s="737"/>
      <c r="DVC9" s="737"/>
      <c r="DVD9" s="737"/>
      <c r="DVE9" s="737"/>
      <c r="DVF9" s="737"/>
      <c r="DVG9" s="737"/>
      <c r="DVH9" s="737"/>
      <c r="DVI9" s="737"/>
      <c r="DVJ9" s="737"/>
      <c r="DVK9" s="737"/>
      <c r="DVL9" s="737"/>
      <c r="DVM9" s="737"/>
      <c r="DVN9" s="737"/>
      <c r="DVO9" s="737"/>
      <c r="DVP9" s="737"/>
      <c r="DVQ9" s="737"/>
      <c r="DVR9" s="737"/>
      <c r="DVS9" s="737"/>
      <c r="DVT9" s="737"/>
      <c r="DVU9" s="737"/>
      <c r="DVV9" s="737"/>
      <c r="DVW9" s="737"/>
      <c r="DVX9" s="737"/>
      <c r="DVY9" s="737"/>
      <c r="DVZ9" s="737"/>
      <c r="DWA9" s="737"/>
      <c r="DWB9" s="737"/>
      <c r="DWC9" s="737"/>
      <c r="DWD9" s="737"/>
      <c r="DWE9" s="737"/>
      <c r="DWF9" s="737"/>
      <c r="DWG9" s="737"/>
      <c r="DWH9" s="737"/>
      <c r="DWI9" s="737"/>
      <c r="DWJ9" s="737"/>
      <c r="DWK9" s="737"/>
      <c r="DWL9" s="737"/>
      <c r="DWM9" s="737"/>
      <c r="DWN9" s="737"/>
      <c r="DWO9" s="737"/>
      <c r="DWP9" s="737"/>
      <c r="DWQ9" s="737"/>
      <c r="DWR9" s="737"/>
      <c r="DWS9" s="737"/>
      <c r="DWT9" s="737"/>
      <c r="DWU9" s="737"/>
      <c r="DWV9" s="737"/>
      <c r="DWW9" s="737"/>
      <c r="DWX9" s="737"/>
      <c r="DWY9" s="737"/>
      <c r="DWZ9" s="737"/>
      <c r="DXA9" s="737"/>
      <c r="DXB9" s="737"/>
      <c r="DXC9" s="737"/>
      <c r="DXD9" s="737"/>
      <c r="DXE9" s="737"/>
      <c r="DXF9" s="737"/>
      <c r="DXG9" s="737"/>
      <c r="DXH9" s="737"/>
      <c r="DXI9" s="737"/>
      <c r="DXJ9" s="737"/>
      <c r="DXK9" s="737"/>
      <c r="DXL9" s="737"/>
      <c r="DXM9" s="737"/>
      <c r="DXN9" s="737"/>
      <c r="DXO9" s="737"/>
      <c r="DXP9" s="737"/>
      <c r="DXQ9" s="737"/>
      <c r="DXR9" s="737"/>
      <c r="DXS9" s="737"/>
      <c r="DXT9" s="737"/>
      <c r="DXU9" s="737"/>
      <c r="DXV9" s="737"/>
      <c r="DXW9" s="737"/>
      <c r="DXX9" s="737"/>
      <c r="DXY9" s="737"/>
      <c r="DXZ9" s="737"/>
      <c r="DYA9" s="737"/>
      <c r="DYB9" s="737"/>
      <c r="DYC9" s="737"/>
      <c r="DYD9" s="737"/>
      <c r="DYE9" s="737"/>
      <c r="DYF9" s="737"/>
      <c r="DYG9" s="737"/>
      <c r="DYH9" s="737"/>
      <c r="DYI9" s="737"/>
      <c r="DYJ9" s="737"/>
      <c r="DYK9" s="737"/>
      <c r="DYL9" s="737"/>
      <c r="DYM9" s="737"/>
      <c r="DYN9" s="737"/>
      <c r="DYO9" s="737"/>
      <c r="DYP9" s="737"/>
      <c r="DYQ9" s="737"/>
      <c r="DYR9" s="737"/>
      <c r="DYS9" s="737"/>
      <c r="DYT9" s="737"/>
      <c r="DYU9" s="737"/>
      <c r="DYV9" s="737"/>
      <c r="DYW9" s="737"/>
      <c r="DYX9" s="737"/>
      <c r="DYY9" s="737"/>
      <c r="DYZ9" s="737"/>
      <c r="DZA9" s="737"/>
      <c r="DZB9" s="737"/>
      <c r="DZC9" s="737"/>
      <c r="DZD9" s="737"/>
      <c r="DZE9" s="737"/>
      <c r="DZF9" s="737"/>
      <c r="DZG9" s="737"/>
      <c r="DZH9" s="737"/>
      <c r="DZI9" s="737"/>
      <c r="DZJ9" s="737"/>
      <c r="DZK9" s="737"/>
      <c r="DZL9" s="737"/>
      <c r="DZM9" s="737"/>
      <c r="DZN9" s="737"/>
      <c r="DZO9" s="737"/>
      <c r="DZP9" s="737"/>
      <c r="DZQ9" s="737"/>
      <c r="DZR9" s="737"/>
      <c r="DZS9" s="737"/>
      <c r="DZT9" s="737"/>
      <c r="DZU9" s="737"/>
      <c r="DZV9" s="737"/>
      <c r="DZW9" s="737"/>
      <c r="DZX9" s="737"/>
      <c r="DZY9" s="737"/>
      <c r="DZZ9" s="737"/>
      <c r="EAA9" s="737"/>
      <c r="EAB9" s="737"/>
      <c r="EAC9" s="737"/>
      <c r="EAD9" s="737"/>
      <c r="EAE9" s="737"/>
      <c r="EAF9" s="737"/>
      <c r="EAG9" s="737"/>
      <c r="EAH9" s="737"/>
      <c r="EAI9" s="737"/>
      <c r="EAJ9" s="737"/>
      <c r="EAK9" s="737"/>
      <c r="EAL9" s="737"/>
      <c r="EAM9" s="737"/>
      <c r="EAN9" s="737"/>
      <c r="EAO9" s="737"/>
      <c r="EAP9" s="737"/>
      <c r="EAQ9" s="737"/>
      <c r="EAR9" s="737"/>
      <c r="EAS9" s="737"/>
      <c r="EAT9" s="737"/>
      <c r="EAU9" s="737"/>
      <c r="EAV9" s="737"/>
      <c r="EAW9" s="737"/>
      <c r="EAX9" s="737"/>
      <c r="EAY9" s="737"/>
      <c r="EAZ9" s="737"/>
      <c r="EBA9" s="737"/>
      <c r="EBB9" s="737"/>
      <c r="EBC9" s="737"/>
      <c r="EBD9" s="737"/>
      <c r="EBE9" s="737"/>
      <c r="EBF9" s="737"/>
      <c r="EBG9" s="737"/>
      <c r="EBH9" s="737"/>
      <c r="EBI9" s="737"/>
      <c r="EBJ9" s="737"/>
      <c r="EBK9" s="737"/>
      <c r="EBL9" s="737"/>
      <c r="EBM9" s="737"/>
      <c r="EBN9" s="737"/>
      <c r="EBO9" s="737"/>
      <c r="EBP9" s="737"/>
      <c r="EBQ9" s="737"/>
      <c r="EBR9" s="737"/>
      <c r="EBS9" s="737"/>
      <c r="EBT9" s="737"/>
      <c r="EBU9" s="737"/>
      <c r="EBV9" s="737"/>
      <c r="EBW9" s="737"/>
      <c r="EBX9" s="737"/>
      <c r="EBY9" s="737"/>
      <c r="EBZ9" s="737"/>
      <c r="ECA9" s="737"/>
      <c r="ECB9" s="737"/>
      <c r="ECC9" s="737"/>
      <c r="ECD9" s="737"/>
      <c r="ECE9" s="737"/>
      <c r="ECF9" s="737"/>
      <c r="ECG9" s="737"/>
      <c r="ECH9" s="737"/>
      <c r="ECI9" s="737"/>
      <c r="ECJ9" s="737"/>
      <c r="ECK9" s="737"/>
      <c r="ECL9" s="737"/>
      <c r="ECM9" s="737"/>
      <c r="ECN9" s="737"/>
      <c r="ECO9" s="737"/>
      <c r="ECP9" s="737"/>
      <c r="ECQ9" s="737"/>
      <c r="ECR9" s="737"/>
      <c r="ECS9" s="737"/>
      <c r="ECT9" s="737"/>
      <c r="ECU9" s="737"/>
      <c r="ECV9" s="737"/>
      <c r="ECW9" s="737"/>
      <c r="ECX9" s="737"/>
      <c r="ECY9" s="737"/>
      <c r="ECZ9" s="737"/>
      <c r="EDA9" s="737"/>
      <c r="EDB9" s="737"/>
      <c r="EDC9" s="737"/>
      <c r="EDD9" s="737"/>
      <c r="EDE9" s="737"/>
      <c r="EDF9" s="737"/>
      <c r="EDG9" s="737"/>
      <c r="EDH9" s="737"/>
      <c r="EDI9" s="737"/>
      <c r="EDJ9" s="737"/>
      <c r="EDK9" s="737"/>
      <c r="EDL9" s="737"/>
      <c r="EDM9" s="737"/>
      <c r="EDN9" s="737"/>
      <c r="EDO9" s="737"/>
      <c r="EDP9" s="737"/>
      <c r="EDQ9" s="737"/>
      <c r="EDR9" s="737"/>
      <c r="EDS9" s="737"/>
      <c r="EDT9" s="737"/>
      <c r="EDU9" s="737"/>
      <c r="EDV9" s="737"/>
      <c r="EDW9" s="737"/>
      <c r="EDX9" s="737"/>
      <c r="EDY9" s="737"/>
      <c r="EDZ9" s="737"/>
      <c r="EEA9" s="737"/>
      <c r="EEB9" s="737"/>
      <c r="EEC9" s="737"/>
      <c r="EED9" s="737"/>
      <c r="EEE9" s="737"/>
      <c r="EEF9" s="737"/>
      <c r="EEG9" s="737"/>
      <c r="EEH9" s="737"/>
      <c r="EEI9" s="737"/>
      <c r="EEJ9" s="737"/>
      <c r="EEK9" s="737"/>
      <c r="EEL9" s="737"/>
      <c r="EEM9" s="737"/>
      <c r="EEN9" s="737"/>
      <c r="EEO9" s="737"/>
      <c r="EEP9" s="737"/>
      <c r="EEQ9" s="737"/>
      <c r="EER9" s="737"/>
      <c r="EES9" s="737"/>
      <c r="EET9" s="737"/>
      <c r="EEU9" s="737"/>
      <c r="EEV9" s="737"/>
      <c r="EEW9" s="737"/>
      <c r="EEX9" s="737"/>
      <c r="EEY9" s="737"/>
      <c r="EEZ9" s="737"/>
      <c r="EFA9" s="737"/>
      <c r="EFB9" s="737"/>
      <c r="EFC9" s="737"/>
      <c r="EFD9" s="737"/>
      <c r="EFE9" s="737"/>
      <c r="EFF9" s="737"/>
      <c r="EFG9" s="737"/>
      <c r="EFH9" s="737"/>
      <c r="EFI9" s="737"/>
      <c r="EFJ9" s="737"/>
      <c r="EFK9" s="737"/>
      <c r="EFL9" s="737"/>
      <c r="EFM9" s="737"/>
      <c r="EFN9" s="737"/>
      <c r="EFO9" s="737"/>
      <c r="EFP9" s="737"/>
      <c r="EFQ9" s="737"/>
      <c r="EFR9" s="737"/>
      <c r="EFS9" s="737"/>
      <c r="EFT9" s="737"/>
      <c r="EFU9" s="737"/>
      <c r="EFV9" s="737"/>
      <c r="EFW9" s="737"/>
      <c r="EFX9" s="737"/>
      <c r="EFY9" s="737"/>
      <c r="EFZ9" s="737"/>
      <c r="EGA9" s="737"/>
      <c r="EGB9" s="737"/>
      <c r="EGC9" s="737"/>
      <c r="EGD9" s="737"/>
      <c r="EGE9" s="737"/>
      <c r="EGF9" s="737"/>
      <c r="EGG9" s="737"/>
      <c r="EGH9" s="737"/>
      <c r="EGI9" s="737"/>
      <c r="EGJ9" s="737"/>
      <c r="EGK9" s="737"/>
      <c r="EGL9" s="737"/>
      <c r="EGM9" s="737"/>
      <c r="EGN9" s="737"/>
      <c r="EGO9" s="737"/>
      <c r="EGP9" s="737"/>
      <c r="EGQ9" s="737"/>
      <c r="EGR9" s="737"/>
      <c r="EGS9" s="737"/>
      <c r="EGT9" s="737"/>
      <c r="EGU9" s="737"/>
      <c r="EGV9" s="737"/>
      <c r="EGW9" s="737"/>
      <c r="EGX9" s="737"/>
      <c r="EGY9" s="737"/>
      <c r="EGZ9" s="737"/>
      <c r="EHA9" s="737"/>
      <c r="EHB9" s="737"/>
      <c r="EHC9" s="737"/>
      <c r="EHD9" s="737"/>
      <c r="EHE9" s="737"/>
      <c r="EHF9" s="737"/>
      <c r="EHG9" s="737"/>
      <c r="EHH9" s="737"/>
      <c r="EHI9" s="737"/>
      <c r="EHJ9" s="737"/>
      <c r="EHK9" s="737"/>
      <c r="EHL9" s="737"/>
      <c r="EHM9" s="737"/>
      <c r="EHN9" s="737"/>
      <c r="EHO9" s="737"/>
      <c r="EHP9" s="737"/>
      <c r="EHQ9" s="737"/>
      <c r="EHR9" s="737"/>
      <c r="EHS9" s="737"/>
      <c r="EHT9" s="737"/>
      <c r="EHU9" s="737"/>
      <c r="EHV9" s="737"/>
      <c r="EHW9" s="737"/>
      <c r="EHX9" s="737"/>
      <c r="EHY9" s="737"/>
      <c r="EHZ9" s="737"/>
      <c r="EIA9" s="737"/>
      <c r="EIB9" s="737"/>
      <c r="EIC9" s="737"/>
      <c r="EID9" s="737"/>
      <c r="EIE9" s="737"/>
      <c r="EIF9" s="737"/>
      <c r="EIG9" s="737"/>
      <c r="EIH9" s="737"/>
      <c r="EII9" s="737"/>
      <c r="EIJ9" s="737"/>
      <c r="EIK9" s="737"/>
      <c r="EIL9" s="737"/>
      <c r="EIM9" s="737"/>
      <c r="EIN9" s="737"/>
      <c r="EIO9" s="737"/>
      <c r="EIP9" s="737"/>
      <c r="EIQ9" s="737"/>
      <c r="EIR9" s="737"/>
      <c r="EIS9" s="737"/>
      <c r="EIT9" s="737"/>
      <c r="EIU9" s="737"/>
      <c r="EIV9" s="737"/>
      <c r="EIW9" s="737"/>
      <c r="EIX9" s="737"/>
      <c r="EIY9" s="737"/>
      <c r="EIZ9" s="737"/>
      <c r="EJA9" s="737"/>
      <c r="EJB9" s="737"/>
      <c r="EJC9" s="737"/>
      <c r="EJD9" s="737"/>
      <c r="EJE9" s="737"/>
      <c r="EJF9" s="737"/>
      <c r="EJG9" s="737"/>
      <c r="EJH9" s="737"/>
      <c r="EJI9" s="737"/>
      <c r="EJJ9" s="737"/>
      <c r="EJK9" s="737"/>
      <c r="EJL9" s="737"/>
      <c r="EJM9" s="737"/>
      <c r="EJN9" s="737"/>
      <c r="EJO9" s="737"/>
      <c r="EJP9" s="737"/>
      <c r="EJQ9" s="737"/>
      <c r="EJR9" s="737"/>
      <c r="EJS9" s="737"/>
      <c r="EJT9" s="737"/>
      <c r="EJU9" s="737"/>
      <c r="EJV9" s="737"/>
      <c r="EJW9" s="737"/>
      <c r="EJX9" s="737"/>
      <c r="EJY9" s="737"/>
      <c r="EJZ9" s="737"/>
      <c r="EKA9" s="737"/>
      <c r="EKB9" s="737"/>
      <c r="EKC9" s="737"/>
      <c r="EKD9" s="737"/>
      <c r="EKE9" s="737"/>
      <c r="EKF9" s="737"/>
      <c r="EKG9" s="737"/>
      <c r="EKH9" s="737"/>
      <c r="EKI9" s="737"/>
      <c r="EKJ9" s="737"/>
      <c r="EKK9" s="737"/>
      <c r="EKL9" s="737"/>
      <c r="EKM9" s="737"/>
      <c r="EKN9" s="737"/>
      <c r="EKO9" s="737"/>
      <c r="EKP9" s="737"/>
      <c r="EKQ9" s="737"/>
      <c r="EKR9" s="737"/>
      <c r="EKS9" s="737"/>
      <c r="EKT9" s="737"/>
      <c r="EKU9" s="737"/>
      <c r="EKV9" s="737"/>
      <c r="EKW9" s="737"/>
      <c r="EKX9" s="737"/>
      <c r="EKY9" s="737"/>
      <c r="EKZ9" s="737"/>
      <c r="ELA9" s="737"/>
      <c r="ELB9" s="737"/>
      <c r="ELC9" s="737"/>
      <c r="ELD9" s="737"/>
      <c r="ELE9" s="737"/>
      <c r="ELF9" s="737"/>
      <c r="ELG9" s="737"/>
      <c r="ELH9" s="737"/>
      <c r="ELI9" s="737"/>
      <c r="ELJ9" s="737"/>
      <c r="ELK9" s="737"/>
      <c r="ELL9" s="737"/>
      <c r="ELM9" s="737"/>
      <c r="ELN9" s="737"/>
      <c r="ELO9" s="737"/>
      <c r="ELP9" s="737"/>
      <c r="ELQ9" s="737"/>
      <c r="ELR9" s="737"/>
      <c r="ELS9" s="737"/>
      <c r="ELT9" s="737"/>
      <c r="ELU9" s="737"/>
      <c r="ELV9" s="737"/>
      <c r="ELW9" s="737"/>
      <c r="ELX9" s="737"/>
      <c r="ELY9" s="737"/>
      <c r="ELZ9" s="737"/>
      <c r="EMA9" s="737"/>
      <c r="EMB9" s="737"/>
      <c r="EMC9" s="737"/>
      <c r="EMD9" s="737"/>
      <c r="EME9" s="737"/>
      <c r="EMF9" s="737"/>
      <c r="EMG9" s="737"/>
      <c r="EMH9" s="737"/>
      <c r="EMI9" s="737"/>
      <c r="EMJ9" s="737"/>
      <c r="EMK9" s="737"/>
      <c r="EML9" s="737"/>
      <c r="EMM9" s="737"/>
      <c r="EMN9" s="737"/>
      <c r="EMO9" s="737"/>
      <c r="EMP9" s="737"/>
      <c r="EMQ9" s="737"/>
      <c r="EMR9" s="737"/>
      <c r="EMS9" s="737"/>
      <c r="EMT9" s="737"/>
      <c r="EMU9" s="737"/>
      <c r="EMV9" s="737"/>
      <c r="EMW9" s="737"/>
      <c r="EMX9" s="737"/>
      <c r="EMY9" s="737"/>
      <c r="EMZ9" s="737"/>
      <c r="ENA9" s="737"/>
      <c r="ENB9" s="737"/>
      <c r="ENC9" s="737"/>
      <c r="END9" s="737"/>
      <c r="ENE9" s="737"/>
      <c r="ENF9" s="737"/>
      <c r="ENG9" s="737"/>
      <c r="ENH9" s="737"/>
      <c r="ENI9" s="737"/>
      <c r="ENJ9" s="737"/>
      <c r="ENK9" s="737"/>
      <c r="ENL9" s="737"/>
      <c r="ENM9" s="737"/>
      <c r="ENN9" s="737"/>
      <c r="ENO9" s="737"/>
      <c r="ENP9" s="737"/>
      <c r="ENQ9" s="737"/>
      <c r="ENR9" s="737"/>
      <c r="ENS9" s="737"/>
      <c r="ENT9" s="737"/>
      <c r="ENU9" s="737"/>
      <c r="ENV9" s="737"/>
      <c r="ENW9" s="737"/>
      <c r="ENX9" s="737"/>
      <c r="ENY9" s="737"/>
      <c r="ENZ9" s="737"/>
      <c r="EOA9" s="737"/>
      <c r="EOB9" s="737"/>
      <c r="EOC9" s="737"/>
      <c r="EOD9" s="737"/>
      <c r="EOE9" s="737"/>
      <c r="EOF9" s="737"/>
      <c r="EOG9" s="737"/>
      <c r="EOH9" s="737"/>
      <c r="EOI9" s="737"/>
      <c r="EOJ9" s="737"/>
      <c r="EOK9" s="737"/>
      <c r="EOL9" s="737"/>
      <c r="EOM9" s="737"/>
      <c r="EON9" s="737"/>
      <c r="EOO9" s="737"/>
      <c r="EOP9" s="737"/>
      <c r="EOQ9" s="737"/>
      <c r="EOR9" s="737"/>
      <c r="EOS9" s="737"/>
      <c r="EOT9" s="737"/>
      <c r="EOU9" s="737"/>
      <c r="EOV9" s="737"/>
      <c r="EOW9" s="737"/>
      <c r="EOX9" s="737"/>
      <c r="EOY9" s="737"/>
      <c r="EOZ9" s="737"/>
      <c r="EPA9" s="737"/>
      <c r="EPB9" s="737"/>
      <c r="EPC9" s="737"/>
      <c r="EPD9" s="737"/>
      <c r="EPE9" s="737"/>
      <c r="EPF9" s="737"/>
      <c r="EPG9" s="737"/>
      <c r="EPH9" s="737"/>
      <c r="EPI9" s="737"/>
      <c r="EPJ9" s="737"/>
      <c r="EPK9" s="737"/>
      <c r="EPL9" s="737"/>
      <c r="EPM9" s="737"/>
      <c r="EPN9" s="737"/>
      <c r="EPO9" s="737"/>
      <c r="EPP9" s="737"/>
      <c r="EPQ9" s="737"/>
      <c r="EPR9" s="737"/>
      <c r="EPS9" s="737"/>
      <c r="EPT9" s="737"/>
      <c r="EPU9" s="737"/>
      <c r="EPV9" s="737"/>
      <c r="EPW9" s="737"/>
      <c r="EPX9" s="737"/>
      <c r="EPY9" s="737"/>
      <c r="EPZ9" s="737"/>
      <c r="EQA9" s="737"/>
      <c r="EQB9" s="737"/>
      <c r="EQC9" s="737"/>
      <c r="EQD9" s="737"/>
      <c r="EQE9" s="737"/>
      <c r="EQF9" s="737"/>
      <c r="EQG9" s="737"/>
      <c r="EQH9" s="737"/>
      <c r="EQI9" s="737"/>
      <c r="EQJ9" s="737"/>
      <c r="EQK9" s="737"/>
      <c r="EQL9" s="737"/>
      <c r="EQM9" s="737"/>
      <c r="EQN9" s="737"/>
      <c r="EQO9" s="737"/>
      <c r="EQP9" s="737"/>
      <c r="EQQ9" s="737"/>
      <c r="EQR9" s="737"/>
      <c r="EQS9" s="737"/>
      <c r="EQT9" s="737"/>
      <c r="EQU9" s="737"/>
      <c r="EQV9" s="737"/>
      <c r="EQW9" s="737"/>
      <c r="EQX9" s="737"/>
      <c r="EQY9" s="737"/>
      <c r="EQZ9" s="737"/>
      <c r="ERA9" s="737"/>
      <c r="ERB9" s="737"/>
      <c r="ERC9" s="737"/>
      <c r="ERD9" s="737"/>
      <c r="ERE9" s="737"/>
      <c r="ERF9" s="737"/>
      <c r="ERG9" s="737"/>
      <c r="ERH9" s="737"/>
      <c r="ERI9" s="737"/>
      <c r="ERJ9" s="737"/>
      <c r="ERK9" s="737"/>
      <c r="ERL9" s="737"/>
      <c r="ERM9" s="737"/>
      <c r="ERN9" s="737"/>
      <c r="ERO9" s="737"/>
      <c r="ERP9" s="737"/>
      <c r="ERQ9" s="737"/>
      <c r="ERR9" s="737"/>
      <c r="ERS9" s="737"/>
      <c r="ERT9" s="737"/>
      <c r="ERU9" s="737"/>
      <c r="ERV9" s="737"/>
      <c r="ERW9" s="737"/>
      <c r="ERX9" s="737"/>
      <c r="ERY9" s="737"/>
      <c r="ERZ9" s="737"/>
      <c r="ESA9" s="737"/>
      <c r="ESB9" s="737"/>
      <c r="ESC9" s="737"/>
      <c r="ESD9" s="737"/>
      <c r="ESE9" s="737"/>
      <c r="ESF9" s="737"/>
      <c r="ESG9" s="737"/>
      <c r="ESH9" s="737"/>
      <c r="ESI9" s="737"/>
      <c r="ESJ9" s="737"/>
      <c r="ESK9" s="737"/>
      <c r="ESL9" s="737"/>
      <c r="ESM9" s="737"/>
      <c r="ESN9" s="737"/>
      <c r="ESO9" s="737"/>
      <c r="ESP9" s="737"/>
      <c r="ESQ9" s="737"/>
      <c r="ESR9" s="737"/>
      <c r="ESS9" s="737"/>
      <c r="EST9" s="737"/>
      <c r="ESU9" s="737"/>
      <c r="ESV9" s="737"/>
      <c r="ESW9" s="737"/>
      <c r="ESX9" s="737"/>
      <c r="ESY9" s="737"/>
      <c r="ESZ9" s="737"/>
      <c r="ETA9" s="737"/>
      <c r="ETB9" s="737"/>
      <c r="ETC9" s="737"/>
      <c r="ETD9" s="737"/>
      <c r="ETE9" s="737"/>
      <c r="ETF9" s="737"/>
      <c r="ETG9" s="737"/>
      <c r="ETH9" s="737"/>
      <c r="ETI9" s="737"/>
      <c r="ETJ9" s="737"/>
      <c r="ETK9" s="737"/>
      <c r="ETL9" s="737"/>
      <c r="ETM9" s="737"/>
      <c r="ETN9" s="737"/>
      <c r="ETO9" s="737"/>
      <c r="ETP9" s="737"/>
      <c r="ETQ9" s="737"/>
      <c r="ETR9" s="737"/>
      <c r="ETS9" s="737"/>
      <c r="ETT9" s="737"/>
      <c r="ETU9" s="737"/>
      <c r="ETV9" s="737"/>
      <c r="ETW9" s="737"/>
      <c r="ETX9" s="737"/>
      <c r="ETY9" s="737"/>
      <c r="ETZ9" s="737"/>
      <c r="EUA9" s="737"/>
      <c r="EUB9" s="737"/>
      <c r="EUC9" s="737"/>
      <c r="EUD9" s="737"/>
      <c r="EUE9" s="737"/>
      <c r="EUF9" s="737"/>
      <c r="EUG9" s="737"/>
      <c r="EUH9" s="737"/>
      <c r="EUI9" s="737"/>
      <c r="EUJ9" s="737"/>
      <c r="EUK9" s="737"/>
      <c r="EUL9" s="737"/>
      <c r="EUM9" s="737"/>
      <c r="EUN9" s="737"/>
      <c r="EUO9" s="737"/>
      <c r="EUP9" s="737"/>
      <c r="EUQ9" s="737"/>
      <c r="EUR9" s="737"/>
      <c r="EUS9" s="737"/>
      <c r="EUT9" s="737"/>
      <c r="EUU9" s="737"/>
      <c r="EUV9" s="737"/>
      <c r="EUW9" s="737"/>
      <c r="EUX9" s="737"/>
      <c r="EUY9" s="737"/>
      <c r="EUZ9" s="737"/>
      <c r="EVA9" s="737"/>
      <c r="EVB9" s="737"/>
      <c r="EVC9" s="737"/>
      <c r="EVD9" s="737"/>
      <c r="EVE9" s="737"/>
      <c r="EVF9" s="737"/>
      <c r="EVG9" s="737"/>
      <c r="EVH9" s="737"/>
      <c r="EVI9" s="737"/>
      <c r="EVJ9" s="737"/>
      <c r="EVK9" s="737"/>
      <c r="EVL9" s="737"/>
      <c r="EVM9" s="737"/>
      <c r="EVN9" s="737"/>
      <c r="EVO9" s="737"/>
      <c r="EVP9" s="737"/>
      <c r="EVQ9" s="737"/>
      <c r="EVR9" s="737"/>
      <c r="EVS9" s="737"/>
      <c r="EVT9" s="737"/>
      <c r="EVU9" s="737"/>
      <c r="EVV9" s="737"/>
      <c r="EVW9" s="737"/>
      <c r="EVX9" s="737"/>
      <c r="EVY9" s="737"/>
      <c r="EVZ9" s="737"/>
      <c r="EWA9" s="737"/>
      <c r="EWB9" s="737"/>
      <c r="EWC9" s="737"/>
      <c r="EWD9" s="737"/>
      <c r="EWE9" s="737"/>
      <c r="EWF9" s="737"/>
      <c r="EWG9" s="737"/>
      <c r="EWH9" s="737"/>
      <c r="EWI9" s="737"/>
      <c r="EWJ9" s="737"/>
      <c r="EWK9" s="737"/>
      <c r="EWL9" s="737"/>
      <c r="EWM9" s="737"/>
      <c r="EWN9" s="737"/>
      <c r="EWO9" s="737"/>
      <c r="EWP9" s="737"/>
      <c r="EWQ9" s="737"/>
      <c r="EWR9" s="737"/>
      <c r="EWS9" s="737"/>
      <c r="EWT9" s="737"/>
      <c r="EWU9" s="737"/>
      <c r="EWV9" s="737"/>
      <c r="EWW9" s="737"/>
      <c r="EWX9" s="737"/>
      <c r="EWY9" s="737"/>
      <c r="EWZ9" s="737"/>
      <c r="EXA9" s="737"/>
      <c r="EXB9" s="737"/>
      <c r="EXC9" s="737"/>
      <c r="EXD9" s="737"/>
      <c r="EXE9" s="737"/>
      <c r="EXF9" s="737"/>
      <c r="EXG9" s="737"/>
      <c r="EXH9" s="737"/>
      <c r="EXI9" s="737"/>
      <c r="EXJ9" s="737"/>
      <c r="EXK9" s="737"/>
      <c r="EXL9" s="737"/>
      <c r="EXM9" s="737"/>
      <c r="EXN9" s="737"/>
      <c r="EXO9" s="737"/>
      <c r="EXP9" s="737"/>
      <c r="EXQ9" s="737"/>
      <c r="EXR9" s="737"/>
      <c r="EXS9" s="737"/>
      <c r="EXT9" s="737"/>
      <c r="EXU9" s="737"/>
      <c r="EXV9" s="737"/>
      <c r="EXW9" s="737"/>
      <c r="EXX9" s="737"/>
      <c r="EXY9" s="737"/>
      <c r="EXZ9" s="737"/>
      <c r="EYA9" s="737"/>
      <c r="EYB9" s="737"/>
      <c r="EYC9" s="737"/>
      <c r="EYD9" s="737"/>
      <c r="EYE9" s="737"/>
      <c r="EYF9" s="737"/>
      <c r="EYG9" s="737"/>
      <c r="EYH9" s="737"/>
      <c r="EYI9" s="737"/>
      <c r="EYJ9" s="737"/>
      <c r="EYK9" s="737"/>
      <c r="EYL9" s="737"/>
      <c r="EYM9" s="737"/>
      <c r="EYN9" s="737"/>
      <c r="EYO9" s="737"/>
      <c r="EYP9" s="737"/>
      <c r="EYQ9" s="737"/>
      <c r="EYR9" s="737"/>
      <c r="EYS9" s="737"/>
      <c r="EYT9" s="737"/>
      <c r="EYU9" s="737"/>
      <c r="EYV9" s="737"/>
      <c r="EYW9" s="737"/>
      <c r="EYX9" s="737"/>
      <c r="EYY9" s="737"/>
      <c r="EYZ9" s="737"/>
      <c r="EZA9" s="737"/>
      <c r="EZB9" s="737"/>
      <c r="EZC9" s="737"/>
      <c r="EZD9" s="737"/>
      <c r="EZE9" s="737"/>
      <c r="EZF9" s="737"/>
      <c r="EZG9" s="737"/>
      <c r="EZH9" s="737"/>
      <c r="EZI9" s="737"/>
      <c r="EZJ9" s="737"/>
      <c r="EZK9" s="737"/>
      <c r="EZL9" s="737"/>
      <c r="EZM9" s="737"/>
      <c r="EZN9" s="737"/>
      <c r="EZO9" s="737"/>
      <c r="EZP9" s="737"/>
      <c r="EZQ9" s="737"/>
      <c r="EZR9" s="737"/>
      <c r="EZS9" s="737"/>
      <c r="EZT9" s="737"/>
      <c r="EZU9" s="737"/>
      <c r="EZV9" s="737"/>
      <c r="EZW9" s="737"/>
      <c r="EZX9" s="737"/>
      <c r="EZY9" s="737"/>
      <c r="EZZ9" s="737"/>
      <c r="FAA9" s="737"/>
      <c r="FAB9" s="737"/>
      <c r="FAC9" s="737"/>
      <c r="FAD9" s="737"/>
      <c r="FAE9" s="737"/>
      <c r="FAF9" s="737"/>
      <c r="FAG9" s="737"/>
      <c r="FAH9" s="737"/>
      <c r="FAI9" s="737"/>
      <c r="FAJ9" s="737"/>
      <c r="FAK9" s="737"/>
      <c r="FAL9" s="737"/>
      <c r="FAM9" s="737"/>
      <c r="FAN9" s="737"/>
      <c r="FAO9" s="737"/>
      <c r="FAP9" s="737"/>
      <c r="FAQ9" s="737"/>
      <c r="FAR9" s="737"/>
      <c r="FAS9" s="737"/>
      <c r="FAT9" s="737"/>
      <c r="FAU9" s="737"/>
      <c r="FAV9" s="737"/>
      <c r="FAW9" s="737"/>
      <c r="FAX9" s="737"/>
      <c r="FAY9" s="737"/>
      <c r="FAZ9" s="737"/>
      <c r="FBA9" s="737"/>
      <c r="FBB9" s="737"/>
      <c r="FBC9" s="737"/>
      <c r="FBD9" s="737"/>
      <c r="FBE9" s="737"/>
      <c r="FBF9" s="737"/>
      <c r="FBG9" s="737"/>
      <c r="FBH9" s="737"/>
      <c r="FBI9" s="737"/>
      <c r="FBJ9" s="737"/>
      <c r="FBK9" s="737"/>
      <c r="FBL9" s="737"/>
      <c r="FBM9" s="737"/>
      <c r="FBN9" s="737"/>
      <c r="FBO9" s="737"/>
      <c r="FBP9" s="737"/>
      <c r="FBQ9" s="737"/>
      <c r="FBR9" s="737"/>
      <c r="FBS9" s="737"/>
      <c r="FBT9" s="737"/>
      <c r="FBU9" s="737"/>
      <c r="FBV9" s="737"/>
      <c r="FBW9" s="737"/>
      <c r="FBX9" s="737"/>
      <c r="FBY9" s="737"/>
      <c r="FBZ9" s="737"/>
      <c r="FCA9" s="737"/>
      <c r="FCB9" s="737"/>
      <c r="FCC9" s="737"/>
      <c r="FCD9" s="737"/>
      <c r="FCE9" s="737"/>
      <c r="FCF9" s="737"/>
      <c r="FCG9" s="737"/>
      <c r="FCH9" s="737"/>
      <c r="FCI9" s="737"/>
      <c r="FCJ9" s="737"/>
      <c r="FCK9" s="737"/>
      <c r="FCL9" s="737"/>
      <c r="FCM9" s="737"/>
      <c r="FCN9" s="737"/>
      <c r="FCO9" s="737"/>
      <c r="FCP9" s="737"/>
      <c r="FCQ9" s="737"/>
      <c r="FCR9" s="737"/>
      <c r="FCS9" s="737"/>
      <c r="FCT9" s="737"/>
      <c r="FCU9" s="737"/>
      <c r="FCV9" s="737"/>
      <c r="FCW9" s="737"/>
      <c r="FCX9" s="737"/>
      <c r="FCY9" s="737"/>
      <c r="FCZ9" s="737"/>
      <c r="FDA9" s="737"/>
      <c r="FDB9" s="737"/>
      <c r="FDC9" s="737"/>
      <c r="FDD9" s="737"/>
      <c r="FDE9" s="737"/>
      <c r="FDF9" s="737"/>
      <c r="FDG9" s="737"/>
      <c r="FDH9" s="737"/>
      <c r="FDI9" s="737"/>
      <c r="FDJ9" s="737"/>
      <c r="FDK9" s="737"/>
      <c r="FDL9" s="737"/>
      <c r="FDM9" s="737"/>
      <c r="FDN9" s="737"/>
      <c r="FDO9" s="737"/>
      <c r="FDP9" s="737"/>
      <c r="FDQ9" s="737"/>
      <c r="FDR9" s="737"/>
      <c r="FDS9" s="737"/>
      <c r="FDT9" s="737"/>
      <c r="FDU9" s="737"/>
      <c r="FDV9" s="737"/>
      <c r="FDW9" s="737"/>
      <c r="FDX9" s="737"/>
      <c r="FDY9" s="737"/>
      <c r="FDZ9" s="737"/>
      <c r="FEA9" s="737"/>
      <c r="FEB9" s="737"/>
      <c r="FEC9" s="737"/>
      <c r="FED9" s="737"/>
      <c r="FEE9" s="737"/>
      <c r="FEF9" s="737"/>
      <c r="FEG9" s="737"/>
      <c r="FEH9" s="737"/>
      <c r="FEI9" s="737"/>
      <c r="FEJ9" s="737"/>
      <c r="FEK9" s="737"/>
      <c r="FEL9" s="737"/>
      <c r="FEM9" s="737"/>
      <c r="FEN9" s="737"/>
      <c r="FEO9" s="737"/>
      <c r="FEP9" s="737"/>
      <c r="FEQ9" s="737"/>
      <c r="FER9" s="737"/>
      <c r="FES9" s="737"/>
      <c r="FET9" s="737"/>
      <c r="FEU9" s="737"/>
      <c r="FEV9" s="737"/>
      <c r="FEW9" s="737"/>
      <c r="FEX9" s="737"/>
      <c r="FEY9" s="737"/>
      <c r="FEZ9" s="737"/>
      <c r="FFA9" s="737"/>
      <c r="FFB9" s="737"/>
      <c r="FFC9" s="737"/>
      <c r="FFD9" s="737"/>
      <c r="FFE9" s="737"/>
      <c r="FFF9" s="737"/>
      <c r="FFG9" s="737"/>
      <c r="FFH9" s="737"/>
      <c r="FFI9" s="737"/>
      <c r="FFJ9" s="737"/>
      <c r="FFK9" s="737"/>
      <c r="FFL9" s="737"/>
      <c r="FFM9" s="737"/>
      <c r="FFN9" s="737"/>
      <c r="FFO9" s="737"/>
      <c r="FFP9" s="737"/>
      <c r="FFQ9" s="737"/>
      <c r="FFR9" s="737"/>
      <c r="FFS9" s="737"/>
      <c r="FFT9" s="737"/>
      <c r="FFU9" s="737"/>
      <c r="FFV9" s="737"/>
      <c r="FFW9" s="737"/>
      <c r="FFX9" s="737"/>
      <c r="FFY9" s="737"/>
      <c r="FFZ9" s="737"/>
      <c r="FGA9" s="737"/>
      <c r="FGB9" s="737"/>
      <c r="FGC9" s="737"/>
      <c r="FGD9" s="737"/>
      <c r="FGE9" s="737"/>
      <c r="FGF9" s="737"/>
      <c r="FGG9" s="737"/>
      <c r="FGH9" s="737"/>
      <c r="FGI9" s="737"/>
      <c r="FGJ9" s="737"/>
      <c r="FGK9" s="737"/>
      <c r="FGL9" s="737"/>
      <c r="FGM9" s="737"/>
      <c r="FGN9" s="737"/>
      <c r="FGO9" s="737"/>
      <c r="FGP9" s="737"/>
      <c r="FGQ9" s="737"/>
      <c r="FGR9" s="737"/>
      <c r="FGS9" s="737"/>
      <c r="FGT9" s="737"/>
      <c r="FGU9" s="737"/>
      <c r="FGV9" s="737"/>
      <c r="FGW9" s="737"/>
      <c r="FGX9" s="737"/>
      <c r="FGY9" s="737"/>
      <c r="FGZ9" s="737"/>
      <c r="FHA9" s="737"/>
      <c r="FHB9" s="737"/>
      <c r="FHC9" s="737"/>
      <c r="FHD9" s="737"/>
      <c r="FHE9" s="737"/>
      <c r="FHF9" s="737"/>
      <c r="FHG9" s="737"/>
      <c r="FHH9" s="737"/>
      <c r="FHI9" s="737"/>
      <c r="FHJ9" s="737"/>
      <c r="FHK9" s="737"/>
      <c r="FHL9" s="737"/>
      <c r="FHM9" s="737"/>
      <c r="FHN9" s="737"/>
      <c r="FHO9" s="737"/>
      <c r="FHP9" s="737"/>
      <c r="FHQ9" s="737"/>
      <c r="FHR9" s="737"/>
      <c r="FHS9" s="737"/>
      <c r="FHT9" s="737"/>
      <c r="FHU9" s="737"/>
      <c r="FHV9" s="737"/>
      <c r="FHW9" s="737"/>
      <c r="FHX9" s="737"/>
      <c r="FHY9" s="737"/>
      <c r="FHZ9" s="737"/>
      <c r="FIA9" s="737"/>
      <c r="FIB9" s="737"/>
      <c r="FIC9" s="737"/>
      <c r="FID9" s="737"/>
      <c r="FIE9" s="737"/>
      <c r="FIF9" s="737"/>
      <c r="FIG9" s="737"/>
      <c r="FIH9" s="737"/>
      <c r="FII9" s="737"/>
      <c r="FIJ9" s="737"/>
      <c r="FIK9" s="737"/>
      <c r="FIL9" s="737"/>
      <c r="FIM9" s="737"/>
      <c r="FIN9" s="737"/>
      <c r="FIO9" s="737"/>
      <c r="FIP9" s="737"/>
      <c r="FIQ9" s="737"/>
      <c r="FIR9" s="737"/>
      <c r="FIS9" s="737"/>
      <c r="FIT9" s="737"/>
      <c r="FIU9" s="737"/>
      <c r="FIV9" s="737"/>
      <c r="FIW9" s="737"/>
      <c r="FIX9" s="737"/>
      <c r="FIY9" s="737"/>
      <c r="FIZ9" s="737"/>
      <c r="FJA9" s="737"/>
      <c r="FJB9" s="737"/>
      <c r="FJC9" s="737"/>
      <c r="FJD9" s="737"/>
      <c r="FJE9" s="737"/>
      <c r="FJF9" s="737"/>
      <c r="FJG9" s="737"/>
      <c r="FJH9" s="737"/>
      <c r="FJI9" s="737"/>
      <c r="FJJ9" s="737"/>
      <c r="FJK9" s="737"/>
      <c r="FJL9" s="737"/>
      <c r="FJM9" s="737"/>
      <c r="FJN9" s="737"/>
      <c r="FJO9" s="737"/>
      <c r="FJP9" s="737"/>
      <c r="FJQ9" s="737"/>
      <c r="FJR9" s="737"/>
      <c r="FJS9" s="737"/>
      <c r="FJT9" s="737"/>
      <c r="FJU9" s="737"/>
      <c r="FJV9" s="737"/>
      <c r="FJW9" s="737"/>
      <c r="FJX9" s="737"/>
      <c r="FJY9" s="737"/>
      <c r="FJZ9" s="737"/>
      <c r="FKA9" s="737"/>
      <c r="FKB9" s="737"/>
      <c r="FKC9" s="737"/>
      <c r="FKD9" s="737"/>
      <c r="FKE9" s="737"/>
      <c r="FKF9" s="737"/>
      <c r="FKG9" s="737"/>
      <c r="FKH9" s="737"/>
      <c r="FKI9" s="737"/>
      <c r="FKJ9" s="737"/>
      <c r="FKK9" s="737"/>
      <c r="FKL9" s="737"/>
      <c r="FKM9" s="737"/>
      <c r="FKN9" s="737"/>
      <c r="FKO9" s="737"/>
      <c r="FKP9" s="737"/>
      <c r="FKQ9" s="737"/>
      <c r="FKR9" s="737"/>
      <c r="FKS9" s="737"/>
      <c r="FKT9" s="737"/>
      <c r="FKU9" s="737"/>
      <c r="FKV9" s="737"/>
      <c r="FKW9" s="737"/>
      <c r="FKX9" s="737"/>
      <c r="FKY9" s="737"/>
      <c r="FKZ9" s="737"/>
      <c r="FLA9" s="737"/>
      <c r="FLB9" s="737"/>
      <c r="FLC9" s="737"/>
      <c r="FLD9" s="737"/>
      <c r="FLE9" s="737"/>
      <c r="FLF9" s="737"/>
      <c r="FLG9" s="737"/>
      <c r="FLH9" s="737"/>
      <c r="FLI9" s="737"/>
      <c r="FLJ9" s="737"/>
      <c r="FLK9" s="737"/>
      <c r="FLL9" s="737"/>
      <c r="FLM9" s="737"/>
      <c r="FLN9" s="737"/>
      <c r="FLO9" s="737"/>
      <c r="FLP9" s="737"/>
      <c r="FLQ9" s="737"/>
      <c r="FLR9" s="737"/>
      <c r="FLS9" s="737"/>
      <c r="FLT9" s="737"/>
      <c r="FLU9" s="737"/>
      <c r="FLV9" s="737"/>
      <c r="FLW9" s="737"/>
      <c r="FLX9" s="737"/>
      <c r="FLY9" s="737"/>
      <c r="FLZ9" s="737"/>
      <c r="FMA9" s="737"/>
      <c r="FMB9" s="737"/>
      <c r="FMC9" s="737"/>
      <c r="FMD9" s="737"/>
      <c r="FME9" s="737"/>
      <c r="FMF9" s="737"/>
      <c r="FMG9" s="737"/>
      <c r="FMH9" s="737"/>
      <c r="FMI9" s="737"/>
      <c r="FMJ9" s="737"/>
      <c r="FMK9" s="737"/>
      <c r="FML9" s="737"/>
      <c r="FMM9" s="737"/>
      <c r="FMN9" s="737"/>
      <c r="FMO9" s="737"/>
      <c r="FMP9" s="737"/>
      <c r="FMQ9" s="737"/>
      <c r="FMR9" s="737"/>
      <c r="FMS9" s="737"/>
      <c r="FMT9" s="737"/>
      <c r="FMU9" s="737"/>
      <c r="FMV9" s="737"/>
      <c r="FMW9" s="737"/>
      <c r="FMX9" s="737"/>
      <c r="FMY9" s="737"/>
      <c r="FMZ9" s="737"/>
      <c r="FNA9" s="737"/>
      <c r="FNB9" s="737"/>
      <c r="FNC9" s="737"/>
      <c r="FND9" s="737"/>
      <c r="FNE9" s="737"/>
      <c r="FNF9" s="737"/>
      <c r="FNG9" s="737"/>
      <c r="FNH9" s="737"/>
      <c r="FNI9" s="737"/>
      <c r="FNJ9" s="737"/>
      <c r="FNK9" s="737"/>
      <c r="FNL9" s="737"/>
      <c r="FNM9" s="737"/>
      <c r="FNN9" s="737"/>
      <c r="FNO9" s="737"/>
      <c r="FNP9" s="737"/>
      <c r="FNQ9" s="737"/>
      <c r="FNR9" s="737"/>
      <c r="FNS9" s="737"/>
      <c r="FNT9" s="737"/>
      <c r="FNU9" s="737"/>
      <c r="FNV9" s="737"/>
      <c r="FNW9" s="737"/>
      <c r="FNX9" s="737"/>
      <c r="FNY9" s="737"/>
      <c r="FNZ9" s="737"/>
      <c r="FOA9" s="737"/>
      <c r="FOB9" s="737"/>
      <c r="FOC9" s="737"/>
      <c r="FOD9" s="737"/>
      <c r="FOE9" s="737"/>
      <c r="FOF9" s="737"/>
      <c r="FOG9" s="737"/>
      <c r="FOH9" s="737"/>
      <c r="FOI9" s="737"/>
      <c r="FOJ9" s="737"/>
      <c r="FOK9" s="737"/>
      <c r="FOL9" s="737"/>
      <c r="FOM9" s="737"/>
      <c r="FON9" s="737"/>
      <c r="FOO9" s="737"/>
      <c r="FOP9" s="737"/>
      <c r="FOQ9" s="737"/>
      <c r="FOR9" s="737"/>
      <c r="FOS9" s="737"/>
      <c r="FOT9" s="737"/>
      <c r="FOU9" s="737"/>
      <c r="FOV9" s="737"/>
      <c r="FOW9" s="737"/>
      <c r="FOX9" s="737"/>
      <c r="FOY9" s="737"/>
      <c r="FOZ9" s="737"/>
      <c r="FPA9" s="737"/>
      <c r="FPB9" s="737"/>
      <c r="FPC9" s="737"/>
      <c r="FPD9" s="737"/>
      <c r="FPE9" s="737"/>
      <c r="FPF9" s="737"/>
      <c r="FPG9" s="737"/>
      <c r="FPH9" s="737"/>
      <c r="FPI9" s="737"/>
      <c r="FPJ9" s="737"/>
      <c r="FPK9" s="737"/>
      <c r="FPL9" s="737"/>
      <c r="FPM9" s="737"/>
      <c r="FPN9" s="737"/>
      <c r="FPO9" s="737"/>
      <c r="FPP9" s="737"/>
      <c r="FPQ9" s="737"/>
      <c r="FPR9" s="737"/>
      <c r="FPS9" s="737"/>
      <c r="FPT9" s="737"/>
      <c r="FPU9" s="737"/>
      <c r="FPV9" s="737"/>
      <c r="FPW9" s="737"/>
      <c r="FPX9" s="737"/>
      <c r="FPY9" s="737"/>
      <c r="FPZ9" s="737"/>
      <c r="FQA9" s="737"/>
      <c r="FQB9" s="737"/>
      <c r="FQC9" s="737"/>
      <c r="FQD9" s="737"/>
      <c r="FQE9" s="737"/>
      <c r="FQF9" s="737"/>
      <c r="FQG9" s="737"/>
      <c r="FQH9" s="737"/>
      <c r="FQI9" s="737"/>
      <c r="FQJ9" s="737"/>
      <c r="FQK9" s="737"/>
      <c r="FQL9" s="737"/>
      <c r="FQM9" s="737"/>
      <c r="FQN9" s="737"/>
      <c r="FQO9" s="737"/>
      <c r="FQP9" s="737"/>
      <c r="FQQ9" s="737"/>
      <c r="FQR9" s="737"/>
      <c r="FQS9" s="737"/>
      <c r="FQT9" s="737"/>
      <c r="FQU9" s="737"/>
      <c r="FQV9" s="737"/>
      <c r="FQW9" s="737"/>
      <c r="FQX9" s="737"/>
      <c r="FQY9" s="737"/>
      <c r="FQZ9" s="737"/>
      <c r="FRA9" s="737"/>
      <c r="FRB9" s="737"/>
      <c r="FRC9" s="737"/>
      <c r="FRD9" s="737"/>
      <c r="FRE9" s="737"/>
      <c r="FRF9" s="737"/>
      <c r="FRG9" s="737"/>
      <c r="FRH9" s="737"/>
      <c r="FRI9" s="737"/>
      <c r="FRJ9" s="737"/>
      <c r="FRK9" s="737"/>
      <c r="FRL9" s="737"/>
      <c r="FRM9" s="737"/>
      <c r="FRN9" s="737"/>
      <c r="FRO9" s="737"/>
      <c r="FRP9" s="737"/>
      <c r="FRQ9" s="737"/>
      <c r="FRR9" s="737"/>
      <c r="FRS9" s="737"/>
      <c r="FRT9" s="737"/>
      <c r="FRU9" s="737"/>
      <c r="FRV9" s="737"/>
      <c r="FRW9" s="737"/>
      <c r="FRX9" s="737"/>
      <c r="FRY9" s="737"/>
      <c r="FRZ9" s="737"/>
      <c r="FSA9" s="737"/>
      <c r="FSB9" s="737"/>
      <c r="FSC9" s="737"/>
      <c r="FSD9" s="737"/>
      <c r="FSE9" s="737"/>
      <c r="FSF9" s="737"/>
      <c r="FSG9" s="737"/>
      <c r="FSH9" s="737"/>
      <c r="FSI9" s="737"/>
      <c r="FSJ9" s="737"/>
      <c r="FSK9" s="737"/>
      <c r="FSL9" s="737"/>
      <c r="FSM9" s="737"/>
      <c r="FSN9" s="737"/>
      <c r="FSO9" s="737"/>
      <c r="FSP9" s="737"/>
      <c r="FSQ9" s="737"/>
      <c r="FSR9" s="737"/>
      <c r="FSS9" s="737"/>
      <c r="FST9" s="737"/>
      <c r="FSU9" s="737"/>
      <c r="FSV9" s="737"/>
      <c r="FSW9" s="737"/>
      <c r="FSX9" s="737"/>
      <c r="FSY9" s="737"/>
      <c r="FSZ9" s="737"/>
      <c r="FTA9" s="737"/>
      <c r="FTB9" s="737"/>
      <c r="FTC9" s="737"/>
      <c r="FTD9" s="737"/>
      <c r="FTE9" s="737"/>
      <c r="FTF9" s="737"/>
      <c r="FTG9" s="737"/>
      <c r="FTH9" s="737"/>
      <c r="FTI9" s="737"/>
      <c r="FTJ9" s="737"/>
      <c r="FTK9" s="737"/>
      <c r="FTL9" s="737"/>
      <c r="FTM9" s="737"/>
      <c r="FTN9" s="737"/>
      <c r="FTO9" s="737"/>
      <c r="FTP9" s="737"/>
      <c r="FTQ9" s="737"/>
      <c r="FTR9" s="737"/>
      <c r="FTS9" s="737"/>
      <c r="FTT9" s="737"/>
      <c r="FTU9" s="737"/>
      <c r="FTV9" s="737"/>
      <c r="FTW9" s="737"/>
      <c r="FTX9" s="737"/>
      <c r="FTY9" s="737"/>
      <c r="FTZ9" s="737"/>
      <c r="FUA9" s="737"/>
      <c r="FUB9" s="737"/>
      <c r="FUC9" s="737"/>
      <c r="FUD9" s="737"/>
      <c r="FUE9" s="737"/>
      <c r="FUF9" s="737"/>
      <c r="FUG9" s="737"/>
      <c r="FUH9" s="737"/>
      <c r="FUI9" s="737"/>
      <c r="FUJ9" s="737"/>
      <c r="FUK9" s="737"/>
      <c r="FUL9" s="737"/>
      <c r="FUM9" s="737"/>
      <c r="FUN9" s="737"/>
      <c r="FUO9" s="737"/>
      <c r="FUP9" s="737"/>
      <c r="FUQ9" s="737"/>
      <c r="FUR9" s="737"/>
      <c r="FUS9" s="737"/>
      <c r="FUT9" s="737"/>
      <c r="FUU9" s="737"/>
      <c r="FUV9" s="737"/>
      <c r="FUW9" s="737"/>
      <c r="FUX9" s="737"/>
      <c r="FUY9" s="737"/>
      <c r="FUZ9" s="737"/>
      <c r="FVA9" s="737"/>
      <c r="FVB9" s="737"/>
      <c r="FVC9" s="737"/>
      <c r="FVD9" s="737"/>
      <c r="FVE9" s="737"/>
      <c r="FVF9" s="737"/>
      <c r="FVG9" s="737"/>
      <c r="FVH9" s="737"/>
      <c r="FVI9" s="737"/>
      <c r="FVJ9" s="737"/>
      <c r="FVK9" s="737"/>
      <c r="FVL9" s="737"/>
      <c r="FVM9" s="737"/>
      <c r="FVN9" s="737"/>
      <c r="FVO9" s="737"/>
      <c r="FVP9" s="737"/>
      <c r="FVQ9" s="737"/>
      <c r="FVR9" s="737"/>
      <c r="FVS9" s="737"/>
      <c r="FVT9" s="737"/>
      <c r="FVU9" s="737"/>
      <c r="FVV9" s="737"/>
      <c r="FVW9" s="737"/>
      <c r="FVX9" s="737"/>
      <c r="FVY9" s="737"/>
      <c r="FVZ9" s="737"/>
      <c r="FWA9" s="737"/>
      <c r="FWB9" s="737"/>
      <c r="FWC9" s="737"/>
      <c r="FWD9" s="737"/>
      <c r="FWE9" s="737"/>
      <c r="FWF9" s="737"/>
      <c r="FWG9" s="737"/>
      <c r="FWH9" s="737"/>
      <c r="FWI9" s="737"/>
      <c r="FWJ9" s="737"/>
      <c r="FWK9" s="737"/>
      <c r="FWL9" s="737"/>
      <c r="FWM9" s="737"/>
      <c r="FWN9" s="737"/>
      <c r="FWO9" s="737"/>
      <c r="FWP9" s="737"/>
      <c r="FWQ9" s="737"/>
      <c r="FWR9" s="737"/>
      <c r="FWS9" s="737"/>
      <c r="FWT9" s="737"/>
      <c r="FWU9" s="737"/>
      <c r="FWV9" s="737"/>
      <c r="FWW9" s="737"/>
      <c r="FWX9" s="737"/>
      <c r="FWY9" s="737"/>
      <c r="FWZ9" s="737"/>
      <c r="FXA9" s="737"/>
      <c r="FXB9" s="737"/>
      <c r="FXC9" s="737"/>
      <c r="FXD9" s="737"/>
      <c r="FXE9" s="737"/>
      <c r="FXF9" s="737"/>
      <c r="FXG9" s="737"/>
      <c r="FXH9" s="737"/>
      <c r="FXI9" s="737"/>
      <c r="FXJ9" s="737"/>
      <c r="FXK9" s="737"/>
      <c r="FXL9" s="737"/>
      <c r="FXM9" s="737"/>
      <c r="FXN9" s="737"/>
      <c r="FXO9" s="737"/>
      <c r="FXP9" s="737"/>
      <c r="FXQ9" s="737"/>
      <c r="FXR9" s="737"/>
      <c r="FXS9" s="737"/>
      <c r="FXT9" s="737"/>
      <c r="FXU9" s="737"/>
      <c r="FXV9" s="737"/>
      <c r="FXW9" s="737"/>
      <c r="FXX9" s="737"/>
      <c r="FXY9" s="737"/>
      <c r="FXZ9" s="737"/>
      <c r="FYA9" s="737"/>
      <c r="FYB9" s="737"/>
      <c r="FYC9" s="737"/>
      <c r="FYD9" s="737"/>
      <c r="FYE9" s="737"/>
      <c r="FYF9" s="737"/>
      <c r="FYG9" s="737"/>
      <c r="FYH9" s="737"/>
      <c r="FYI9" s="737"/>
      <c r="FYJ9" s="737"/>
      <c r="FYK9" s="737"/>
      <c r="FYL9" s="737"/>
      <c r="FYM9" s="737"/>
      <c r="FYN9" s="737"/>
      <c r="FYO9" s="737"/>
      <c r="FYP9" s="737"/>
      <c r="FYQ9" s="737"/>
      <c r="FYR9" s="737"/>
      <c r="FYS9" s="737"/>
      <c r="FYT9" s="737"/>
      <c r="FYU9" s="737"/>
      <c r="FYV9" s="737"/>
      <c r="FYW9" s="737"/>
      <c r="FYX9" s="737"/>
      <c r="FYY9" s="737"/>
      <c r="FYZ9" s="737"/>
      <c r="FZA9" s="737"/>
      <c r="FZB9" s="737"/>
      <c r="FZC9" s="737"/>
      <c r="FZD9" s="737"/>
      <c r="FZE9" s="737"/>
      <c r="FZF9" s="737"/>
      <c r="FZG9" s="737"/>
      <c r="FZH9" s="737"/>
      <c r="FZI9" s="737"/>
      <c r="FZJ9" s="737"/>
      <c r="FZK9" s="737"/>
      <c r="FZL9" s="737"/>
      <c r="FZM9" s="737"/>
      <c r="FZN9" s="737"/>
      <c r="FZO9" s="737"/>
      <c r="FZP9" s="737"/>
      <c r="FZQ9" s="737"/>
      <c r="FZR9" s="737"/>
      <c r="FZS9" s="737"/>
      <c r="FZT9" s="737"/>
      <c r="FZU9" s="737"/>
      <c r="FZV9" s="737"/>
      <c r="FZW9" s="737"/>
      <c r="FZX9" s="737"/>
      <c r="FZY9" s="737"/>
      <c r="FZZ9" s="737"/>
      <c r="GAA9" s="737"/>
      <c r="GAB9" s="737"/>
      <c r="GAC9" s="737"/>
      <c r="GAD9" s="737"/>
      <c r="GAE9" s="737"/>
      <c r="GAF9" s="737"/>
      <c r="GAG9" s="737"/>
      <c r="GAH9" s="737"/>
      <c r="GAI9" s="737"/>
      <c r="GAJ9" s="737"/>
      <c r="GAK9" s="737"/>
      <c r="GAL9" s="737"/>
      <c r="GAM9" s="737"/>
      <c r="GAN9" s="737"/>
      <c r="GAO9" s="737"/>
      <c r="GAP9" s="737"/>
      <c r="GAQ9" s="737"/>
      <c r="GAR9" s="737"/>
      <c r="GAS9" s="737"/>
      <c r="GAT9" s="737"/>
      <c r="GAU9" s="737"/>
      <c r="GAV9" s="737"/>
      <c r="GAW9" s="737"/>
      <c r="GAX9" s="737"/>
      <c r="GAY9" s="737"/>
      <c r="GAZ9" s="737"/>
      <c r="GBA9" s="737"/>
      <c r="GBB9" s="737"/>
      <c r="GBC9" s="737"/>
      <c r="GBD9" s="737"/>
      <c r="GBE9" s="737"/>
      <c r="GBF9" s="737"/>
      <c r="GBG9" s="737"/>
      <c r="GBH9" s="737"/>
      <c r="GBI9" s="737"/>
      <c r="GBJ9" s="737"/>
      <c r="GBK9" s="737"/>
      <c r="GBL9" s="737"/>
      <c r="GBM9" s="737"/>
      <c r="GBN9" s="737"/>
      <c r="GBO9" s="737"/>
      <c r="GBP9" s="737"/>
      <c r="GBQ9" s="737"/>
      <c r="GBR9" s="737"/>
      <c r="GBS9" s="737"/>
      <c r="GBT9" s="737"/>
      <c r="GBU9" s="737"/>
      <c r="GBV9" s="737"/>
      <c r="GBW9" s="737"/>
      <c r="GBX9" s="737"/>
      <c r="GBY9" s="737"/>
      <c r="GBZ9" s="737"/>
      <c r="GCA9" s="737"/>
      <c r="GCB9" s="737"/>
      <c r="GCC9" s="737"/>
      <c r="GCD9" s="737"/>
      <c r="GCE9" s="737"/>
      <c r="GCF9" s="737"/>
      <c r="GCG9" s="737"/>
      <c r="GCH9" s="737"/>
      <c r="GCI9" s="737"/>
      <c r="GCJ9" s="737"/>
      <c r="GCK9" s="737"/>
      <c r="GCL9" s="737"/>
      <c r="GCM9" s="737"/>
      <c r="GCN9" s="737"/>
      <c r="GCO9" s="737"/>
      <c r="GCP9" s="737"/>
      <c r="GCQ9" s="737"/>
      <c r="GCR9" s="737"/>
      <c r="GCS9" s="737"/>
      <c r="GCT9" s="737"/>
      <c r="GCU9" s="737"/>
      <c r="GCV9" s="737"/>
      <c r="GCW9" s="737"/>
      <c r="GCX9" s="737"/>
      <c r="GCY9" s="737"/>
      <c r="GCZ9" s="737"/>
      <c r="GDA9" s="737"/>
      <c r="GDB9" s="737"/>
      <c r="GDC9" s="737"/>
      <c r="GDD9" s="737"/>
      <c r="GDE9" s="737"/>
      <c r="GDF9" s="737"/>
      <c r="GDG9" s="737"/>
      <c r="GDH9" s="737"/>
      <c r="GDI9" s="737"/>
      <c r="GDJ9" s="737"/>
      <c r="GDK9" s="737"/>
      <c r="GDL9" s="737"/>
      <c r="GDM9" s="737"/>
      <c r="GDN9" s="737"/>
      <c r="GDO9" s="737"/>
      <c r="GDP9" s="737"/>
      <c r="GDQ9" s="737"/>
      <c r="GDR9" s="737"/>
      <c r="GDS9" s="737"/>
      <c r="GDT9" s="737"/>
      <c r="GDU9" s="737"/>
      <c r="GDV9" s="737"/>
      <c r="GDW9" s="737"/>
      <c r="GDX9" s="737"/>
      <c r="GDY9" s="737"/>
      <c r="GDZ9" s="737"/>
      <c r="GEA9" s="737"/>
      <c r="GEB9" s="737"/>
      <c r="GEC9" s="737"/>
      <c r="GED9" s="737"/>
      <c r="GEE9" s="737"/>
      <c r="GEF9" s="737"/>
      <c r="GEG9" s="737"/>
      <c r="GEH9" s="737"/>
      <c r="GEI9" s="737"/>
      <c r="GEJ9" s="737"/>
      <c r="GEK9" s="737"/>
      <c r="GEL9" s="737"/>
      <c r="GEM9" s="737"/>
      <c r="GEN9" s="737"/>
      <c r="GEO9" s="737"/>
      <c r="GEP9" s="737"/>
      <c r="GEQ9" s="737"/>
      <c r="GER9" s="737"/>
      <c r="GES9" s="737"/>
      <c r="GET9" s="737"/>
      <c r="GEU9" s="737"/>
      <c r="GEV9" s="737"/>
      <c r="GEW9" s="737"/>
      <c r="GEX9" s="737"/>
      <c r="GEY9" s="737"/>
      <c r="GEZ9" s="737"/>
      <c r="GFA9" s="737"/>
      <c r="GFB9" s="737"/>
      <c r="GFC9" s="737"/>
      <c r="GFD9" s="737"/>
      <c r="GFE9" s="737"/>
      <c r="GFF9" s="737"/>
      <c r="GFG9" s="737"/>
      <c r="GFH9" s="737"/>
      <c r="GFI9" s="737"/>
      <c r="GFJ9" s="737"/>
      <c r="GFK9" s="737"/>
      <c r="GFL9" s="737"/>
      <c r="GFM9" s="737"/>
      <c r="GFN9" s="737"/>
      <c r="GFO9" s="737"/>
      <c r="GFP9" s="737"/>
      <c r="GFQ9" s="737"/>
      <c r="GFR9" s="737"/>
      <c r="GFS9" s="737"/>
      <c r="GFT9" s="737"/>
      <c r="GFU9" s="737"/>
      <c r="GFV9" s="737"/>
      <c r="GFW9" s="737"/>
      <c r="GFX9" s="737"/>
      <c r="GFY9" s="737"/>
      <c r="GFZ9" s="737"/>
      <c r="GGA9" s="737"/>
      <c r="GGB9" s="737"/>
      <c r="GGC9" s="737"/>
      <c r="GGD9" s="737"/>
      <c r="GGE9" s="737"/>
      <c r="GGF9" s="737"/>
      <c r="GGG9" s="737"/>
      <c r="GGH9" s="737"/>
      <c r="GGI9" s="737"/>
      <c r="GGJ9" s="737"/>
      <c r="GGK9" s="737"/>
      <c r="GGL9" s="737"/>
      <c r="GGM9" s="737"/>
      <c r="GGN9" s="737"/>
      <c r="GGO9" s="737"/>
      <c r="GGP9" s="737"/>
      <c r="GGQ9" s="737"/>
      <c r="GGR9" s="737"/>
      <c r="GGS9" s="737"/>
      <c r="GGT9" s="737"/>
      <c r="GGU9" s="737"/>
      <c r="GGV9" s="737"/>
      <c r="GGW9" s="737"/>
      <c r="GGX9" s="737"/>
      <c r="GGY9" s="737"/>
      <c r="GGZ9" s="737"/>
      <c r="GHA9" s="737"/>
      <c r="GHB9" s="737"/>
      <c r="GHC9" s="737"/>
      <c r="GHD9" s="737"/>
      <c r="GHE9" s="737"/>
      <c r="GHF9" s="737"/>
      <c r="GHG9" s="737"/>
      <c r="GHH9" s="737"/>
      <c r="GHI9" s="737"/>
      <c r="GHJ9" s="737"/>
      <c r="GHK9" s="737"/>
      <c r="GHL9" s="737"/>
      <c r="GHM9" s="737"/>
      <c r="GHN9" s="737"/>
      <c r="GHO9" s="737"/>
      <c r="GHP9" s="737"/>
      <c r="GHQ9" s="737"/>
      <c r="GHR9" s="737"/>
      <c r="GHS9" s="737"/>
      <c r="GHT9" s="737"/>
      <c r="GHU9" s="737"/>
      <c r="GHV9" s="737"/>
      <c r="GHW9" s="737"/>
      <c r="GHX9" s="737"/>
      <c r="GHY9" s="737"/>
      <c r="GHZ9" s="737"/>
      <c r="GIA9" s="737"/>
      <c r="GIB9" s="737"/>
      <c r="GIC9" s="737"/>
      <c r="GID9" s="737"/>
      <c r="GIE9" s="737"/>
      <c r="GIF9" s="737"/>
      <c r="GIG9" s="737"/>
      <c r="GIH9" s="737"/>
      <c r="GII9" s="737"/>
      <c r="GIJ9" s="737"/>
      <c r="GIK9" s="737"/>
      <c r="GIL9" s="737"/>
      <c r="GIM9" s="737"/>
      <c r="GIN9" s="737"/>
      <c r="GIO9" s="737"/>
      <c r="GIP9" s="737"/>
      <c r="GIQ9" s="737"/>
      <c r="GIR9" s="737"/>
      <c r="GIS9" s="737"/>
      <c r="GIT9" s="737"/>
      <c r="GIU9" s="737"/>
      <c r="GIV9" s="737"/>
      <c r="GIW9" s="737"/>
      <c r="GIX9" s="737"/>
      <c r="GIY9" s="737"/>
      <c r="GIZ9" s="737"/>
      <c r="GJA9" s="737"/>
      <c r="GJB9" s="737"/>
      <c r="GJC9" s="737"/>
      <c r="GJD9" s="737"/>
      <c r="GJE9" s="737"/>
      <c r="GJF9" s="737"/>
      <c r="GJG9" s="737"/>
      <c r="GJH9" s="737"/>
      <c r="GJI9" s="737"/>
      <c r="GJJ9" s="737"/>
      <c r="GJK9" s="737"/>
      <c r="GJL9" s="737"/>
      <c r="GJM9" s="737"/>
      <c r="GJN9" s="737"/>
      <c r="GJO9" s="737"/>
      <c r="GJP9" s="737"/>
      <c r="GJQ9" s="737"/>
      <c r="GJR9" s="737"/>
      <c r="GJS9" s="737"/>
      <c r="GJT9" s="737"/>
      <c r="GJU9" s="737"/>
      <c r="GJV9" s="737"/>
      <c r="GJW9" s="737"/>
      <c r="GJX9" s="737"/>
      <c r="GJY9" s="737"/>
      <c r="GJZ9" s="737"/>
      <c r="GKA9" s="737"/>
      <c r="GKB9" s="737"/>
      <c r="GKC9" s="737"/>
      <c r="GKD9" s="737"/>
      <c r="GKE9" s="737"/>
      <c r="GKF9" s="737"/>
      <c r="GKG9" s="737"/>
      <c r="GKH9" s="737"/>
      <c r="GKI9" s="737"/>
      <c r="GKJ9" s="737"/>
      <c r="GKK9" s="737"/>
      <c r="GKL9" s="737"/>
      <c r="GKM9" s="737"/>
      <c r="GKN9" s="737"/>
      <c r="GKO9" s="737"/>
      <c r="GKP9" s="737"/>
      <c r="GKQ9" s="737"/>
      <c r="GKR9" s="737"/>
      <c r="GKS9" s="737"/>
      <c r="GKT9" s="737"/>
      <c r="GKU9" s="737"/>
      <c r="GKV9" s="737"/>
      <c r="GKW9" s="737"/>
      <c r="GKX9" s="737"/>
      <c r="GKY9" s="737"/>
      <c r="GKZ9" s="737"/>
      <c r="GLA9" s="737"/>
      <c r="GLB9" s="737"/>
      <c r="GLC9" s="737"/>
      <c r="GLD9" s="737"/>
      <c r="GLE9" s="737"/>
      <c r="GLF9" s="737"/>
      <c r="GLG9" s="737"/>
      <c r="GLH9" s="737"/>
      <c r="GLI9" s="737"/>
      <c r="GLJ9" s="737"/>
      <c r="GLK9" s="737"/>
      <c r="GLL9" s="737"/>
      <c r="GLM9" s="737"/>
      <c r="GLN9" s="737"/>
      <c r="GLO9" s="737"/>
      <c r="GLP9" s="737"/>
      <c r="GLQ9" s="737"/>
      <c r="GLR9" s="737"/>
      <c r="GLS9" s="737"/>
      <c r="GLT9" s="737"/>
      <c r="GLU9" s="737"/>
      <c r="GLV9" s="737"/>
      <c r="GLW9" s="737"/>
      <c r="GLX9" s="737"/>
      <c r="GLY9" s="737"/>
      <c r="GLZ9" s="737"/>
      <c r="GMA9" s="737"/>
      <c r="GMB9" s="737"/>
      <c r="GMC9" s="737"/>
      <c r="GMD9" s="737"/>
      <c r="GME9" s="737"/>
      <c r="GMF9" s="737"/>
      <c r="GMG9" s="737"/>
      <c r="GMH9" s="737"/>
      <c r="GMI9" s="737"/>
      <c r="GMJ9" s="737"/>
      <c r="GMK9" s="737"/>
      <c r="GML9" s="737"/>
      <c r="GMM9" s="737"/>
      <c r="GMN9" s="737"/>
      <c r="GMO9" s="737"/>
      <c r="GMP9" s="737"/>
      <c r="GMQ9" s="737"/>
      <c r="GMR9" s="737"/>
      <c r="GMS9" s="737"/>
      <c r="GMT9" s="737"/>
      <c r="GMU9" s="737"/>
      <c r="GMV9" s="737"/>
      <c r="GMW9" s="737"/>
      <c r="GMX9" s="737"/>
      <c r="GMY9" s="737"/>
      <c r="GMZ9" s="737"/>
      <c r="GNA9" s="737"/>
      <c r="GNB9" s="737"/>
      <c r="GNC9" s="737"/>
      <c r="GND9" s="737"/>
      <c r="GNE9" s="737"/>
      <c r="GNF9" s="737"/>
      <c r="GNG9" s="737"/>
      <c r="GNH9" s="737"/>
      <c r="GNI9" s="737"/>
      <c r="GNJ9" s="737"/>
      <c r="GNK9" s="737"/>
      <c r="GNL9" s="737"/>
      <c r="GNM9" s="737"/>
      <c r="GNN9" s="737"/>
      <c r="GNO9" s="737"/>
      <c r="GNP9" s="737"/>
      <c r="GNQ9" s="737"/>
      <c r="GNR9" s="737"/>
      <c r="GNS9" s="737"/>
      <c r="GNT9" s="737"/>
      <c r="GNU9" s="737"/>
      <c r="GNV9" s="737"/>
      <c r="GNW9" s="737"/>
      <c r="GNX9" s="737"/>
      <c r="GNY9" s="737"/>
      <c r="GNZ9" s="737"/>
      <c r="GOA9" s="737"/>
      <c r="GOB9" s="737"/>
      <c r="GOC9" s="737"/>
      <c r="GOD9" s="737"/>
      <c r="GOE9" s="737"/>
      <c r="GOF9" s="737"/>
      <c r="GOG9" s="737"/>
      <c r="GOH9" s="737"/>
      <c r="GOI9" s="737"/>
      <c r="GOJ9" s="737"/>
      <c r="GOK9" s="737"/>
      <c r="GOL9" s="737"/>
      <c r="GOM9" s="737"/>
      <c r="GON9" s="737"/>
      <c r="GOO9" s="737"/>
      <c r="GOP9" s="737"/>
      <c r="GOQ9" s="737"/>
      <c r="GOR9" s="737"/>
      <c r="GOS9" s="737"/>
      <c r="GOT9" s="737"/>
      <c r="GOU9" s="737"/>
      <c r="GOV9" s="737"/>
      <c r="GOW9" s="737"/>
      <c r="GOX9" s="737"/>
      <c r="GOY9" s="737"/>
      <c r="GOZ9" s="737"/>
      <c r="GPA9" s="737"/>
      <c r="GPB9" s="737"/>
      <c r="GPC9" s="737"/>
      <c r="GPD9" s="737"/>
      <c r="GPE9" s="737"/>
      <c r="GPF9" s="737"/>
      <c r="GPG9" s="737"/>
      <c r="GPH9" s="737"/>
      <c r="GPI9" s="737"/>
      <c r="GPJ9" s="737"/>
      <c r="GPK9" s="737"/>
      <c r="GPL9" s="737"/>
      <c r="GPM9" s="737"/>
      <c r="GPN9" s="737"/>
      <c r="GPO9" s="737"/>
      <c r="GPP9" s="737"/>
      <c r="GPQ9" s="737"/>
      <c r="GPR9" s="737"/>
      <c r="GPS9" s="737"/>
      <c r="GPT9" s="737"/>
      <c r="GPU9" s="737"/>
      <c r="GPV9" s="737"/>
      <c r="GPW9" s="737"/>
      <c r="GPX9" s="737"/>
      <c r="GPY9" s="737"/>
      <c r="GPZ9" s="737"/>
      <c r="GQA9" s="737"/>
      <c r="GQB9" s="737"/>
      <c r="GQC9" s="737"/>
      <c r="GQD9" s="737"/>
      <c r="GQE9" s="737"/>
      <c r="GQF9" s="737"/>
      <c r="GQG9" s="737"/>
      <c r="GQH9" s="737"/>
      <c r="GQI9" s="737"/>
      <c r="GQJ9" s="737"/>
      <c r="GQK9" s="737"/>
      <c r="GQL9" s="737"/>
      <c r="GQM9" s="737"/>
      <c r="GQN9" s="737"/>
      <c r="GQO9" s="737"/>
      <c r="GQP9" s="737"/>
      <c r="GQQ9" s="737"/>
      <c r="GQR9" s="737"/>
      <c r="GQS9" s="737"/>
      <c r="GQT9" s="737"/>
      <c r="GQU9" s="737"/>
      <c r="GQV9" s="737"/>
      <c r="GQW9" s="737"/>
      <c r="GQX9" s="737"/>
      <c r="GQY9" s="737"/>
      <c r="GQZ9" s="737"/>
      <c r="GRA9" s="737"/>
      <c r="GRB9" s="737"/>
      <c r="GRC9" s="737"/>
      <c r="GRD9" s="737"/>
      <c r="GRE9" s="737"/>
      <c r="GRF9" s="737"/>
      <c r="GRG9" s="737"/>
      <c r="GRH9" s="737"/>
      <c r="GRI9" s="737"/>
      <c r="GRJ9" s="737"/>
      <c r="GRK9" s="737"/>
      <c r="GRL9" s="737"/>
      <c r="GRM9" s="737"/>
      <c r="GRN9" s="737"/>
      <c r="GRO9" s="737"/>
      <c r="GRP9" s="737"/>
      <c r="GRQ9" s="737"/>
      <c r="GRR9" s="737"/>
      <c r="GRS9" s="737"/>
      <c r="GRT9" s="737"/>
      <c r="GRU9" s="737"/>
      <c r="GRV9" s="737"/>
      <c r="GRW9" s="737"/>
      <c r="GRX9" s="737"/>
      <c r="GRY9" s="737"/>
      <c r="GRZ9" s="737"/>
      <c r="GSA9" s="737"/>
      <c r="GSB9" s="737"/>
      <c r="GSC9" s="737"/>
      <c r="GSD9" s="737"/>
      <c r="GSE9" s="737"/>
      <c r="GSF9" s="737"/>
      <c r="GSG9" s="737"/>
      <c r="GSH9" s="737"/>
      <c r="GSI9" s="737"/>
      <c r="GSJ9" s="737"/>
      <c r="GSK9" s="737"/>
      <c r="GSL9" s="737"/>
      <c r="GSM9" s="737"/>
      <c r="GSN9" s="737"/>
      <c r="GSO9" s="737"/>
      <c r="GSP9" s="737"/>
      <c r="GSQ9" s="737"/>
      <c r="GSR9" s="737"/>
      <c r="GSS9" s="737"/>
      <c r="GST9" s="737"/>
      <c r="GSU9" s="737"/>
      <c r="GSV9" s="737"/>
      <c r="GSW9" s="737"/>
      <c r="GSX9" s="737"/>
      <c r="GSY9" s="737"/>
      <c r="GSZ9" s="737"/>
      <c r="GTA9" s="737"/>
      <c r="GTB9" s="737"/>
      <c r="GTC9" s="737"/>
      <c r="GTD9" s="737"/>
      <c r="GTE9" s="737"/>
      <c r="GTF9" s="737"/>
      <c r="GTG9" s="737"/>
      <c r="GTH9" s="737"/>
      <c r="GTI9" s="737"/>
      <c r="GTJ9" s="737"/>
      <c r="GTK9" s="737"/>
      <c r="GTL9" s="737"/>
      <c r="GTM9" s="737"/>
      <c r="GTN9" s="737"/>
      <c r="GTO9" s="737"/>
      <c r="GTP9" s="737"/>
      <c r="GTQ9" s="737"/>
      <c r="GTR9" s="737"/>
      <c r="GTS9" s="737"/>
      <c r="GTT9" s="737"/>
      <c r="GTU9" s="737"/>
      <c r="GTV9" s="737"/>
      <c r="GTW9" s="737"/>
      <c r="GTX9" s="737"/>
      <c r="GTY9" s="737"/>
      <c r="GTZ9" s="737"/>
      <c r="GUA9" s="737"/>
      <c r="GUB9" s="737"/>
      <c r="GUC9" s="737"/>
      <c r="GUD9" s="737"/>
      <c r="GUE9" s="737"/>
      <c r="GUF9" s="737"/>
      <c r="GUG9" s="737"/>
      <c r="GUH9" s="737"/>
      <c r="GUI9" s="737"/>
      <c r="GUJ9" s="737"/>
      <c r="GUK9" s="737"/>
      <c r="GUL9" s="737"/>
      <c r="GUM9" s="737"/>
      <c r="GUN9" s="737"/>
      <c r="GUO9" s="737"/>
      <c r="GUP9" s="737"/>
      <c r="GUQ9" s="737"/>
      <c r="GUR9" s="737"/>
      <c r="GUS9" s="737"/>
      <c r="GUT9" s="737"/>
      <c r="GUU9" s="737"/>
      <c r="GUV9" s="737"/>
      <c r="GUW9" s="737"/>
      <c r="GUX9" s="737"/>
      <c r="GUY9" s="737"/>
      <c r="GUZ9" s="737"/>
      <c r="GVA9" s="737"/>
      <c r="GVB9" s="737"/>
      <c r="GVC9" s="737"/>
      <c r="GVD9" s="737"/>
      <c r="GVE9" s="737"/>
      <c r="GVF9" s="737"/>
      <c r="GVG9" s="737"/>
      <c r="GVH9" s="737"/>
      <c r="GVI9" s="737"/>
      <c r="GVJ9" s="737"/>
      <c r="GVK9" s="737"/>
      <c r="GVL9" s="737"/>
      <c r="GVM9" s="737"/>
      <c r="GVN9" s="737"/>
      <c r="GVO9" s="737"/>
      <c r="GVP9" s="737"/>
      <c r="GVQ9" s="737"/>
      <c r="GVR9" s="737"/>
      <c r="GVS9" s="737"/>
      <c r="GVT9" s="737"/>
      <c r="GVU9" s="737"/>
      <c r="GVV9" s="737"/>
      <c r="GVW9" s="737"/>
      <c r="GVX9" s="737"/>
      <c r="GVY9" s="737"/>
      <c r="GVZ9" s="737"/>
      <c r="GWA9" s="737"/>
      <c r="GWB9" s="737"/>
      <c r="GWC9" s="737"/>
      <c r="GWD9" s="737"/>
      <c r="GWE9" s="737"/>
      <c r="GWF9" s="737"/>
      <c r="GWG9" s="737"/>
      <c r="GWH9" s="737"/>
      <c r="GWI9" s="737"/>
      <c r="GWJ9" s="737"/>
      <c r="GWK9" s="737"/>
      <c r="GWL9" s="737"/>
      <c r="GWM9" s="737"/>
      <c r="GWN9" s="737"/>
      <c r="GWO9" s="737"/>
      <c r="GWP9" s="737"/>
      <c r="GWQ9" s="737"/>
      <c r="GWR9" s="737"/>
      <c r="GWS9" s="737"/>
      <c r="GWT9" s="737"/>
      <c r="GWU9" s="737"/>
      <c r="GWV9" s="737"/>
      <c r="GWW9" s="737"/>
      <c r="GWX9" s="737"/>
      <c r="GWY9" s="737"/>
      <c r="GWZ9" s="737"/>
      <c r="GXA9" s="737"/>
      <c r="GXB9" s="737"/>
      <c r="GXC9" s="737"/>
      <c r="GXD9" s="737"/>
      <c r="GXE9" s="737"/>
      <c r="GXF9" s="737"/>
      <c r="GXG9" s="737"/>
      <c r="GXH9" s="737"/>
      <c r="GXI9" s="737"/>
      <c r="GXJ9" s="737"/>
      <c r="GXK9" s="737"/>
      <c r="GXL9" s="737"/>
      <c r="GXM9" s="737"/>
      <c r="GXN9" s="737"/>
      <c r="GXO9" s="737"/>
      <c r="GXP9" s="737"/>
      <c r="GXQ9" s="737"/>
      <c r="GXR9" s="737"/>
      <c r="GXS9" s="737"/>
      <c r="GXT9" s="737"/>
      <c r="GXU9" s="737"/>
      <c r="GXV9" s="737"/>
      <c r="GXW9" s="737"/>
      <c r="GXX9" s="737"/>
      <c r="GXY9" s="737"/>
      <c r="GXZ9" s="737"/>
      <c r="GYA9" s="737"/>
      <c r="GYB9" s="737"/>
      <c r="GYC9" s="737"/>
      <c r="GYD9" s="737"/>
      <c r="GYE9" s="737"/>
      <c r="GYF9" s="737"/>
      <c r="GYG9" s="737"/>
      <c r="GYH9" s="737"/>
      <c r="GYI9" s="737"/>
      <c r="GYJ9" s="737"/>
      <c r="GYK9" s="737"/>
      <c r="GYL9" s="737"/>
      <c r="GYM9" s="737"/>
      <c r="GYN9" s="737"/>
      <c r="GYO9" s="737"/>
      <c r="GYP9" s="737"/>
      <c r="GYQ9" s="737"/>
      <c r="GYR9" s="737"/>
      <c r="GYS9" s="737"/>
      <c r="GYT9" s="737"/>
      <c r="GYU9" s="737"/>
      <c r="GYV9" s="737"/>
      <c r="GYW9" s="737"/>
      <c r="GYX9" s="737"/>
      <c r="GYY9" s="737"/>
      <c r="GYZ9" s="737"/>
      <c r="GZA9" s="737"/>
      <c r="GZB9" s="737"/>
      <c r="GZC9" s="737"/>
      <c r="GZD9" s="737"/>
      <c r="GZE9" s="737"/>
      <c r="GZF9" s="737"/>
      <c r="GZG9" s="737"/>
      <c r="GZH9" s="737"/>
      <c r="GZI9" s="737"/>
      <c r="GZJ9" s="737"/>
      <c r="GZK9" s="737"/>
      <c r="GZL9" s="737"/>
      <c r="GZM9" s="737"/>
      <c r="GZN9" s="737"/>
      <c r="GZO9" s="737"/>
      <c r="GZP9" s="737"/>
      <c r="GZQ9" s="737"/>
      <c r="GZR9" s="737"/>
      <c r="GZS9" s="737"/>
      <c r="GZT9" s="737"/>
      <c r="GZU9" s="737"/>
      <c r="GZV9" s="737"/>
      <c r="GZW9" s="737"/>
      <c r="GZX9" s="737"/>
      <c r="GZY9" s="737"/>
      <c r="GZZ9" s="737"/>
      <c r="HAA9" s="737"/>
      <c r="HAB9" s="737"/>
      <c r="HAC9" s="737"/>
      <c r="HAD9" s="737"/>
      <c r="HAE9" s="737"/>
      <c r="HAF9" s="737"/>
      <c r="HAG9" s="737"/>
      <c r="HAH9" s="737"/>
      <c r="HAI9" s="737"/>
      <c r="HAJ9" s="737"/>
      <c r="HAK9" s="737"/>
      <c r="HAL9" s="737"/>
      <c r="HAM9" s="737"/>
      <c r="HAN9" s="737"/>
      <c r="HAO9" s="737"/>
      <c r="HAP9" s="737"/>
      <c r="HAQ9" s="737"/>
      <c r="HAR9" s="737"/>
      <c r="HAS9" s="737"/>
      <c r="HAT9" s="737"/>
      <c r="HAU9" s="737"/>
      <c r="HAV9" s="737"/>
      <c r="HAW9" s="737"/>
      <c r="HAX9" s="737"/>
      <c r="HAY9" s="737"/>
      <c r="HAZ9" s="737"/>
      <c r="HBA9" s="737"/>
      <c r="HBB9" s="737"/>
      <c r="HBC9" s="737"/>
      <c r="HBD9" s="737"/>
      <c r="HBE9" s="737"/>
      <c r="HBF9" s="737"/>
      <c r="HBG9" s="737"/>
      <c r="HBH9" s="737"/>
      <c r="HBI9" s="737"/>
      <c r="HBJ9" s="737"/>
      <c r="HBK9" s="737"/>
      <c r="HBL9" s="737"/>
      <c r="HBM9" s="737"/>
      <c r="HBN9" s="737"/>
      <c r="HBO9" s="737"/>
      <c r="HBP9" s="737"/>
      <c r="HBQ9" s="737"/>
      <c r="HBR9" s="737"/>
      <c r="HBS9" s="737"/>
      <c r="HBT9" s="737"/>
      <c r="HBU9" s="737"/>
      <c r="HBV9" s="737"/>
      <c r="HBW9" s="737"/>
      <c r="HBX9" s="737"/>
      <c r="HBY9" s="737"/>
      <c r="HBZ9" s="737"/>
      <c r="HCA9" s="737"/>
      <c r="HCB9" s="737"/>
      <c r="HCC9" s="737"/>
      <c r="HCD9" s="737"/>
      <c r="HCE9" s="737"/>
      <c r="HCF9" s="737"/>
      <c r="HCG9" s="737"/>
      <c r="HCH9" s="737"/>
      <c r="HCI9" s="737"/>
      <c r="HCJ9" s="737"/>
      <c r="HCK9" s="737"/>
      <c r="HCL9" s="737"/>
      <c r="HCM9" s="737"/>
      <c r="HCN9" s="737"/>
      <c r="HCO9" s="737"/>
      <c r="HCP9" s="737"/>
      <c r="HCQ9" s="737"/>
      <c r="HCR9" s="737"/>
      <c r="HCS9" s="737"/>
      <c r="HCT9" s="737"/>
      <c r="HCU9" s="737"/>
      <c r="HCV9" s="737"/>
      <c r="HCW9" s="737"/>
      <c r="HCX9" s="737"/>
      <c r="HCY9" s="737"/>
      <c r="HCZ9" s="737"/>
      <c r="HDA9" s="737"/>
      <c r="HDB9" s="737"/>
      <c r="HDC9" s="737"/>
      <c r="HDD9" s="737"/>
      <c r="HDE9" s="737"/>
      <c r="HDF9" s="737"/>
      <c r="HDG9" s="737"/>
      <c r="HDH9" s="737"/>
      <c r="HDI9" s="737"/>
      <c r="HDJ9" s="737"/>
      <c r="HDK9" s="737"/>
      <c r="HDL9" s="737"/>
      <c r="HDM9" s="737"/>
      <c r="HDN9" s="737"/>
      <c r="HDO9" s="737"/>
      <c r="HDP9" s="737"/>
      <c r="HDQ9" s="737"/>
      <c r="HDR9" s="737"/>
      <c r="HDS9" s="737"/>
      <c r="HDT9" s="737"/>
      <c r="HDU9" s="737"/>
      <c r="HDV9" s="737"/>
      <c r="HDW9" s="737"/>
      <c r="HDX9" s="737"/>
      <c r="HDY9" s="737"/>
      <c r="HDZ9" s="737"/>
      <c r="HEA9" s="737"/>
      <c r="HEB9" s="737"/>
      <c r="HEC9" s="737"/>
      <c r="HED9" s="737"/>
      <c r="HEE9" s="737"/>
      <c r="HEF9" s="737"/>
      <c r="HEG9" s="737"/>
      <c r="HEH9" s="737"/>
      <c r="HEI9" s="737"/>
      <c r="HEJ9" s="737"/>
      <c r="HEK9" s="737"/>
      <c r="HEL9" s="737"/>
      <c r="HEM9" s="737"/>
      <c r="HEN9" s="737"/>
      <c r="HEO9" s="737"/>
      <c r="HEP9" s="737"/>
      <c r="HEQ9" s="737"/>
      <c r="HER9" s="737"/>
      <c r="HES9" s="737"/>
      <c r="HET9" s="737"/>
      <c r="HEU9" s="737"/>
      <c r="HEV9" s="737"/>
      <c r="HEW9" s="737"/>
      <c r="HEX9" s="737"/>
      <c r="HEY9" s="737"/>
      <c r="HEZ9" s="737"/>
      <c r="HFA9" s="737"/>
      <c r="HFB9" s="737"/>
      <c r="HFC9" s="737"/>
      <c r="HFD9" s="737"/>
      <c r="HFE9" s="737"/>
      <c r="HFF9" s="737"/>
      <c r="HFG9" s="737"/>
      <c r="HFH9" s="737"/>
      <c r="HFI9" s="737"/>
      <c r="HFJ9" s="737"/>
      <c r="HFK9" s="737"/>
      <c r="HFL9" s="737"/>
      <c r="HFM9" s="737"/>
      <c r="HFN9" s="737"/>
      <c r="HFO9" s="737"/>
      <c r="HFP9" s="737"/>
      <c r="HFQ9" s="737"/>
      <c r="HFR9" s="737"/>
      <c r="HFS9" s="737"/>
      <c r="HFT9" s="737"/>
      <c r="HFU9" s="737"/>
      <c r="HFV9" s="737"/>
      <c r="HFW9" s="737"/>
      <c r="HFX9" s="737"/>
      <c r="HFY9" s="737"/>
      <c r="HFZ9" s="737"/>
      <c r="HGA9" s="737"/>
      <c r="HGB9" s="737"/>
      <c r="HGC9" s="737"/>
      <c r="HGD9" s="737"/>
      <c r="HGE9" s="737"/>
      <c r="HGF9" s="737"/>
      <c r="HGG9" s="737"/>
      <c r="HGH9" s="737"/>
      <c r="HGI9" s="737"/>
      <c r="HGJ9" s="737"/>
      <c r="HGK9" s="737"/>
      <c r="HGL9" s="737"/>
      <c r="HGM9" s="737"/>
      <c r="HGN9" s="737"/>
      <c r="HGO9" s="737"/>
      <c r="HGP9" s="737"/>
      <c r="HGQ9" s="737"/>
      <c r="HGR9" s="737"/>
      <c r="HGS9" s="737"/>
      <c r="HGT9" s="737"/>
      <c r="HGU9" s="737"/>
      <c r="HGV9" s="737"/>
      <c r="HGW9" s="737"/>
      <c r="HGX9" s="737"/>
      <c r="HGY9" s="737"/>
      <c r="HGZ9" s="737"/>
      <c r="HHA9" s="737"/>
      <c r="HHB9" s="737"/>
      <c r="HHC9" s="737"/>
      <c r="HHD9" s="737"/>
      <c r="HHE9" s="737"/>
      <c r="HHF9" s="737"/>
      <c r="HHG9" s="737"/>
      <c r="HHH9" s="737"/>
      <c r="HHI9" s="737"/>
      <c r="HHJ9" s="737"/>
      <c r="HHK9" s="737"/>
      <c r="HHL9" s="737"/>
      <c r="HHM9" s="737"/>
      <c r="HHN9" s="737"/>
      <c r="HHO9" s="737"/>
      <c r="HHP9" s="737"/>
      <c r="HHQ9" s="737"/>
      <c r="HHR9" s="737"/>
      <c r="HHS9" s="737"/>
      <c r="HHT9" s="737"/>
      <c r="HHU9" s="737"/>
      <c r="HHV9" s="737"/>
      <c r="HHW9" s="737"/>
      <c r="HHX9" s="737"/>
      <c r="HHY9" s="737"/>
      <c r="HHZ9" s="737"/>
      <c r="HIA9" s="737"/>
      <c r="HIB9" s="737"/>
      <c r="HIC9" s="737"/>
      <c r="HID9" s="737"/>
      <c r="HIE9" s="737"/>
      <c r="HIF9" s="737"/>
      <c r="HIG9" s="737"/>
      <c r="HIH9" s="737"/>
      <c r="HII9" s="737"/>
      <c r="HIJ9" s="737"/>
      <c r="HIK9" s="737"/>
      <c r="HIL9" s="737"/>
      <c r="HIM9" s="737"/>
      <c r="HIN9" s="737"/>
      <c r="HIO9" s="737"/>
      <c r="HIP9" s="737"/>
      <c r="HIQ9" s="737"/>
      <c r="HIR9" s="737"/>
      <c r="HIS9" s="737"/>
      <c r="HIT9" s="737"/>
      <c r="HIU9" s="737"/>
      <c r="HIV9" s="737"/>
      <c r="HIW9" s="737"/>
      <c r="HIX9" s="737"/>
      <c r="HIY9" s="737"/>
      <c r="HIZ9" s="737"/>
      <c r="HJA9" s="737"/>
      <c r="HJB9" s="737"/>
      <c r="HJC9" s="737"/>
      <c r="HJD9" s="737"/>
      <c r="HJE9" s="737"/>
      <c r="HJF9" s="737"/>
      <c r="HJG9" s="737"/>
      <c r="HJH9" s="737"/>
      <c r="HJI9" s="737"/>
      <c r="HJJ9" s="737"/>
      <c r="HJK9" s="737"/>
      <c r="HJL9" s="737"/>
      <c r="HJM9" s="737"/>
      <c r="HJN9" s="737"/>
      <c r="HJO9" s="737"/>
      <c r="HJP9" s="737"/>
      <c r="HJQ9" s="737"/>
      <c r="HJR9" s="737"/>
      <c r="HJS9" s="737"/>
      <c r="HJT9" s="737"/>
      <c r="HJU9" s="737"/>
      <c r="HJV9" s="737"/>
      <c r="HJW9" s="737"/>
      <c r="HJX9" s="737"/>
      <c r="HJY9" s="737"/>
      <c r="HJZ9" s="737"/>
      <c r="HKA9" s="737"/>
      <c r="HKB9" s="737"/>
      <c r="HKC9" s="737"/>
      <c r="HKD9" s="737"/>
      <c r="HKE9" s="737"/>
      <c r="HKF9" s="737"/>
      <c r="HKG9" s="737"/>
      <c r="HKH9" s="737"/>
      <c r="HKI9" s="737"/>
      <c r="HKJ9" s="737"/>
      <c r="HKK9" s="737"/>
      <c r="HKL9" s="737"/>
      <c r="HKM9" s="737"/>
      <c r="HKN9" s="737"/>
      <c r="HKO9" s="737"/>
      <c r="HKP9" s="737"/>
      <c r="HKQ9" s="737"/>
      <c r="HKR9" s="737"/>
      <c r="HKS9" s="737"/>
      <c r="HKT9" s="737"/>
      <c r="HKU9" s="737"/>
      <c r="HKV9" s="737"/>
      <c r="HKW9" s="737"/>
      <c r="HKX9" s="737"/>
      <c r="HKY9" s="737"/>
      <c r="HKZ9" s="737"/>
      <c r="HLA9" s="737"/>
      <c r="HLB9" s="737"/>
      <c r="HLC9" s="737"/>
      <c r="HLD9" s="737"/>
      <c r="HLE9" s="737"/>
      <c r="HLF9" s="737"/>
      <c r="HLG9" s="737"/>
      <c r="HLH9" s="737"/>
      <c r="HLI9" s="737"/>
      <c r="HLJ9" s="737"/>
      <c r="HLK9" s="737"/>
      <c r="HLL9" s="737"/>
      <c r="HLM9" s="737"/>
      <c r="HLN9" s="737"/>
      <c r="HLO9" s="737"/>
      <c r="HLP9" s="737"/>
      <c r="HLQ9" s="737"/>
      <c r="HLR9" s="737"/>
      <c r="HLS9" s="737"/>
      <c r="HLT9" s="737"/>
      <c r="HLU9" s="737"/>
      <c r="HLV9" s="737"/>
      <c r="HLW9" s="737"/>
      <c r="HLX9" s="737"/>
      <c r="HLY9" s="737"/>
      <c r="HLZ9" s="737"/>
      <c r="HMA9" s="737"/>
      <c r="HMB9" s="737"/>
      <c r="HMC9" s="737"/>
      <c r="HMD9" s="737"/>
      <c r="HME9" s="737"/>
      <c r="HMF9" s="737"/>
      <c r="HMG9" s="737"/>
      <c r="HMH9" s="737"/>
      <c r="HMI9" s="737"/>
      <c r="HMJ9" s="737"/>
      <c r="HMK9" s="737"/>
      <c r="HML9" s="737"/>
      <c r="HMM9" s="737"/>
      <c r="HMN9" s="737"/>
      <c r="HMO9" s="737"/>
      <c r="HMP9" s="737"/>
      <c r="HMQ9" s="737"/>
      <c r="HMR9" s="737"/>
      <c r="HMS9" s="737"/>
      <c r="HMT9" s="737"/>
      <c r="HMU9" s="737"/>
      <c r="HMV9" s="737"/>
      <c r="HMW9" s="737"/>
      <c r="HMX9" s="737"/>
      <c r="HMY9" s="737"/>
      <c r="HMZ9" s="737"/>
      <c r="HNA9" s="737"/>
      <c r="HNB9" s="737"/>
      <c r="HNC9" s="737"/>
      <c r="HND9" s="737"/>
      <c r="HNE9" s="737"/>
      <c r="HNF9" s="737"/>
      <c r="HNG9" s="737"/>
      <c r="HNH9" s="737"/>
      <c r="HNI9" s="737"/>
      <c r="HNJ9" s="737"/>
      <c r="HNK9" s="737"/>
      <c r="HNL9" s="737"/>
      <c r="HNM9" s="737"/>
      <c r="HNN9" s="737"/>
      <c r="HNO9" s="737"/>
      <c r="HNP9" s="737"/>
      <c r="HNQ9" s="737"/>
      <c r="HNR9" s="737"/>
      <c r="HNS9" s="737"/>
      <c r="HNT9" s="737"/>
      <c r="HNU9" s="737"/>
      <c r="HNV9" s="737"/>
      <c r="HNW9" s="737"/>
      <c r="HNX9" s="737"/>
      <c r="HNY9" s="737"/>
      <c r="HNZ9" s="737"/>
      <c r="HOA9" s="737"/>
      <c r="HOB9" s="737"/>
      <c r="HOC9" s="737"/>
      <c r="HOD9" s="737"/>
      <c r="HOE9" s="737"/>
      <c r="HOF9" s="737"/>
      <c r="HOG9" s="737"/>
      <c r="HOH9" s="737"/>
      <c r="HOI9" s="737"/>
      <c r="HOJ9" s="737"/>
      <c r="HOK9" s="737"/>
      <c r="HOL9" s="737"/>
      <c r="HOM9" s="737"/>
      <c r="HON9" s="737"/>
      <c r="HOO9" s="737"/>
      <c r="HOP9" s="737"/>
      <c r="HOQ9" s="737"/>
      <c r="HOR9" s="737"/>
      <c r="HOS9" s="737"/>
      <c r="HOT9" s="737"/>
      <c r="HOU9" s="737"/>
      <c r="HOV9" s="737"/>
      <c r="HOW9" s="737"/>
      <c r="HOX9" s="737"/>
      <c r="HOY9" s="737"/>
      <c r="HOZ9" s="737"/>
      <c r="HPA9" s="737"/>
      <c r="HPB9" s="737"/>
      <c r="HPC9" s="737"/>
      <c r="HPD9" s="737"/>
      <c r="HPE9" s="737"/>
      <c r="HPF9" s="737"/>
      <c r="HPG9" s="737"/>
      <c r="HPH9" s="737"/>
      <c r="HPI9" s="737"/>
      <c r="HPJ9" s="737"/>
      <c r="HPK9" s="737"/>
      <c r="HPL9" s="737"/>
      <c r="HPM9" s="737"/>
      <c r="HPN9" s="737"/>
      <c r="HPO9" s="737"/>
      <c r="HPP9" s="737"/>
      <c r="HPQ9" s="737"/>
      <c r="HPR9" s="737"/>
      <c r="HPS9" s="737"/>
      <c r="HPT9" s="737"/>
      <c r="HPU9" s="737"/>
      <c r="HPV9" s="737"/>
      <c r="HPW9" s="737"/>
      <c r="HPX9" s="737"/>
      <c r="HPY9" s="737"/>
      <c r="HPZ9" s="737"/>
      <c r="HQA9" s="737"/>
      <c r="HQB9" s="737"/>
      <c r="HQC9" s="737"/>
      <c r="HQD9" s="737"/>
      <c r="HQE9" s="737"/>
      <c r="HQF9" s="737"/>
      <c r="HQG9" s="737"/>
      <c r="HQH9" s="737"/>
      <c r="HQI9" s="737"/>
      <c r="HQJ9" s="737"/>
      <c r="HQK9" s="737"/>
      <c r="HQL9" s="737"/>
      <c r="HQM9" s="737"/>
      <c r="HQN9" s="737"/>
      <c r="HQO9" s="737"/>
      <c r="HQP9" s="737"/>
      <c r="HQQ9" s="737"/>
      <c r="HQR9" s="737"/>
      <c r="HQS9" s="737"/>
      <c r="HQT9" s="737"/>
      <c r="HQU9" s="737"/>
      <c r="HQV9" s="737"/>
      <c r="HQW9" s="737"/>
      <c r="HQX9" s="737"/>
      <c r="HQY9" s="737"/>
      <c r="HQZ9" s="737"/>
      <c r="HRA9" s="737"/>
      <c r="HRB9" s="737"/>
      <c r="HRC9" s="737"/>
      <c r="HRD9" s="737"/>
      <c r="HRE9" s="737"/>
      <c r="HRF9" s="737"/>
      <c r="HRG9" s="737"/>
      <c r="HRH9" s="737"/>
      <c r="HRI9" s="737"/>
      <c r="HRJ9" s="737"/>
      <c r="HRK9" s="737"/>
      <c r="HRL9" s="737"/>
      <c r="HRM9" s="737"/>
      <c r="HRN9" s="737"/>
      <c r="HRO9" s="737"/>
      <c r="HRP9" s="737"/>
      <c r="HRQ9" s="737"/>
      <c r="HRR9" s="737"/>
      <c r="HRS9" s="737"/>
      <c r="HRT9" s="737"/>
      <c r="HRU9" s="737"/>
      <c r="HRV9" s="737"/>
      <c r="HRW9" s="737"/>
      <c r="HRX9" s="737"/>
      <c r="HRY9" s="737"/>
      <c r="HRZ9" s="737"/>
      <c r="HSA9" s="737"/>
      <c r="HSB9" s="737"/>
      <c r="HSC9" s="737"/>
      <c r="HSD9" s="737"/>
      <c r="HSE9" s="737"/>
      <c r="HSF9" s="737"/>
      <c r="HSG9" s="737"/>
      <c r="HSH9" s="737"/>
      <c r="HSI9" s="737"/>
      <c r="HSJ9" s="737"/>
      <c r="HSK9" s="737"/>
      <c r="HSL9" s="737"/>
      <c r="HSM9" s="737"/>
      <c r="HSN9" s="737"/>
      <c r="HSO9" s="737"/>
      <c r="HSP9" s="737"/>
      <c r="HSQ9" s="737"/>
      <c r="HSR9" s="737"/>
      <c r="HSS9" s="737"/>
      <c r="HST9" s="737"/>
      <c r="HSU9" s="737"/>
      <c r="HSV9" s="737"/>
      <c r="HSW9" s="737"/>
      <c r="HSX9" s="737"/>
      <c r="HSY9" s="737"/>
      <c r="HSZ9" s="737"/>
      <c r="HTA9" s="737"/>
      <c r="HTB9" s="737"/>
      <c r="HTC9" s="737"/>
      <c r="HTD9" s="737"/>
      <c r="HTE9" s="737"/>
      <c r="HTF9" s="737"/>
      <c r="HTG9" s="737"/>
      <c r="HTH9" s="737"/>
      <c r="HTI9" s="737"/>
      <c r="HTJ9" s="737"/>
      <c r="HTK9" s="737"/>
      <c r="HTL9" s="737"/>
      <c r="HTM9" s="737"/>
      <c r="HTN9" s="737"/>
      <c r="HTO9" s="737"/>
      <c r="HTP9" s="737"/>
      <c r="HTQ9" s="737"/>
      <c r="HTR9" s="737"/>
      <c r="HTS9" s="737"/>
      <c r="HTT9" s="737"/>
      <c r="HTU9" s="737"/>
      <c r="HTV9" s="737"/>
      <c r="HTW9" s="737"/>
      <c r="HTX9" s="737"/>
      <c r="HTY9" s="737"/>
      <c r="HTZ9" s="737"/>
      <c r="HUA9" s="737"/>
      <c r="HUB9" s="737"/>
      <c r="HUC9" s="737"/>
      <c r="HUD9" s="737"/>
      <c r="HUE9" s="737"/>
      <c r="HUF9" s="737"/>
      <c r="HUG9" s="737"/>
      <c r="HUH9" s="737"/>
      <c r="HUI9" s="737"/>
      <c r="HUJ9" s="737"/>
      <c r="HUK9" s="737"/>
      <c r="HUL9" s="737"/>
      <c r="HUM9" s="737"/>
      <c r="HUN9" s="737"/>
      <c r="HUO9" s="737"/>
      <c r="HUP9" s="737"/>
      <c r="HUQ9" s="737"/>
      <c r="HUR9" s="737"/>
      <c r="HUS9" s="737"/>
      <c r="HUT9" s="737"/>
      <c r="HUU9" s="737"/>
      <c r="HUV9" s="737"/>
      <c r="HUW9" s="737"/>
      <c r="HUX9" s="737"/>
      <c r="HUY9" s="737"/>
      <c r="HUZ9" s="737"/>
      <c r="HVA9" s="737"/>
      <c r="HVB9" s="737"/>
      <c r="HVC9" s="737"/>
      <c r="HVD9" s="737"/>
      <c r="HVE9" s="737"/>
      <c r="HVF9" s="737"/>
      <c r="HVG9" s="737"/>
      <c r="HVH9" s="737"/>
      <c r="HVI9" s="737"/>
      <c r="HVJ9" s="737"/>
      <c r="HVK9" s="737"/>
      <c r="HVL9" s="737"/>
      <c r="HVM9" s="737"/>
      <c r="HVN9" s="737"/>
      <c r="HVO9" s="737"/>
      <c r="HVP9" s="737"/>
      <c r="HVQ9" s="737"/>
      <c r="HVR9" s="737"/>
      <c r="HVS9" s="737"/>
      <c r="HVT9" s="737"/>
      <c r="HVU9" s="737"/>
      <c r="HVV9" s="737"/>
      <c r="HVW9" s="737"/>
      <c r="HVX9" s="737"/>
      <c r="HVY9" s="737"/>
      <c r="HVZ9" s="737"/>
      <c r="HWA9" s="737"/>
      <c r="HWB9" s="737"/>
      <c r="HWC9" s="737"/>
      <c r="HWD9" s="737"/>
      <c r="HWE9" s="737"/>
      <c r="HWF9" s="737"/>
      <c r="HWG9" s="737"/>
      <c r="HWH9" s="737"/>
      <c r="HWI9" s="737"/>
      <c r="HWJ9" s="737"/>
      <c r="HWK9" s="737"/>
      <c r="HWL9" s="737"/>
      <c r="HWM9" s="737"/>
      <c r="HWN9" s="737"/>
      <c r="HWO9" s="737"/>
      <c r="HWP9" s="737"/>
      <c r="HWQ9" s="737"/>
      <c r="HWR9" s="737"/>
      <c r="HWS9" s="737"/>
      <c r="HWT9" s="737"/>
      <c r="HWU9" s="737"/>
      <c r="HWV9" s="737"/>
      <c r="HWW9" s="737"/>
      <c r="HWX9" s="737"/>
      <c r="HWY9" s="737"/>
      <c r="HWZ9" s="737"/>
      <c r="HXA9" s="737"/>
      <c r="HXB9" s="737"/>
      <c r="HXC9" s="737"/>
      <c r="HXD9" s="737"/>
      <c r="HXE9" s="737"/>
      <c r="HXF9" s="737"/>
      <c r="HXG9" s="737"/>
      <c r="HXH9" s="737"/>
      <c r="HXI9" s="737"/>
      <c r="HXJ9" s="737"/>
      <c r="HXK9" s="737"/>
      <c r="HXL9" s="737"/>
      <c r="HXM9" s="737"/>
      <c r="HXN9" s="737"/>
      <c r="HXO9" s="737"/>
      <c r="HXP9" s="737"/>
      <c r="HXQ9" s="737"/>
      <c r="HXR9" s="737"/>
      <c r="HXS9" s="737"/>
      <c r="HXT9" s="737"/>
      <c r="HXU9" s="737"/>
      <c r="HXV9" s="737"/>
      <c r="HXW9" s="737"/>
      <c r="HXX9" s="737"/>
      <c r="HXY9" s="737"/>
      <c r="HXZ9" s="737"/>
      <c r="HYA9" s="737"/>
      <c r="HYB9" s="737"/>
      <c r="HYC9" s="737"/>
      <c r="HYD9" s="737"/>
      <c r="HYE9" s="737"/>
      <c r="HYF9" s="737"/>
      <c r="HYG9" s="737"/>
      <c r="HYH9" s="737"/>
      <c r="HYI9" s="737"/>
      <c r="HYJ9" s="737"/>
      <c r="HYK9" s="737"/>
      <c r="HYL9" s="737"/>
      <c r="HYM9" s="737"/>
      <c r="HYN9" s="737"/>
      <c r="HYO9" s="737"/>
      <c r="HYP9" s="737"/>
      <c r="HYQ9" s="737"/>
      <c r="HYR9" s="737"/>
      <c r="HYS9" s="737"/>
      <c r="HYT9" s="737"/>
      <c r="HYU9" s="737"/>
      <c r="HYV9" s="737"/>
      <c r="HYW9" s="737"/>
      <c r="HYX9" s="737"/>
      <c r="HYY9" s="737"/>
      <c r="HYZ9" s="737"/>
      <c r="HZA9" s="737"/>
      <c r="HZB9" s="737"/>
      <c r="HZC9" s="737"/>
      <c r="HZD9" s="737"/>
      <c r="HZE9" s="737"/>
      <c r="HZF9" s="737"/>
      <c r="HZG9" s="737"/>
      <c r="HZH9" s="737"/>
      <c r="HZI9" s="737"/>
      <c r="HZJ9" s="737"/>
      <c r="HZK9" s="737"/>
      <c r="HZL9" s="737"/>
      <c r="HZM9" s="737"/>
      <c r="HZN9" s="737"/>
      <c r="HZO9" s="737"/>
      <c r="HZP9" s="737"/>
      <c r="HZQ9" s="737"/>
      <c r="HZR9" s="737"/>
      <c r="HZS9" s="737"/>
      <c r="HZT9" s="737"/>
      <c r="HZU9" s="737"/>
      <c r="HZV9" s="737"/>
      <c r="HZW9" s="737"/>
      <c r="HZX9" s="737"/>
      <c r="HZY9" s="737"/>
      <c r="HZZ9" s="737"/>
      <c r="IAA9" s="737"/>
      <c r="IAB9" s="737"/>
      <c r="IAC9" s="737"/>
      <c r="IAD9" s="737"/>
      <c r="IAE9" s="737"/>
      <c r="IAF9" s="737"/>
      <c r="IAG9" s="737"/>
      <c r="IAH9" s="737"/>
      <c r="IAI9" s="737"/>
      <c r="IAJ9" s="737"/>
      <c r="IAK9" s="737"/>
      <c r="IAL9" s="737"/>
      <c r="IAM9" s="737"/>
      <c r="IAN9" s="737"/>
      <c r="IAO9" s="737"/>
      <c r="IAP9" s="737"/>
      <c r="IAQ9" s="737"/>
      <c r="IAR9" s="737"/>
      <c r="IAS9" s="737"/>
      <c r="IAT9" s="737"/>
      <c r="IAU9" s="737"/>
      <c r="IAV9" s="737"/>
      <c r="IAW9" s="737"/>
      <c r="IAX9" s="737"/>
      <c r="IAY9" s="737"/>
      <c r="IAZ9" s="737"/>
      <c r="IBA9" s="737"/>
      <c r="IBB9" s="737"/>
      <c r="IBC9" s="737"/>
      <c r="IBD9" s="737"/>
      <c r="IBE9" s="737"/>
      <c r="IBF9" s="737"/>
      <c r="IBG9" s="737"/>
      <c r="IBH9" s="737"/>
      <c r="IBI9" s="737"/>
      <c r="IBJ9" s="737"/>
      <c r="IBK9" s="737"/>
      <c r="IBL9" s="737"/>
      <c r="IBM9" s="737"/>
      <c r="IBN9" s="737"/>
      <c r="IBO9" s="737"/>
      <c r="IBP9" s="737"/>
      <c r="IBQ9" s="737"/>
      <c r="IBR9" s="737"/>
      <c r="IBS9" s="737"/>
      <c r="IBT9" s="737"/>
      <c r="IBU9" s="737"/>
      <c r="IBV9" s="737"/>
      <c r="IBW9" s="737"/>
      <c r="IBX9" s="737"/>
      <c r="IBY9" s="737"/>
      <c r="IBZ9" s="737"/>
      <c r="ICA9" s="737"/>
      <c r="ICB9" s="737"/>
      <c r="ICC9" s="737"/>
      <c r="ICD9" s="737"/>
      <c r="ICE9" s="737"/>
      <c r="ICF9" s="737"/>
      <c r="ICG9" s="737"/>
      <c r="ICH9" s="737"/>
      <c r="ICI9" s="737"/>
      <c r="ICJ9" s="737"/>
      <c r="ICK9" s="737"/>
      <c r="ICL9" s="737"/>
      <c r="ICM9" s="737"/>
      <c r="ICN9" s="737"/>
      <c r="ICO9" s="737"/>
      <c r="ICP9" s="737"/>
      <c r="ICQ9" s="737"/>
      <c r="ICR9" s="737"/>
      <c r="ICS9" s="737"/>
      <c r="ICT9" s="737"/>
      <c r="ICU9" s="737"/>
      <c r="ICV9" s="737"/>
      <c r="ICW9" s="737"/>
      <c r="ICX9" s="737"/>
      <c r="ICY9" s="737"/>
      <c r="ICZ9" s="737"/>
      <c r="IDA9" s="737"/>
      <c r="IDB9" s="737"/>
      <c r="IDC9" s="737"/>
      <c r="IDD9" s="737"/>
      <c r="IDE9" s="737"/>
      <c r="IDF9" s="737"/>
      <c r="IDG9" s="737"/>
      <c r="IDH9" s="737"/>
      <c r="IDI9" s="737"/>
      <c r="IDJ9" s="737"/>
      <c r="IDK9" s="737"/>
      <c r="IDL9" s="737"/>
      <c r="IDM9" s="737"/>
      <c r="IDN9" s="737"/>
      <c r="IDO9" s="737"/>
      <c r="IDP9" s="737"/>
      <c r="IDQ9" s="737"/>
      <c r="IDR9" s="737"/>
      <c r="IDS9" s="737"/>
      <c r="IDT9" s="737"/>
      <c r="IDU9" s="737"/>
      <c r="IDV9" s="737"/>
      <c r="IDW9" s="737"/>
      <c r="IDX9" s="737"/>
      <c r="IDY9" s="737"/>
      <c r="IDZ9" s="737"/>
      <c r="IEA9" s="737"/>
      <c r="IEB9" s="737"/>
      <c r="IEC9" s="737"/>
      <c r="IED9" s="737"/>
      <c r="IEE9" s="737"/>
      <c r="IEF9" s="737"/>
      <c r="IEG9" s="737"/>
      <c r="IEH9" s="737"/>
      <c r="IEI9" s="737"/>
      <c r="IEJ9" s="737"/>
      <c r="IEK9" s="737"/>
      <c r="IEL9" s="737"/>
      <c r="IEM9" s="737"/>
      <c r="IEN9" s="737"/>
      <c r="IEO9" s="737"/>
      <c r="IEP9" s="737"/>
      <c r="IEQ9" s="737"/>
      <c r="IER9" s="737"/>
      <c r="IES9" s="737"/>
      <c r="IET9" s="737"/>
      <c r="IEU9" s="737"/>
      <c r="IEV9" s="737"/>
      <c r="IEW9" s="737"/>
      <c r="IEX9" s="737"/>
      <c r="IEY9" s="737"/>
      <c r="IEZ9" s="737"/>
      <c r="IFA9" s="737"/>
      <c r="IFB9" s="737"/>
      <c r="IFC9" s="737"/>
      <c r="IFD9" s="737"/>
      <c r="IFE9" s="737"/>
      <c r="IFF9" s="737"/>
      <c r="IFG9" s="737"/>
      <c r="IFH9" s="737"/>
      <c r="IFI9" s="737"/>
      <c r="IFJ9" s="737"/>
      <c r="IFK9" s="737"/>
      <c r="IFL9" s="737"/>
      <c r="IFM9" s="737"/>
      <c r="IFN9" s="737"/>
      <c r="IFO9" s="737"/>
      <c r="IFP9" s="737"/>
      <c r="IFQ9" s="737"/>
      <c r="IFR9" s="737"/>
      <c r="IFS9" s="737"/>
      <c r="IFT9" s="737"/>
      <c r="IFU9" s="737"/>
      <c r="IFV9" s="737"/>
      <c r="IFW9" s="737"/>
      <c r="IFX9" s="737"/>
      <c r="IFY9" s="737"/>
      <c r="IFZ9" s="737"/>
      <c r="IGA9" s="737"/>
      <c r="IGB9" s="737"/>
      <c r="IGC9" s="737"/>
      <c r="IGD9" s="737"/>
      <c r="IGE9" s="737"/>
      <c r="IGF9" s="737"/>
      <c r="IGG9" s="737"/>
      <c r="IGH9" s="737"/>
      <c r="IGI9" s="737"/>
      <c r="IGJ9" s="737"/>
      <c r="IGK9" s="737"/>
      <c r="IGL9" s="737"/>
      <c r="IGM9" s="737"/>
      <c r="IGN9" s="737"/>
      <c r="IGO9" s="737"/>
      <c r="IGP9" s="737"/>
      <c r="IGQ9" s="737"/>
      <c r="IGR9" s="737"/>
      <c r="IGS9" s="737"/>
      <c r="IGT9" s="737"/>
      <c r="IGU9" s="737"/>
      <c r="IGV9" s="737"/>
      <c r="IGW9" s="737"/>
      <c r="IGX9" s="737"/>
      <c r="IGY9" s="737"/>
      <c r="IGZ9" s="737"/>
      <c r="IHA9" s="737"/>
      <c r="IHB9" s="737"/>
      <c r="IHC9" s="737"/>
      <c r="IHD9" s="737"/>
      <c r="IHE9" s="737"/>
      <c r="IHF9" s="737"/>
      <c r="IHG9" s="737"/>
      <c r="IHH9" s="737"/>
      <c r="IHI9" s="737"/>
      <c r="IHJ9" s="737"/>
      <c r="IHK9" s="737"/>
      <c r="IHL9" s="737"/>
      <c r="IHM9" s="737"/>
      <c r="IHN9" s="737"/>
      <c r="IHO9" s="737"/>
      <c r="IHP9" s="737"/>
      <c r="IHQ9" s="737"/>
      <c r="IHR9" s="737"/>
      <c r="IHS9" s="737"/>
      <c r="IHT9" s="737"/>
      <c r="IHU9" s="737"/>
      <c r="IHV9" s="737"/>
      <c r="IHW9" s="737"/>
      <c r="IHX9" s="737"/>
      <c r="IHY9" s="737"/>
      <c r="IHZ9" s="737"/>
      <c r="IIA9" s="737"/>
      <c r="IIB9" s="737"/>
      <c r="IIC9" s="737"/>
      <c r="IID9" s="737"/>
      <c r="IIE9" s="737"/>
      <c r="IIF9" s="737"/>
      <c r="IIG9" s="737"/>
      <c r="IIH9" s="737"/>
      <c r="III9" s="737"/>
      <c r="IIJ9" s="737"/>
      <c r="IIK9" s="737"/>
      <c r="IIL9" s="737"/>
      <c r="IIM9" s="737"/>
      <c r="IIN9" s="737"/>
      <c r="IIO9" s="737"/>
      <c r="IIP9" s="737"/>
      <c r="IIQ9" s="737"/>
      <c r="IIR9" s="737"/>
      <c r="IIS9" s="737"/>
      <c r="IIT9" s="737"/>
      <c r="IIU9" s="737"/>
      <c r="IIV9" s="737"/>
      <c r="IIW9" s="737"/>
      <c r="IIX9" s="737"/>
      <c r="IIY9" s="737"/>
      <c r="IIZ9" s="737"/>
      <c r="IJA9" s="737"/>
      <c r="IJB9" s="737"/>
      <c r="IJC9" s="737"/>
      <c r="IJD9" s="737"/>
      <c r="IJE9" s="737"/>
      <c r="IJF9" s="737"/>
      <c r="IJG9" s="737"/>
      <c r="IJH9" s="737"/>
      <c r="IJI9" s="737"/>
      <c r="IJJ9" s="737"/>
      <c r="IJK9" s="737"/>
      <c r="IJL9" s="737"/>
      <c r="IJM9" s="737"/>
      <c r="IJN9" s="737"/>
      <c r="IJO9" s="737"/>
      <c r="IJP9" s="737"/>
      <c r="IJQ9" s="737"/>
      <c r="IJR9" s="737"/>
      <c r="IJS9" s="737"/>
      <c r="IJT9" s="737"/>
      <c r="IJU9" s="737"/>
      <c r="IJV9" s="737"/>
      <c r="IJW9" s="737"/>
      <c r="IJX9" s="737"/>
      <c r="IJY9" s="737"/>
      <c r="IJZ9" s="737"/>
      <c r="IKA9" s="737"/>
      <c r="IKB9" s="737"/>
      <c r="IKC9" s="737"/>
      <c r="IKD9" s="737"/>
      <c r="IKE9" s="737"/>
      <c r="IKF9" s="737"/>
      <c r="IKG9" s="737"/>
      <c r="IKH9" s="737"/>
      <c r="IKI9" s="737"/>
      <c r="IKJ9" s="737"/>
      <c r="IKK9" s="737"/>
      <c r="IKL9" s="737"/>
      <c r="IKM9" s="737"/>
      <c r="IKN9" s="737"/>
      <c r="IKO9" s="737"/>
      <c r="IKP9" s="737"/>
      <c r="IKQ9" s="737"/>
      <c r="IKR9" s="737"/>
      <c r="IKS9" s="737"/>
      <c r="IKT9" s="737"/>
      <c r="IKU9" s="737"/>
      <c r="IKV9" s="737"/>
      <c r="IKW9" s="737"/>
      <c r="IKX9" s="737"/>
      <c r="IKY9" s="737"/>
      <c r="IKZ9" s="737"/>
      <c r="ILA9" s="737"/>
      <c r="ILB9" s="737"/>
      <c r="ILC9" s="737"/>
      <c r="ILD9" s="737"/>
      <c r="ILE9" s="737"/>
      <c r="ILF9" s="737"/>
      <c r="ILG9" s="737"/>
      <c r="ILH9" s="737"/>
      <c r="ILI9" s="737"/>
      <c r="ILJ9" s="737"/>
      <c r="ILK9" s="737"/>
      <c r="ILL9" s="737"/>
      <c r="ILM9" s="737"/>
      <c r="ILN9" s="737"/>
      <c r="ILO9" s="737"/>
      <c r="ILP9" s="737"/>
      <c r="ILQ9" s="737"/>
      <c r="ILR9" s="737"/>
      <c r="ILS9" s="737"/>
      <c r="ILT9" s="737"/>
      <c r="ILU9" s="737"/>
      <c r="ILV9" s="737"/>
      <c r="ILW9" s="737"/>
      <c r="ILX9" s="737"/>
      <c r="ILY9" s="737"/>
      <c r="ILZ9" s="737"/>
      <c r="IMA9" s="737"/>
      <c r="IMB9" s="737"/>
      <c r="IMC9" s="737"/>
      <c r="IMD9" s="737"/>
      <c r="IME9" s="737"/>
      <c r="IMF9" s="737"/>
      <c r="IMG9" s="737"/>
      <c r="IMH9" s="737"/>
      <c r="IMI9" s="737"/>
      <c r="IMJ9" s="737"/>
      <c r="IMK9" s="737"/>
      <c r="IML9" s="737"/>
      <c r="IMM9" s="737"/>
      <c r="IMN9" s="737"/>
      <c r="IMO9" s="737"/>
      <c r="IMP9" s="737"/>
      <c r="IMQ9" s="737"/>
      <c r="IMR9" s="737"/>
      <c r="IMS9" s="737"/>
      <c r="IMT9" s="737"/>
      <c r="IMU9" s="737"/>
      <c r="IMV9" s="737"/>
      <c r="IMW9" s="737"/>
      <c r="IMX9" s="737"/>
      <c r="IMY9" s="737"/>
      <c r="IMZ9" s="737"/>
      <c r="INA9" s="737"/>
      <c r="INB9" s="737"/>
      <c r="INC9" s="737"/>
      <c r="IND9" s="737"/>
      <c r="INE9" s="737"/>
      <c r="INF9" s="737"/>
      <c r="ING9" s="737"/>
      <c r="INH9" s="737"/>
      <c r="INI9" s="737"/>
      <c r="INJ9" s="737"/>
      <c r="INK9" s="737"/>
      <c r="INL9" s="737"/>
      <c r="INM9" s="737"/>
      <c r="INN9" s="737"/>
      <c r="INO9" s="737"/>
      <c r="INP9" s="737"/>
      <c r="INQ9" s="737"/>
      <c r="INR9" s="737"/>
      <c r="INS9" s="737"/>
      <c r="INT9" s="737"/>
      <c r="INU9" s="737"/>
      <c r="INV9" s="737"/>
      <c r="INW9" s="737"/>
      <c r="INX9" s="737"/>
      <c r="INY9" s="737"/>
      <c r="INZ9" s="737"/>
      <c r="IOA9" s="737"/>
      <c r="IOB9" s="737"/>
      <c r="IOC9" s="737"/>
      <c r="IOD9" s="737"/>
      <c r="IOE9" s="737"/>
      <c r="IOF9" s="737"/>
      <c r="IOG9" s="737"/>
      <c r="IOH9" s="737"/>
      <c r="IOI9" s="737"/>
      <c r="IOJ9" s="737"/>
      <c r="IOK9" s="737"/>
      <c r="IOL9" s="737"/>
      <c r="IOM9" s="737"/>
      <c r="ION9" s="737"/>
      <c r="IOO9" s="737"/>
      <c r="IOP9" s="737"/>
      <c r="IOQ9" s="737"/>
      <c r="IOR9" s="737"/>
      <c r="IOS9" s="737"/>
      <c r="IOT9" s="737"/>
      <c r="IOU9" s="737"/>
      <c r="IOV9" s="737"/>
      <c r="IOW9" s="737"/>
      <c r="IOX9" s="737"/>
      <c r="IOY9" s="737"/>
      <c r="IOZ9" s="737"/>
      <c r="IPA9" s="737"/>
      <c r="IPB9" s="737"/>
      <c r="IPC9" s="737"/>
      <c r="IPD9" s="737"/>
      <c r="IPE9" s="737"/>
      <c r="IPF9" s="737"/>
      <c r="IPG9" s="737"/>
      <c r="IPH9" s="737"/>
      <c r="IPI9" s="737"/>
      <c r="IPJ9" s="737"/>
      <c r="IPK9" s="737"/>
      <c r="IPL9" s="737"/>
      <c r="IPM9" s="737"/>
      <c r="IPN9" s="737"/>
      <c r="IPO9" s="737"/>
      <c r="IPP9" s="737"/>
      <c r="IPQ9" s="737"/>
      <c r="IPR9" s="737"/>
      <c r="IPS9" s="737"/>
      <c r="IPT9" s="737"/>
      <c r="IPU9" s="737"/>
      <c r="IPV9" s="737"/>
      <c r="IPW9" s="737"/>
      <c r="IPX9" s="737"/>
      <c r="IPY9" s="737"/>
      <c r="IPZ9" s="737"/>
      <c r="IQA9" s="737"/>
      <c r="IQB9" s="737"/>
      <c r="IQC9" s="737"/>
      <c r="IQD9" s="737"/>
      <c r="IQE9" s="737"/>
      <c r="IQF9" s="737"/>
      <c r="IQG9" s="737"/>
      <c r="IQH9" s="737"/>
      <c r="IQI9" s="737"/>
      <c r="IQJ9" s="737"/>
      <c r="IQK9" s="737"/>
      <c r="IQL9" s="737"/>
      <c r="IQM9" s="737"/>
      <c r="IQN9" s="737"/>
      <c r="IQO9" s="737"/>
      <c r="IQP9" s="737"/>
      <c r="IQQ9" s="737"/>
      <c r="IQR9" s="737"/>
      <c r="IQS9" s="737"/>
      <c r="IQT9" s="737"/>
      <c r="IQU9" s="737"/>
      <c r="IQV9" s="737"/>
      <c r="IQW9" s="737"/>
      <c r="IQX9" s="737"/>
      <c r="IQY9" s="737"/>
      <c r="IQZ9" s="737"/>
      <c r="IRA9" s="737"/>
      <c r="IRB9" s="737"/>
      <c r="IRC9" s="737"/>
      <c r="IRD9" s="737"/>
      <c r="IRE9" s="737"/>
      <c r="IRF9" s="737"/>
      <c r="IRG9" s="737"/>
      <c r="IRH9" s="737"/>
      <c r="IRI9" s="737"/>
      <c r="IRJ9" s="737"/>
      <c r="IRK9" s="737"/>
      <c r="IRL9" s="737"/>
      <c r="IRM9" s="737"/>
      <c r="IRN9" s="737"/>
      <c r="IRO9" s="737"/>
      <c r="IRP9" s="737"/>
      <c r="IRQ9" s="737"/>
      <c r="IRR9" s="737"/>
      <c r="IRS9" s="737"/>
      <c r="IRT9" s="737"/>
      <c r="IRU9" s="737"/>
      <c r="IRV9" s="737"/>
      <c r="IRW9" s="737"/>
      <c r="IRX9" s="737"/>
      <c r="IRY9" s="737"/>
      <c r="IRZ9" s="737"/>
      <c r="ISA9" s="737"/>
      <c r="ISB9" s="737"/>
      <c r="ISC9" s="737"/>
      <c r="ISD9" s="737"/>
      <c r="ISE9" s="737"/>
      <c r="ISF9" s="737"/>
      <c r="ISG9" s="737"/>
      <c r="ISH9" s="737"/>
      <c r="ISI9" s="737"/>
      <c r="ISJ9" s="737"/>
      <c r="ISK9" s="737"/>
      <c r="ISL9" s="737"/>
      <c r="ISM9" s="737"/>
      <c r="ISN9" s="737"/>
      <c r="ISO9" s="737"/>
      <c r="ISP9" s="737"/>
      <c r="ISQ9" s="737"/>
      <c r="ISR9" s="737"/>
      <c r="ISS9" s="737"/>
      <c r="IST9" s="737"/>
      <c r="ISU9" s="737"/>
      <c r="ISV9" s="737"/>
      <c r="ISW9" s="737"/>
      <c r="ISX9" s="737"/>
      <c r="ISY9" s="737"/>
      <c r="ISZ9" s="737"/>
      <c r="ITA9" s="737"/>
      <c r="ITB9" s="737"/>
      <c r="ITC9" s="737"/>
      <c r="ITD9" s="737"/>
      <c r="ITE9" s="737"/>
      <c r="ITF9" s="737"/>
      <c r="ITG9" s="737"/>
      <c r="ITH9" s="737"/>
      <c r="ITI9" s="737"/>
      <c r="ITJ9" s="737"/>
      <c r="ITK9" s="737"/>
      <c r="ITL9" s="737"/>
      <c r="ITM9" s="737"/>
      <c r="ITN9" s="737"/>
      <c r="ITO9" s="737"/>
      <c r="ITP9" s="737"/>
      <c r="ITQ9" s="737"/>
      <c r="ITR9" s="737"/>
      <c r="ITS9" s="737"/>
      <c r="ITT9" s="737"/>
      <c r="ITU9" s="737"/>
      <c r="ITV9" s="737"/>
      <c r="ITW9" s="737"/>
      <c r="ITX9" s="737"/>
      <c r="ITY9" s="737"/>
      <c r="ITZ9" s="737"/>
      <c r="IUA9" s="737"/>
      <c r="IUB9" s="737"/>
      <c r="IUC9" s="737"/>
      <c r="IUD9" s="737"/>
      <c r="IUE9" s="737"/>
      <c r="IUF9" s="737"/>
      <c r="IUG9" s="737"/>
      <c r="IUH9" s="737"/>
      <c r="IUI9" s="737"/>
      <c r="IUJ9" s="737"/>
      <c r="IUK9" s="737"/>
      <c r="IUL9" s="737"/>
      <c r="IUM9" s="737"/>
      <c r="IUN9" s="737"/>
      <c r="IUO9" s="737"/>
      <c r="IUP9" s="737"/>
      <c r="IUQ9" s="737"/>
      <c r="IUR9" s="737"/>
      <c r="IUS9" s="737"/>
      <c r="IUT9" s="737"/>
      <c r="IUU9" s="737"/>
      <c r="IUV9" s="737"/>
      <c r="IUW9" s="737"/>
      <c r="IUX9" s="737"/>
      <c r="IUY9" s="737"/>
      <c r="IUZ9" s="737"/>
      <c r="IVA9" s="737"/>
      <c r="IVB9" s="737"/>
      <c r="IVC9" s="737"/>
      <c r="IVD9" s="737"/>
      <c r="IVE9" s="737"/>
      <c r="IVF9" s="737"/>
      <c r="IVG9" s="737"/>
      <c r="IVH9" s="737"/>
      <c r="IVI9" s="737"/>
      <c r="IVJ9" s="737"/>
      <c r="IVK9" s="737"/>
      <c r="IVL9" s="737"/>
      <c r="IVM9" s="737"/>
      <c r="IVN9" s="737"/>
      <c r="IVO9" s="737"/>
      <c r="IVP9" s="737"/>
      <c r="IVQ9" s="737"/>
      <c r="IVR9" s="737"/>
      <c r="IVS9" s="737"/>
      <c r="IVT9" s="737"/>
      <c r="IVU9" s="737"/>
      <c r="IVV9" s="737"/>
      <c r="IVW9" s="737"/>
      <c r="IVX9" s="737"/>
      <c r="IVY9" s="737"/>
      <c r="IVZ9" s="737"/>
      <c r="IWA9" s="737"/>
      <c r="IWB9" s="737"/>
      <c r="IWC9" s="737"/>
      <c r="IWD9" s="737"/>
      <c r="IWE9" s="737"/>
      <c r="IWF9" s="737"/>
      <c r="IWG9" s="737"/>
      <c r="IWH9" s="737"/>
      <c r="IWI9" s="737"/>
      <c r="IWJ9" s="737"/>
      <c r="IWK9" s="737"/>
      <c r="IWL9" s="737"/>
      <c r="IWM9" s="737"/>
      <c r="IWN9" s="737"/>
      <c r="IWO9" s="737"/>
      <c r="IWP9" s="737"/>
      <c r="IWQ9" s="737"/>
      <c r="IWR9" s="737"/>
      <c r="IWS9" s="737"/>
      <c r="IWT9" s="737"/>
      <c r="IWU9" s="737"/>
      <c r="IWV9" s="737"/>
      <c r="IWW9" s="737"/>
      <c r="IWX9" s="737"/>
      <c r="IWY9" s="737"/>
      <c r="IWZ9" s="737"/>
      <c r="IXA9" s="737"/>
      <c r="IXB9" s="737"/>
      <c r="IXC9" s="737"/>
      <c r="IXD9" s="737"/>
      <c r="IXE9" s="737"/>
      <c r="IXF9" s="737"/>
      <c r="IXG9" s="737"/>
      <c r="IXH9" s="737"/>
      <c r="IXI9" s="737"/>
      <c r="IXJ9" s="737"/>
      <c r="IXK9" s="737"/>
      <c r="IXL9" s="737"/>
      <c r="IXM9" s="737"/>
      <c r="IXN9" s="737"/>
      <c r="IXO9" s="737"/>
      <c r="IXP9" s="737"/>
      <c r="IXQ9" s="737"/>
      <c r="IXR9" s="737"/>
      <c r="IXS9" s="737"/>
      <c r="IXT9" s="737"/>
      <c r="IXU9" s="737"/>
      <c r="IXV9" s="737"/>
      <c r="IXW9" s="737"/>
      <c r="IXX9" s="737"/>
      <c r="IXY9" s="737"/>
      <c r="IXZ9" s="737"/>
      <c r="IYA9" s="737"/>
      <c r="IYB9" s="737"/>
      <c r="IYC9" s="737"/>
      <c r="IYD9" s="737"/>
      <c r="IYE9" s="737"/>
      <c r="IYF9" s="737"/>
      <c r="IYG9" s="737"/>
      <c r="IYH9" s="737"/>
      <c r="IYI9" s="737"/>
      <c r="IYJ9" s="737"/>
      <c r="IYK9" s="737"/>
      <c r="IYL9" s="737"/>
      <c r="IYM9" s="737"/>
      <c r="IYN9" s="737"/>
      <c r="IYO9" s="737"/>
      <c r="IYP9" s="737"/>
      <c r="IYQ9" s="737"/>
      <c r="IYR9" s="737"/>
      <c r="IYS9" s="737"/>
      <c r="IYT9" s="737"/>
      <c r="IYU9" s="737"/>
      <c r="IYV9" s="737"/>
      <c r="IYW9" s="737"/>
      <c r="IYX9" s="737"/>
      <c r="IYY9" s="737"/>
      <c r="IYZ9" s="737"/>
      <c r="IZA9" s="737"/>
      <c r="IZB9" s="737"/>
      <c r="IZC9" s="737"/>
      <c r="IZD9" s="737"/>
      <c r="IZE9" s="737"/>
      <c r="IZF9" s="737"/>
      <c r="IZG9" s="737"/>
      <c r="IZH9" s="737"/>
      <c r="IZI9" s="737"/>
      <c r="IZJ9" s="737"/>
      <c r="IZK9" s="737"/>
      <c r="IZL9" s="737"/>
      <c r="IZM9" s="737"/>
      <c r="IZN9" s="737"/>
      <c r="IZO9" s="737"/>
      <c r="IZP9" s="737"/>
      <c r="IZQ9" s="737"/>
      <c r="IZR9" s="737"/>
      <c r="IZS9" s="737"/>
      <c r="IZT9" s="737"/>
      <c r="IZU9" s="737"/>
      <c r="IZV9" s="737"/>
      <c r="IZW9" s="737"/>
      <c r="IZX9" s="737"/>
      <c r="IZY9" s="737"/>
      <c r="IZZ9" s="737"/>
      <c r="JAA9" s="737"/>
      <c r="JAB9" s="737"/>
      <c r="JAC9" s="737"/>
      <c r="JAD9" s="737"/>
      <c r="JAE9" s="737"/>
      <c r="JAF9" s="737"/>
      <c r="JAG9" s="737"/>
      <c r="JAH9" s="737"/>
      <c r="JAI9" s="737"/>
      <c r="JAJ9" s="737"/>
      <c r="JAK9" s="737"/>
      <c r="JAL9" s="737"/>
      <c r="JAM9" s="737"/>
      <c r="JAN9" s="737"/>
      <c r="JAO9" s="737"/>
      <c r="JAP9" s="737"/>
      <c r="JAQ9" s="737"/>
      <c r="JAR9" s="737"/>
      <c r="JAS9" s="737"/>
      <c r="JAT9" s="737"/>
      <c r="JAU9" s="737"/>
      <c r="JAV9" s="737"/>
      <c r="JAW9" s="737"/>
      <c r="JAX9" s="737"/>
      <c r="JAY9" s="737"/>
      <c r="JAZ9" s="737"/>
      <c r="JBA9" s="737"/>
      <c r="JBB9" s="737"/>
      <c r="JBC9" s="737"/>
      <c r="JBD9" s="737"/>
      <c r="JBE9" s="737"/>
      <c r="JBF9" s="737"/>
      <c r="JBG9" s="737"/>
      <c r="JBH9" s="737"/>
      <c r="JBI9" s="737"/>
      <c r="JBJ9" s="737"/>
      <c r="JBK9" s="737"/>
      <c r="JBL9" s="737"/>
      <c r="JBM9" s="737"/>
      <c r="JBN9" s="737"/>
      <c r="JBO9" s="737"/>
      <c r="JBP9" s="737"/>
      <c r="JBQ9" s="737"/>
      <c r="JBR9" s="737"/>
      <c r="JBS9" s="737"/>
      <c r="JBT9" s="737"/>
      <c r="JBU9" s="737"/>
      <c r="JBV9" s="737"/>
      <c r="JBW9" s="737"/>
      <c r="JBX9" s="737"/>
      <c r="JBY9" s="737"/>
      <c r="JBZ9" s="737"/>
      <c r="JCA9" s="737"/>
      <c r="JCB9" s="737"/>
      <c r="JCC9" s="737"/>
      <c r="JCD9" s="737"/>
      <c r="JCE9" s="737"/>
      <c r="JCF9" s="737"/>
      <c r="JCG9" s="737"/>
      <c r="JCH9" s="737"/>
      <c r="JCI9" s="737"/>
      <c r="JCJ9" s="737"/>
      <c r="JCK9" s="737"/>
      <c r="JCL9" s="737"/>
      <c r="JCM9" s="737"/>
      <c r="JCN9" s="737"/>
      <c r="JCO9" s="737"/>
      <c r="JCP9" s="737"/>
      <c r="JCQ9" s="737"/>
      <c r="JCR9" s="737"/>
      <c r="JCS9" s="737"/>
      <c r="JCT9" s="737"/>
      <c r="JCU9" s="737"/>
      <c r="JCV9" s="737"/>
      <c r="JCW9" s="737"/>
      <c r="JCX9" s="737"/>
      <c r="JCY9" s="737"/>
      <c r="JCZ9" s="737"/>
      <c r="JDA9" s="737"/>
      <c r="JDB9" s="737"/>
      <c r="JDC9" s="737"/>
      <c r="JDD9" s="737"/>
      <c r="JDE9" s="737"/>
      <c r="JDF9" s="737"/>
      <c r="JDG9" s="737"/>
      <c r="JDH9" s="737"/>
      <c r="JDI9" s="737"/>
      <c r="JDJ9" s="737"/>
      <c r="JDK9" s="737"/>
      <c r="JDL9" s="737"/>
      <c r="JDM9" s="737"/>
      <c r="JDN9" s="737"/>
      <c r="JDO9" s="737"/>
      <c r="JDP9" s="737"/>
      <c r="JDQ9" s="737"/>
      <c r="JDR9" s="737"/>
      <c r="JDS9" s="737"/>
      <c r="JDT9" s="737"/>
      <c r="JDU9" s="737"/>
      <c r="JDV9" s="737"/>
      <c r="JDW9" s="737"/>
      <c r="JDX9" s="737"/>
      <c r="JDY9" s="737"/>
      <c r="JDZ9" s="737"/>
      <c r="JEA9" s="737"/>
      <c r="JEB9" s="737"/>
      <c r="JEC9" s="737"/>
      <c r="JED9" s="737"/>
      <c r="JEE9" s="737"/>
      <c r="JEF9" s="737"/>
      <c r="JEG9" s="737"/>
      <c r="JEH9" s="737"/>
      <c r="JEI9" s="737"/>
      <c r="JEJ9" s="737"/>
      <c r="JEK9" s="737"/>
      <c r="JEL9" s="737"/>
      <c r="JEM9" s="737"/>
      <c r="JEN9" s="737"/>
      <c r="JEO9" s="737"/>
      <c r="JEP9" s="737"/>
      <c r="JEQ9" s="737"/>
      <c r="JER9" s="737"/>
      <c r="JES9" s="737"/>
      <c r="JET9" s="737"/>
      <c r="JEU9" s="737"/>
      <c r="JEV9" s="737"/>
      <c r="JEW9" s="737"/>
      <c r="JEX9" s="737"/>
      <c r="JEY9" s="737"/>
      <c r="JEZ9" s="737"/>
      <c r="JFA9" s="737"/>
      <c r="JFB9" s="737"/>
      <c r="JFC9" s="737"/>
      <c r="JFD9" s="737"/>
      <c r="JFE9" s="737"/>
      <c r="JFF9" s="737"/>
      <c r="JFG9" s="737"/>
      <c r="JFH9" s="737"/>
      <c r="JFI9" s="737"/>
      <c r="JFJ9" s="737"/>
      <c r="JFK9" s="737"/>
      <c r="JFL9" s="737"/>
      <c r="JFM9" s="737"/>
      <c r="JFN9" s="737"/>
      <c r="JFO9" s="737"/>
      <c r="JFP9" s="737"/>
      <c r="JFQ9" s="737"/>
      <c r="JFR9" s="737"/>
      <c r="JFS9" s="737"/>
      <c r="JFT9" s="737"/>
      <c r="JFU9" s="737"/>
      <c r="JFV9" s="737"/>
      <c r="JFW9" s="737"/>
      <c r="JFX9" s="737"/>
      <c r="JFY9" s="737"/>
      <c r="JFZ9" s="737"/>
      <c r="JGA9" s="737"/>
      <c r="JGB9" s="737"/>
      <c r="JGC9" s="737"/>
      <c r="JGD9" s="737"/>
      <c r="JGE9" s="737"/>
      <c r="JGF9" s="737"/>
      <c r="JGG9" s="737"/>
      <c r="JGH9" s="737"/>
      <c r="JGI9" s="737"/>
      <c r="JGJ9" s="737"/>
      <c r="JGK9" s="737"/>
      <c r="JGL9" s="737"/>
      <c r="JGM9" s="737"/>
      <c r="JGN9" s="737"/>
      <c r="JGO9" s="737"/>
      <c r="JGP9" s="737"/>
      <c r="JGQ9" s="737"/>
      <c r="JGR9" s="737"/>
      <c r="JGS9" s="737"/>
      <c r="JGT9" s="737"/>
      <c r="JGU9" s="737"/>
      <c r="JGV9" s="737"/>
      <c r="JGW9" s="737"/>
      <c r="JGX9" s="737"/>
      <c r="JGY9" s="737"/>
      <c r="JGZ9" s="737"/>
      <c r="JHA9" s="737"/>
      <c r="JHB9" s="737"/>
      <c r="JHC9" s="737"/>
      <c r="JHD9" s="737"/>
      <c r="JHE9" s="737"/>
      <c r="JHF9" s="737"/>
      <c r="JHG9" s="737"/>
      <c r="JHH9" s="737"/>
      <c r="JHI9" s="737"/>
      <c r="JHJ9" s="737"/>
      <c r="JHK9" s="737"/>
      <c r="JHL9" s="737"/>
      <c r="JHM9" s="737"/>
      <c r="JHN9" s="737"/>
      <c r="JHO9" s="737"/>
      <c r="JHP9" s="737"/>
      <c r="JHQ9" s="737"/>
      <c r="JHR9" s="737"/>
      <c r="JHS9" s="737"/>
      <c r="JHT9" s="737"/>
      <c r="JHU9" s="737"/>
      <c r="JHV9" s="737"/>
      <c r="JHW9" s="737"/>
      <c r="JHX9" s="737"/>
      <c r="JHY9" s="737"/>
      <c r="JHZ9" s="737"/>
      <c r="JIA9" s="737"/>
      <c r="JIB9" s="737"/>
      <c r="JIC9" s="737"/>
      <c r="JID9" s="737"/>
      <c r="JIE9" s="737"/>
      <c r="JIF9" s="737"/>
      <c r="JIG9" s="737"/>
      <c r="JIH9" s="737"/>
      <c r="JII9" s="737"/>
      <c r="JIJ9" s="737"/>
      <c r="JIK9" s="737"/>
      <c r="JIL9" s="737"/>
      <c r="JIM9" s="737"/>
      <c r="JIN9" s="737"/>
      <c r="JIO9" s="737"/>
      <c r="JIP9" s="737"/>
      <c r="JIQ9" s="737"/>
      <c r="JIR9" s="737"/>
      <c r="JIS9" s="737"/>
      <c r="JIT9" s="737"/>
      <c r="JIU9" s="737"/>
      <c r="JIV9" s="737"/>
      <c r="JIW9" s="737"/>
      <c r="JIX9" s="737"/>
      <c r="JIY9" s="737"/>
      <c r="JIZ9" s="737"/>
      <c r="JJA9" s="737"/>
      <c r="JJB9" s="737"/>
      <c r="JJC9" s="737"/>
      <c r="JJD9" s="737"/>
      <c r="JJE9" s="737"/>
      <c r="JJF9" s="737"/>
      <c r="JJG9" s="737"/>
      <c r="JJH9" s="737"/>
      <c r="JJI9" s="737"/>
      <c r="JJJ9" s="737"/>
      <c r="JJK9" s="737"/>
      <c r="JJL9" s="737"/>
      <c r="JJM9" s="737"/>
      <c r="JJN9" s="737"/>
      <c r="JJO9" s="737"/>
      <c r="JJP9" s="737"/>
      <c r="JJQ9" s="737"/>
      <c r="JJR9" s="737"/>
      <c r="JJS9" s="737"/>
      <c r="JJT9" s="737"/>
      <c r="JJU9" s="737"/>
      <c r="JJV9" s="737"/>
      <c r="JJW9" s="737"/>
      <c r="JJX9" s="737"/>
      <c r="JJY9" s="737"/>
      <c r="JJZ9" s="737"/>
      <c r="JKA9" s="737"/>
      <c r="JKB9" s="737"/>
      <c r="JKC9" s="737"/>
      <c r="JKD9" s="737"/>
      <c r="JKE9" s="737"/>
      <c r="JKF9" s="737"/>
      <c r="JKG9" s="737"/>
      <c r="JKH9" s="737"/>
      <c r="JKI9" s="737"/>
      <c r="JKJ9" s="737"/>
      <c r="JKK9" s="737"/>
      <c r="JKL9" s="737"/>
      <c r="JKM9" s="737"/>
      <c r="JKN9" s="737"/>
      <c r="JKO9" s="737"/>
      <c r="JKP9" s="737"/>
      <c r="JKQ9" s="737"/>
      <c r="JKR9" s="737"/>
      <c r="JKS9" s="737"/>
      <c r="JKT9" s="737"/>
      <c r="JKU9" s="737"/>
      <c r="JKV9" s="737"/>
      <c r="JKW9" s="737"/>
      <c r="JKX9" s="737"/>
      <c r="JKY9" s="737"/>
      <c r="JKZ9" s="737"/>
      <c r="JLA9" s="737"/>
      <c r="JLB9" s="737"/>
      <c r="JLC9" s="737"/>
      <c r="JLD9" s="737"/>
      <c r="JLE9" s="737"/>
      <c r="JLF9" s="737"/>
      <c r="JLG9" s="737"/>
      <c r="JLH9" s="737"/>
      <c r="JLI9" s="737"/>
      <c r="JLJ9" s="737"/>
      <c r="JLK9" s="737"/>
      <c r="JLL9" s="737"/>
      <c r="JLM9" s="737"/>
      <c r="JLN9" s="737"/>
      <c r="JLO9" s="737"/>
      <c r="JLP9" s="737"/>
      <c r="JLQ9" s="737"/>
      <c r="JLR9" s="737"/>
      <c r="JLS9" s="737"/>
      <c r="JLT9" s="737"/>
      <c r="JLU9" s="737"/>
      <c r="JLV9" s="737"/>
      <c r="JLW9" s="737"/>
      <c r="JLX9" s="737"/>
      <c r="JLY9" s="737"/>
      <c r="JLZ9" s="737"/>
      <c r="JMA9" s="737"/>
      <c r="JMB9" s="737"/>
      <c r="JMC9" s="737"/>
      <c r="JMD9" s="737"/>
      <c r="JME9" s="737"/>
      <c r="JMF9" s="737"/>
      <c r="JMG9" s="737"/>
      <c r="JMH9" s="737"/>
      <c r="JMI9" s="737"/>
      <c r="JMJ9" s="737"/>
      <c r="JMK9" s="737"/>
      <c r="JML9" s="737"/>
      <c r="JMM9" s="737"/>
      <c r="JMN9" s="737"/>
      <c r="JMO9" s="737"/>
      <c r="JMP9" s="737"/>
      <c r="JMQ9" s="737"/>
      <c r="JMR9" s="737"/>
      <c r="JMS9" s="737"/>
      <c r="JMT9" s="737"/>
      <c r="JMU9" s="737"/>
      <c r="JMV9" s="737"/>
      <c r="JMW9" s="737"/>
      <c r="JMX9" s="737"/>
      <c r="JMY9" s="737"/>
      <c r="JMZ9" s="737"/>
      <c r="JNA9" s="737"/>
      <c r="JNB9" s="737"/>
      <c r="JNC9" s="737"/>
      <c r="JND9" s="737"/>
      <c r="JNE9" s="737"/>
      <c r="JNF9" s="737"/>
      <c r="JNG9" s="737"/>
      <c r="JNH9" s="737"/>
      <c r="JNI9" s="737"/>
      <c r="JNJ9" s="737"/>
      <c r="JNK9" s="737"/>
      <c r="JNL9" s="737"/>
      <c r="JNM9" s="737"/>
      <c r="JNN9" s="737"/>
      <c r="JNO9" s="737"/>
      <c r="JNP9" s="737"/>
      <c r="JNQ9" s="737"/>
      <c r="JNR9" s="737"/>
      <c r="JNS9" s="737"/>
      <c r="JNT9" s="737"/>
      <c r="JNU9" s="737"/>
      <c r="JNV9" s="737"/>
      <c r="JNW9" s="737"/>
      <c r="JNX9" s="737"/>
      <c r="JNY9" s="737"/>
      <c r="JNZ9" s="737"/>
      <c r="JOA9" s="737"/>
      <c r="JOB9" s="737"/>
      <c r="JOC9" s="737"/>
      <c r="JOD9" s="737"/>
      <c r="JOE9" s="737"/>
      <c r="JOF9" s="737"/>
      <c r="JOG9" s="737"/>
      <c r="JOH9" s="737"/>
      <c r="JOI9" s="737"/>
      <c r="JOJ9" s="737"/>
      <c r="JOK9" s="737"/>
      <c r="JOL9" s="737"/>
      <c r="JOM9" s="737"/>
      <c r="JON9" s="737"/>
      <c r="JOO9" s="737"/>
      <c r="JOP9" s="737"/>
      <c r="JOQ9" s="737"/>
      <c r="JOR9" s="737"/>
      <c r="JOS9" s="737"/>
      <c r="JOT9" s="737"/>
      <c r="JOU9" s="737"/>
      <c r="JOV9" s="737"/>
      <c r="JOW9" s="737"/>
      <c r="JOX9" s="737"/>
      <c r="JOY9" s="737"/>
      <c r="JOZ9" s="737"/>
      <c r="JPA9" s="737"/>
      <c r="JPB9" s="737"/>
      <c r="JPC9" s="737"/>
      <c r="JPD9" s="737"/>
      <c r="JPE9" s="737"/>
      <c r="JPF9" s="737"/>
      <c r="JPG9" s="737"/>
      <c r="JPH9" s="737"/>
      <c r="JPI9" s="737"/>
      <c r="JPJ9" s="737"/>
      <c r="JPK9" s="737"/>
      <c r="JPL9" s="737"/>
      <c r="JPM9" s="737"/>
      <c r="JPN9" s="737"/>
      <c r="JPO9" s="737"/>
      <c r="JPP9" s="737"/>
      <c r="JPQ9" s="737"/>
      <c r="JPR9" s="737"/>
      <c r="JPS9" s="737"/>
      <c r="JPT9" s="737"/>
      <c r="JPU9" s="737"/>
      <c r="JPV9" s="737"/>
      <c r="JPW9" s="737"/>
      <c r="JPX9" s="737"/>
      <c r="JPY9" s="737"/>
      <c r="JPZ9" s="737"/>
      <c r="JQA9" s="737"/>
      <c r="JQB9" s="737"/>
      <c r="JQC9" s="737"/>
      <c r="JQD9" s="737"/>
      <c r="JQE9" s="737"/>
      <c r="JQF9" s="737"/>
      <c r="JQG9" s="737"/>
      <c r="JQH9" s="737"/>
      <c r="JQI9" s="737"/>
      <c r="JQJ9" s="737"/>
      <c r="JQK9" s="737"/>
      <c r="JQL9" s="737"/>
      <c r="JQM9" s="737"/>
      <c r="JQN9" s="737"/>
      <c r="JQO9" s="737"/>
      <c r="JQP9" s="737"/>
      <c r="JQQ9" s="737"/>
      <c r="JQR9" s="737"/>
      <c r="JQS9" s="737"/>
      <c r="JQT9" s="737"/>
      <c r="JQU9" s="737"/>
      <c r="JQV9" s="737"/>
      <c r="JQW9" s="737"/>
      <c r="JQX9" s="737"/>
      <c r="JQY9" s="737"/>
      <c r="JQZ9" s="737"/>
      <c r="JRA9" s="737"/>
      <c r="JRB9" s="737"/>
      <c r="JRC9" s="737"/>
      <c r="JRD9" s="737"/>
      <c r="JRE9" s="737"/>
      <c r="JRF9" s="737"/>
      <c r="JRG9" s="737"/>
      <c r="JRH9" s="737"/>
      <c r="JRI9" s="737"/>
      <c r="JRJ9" s="737"/>
      <c r="JRK9" s="737"/>
      <c r="JRL9" s="737"/>
      <c r="JRM9" s="737"/>
      <c r="JRN9" s="737"/>
      <c r="JRO9" s="737"/>
      <c r="JRP9" s="737"/>
      <c r="JRQ9" s="737"/>
      <c r="JRR9" s="737"/>
      <c r="JRS9" s="737"/>
      <c r="JRT9" s="737"/>
      <c r="JRU9" s="737"/>
      <c r="JRV9" s="737"/>
      <c r="JRW9" s="737"/>
      <c r="JRX9" s="737"/>
      <c r="JRY9" s="737"/>
      <c r="JRZ9" s="737"/>
      <c r="JSA9" s="737"/>
      <c r="JSB9" s="737"/>
      <c r="JSC9" s="737"/>
      <c r="JSD9" s="737"/>
      <c r="JSE9" s="737"/>
      <c r="JSF9" s="737"/>
      <c r="JSG9" s="737"/>
      <c r="JSH9" s="737"/>
      <c r="JSI9" s="737"/>
      <c r="JSJ9" s="737"/>
      <c r="JSK9" s="737"/>
      <c r="JSL9" s="737"/>
      <c r="JSM9" s="737"/>
      <c r="JSN9" s="737"/>
      <c r="JSO9" s="737"/>
      <c r="JSP9" s="737"/>
      <c r="JSQ9" s="737"/>
      <c r="JSR9" s="737"/>
      <c r="JSS9" s="737"/>
      <c r="JST9" s="737"/>
      <c r="JSU9" s="737"/>
      <c r="JSV9" s="737"/>
      <c r="JSW9" s="737"/>
      <c r="JSX9" s="737"/>
      <c r="JSY9" s="737"/>
      <c r="JSZ9" s="737"/>
      <c r="JTA9" s="737"/>
      <c r="JTB9" s="737"/>
      <c r="JTC9" s="737"/>
      <c r="JTD9" s="737"/>
      <c r="JTE9" s="737"/>
      <c r="JTF9" s="737"/>
      <c r="JTG9" s="737"/>
      <c r="JTH9" s="737"/>
      <c r="JTI9" s="737"/>
      <c r="JTJ9" s="737"/>
      <c r="JTK9" s="737"/>
      <c r="JTL9" s="737"/>
      <c r="JTM9" s="737"/>
      <c r="JTN9" s="737"/>
      <c r="JTO9" s="737"/>
      <c r="JTP9" s="737"/>
      <c r="JTQ9" s="737"/>
      <c r="JTR9" s="737"/>
      <c r="JTS9" s="737"/>
      <c r="JTT9" s="737"/>
      <c r="JTU9" s="737"/>
      <c r="JTV9" s="737"/>
      <c r="JTW9" s="737"/>
      <c r="JTX9" s="737"/>
      <c r="JTY9" s="737"/>
      <c r="JTZ9" s="737"/>
      <c r="JUA9" s="737"/>
      <c r="JUB9" s="737"/>
      <c r="JUC9" s="737"/>
      <c r="JUD9" s="737"/>
      <c r="JUE9" s="737"/>
      <c r="JUF9" s="737"/>
      <c r="JUG9" s="737"/>
      <c r="JUH9" s="737"/>
      <c r="JUI9" s="737"/>
      <c r="JUJ9" s="737"/>
      <c r="JUK9" s="737"/>
      <c r="JUL9" s="737"/>
      <c r="JUM9" s="737"/>
      <c r="JUN9" s="737"/>
      <c r="JUO9" s="737"/>
      <c r="JUP9" s="737"/>
      <c r="JUQ9" s="737"/>
      <c r="JUR9" s="737"/>
      <c r="JUS9" s="737"/>
      <c r="JUT9" s="737"/>
      <c r="JUU9" s="737"/>
      <c r="JUV9" s="737"/>
      <c r="JUW9" s="737"/>
      <c r="JUX9" s="737"/>
      <c r="JUY9" s="737"/>
      <c r="JUZ9" s="737"/>
      <c r="JVA9" s="737"/>
      <c r="JVB9" s="737"/>
      <c r="JVC9" s="737"/>
      <c r="JVD9" s="737"/>
      <c r="JVE9" s="737"/>
      <c r="JVF9" s="737"/>
      <c r="JVG9" s="737"/>
      <c r="JVH9" s="737"/>
      <c r="JVI9" s="737"/>
      <c r="JVJ9" s="737"/>
      <c r="JVK9" s="737"/>
      <c r="JVL9" s="737"/>
      <c r="JVM9" s="737"/>
      <c r="JVN9" s="737"/>
      <c r="JVO9" s="737"/>
      <c r="JVP9" s="737"/>
      <c r="JVQ9" s="737"/>
      <c r="JVR9" s="737"/>
      <c r="JVS9" s="737"/>
      <c r="JVT9" s="737"/>
      <c r="JVU9" s="737"/>
      <c r="JVV9" s="737"/>
      <c r="JVW9" s="737"/>
      <c r="JVX9" s="737"/>
      <c r="JVY9" s="737"/>
      <c r="JVZ9" s="737"/>
      <c r="JWA9" s="737"/>
      <c r="JWB9" s="737"/>
      <c r="JWC9" s="737"/>
      <c r="JWD9" s="737"/>
      <c r="JWE9" s="737"/>
      <c r="JWF9" s="737"/>
      <c r="JWG9" s="737"/>
      <c r="JWH9" s="737"/>
      <c r="JWI9" s="737"/>
      <c r="JWJ9" s="737"/>
      <c r="JWK9" s="737"/>
      <c r="JWL9" s="737"/>
      <c r="JWM9" s="737"/>
      <c r="JWN9" s="737"/>
      <c r="JWO9" s="737"/>
      <c r="JWP9" s="737"/>
      <c r="JWQ9" s="737"/>
      <c r="JWR9" s="737"/>
      <c r="JWS9" s="737"/>
      <c r="JWT9" s="737"/>
      <c r="JWU9" s="737"/>
      <c r="JWV9" s="737"/>
      <c r="JWW9" s="737"/>
      <c r="JWX9" s="737"/>
      <c r="JWY9" s="737"/>
      <c r="JWZ9" s="737"/>
      <c r="JXA9" s="737"/>
      <c r="JXB9" s="737"/>
      <c r="JXC9" s="737"/>
      <c r="JXD9" s="737"/>
      <c r="JXE9" s="737"/>
      <c r="JXF9" s="737"/>
      <c r="JXG9" s="737"/>
      <c r="JXH9" s="737"/>
      <c r="JXI9" s="737"/>
      <c r="JXJ9" s="737"/>
      <c r="JXK9" s="737"/>
      <c r="JXL9" s="737"/>
      <c r="JXM9" s="737"/>
      <c r="JXN9" s="737"/>
      <c r="JXO9" s="737"/>
      <c r="JXP9" s="737"/>
      <c r="JXQ9" s="737"/>
      <c r="JXR9" s="737"/>
      <c r="JXS9" s="737"/>
      <c r="JXT9" s="737"/>
      <c r="JXU9" s="737"/>
      <c r="JXV9" s="737"/>
      <c r="JXW9" s="737"/>
      <c r="JXX9" s="737"/>
      <c r="JXY9" s="737"/>
      <c r="JXZ9" s="737"/>
      <c r="JYA9" s="737"/>
      <c r="JYB9" s="737"/>
      <c r="JYC9" s="737"/>
      <c r="JYD9" s="737"/>
      <c r="JYE9" s="737"/>
      <c r="JYF9" s="737"/>
      <c r="JYG9" s="737"/>
      <c r="JYH9" s="737"/>
      <c r="JYI9" s="737"/>
      <c r="JYJ9" s="737"/>
      <c r="JYK9" s="737"/>
      <c r="JYL9" s="737"/>
      <c r="JYM9" s="737"/>
      <c r="JYN9" s="737"/>
      <c r="JYO9" s="737"/>
      <c r="JYP9" s="737"/>
      <c r="JYQ9" s="737"/>
      <c r="JYR9" s="737"/>
      <c r="JYS9" s="737"/>
      <c r="JYT9" s="737"/>
      <c r="JYU9" s="737"/>
      <c r="JYV9" s="737"/>
      <c r="JYW9" s="737"/>
      <c r="JYX9" s="737"/>
      <c r="JYY9" s="737"/>
      <c r="JYZ9" s="737"/>
      <c r="JZA9" s="737"/>
      <c r="JZB9" s="737"/>
      <c r="JZC9" s="737"/>
      <c r="JZD9" s="737"/>
      <c r="JZE9" s="737"/>
      <c r="JZF9" s="737"/>
      <c r="JZG9" s="737"/>
      <c r="JZH9" s="737"/>
      <c r="JZI9" s="737"/>
      <c r="JZJ9" s="737"/>
      <c r="JZK9" s="737"/>
      <c r="JZL9" s="737"/>
      <c r="JZM9" s="737"/>
      <c r="JZN9" s="737"/>
      <c r="JZO9" s="737"/>
      <c r="JZP9" s="737"/>
      <c r="JZQ9" s="737"/>
      <c r="JZR9" s="737"/>
      <c r="JZS9" s="737"/>
      <c r="JZT9" s="737"/>
      <c r="JZU9" s="737"/>
      <c r="JZV9" s="737"/>
      <c r="JZW9" s="737"/>
      <c r="JZX9" s="737"/>
      <c r="JZY9" s="737"/>
      <c r="JZZ9" s="737"/>
      <c r="KAA9" s="737"/>
      <c r="KAB9" s="737"/>
      <c r="KAC9" s="737"/>
      <c r="KAD9" s="737"/>
      <c r="KAE9" s="737"/>
      <c r="KAF9" s="737"/>
      <c r="KAG9" s="737"/>
      <c r="KAH9" s="737"/>
      <c r="KAI9" s="737"/>
      <c r="KAJ9" s="737"/>
      <c r="KAK9" s="737"/>
      <c r="KAL9" s="737"/>
      <c r="KAM9" s="737"/>
      <c r="KAN9" s="737"/>
      <c r="KAO9" s="737"/>
      <c r="KAP9" s="737"/>
      <c r="KAQ9" s="737"/>
      <c r="KAR9" s="737"/>
      <c r="KAS9" s="737"/>
      <c r="KAT9" s="737"/>
      <c r="KAU9" s="737"/>
      <c r="KAV9" s="737"/>
      <c r="KAW9" s="737"/>
      <c r="KAX9" s="737"/>
      <c r="KAY9" s="737"/>
      <c r="KAZ9" s="737"/>
      <c r="KBA9" s="737"/>
      <c r="KBB9" s="737"/>
      <c r="KBC9" s="737"/>
      <c r="KBD9" s="737"/>
      <c r="KBE9" s="737"/>
      <c r="KBF9" s="737"/>
      <c r="KBG9" s="737"/>
      <c r="KBH9" s="737"/>
      <c r="KBI9" s="737"/>
      <c r="KBJ9" s="737"/>
      <c r="KBK9" s="737"/>
      <c r="KBL9" s="737"/>
      <c r="KBM9" s="737"/>
      <c r="KBN9" s="737"/>
      <c r="KBO9" s="737"/>
      <c r="KBP9" s="737"/>
      <c r="KBQ9" s="737"/>
      <c r="KBR9" s="737"/>
      <c r="KBS9" s="737"/>
      <c r="KBT9" s="737"/>
      <c r="KBU9" s="737"/>
      <c r="KBV9" s="737"/>
      <c r="KBW9" s="737"/>
      <c r="KBX9" s="737"/>
      <c r="KBY9" s="737"/>
      <c r="KBZ9" s="737"/>
      <c r="KCA9" s="737"/>
      <c r="KCB9" s="737"/>
      <c r="KCC9" s="737"/>
      <c r="KCD9" s="737"/>
      <c r="KCE9" s="737"/>
      <c r="KCF9" s="737"/>
      <c r="KCG9" s="737"/>
      <c r="KCH9" s="737"/>
      <c r="KCI9" s="737"/>
      <c r="KCJ9" s="737"/>
      <c r="KCK9" s="737"/>
      <c r="KCL9" s="737"/>
      <c r="KCM9" s="737"/>
      <c r="KCN9" s="737"/>
      <c r="KCO9" s="737"/>
      <c r="KCP9" s="737"/>
      <c r="KCQ9" s="737"/>
      <c r="KCR9" s="737"/>
      <c r="KCS9" s="737"/>
      <c r="KCT9" s="737"/>
      <c r="KCU9" s="737"/>
      <c r="KCV9" s="737"/>
      <c r="KCW9" s="737"/>
      <c r="KCX9" s="737"/>
      <c r="KCY9" s="737"/>
      <c r="KCZ9" s="737"/>
      <c r="KDA9" s="737"/>
      <c r="KDB9" s="737"/>
      <c r="KDC9" s="737"/>
      <c r="KDD9" s="737"/>
      <c r="KDE9" s="737"/>
      <c r="KDF9" s="737"/>
      <c r="KDG9" s="737"/>
      <c r="KDH9" s="737"/>
      <c r="KDI9" s="737"/>
      <c r="KDJ9" s="737"/>
      <c r="KDK9" s="737"/>
      <c r="KDL9" s="737"/>
      <c r="KDM9" s="737"/>
      <c r="KDN9" s="737"/>
      <c r="KDO9" s="737"/>
      <c r="KDP9" s="737"/>
      <c r="KDQ9" s="737"/>
      <c r="KDR9" s="737"/>
      <c r="KDS9" s="737"/>
      <c r="KDT9" s="737"/>
      <c r="KDU9" s="737"/>
      <c r="KDV9" s="737"/>
      <c r="KDW9" s="737"/>
      <c r="KDX9" s="737"/>
      <c r="KDY9" s="737"/>
      <c r="KDZ9" s="737"/>
      <c r="KEA9" s="737"/>
      <c r="KEB9" s="737"/>
      <c r="KEC9" s="737"/>
      <c r="KED9" s="737"/>
      <c r="KEE9" s="737"/>
      <c r="KEF9" s="737"/>
      <c r="KEG9" s="737"/>
      <c r="KEH9" s="737"/>
      <c r="KEI9" s="737"/>
      <c r="KEJ9" s="737"/>
      <c r="KEK9" s="737"/>
      <c r="KEL9" s="737"/>
      <c r="KEM9" s="737"/>
      <c r="KEN9" s="737"/>
      <c r="KEO9" s="737"/>
      <c r="KEP9" s="737"/>
      <c r="KEQ9" s="737"/>
      <c r="KER9" s="737"/>
      <c r="KES9" s="737"/>
      <c r="KET9" s="737"/>
      <c r="KEU9" s="737"/>
      <c r="KEV9" s="737"/>
      <c r="KEW9" s="737"/>
      <c r="KEX9" s="737"/>
      <c r="KEY9" s="737"/>
      <c r="KEZ9" s="737"/>
      <c r="KFA9" s="737"/>
      <c r="KFB9" s="737"/>
      <c r="KFC9" s="737"/>
      <c r="KFD9" s="737"/>
      <c r="KFE9" s="737"/>
      <c r="KFF9" s="737"/>
      <c r="KFG9" s="737"/>
      <c r="KFH9" s="737"/>
      <c r="KFI9" s="737"/>
      <c r="KFJ9" s="737"/>
      <c r="KFK9" s="737"/>
      <c r="KFL9" s="737"/>
      <c r="KFM9" s="737"/>
      <c r="KFN9" s="737"/>
      <c r="KFO9" s="737"/>
      <c r="KFP9" s="737"/>
      <c r="KFQ9" s="737"/>
      <c r="KFR9" s="737"/>
      <c r="KFS9" s="737"/>
      <c r="KFT9" s="737"/>
      <c r="KFU9" s="737"/>
      <c r="KFV9" s="737"/>
      <c r="KFW9" s="737"/>
      <c r="KFX9" s="737"/>
      <c r="KFY9" s="737"/>
      <c r="KFZ9" s="737"/>
      <c r="KGA9" s="737"/>
      <c r="KGB9" s="737"/>
      <c r="KGC9" s="737"/>
      <c r="KGD9" s="737"/>
      <c r="KGE9" s="737"/>
      <c r="KGF9" s="737"/>
      <c r="KGG9" s="737"/>
      <c r="KGH9" s="737"/>
      <c r="KGI9" s="737"/>
      <c r="KGJ9" s="737"/>
      <c r="KGK9" s="737"/>
      <c r="KGL9" s="737"/>
      <c r="KGM9" s="737"/>
      <c r="KGN9" s="737"/>
      <c r="KGO9" s="737"/>
      <c r="KGP9" s="737"/>
      <c r="KGQ9" s="737"/>
      <c r="KGR9" s="737"/>
      <c r="KGS9" s="737"/>
      <c r="KGT9" s="737"/>
      <c r="KGU9" s="737"/>
      <c r="KGV9" s="737"/>
      <c r="KGW9" s="737"/>
      <c r="KGX9" s="737"/>
      <c r="KGY9" s="737"/>
      <c r="KGZ9" s="737"/>
      <c r="KHA9" s="737"/>
      <c r="KHB9" s="737"/>
      <c r="KHC9" s="737"/>
      <c r="KHD9" s="737"/>
      <c r="KHE9" s="737"/>
      <c r="KHF9" s="737"/>
      <c r="KHG9" s="737"/>
      <c r="KHH9" s="737"/>
      <c r="KHI9" s="737"/>
      <c r="KHJ9" s="737"/>
      <c r="KHK9" s="737"/>
      <c r="KHL9" s="737"/>
      <c r="KHM9" s="737"/>
      <c r="KHN9" s="737"/>
      <c r="KHO9" s="737"/>
      <c r="KHP9" s="737"/>
      <c r="KHQ9" s="737"/>
      <c r="KHR9" s="737"/>
      <c r="KHS9" s="737"/>
      <c r="KHT9" s="737"/>
      <c r="KHU9" s="737"/>
      <c r="KHV9" s="737"/>
      <c r="KHW9" s="737"/>
      <c r="KHX9" s="737"/>
      <c r="KHY9" s="737"/>
      <c r="KHZ9" s="737"/>
      <c r="KIA9" s="737"/>
      <c r="KIB9" s="737"/>
      <c r="KIC9" s="737"/>
      <c r="KID9" s="737"/>
      <c r="KIE9" s="737"/>
      <c r="KIF9" s="737"/>
      <c r="KIG9" s="737"/>
      <c r="KIH9" s="737"/>
      <c r="KII9" s="737"/>
      <c r="KIJ9" s="737"/>
      <c r="KIK9" s="737"/>
      <c r="KIL9" s="737"/>
      <c r="KIM9" s="737"/>
      <c r="KIN9" s="737"/>
      <c r="KIO9" s="737"/>
      <c r="KIP9" s="737"/>
      <c r="KIQ9" s="737"/>
      <c r="KIR9" s="737"/>
      <c r="KIS9" s="737"/>
      <c r="KIT9" s="737"/>
      <c r="KIU9" s="737"/>
      <c r="KIV9" s="737"/>
      <c r="KIW9" s="737"/>
      <c r="KIX9" s="737"/>
      <c r="KIY9" s="737"/>
      <c r="KIZ9" s="737"/>
      <c r="KJA9" s="737"/>
      <c r="KJB9" s="737"/>
      <c r="KJC9" s="737"/>
      <c r="KJD9" s="737"/>
      <c r="KJE9" s="737"/>
      <c r="KJF9" s="737"/>
      <c r="KJG9" s="737"/>
      <c r="KJH9" s="737"/>
      <c r="KJI9" s="737"/>
      <c r="KJJ9" s="737"/>
      <c r="KJK9" s="737"/>
      <c r="KJL9" s="737"/>
      <c r="KJM9" s="737"/>
      <c r="KJN9" s="737"/>
      <c r="KJO9" s="737"/>
      <c r="KJP9" s="737"/>
      <c r="KJQ9" s="737"/>
      <c r="KJR9" s="737"/>
      <c r="KJS9" s="737"/>
      <c r="KJT9" s="737"/>
      <c r="KJU9" s="737"/>
      <c r="KJV9" s="737"/>
      <c r="KJW9" s="737"/>
      <c r="KJX9" s="737"/>
      <c r="KJY9" s="737"/>
      <c r="KJZ9" s="737"/>
      <c r="KKA9" s="737"/>
      <c r="KKB9" s="737"/>
      <c r="KKC9" s="737"/>
      <c r="KKD9" s="737"/>
      <c r="KKE9" s="737"/>
      <c r="KKF9" s="737"/>
      <c r="KKG9" s="737"/>
      <c r="KKH9" s="737"/>
      <c r="KKI9" s="737"/>
      <c r="KKJ9" s="737"/>
      <c r="KKK9" s="737"/>
      <c r="KKL9" s="737"/>
      <c r="KKM9" s="737"/>
      <c r="KKN9" s="737"/>
      <c r="KKO9" s="737"/>
      <c r="KKP9" s="737"/>
      <c r="KKQ9" s="737"/>
      <c r="KKR9" s="737"/>
      <c r="KKS9" s="737"/>
      <c r="KKT9" s="737"/>
      <c r="KKU9" s="737"/>
      <c r="KKV9" s="737"/>
      <c r="KKW9" s="737"/>
      <c r="KKX9" s="737"/>
      <c r="KKY9" s="737"/>
      <c r="KKZ9" s="737"/>
      <c r="KLA9" s="737"/>
      <c r="KLB9" s="737"/>
      <c r="KLC9" s="737"/>
      <c r="KLD9" s="737"/>
      <c r="KLE9" s="737"/>
      <c r="KLF9" s="737"/>
      <c r="KLG9" s="737"/>
      <c r="KLH9" s="737"/>
      <c r="KLI9" s="737"/>
      <c r="KLJ9" s="737"/>
      <c r="KLK9" s="737"/>
      <c r="KLL9" s="737"/>
      <c r="KLM9" s="737"/>
      <c r="KLN9" s="737"/>
      <c r="KLO9" s="737"/>
      <c r="KLP9" s="737"/>
      <c r="KLQ9" s="737"/>
      <c r="KLR9" s="737"/>
      <c r="KLS9" s="737"/>
      <c r="KLT9" s="737"/>
      <c r="KLU9" s="737"/>
      <c r="KLV9" s="737"/>
      <c r="KLW9" s="737"/>
      <c r="KLX9" s="737"/>
      <c r="KLY9" s="737"/>
      <c r="KLZ9" s="737"/>
      <c r="KMA9" s="737"/>
      <c r="KMB9" s="737"/>
      <c r="KMC9" s="737"/>
      <c r="KMD9" s="737"/>
      <c r="KME9" s="737"/>
      <c r="KMF9" s="737"/>
      <c r="KMG9" s="737"/>
      <c r="KMH9" s="737"/>
      <c r="KMI9" s="737"/>
      <c r="KMJ9" s="737"/>
      <c r="KMK9" s="737"/>
      <c r="KML9" s="737"/>
      <c r="KMM9" s="737"/>
      <c r="KMN9" s="737"/>
      <c r="KMO9" s="737"/>
      <c r="KMP9" s="737"/>
      <c r="KMQ9" s="737"/>
      <c r="KMR9" s="737"/>
      <c r="KMS9" s="737"/>
      <c r="KMT9" s="737"/>
      <c r="KMU9" s="737"/>
      <c r="KMV9" s="737"/>
      <c r="KMW9" s="737"/>
      <c r="KMX9" s="737"/>
      <c r="KMY9" s="737"/>
      <c r="KMZ9" s="737"/>
      <c r="KNA9" s="737"/>
      <c r="KNB9" s="737"/>
      <c r="KNC9" s="737"/>
      <c r="KND9" s="737"/>
      <c r="KNE9" s="737"/>
      <c r="KNF9" s="737"/>
      <c r="KNG9" s="737"/>
      <c r="KNH9" s="737"/>
      <c r="KNI9" s="737"/>
      <c r="KNJ9" s="737"/>
      <c r="KNK9" s="737"/>
      <c r="KNL9" s="737"/>
      <c r="KNM9" s="737"/>
      <c r="KNN9" s="737"/>
      <c r="KNO9" s="737"/>
      <c r="KNP9" s="737"/>
      <c r="KNQ9" s="737"/>
      <c r="KNR9" s="737"/>
      <c r="KNS9" s="737"/>
      <c r="KNT9" s="737"/>
      <c r="KNU9" s="737"/>
      <c r="KNV9" s="737"/>
      <c r="KNW9" s="737"/>
      <c r="KNX9" s="737"/>
      <c r="KNY9" s="737"/>
      <c r="KNZ9" s="737"/>
      <c r="KOA9" s="737"/>
      <c r="KOB9" s="737"/>
      <c r="KOC9" s="737"/>
      <c r="KOD9" s="737"/>
      <c r="KOE9" s="737"/>
      <c r="KOF9" s="737"/>
      <c r="KOG9" s="737"/>
      <c r="KOH9" s="737"/>
      <c r="KOI9" s="737"/>
      <c r="KOJ9" s="737"/>
      <c r="KOK9" s="737"/>
      <c r="KOL9" s="737"/>
      <c r="KOM9" s="737"/>
      <c r="KON9" s="737"/>
      <c r="KOO9" s="737"/>
      <c r="KOP9" s="737"/>
      <c r="KOQ9" s="737"/>
      <c r="KOR9" s="737"/>
      <c r="KOS9" s="737"/>
      <c r="KOT9" s="737"/>
      <c r="KOU9" s="737"/>
      <c r="KOV9" s="737"/>
      <c r="KOW9" s="737"/>
      <c r="KOX9" s="737"/>
      <c r="KOY9" s="737"/>
      <c r="KOZ9" s="737"/>
      <c r="KPA9" s="737"/>
      <c r="KPB9" s="737"/>
      <c r="KPC9" s="737"/>
      <c r="KPD9" s="737"/>
      <c r="KPE9" s="737"/>
      <c r="KPF9" s="737"/>
      <c r="KPG9" s="737"/>
      <c r="KPH9" s="737"/>
      <c r="KPI9" s="737"/>
      <c r="KPJ9" s="737"/>
      <c r="KPK9" s="737"/>
      <c r="KPL9" s="737"/>
      <c r="KPM9" s="737"/>
      <c r="KPN9" s="737"/>
      <c r="KPO9" s="737"/>
      <c r="KPP9" s="737"/>
      <c r="KPQ9" s="737"/>
      <c r="KPR9" s="737"/>
      <c r="KPS9" s="737"/>
      <c r="KPT9" s="737"/>
      <c r="KPU9" s="737"/>
      <c r="KPV9" s="737"/>
      <c r="KPW9" s="737"/>
      <c r="KPX9" s="737"/>
      <c r="KPY9" s="737"/>
      <c r="KPZ9" s="737"/>
      <c r="KQA9" s="737"/>
      <c r="KQB9" s="737"/>
      <c r="KQC9" s="737"/>
      <c r="KQD9" s="737"/>
      <c r="KQE9" s="737"/>
      <c r="KQF9" s="737"/>
      <c r="KQG9" s="737"/>
      <c r="KQH9" s="737"/>
      <c r="KQI9" s="737"/>
      <c r="KQJ9" s="737"/>
      <c r="KQK9" s="737"/>
      <c r="KQL9" s="737"/>
      <c r="KQM9" s="737"/>
      <c r="KQN9" s="737"/>
      <c r="KQO9" s="737"/>
      <c r="KQP9" s="737"/>
      <c r="KQQ9" s="737"/>
      <c r="KQR9" s="737"/>
      <c r="KQS9" s="737"/>
      <c r="KQT9" s="737"/>
      <c r="KQU9" s="737"/>
      <c r="KQV9" s="737"/>
      <c r="KQW9" s="737"/>
      <c r="KQX9" s="737"/>
      <c r="KQY9" s="737"/>
      <c r="KQZ9" s="737"/>
      <c r="KRA9" s="737"/>
      <c r="KRB9" s="737"/>
      <c r="KRC9" s="737"/>
      <c r="KRD9" s="737"/>
      <c r="KRE9" s="737"/>
      <c r="KRF9" s="737"/>
      <c r="KRG9" s="737"/>
      <c r="KRH9" s="737"/>
      <c r="KRI9" s="737"/>
      <c r="KRJ9" s="737"/>
      <c r="KRK9" s="737"/>
      <c r="KRL9" s="737"/>
      <c r="KRM9" s="737"/>
      <c r="KRN9" s="737"/>
      <c r="KRO9" s="737"/>
      <c r="KRP9" s="737"/>
      <c r="KRQ9" s="737"/>
      <c r="KRR9" s="737"/>
      <c r="KRS9" s="737"/>
      <c r="KRT9" s="737"/>
      <c r="KRU9" s="737"/>
      <c r="KRV9" s="737"/>
      <c r="KRW9" s="737"/>
      <c r="KRX9" s="737"/>
      <c r="KRY9" s="737"/>
      <c r="KRZ9" s="737"/>
      <c r="KSA9" s="737"/>
      <c r="KSB9" s="737"/>
      <c r="KSC9" s="737"/>
      <c r="KSD9" s="737"/>
      <c r="KSE9" s="737"/>
      <c r="KSF9" s="737"/>
      <c r="KSG9" s="737"/>
      <c r="KSH9" s="737"/>
      <c r="KSI9" s="737"/>
      <c r="KSJ9" s="737"/>
      <c r="KSK9" s="737"/>
      <c r="KSL9" s="737"/>
      <c r="KSM9" s="737"/>
      <c r="KSN9" s="737"/>
      <c r="KSO9" s="737"/>
      <c r="KSP9" s="737"/>
      <c r="KSQ9" s="737"/>
      <c r="KSR9" s="737"/>
      <c r="KSS9" s="737"/>
      <c r="KST9" s="737"/>
      <c r="KSU9" s="737"/>
      <c r="KSV9" s="737"/>
      <c r="KSW9" s="737"/>
      <c r="KSX9" s="737"/>
      <c r="KSY9" s="737"/>
      <c r="KSZ9" s="737"/>
      <c r="KTA9" s="737"/>
      <c r="KTB9" s="737"/>
      <c r="KTC9" s="737"/>
      <c r="KTD9" s="737"/>
      <c r="KTE9" s="737"/>
      <c r="KTF9" s="737"/>
      <c r="KTG9" s="737"/>
      <c r="KTH9" s="737"/>
      <c r="KTI9" s="737"/>
      <c r="KTJ9" s="737"/>
      <c r="KTK9" s="737"/>
      <c r="KTL9" s="737"/>
      <c r="KTM9" s="737"/>
      <c r="KTN9" s="737"/>
      <c r="KTO9" s="737"/>
      <c r="KTP9" s="737"/>
      <c r="KTQ9" s="737"/>
      <c r="KTR9" s="737"/>
      <c r="KTS9" s="737"/>
      <c r="KTT9" s="737"/>
      <c r="KTU9" s="737"/>
      <c r="KTV9" s="737"/>
      <c r="KTW9" s="737"/>
      <c r="KTX9" s="737"/>
      <c r="KTY9" s="737"/>
      <c r="KTZ9" s="737"/>
      <c r="KUA9" s="737"/>
      <c r="KUB9" s="737"/>
      <c r="KUC9" s="737"/>
      <c r="KUD9" s="737"/>
      <c r="KUE9" s="737"/>
      <c r="KUF9" s="737"/>
      <c r="KUG9" s="737"/>
      <c r="KUH9" s="737"/>
      <c r="KUI9" s="737"/>
      <c r="KUJ9" s="737"/>
      <c r="KUK9" s="737"/>
      <c r="KUL9" s="737"/>
      <c r="KUM9" s="737"/>
      <c r="KUN9" s="737"/>
      <c r="KUO9" s="737"/>
      <c r="KUP9" s="737"/>
      <c r="KUQ9" s="737"/>
      <c r="KUR9" s="737"/>
      <c r="KUS9" s="737"/>
      <c r="KUT9" s="737"/>
      <c r="KUU9" s="737"/>
      <c r="KUV9" s="737"/>
      <c r="KUW9" s="737"/>
      <c r="KUX9" s="737"/>
      <c r="KUY9" s="737"/>
      <c r="KUZ9" s="737"/>
      <c r="KVA9" s="737"/>
      <c r="KVB9" s="737"/>
      <c r="KVC9" s="737"/>
      <c r="KVD9" s="737"/>
      <c r="KVE9" s="737"/>
      <c r="KVF9" s="737"/>
      <c r="KVG9" s="737"/>
      <c r="KVH9" s="737"/>
      <c r="KVI9" s="737"/>
      <c r="KVJ9" s="737"/>
      <c r="KVK9" s="737"/>
      <c r="KVL9" s="737"/>
      <c r="KVM9" s="737"/>
      <c r="KVN9" s="737"/>
      <c r="KVO9" s="737"/>
      <c r="KVP9" s="737"/>
      <c r="KVQ9" s="737"/>
      <c r="KVR9" s="737"/>
      <c r="KVS9" s="737"/>
      <c r="KVT9" s="737"/>
      <c r="KVU9" s="737"/>
      <c r="KVV9" s="737"/>
      <c r="KVW9" s="737"/>
      <c r="KVX9" s="737"/>
      <c r="KVY9" s="737"/>
      <c r="KVZ9" s="737"/>
      <c r="KWA9" s="737"/>
      <c r="KWB9" s="737"/>
      <c r="KWC9" s="737"/>
      <c r="KWD9" s="737"/>
      <c r="KWE9" s="737"/>
      <c r="KWF9" s="737"/>
      <c r="KWG9" s="737"/>
      <c r="KWH9" s="737"/>
      <c r="KWI9" s="737"/>
      <c r="KWJ9" s="737"/>
      <c r="KWK9" s="737"/>
      <c r="KWL9" s="737"/>
      <c r="KWM9" s="737"/>
      <c r="KWN9" s="737"/>
      <c r="KWO9" s="737"/>
      <c r="KWP9" s="737"/>
      <c r="KWQ9" s="737"/>
      <c r="KWR9" s="737"/>
      <c r="KWS9" s="737"/>
      <c r="KWT9" s="737"/>
      <c r="KWU9" s="737"/>
      <c r="KWV9" s="737"/>
      <c r="KWW9" s="737"/>
      <c r="KWX9" s="737"/>
      <c r="KWY9" s="737"/>
      <c r="KWZ9" s="737"/>
      <c r="KXA9" s="737"/>
      <c r="KXB9" s="737"/>
      <c r="KXC9" s="737"/>
      <c r="KXD9" s="737"/>
      <c r="KXE9" s="737"/>
      <c r="KXF9" s="737"/>
      <c r="KXG9" s="737"/>
      <c r="KXH9" s="737"/>
      <c r="KXI9" s="737"/>
      <c r="KXJ9" s="737"/>
      <c r="KXK9" s="737"/>
      <c r="KXL9" s="737"/>
      <c r="KXM9" s="737"/>
      <c r="KXN9" s="737"/>
      <c r="KXO9" s="737"/>
      <c r="KXP9" s="737"/>
      <c r="KXQ9" s="737"/>
      <c r="KXR9" s="737"/>
      <c r="KXS9" s="737"/>
      <c r="KXT9" s="737"/>
      <c r="KXU9" s="737"/>
      <c r="KXV9" s="737"/>
      <c r="KXW9" s="737"/>
      <c r="KXX9" s="737"/>
      <c r="KXY9" s="737"/>
      <c r="KXZ9" s="737"/>
      <c r="KYA9" s="737"/>
      <c r="KYB9" s="737"/>
      <c r="KYC9" s="737"/>
      <c r="KYD9" s="737"/>
      <c r="KYE9" s="737"/>
      <c r="KYF9" s="737"/>
      <c r="KYG9" s="737"/>
      <c r="KYH9" s="737"/>
      <c r="KYI9" s="737"/>
      <c r="KYJ9" s="737"/>
      <c r="KYK9" s="737"/>
      <c r="KYL9" s="737"/>
      <c r="KYM9" s="737"/>
      <c r="KYN9" s="737"/>
      <c r="KYO9" s="737"/>
      <c r="KYP9" s="737"/>
      <c r="KYQ9" s="737"/>
      <c r="KYR9" s="737"/>
      <c r="KYS9" s="737"/>
      <c r="KYT9" s="737"/>
      <c r="KYU9" s="737"/>
      <c r="KYV9" s="737"/>
      <c r="KYW9" s="737"/>
      <c r="KYX9" s="737"/>
      <c r="KYY9" s="737"/>
      <c r="KYZ9" s="737"/>
      <c r="KZA9" s="737"/>
      <c r="KZB9" s="737"/>
      <c r="KZC9" s="737"/>
      <c r="KZD9" s="737"/>
      <c r="KZE9" s="737"/>
      <c r="KZF9" s="737"/>
      <c r="KZG9" s="737"/>
      <c r="KZH9" s="737"/>
      <c r="KZI9" s="737"/>
      <c r="KZJ9" s="737"/>
      <c r="KZK9" s="737"/>
      <c r="KZL9" s="737"/>
      <c r="KZM9" s="737"/>
      <c r="KZN9" s="737"/>
      <c r="KZO9" s="737"/>
      <c r="KZP9" s="737"/>
      <c r="KZQ9" s="737"/>
      <c r="KZR9" s="737"/>
      <c r="KZS9" s="737"/>
      <c r="KZT9" s="737"/>
      <c r="KZU9" s="737"/>
      <c r="KZV9" s="737"/>
      <c r="KZW9" s="737"/>
      <c r="KZX9" s="737"/>
      <c r="KZY9" s="737"/>
      <c r="KZZ9" s="737"/>
      <c r="LAA9" s="737"/>
      <c r="LAB9" s="737"/>
      <c r="LAC9" s="737"/>
      <c r="LAD9" s="737"/>
      <c r="LAE9" s="737"/>
      <c r="LAF9" s="737"/>
      <c r="LAG9" s="737"/>
      <c r="LAH9" s="737"/>
      <c r="LAI9" s="737"/>
      <c r="LAJ9" s="737"/>
      <c r="LAK9" s="737"/>
      <c r="LAL9" s="737"/>
      <c r="LAM9" s="737"/>
      <c r="LAN9" s="737"/>
      <c r="LAO9" s="737"/>
      <c r="LAP9" s="737"/>
      <c r="LAQ9" s="737"/>
      <c r="LAR9" s="737"/>
      <c r="LAS9" s="737"/>
      <c r="LAT9" s="737"/>
      <c r="LAU9" s="737"/>
      <c r="LAV9" s="737"/>
      <c r="LAW9" s="737"/>
      <c r="LAX9" s="737"/>
      <c r="LAY9" s="737"/>
      <c r="LAZ9" s="737"/>
      <c r="LBA9" s="737"/>
      <c r="LBB9" s="737"/>
      <c r="LBC9" s="737"/>
      <c r="LBD9" s="737"/>
      <c r="LBE9" s="737"/>
      <c r="LBF9" s="737"/>
      <c r="LBG9" s="737"/>
      <c r="LBH9" s="737"/>
      <c r="LBI9" s="737"/>
      <c r="LBJ9" s="737"/>
      <c r="LBK9" s="737"/>
      <c r="LBL9" s="737"/>
      <c r="LBM9" s="737"/>
      <c r="LBN9" s="737"/>
      <c r="LBO9" s="737"/>
      <c r="LBP9" s="737"/>
      <c r="LBQ9" s="737"/>
      <c r="LBR9" s="737"/>
      <c r="LBS9" s="737"/>
      <c r="LBT9" s="737"/>
      <c r="LBU9" s="737"/>
      <c r="LBV9" s="737"/>
      <c r="LBW9" s="737"/>
      <c r="LBX9" s="737"/>
      <c r="LBY9" s="737"/>
      <c r="LBZ9" s="737"/>
      <c r="LCA9" s="737"/>
      <c r="LCB9" s="737"/>
      <c r="LCC9" s="737"/>
      <c r="LCD9" s="737"/>
      <c r="LCE9" s="737"/>
      <c r="LCF9" s="737"/>
      <c r="LCG9" s="737"/>
      <c r="LCH9" s="737"/>
      <c r="LCI9" s="737"/>
      <c r="LCJ9" s="737"/>
      <c r="LCK9" s="737"/>
      <c r="LCL9" s="737"/>
      <c r="LCM9" s="737"/>
      <c r="LCN9" s="737"/>
      <c r="LCO9" s="737"/>
      <c r="LCP9" s="737"/>
      <c r="LCQ9" s="737"/>
      <c r="LCR9" s="737"/>
      <c r="LCS9" s="737"/>
      <c r="LCT9" s="737"/>
      <c r="LCU9" s="737"/>
      <c r="LCV9" s="737"/>
      <c r="LCW9" s="737"/>
      <c r="LCX9" s="737"/>
      <c r="LCY9" s="737"/>
      <c r="LCZ9" s="737"/>
      <c r="LDA9" s="737"/>
      <c r="LDB9" s="737"/>
      <c r="LDC9" s="737"/>
      <c r="LDD9" s="737"/>
      <c r="LDE9" s="737"/>
      <c r="LDF9" s="737"/>
      <c r="LDG9" s="737"/>
      <c r="LDH9" s="737"/>
      <c r="LDI9" s="737"/>
      <c r="LDJ9" s="737"/>
      <c r="LDK9" s="737"/>
      <c r="LDL9" s="737"/>
      <c r="LDM9" s="737"/>
      <c r="LDN9" s="737"/>
      <c r="LDO9" s="737"/>
      <c r="LDP9" s="737"/>
      <c r="LDQ9" s="737"/>
      <c r="LDR9" s="737"/>
      <c r="LDS9" s="737"/>
      <c r="LDT9" s="737"/>
      <c r="LDU9" s="737"/>
      <c r="LDV9" s="737"/>
      <c r="LDW9" s="737"/>
      <c r="LDX9" s="737"/>
      <c r="LDY9" s="737"/>
      <c r="LDZ9" s="737"/>
      <c r="LEA9" s="737"/>
      <c r="LEB9" s="737"/>
      <c r="LEC9" s="737"/>
      <c r="LED9" s="737"/>
      <c r="LEE9" s="737"/>
      <c r="LEF9" s="737"/>
      <c r="LEG9" s="737"/>
      <c r="LEH9" s="737"/>
      <c r="LEI9" s="737"/>
      <c r="LEJ9" s="737"/>
      <c r="LEK9" s="737"/>
      <c r="LEL9" s="737"/>
      <c r="LEM9" s="737"/>
      <c r="LEN9" s="737"/>
      <c r="LEO9" s="737"/>
      <c r="LEP9" s="737"/>
      <c r="LEQ9" s="737"/>
      <c r="LER9" s="737"/>
      <c r="LES9" s="737"/>
      <c r="LET9" s="737"/>
      <c r="LEU9" s="737"/>
      <c r="LEV9" s="737"/>
      <c r="LEW9" s="737"/>
      <c r="LEX9" s="737"/>
      <c r="LEY9" s="737"/>
      <c r="LEZ9" s="737"/>
      <c r="LFA9" s="737"/>
      <c r="LFB9" s="737"/>
      <c r="LFC9" s="737"/>
      <c r="LFD9" s="737"/>
      <c r="LFE9" s="737"/>
      <c r="LFF9" s="737"/>
      <c r="LFG9" s="737"/>
      <c r="LFH9" s="737"/>
      <c r="LFI9" s="737"/>
      <c r="LFJ9" s="737"/>
      <c r="LFK9" s="737"/>
      <c r="LFL9" s="737"/>
      <c r="LFM9" s="737"/>
      <c r="LFN9" s="737"/>
      <c r="LFO9" s="737"/>
      <c r="LFP9" s="737"/>
      <c r="LFQ9" s="737"/>
      <c r="LFR9" s="737"/>
      <c r="LFS9" s="737"/>
      <c r="LFT9" s="737"/>
      <c r="LFU9" s="737"/>
      <c r="LFV9" s="737"/>
      <c r="LFW9" s="737"/>
      <c r="LFX9" s="737"/>
      <c r="LFY9" s="737"/>
      <c r="LFZ9" s="737"/>
      <c r="LGA9" s="737"/>
      <c r="LGB9" s="737"/>
      <c r="LGC9" s="737"/>
      <c r="LGD9" s="737"/>
      <c r="LGE9" s="737"/>
      <c r="LGF9" s="737"/>
      <c r="LGG9" s="737"/>
      <c r="LGH9" s="737"/>
      <c r="LGI9" s="737"/>
      <c r="LGJ9" s="737"/>
      <c r="LGK9" s="737"/>
      <c r="LGL9" s="737"/>
      <c r="LGM9" s="737"/>
      <c r="LGN9" s="737"/>
      <c r="LGO9" s="737"/>
      <c r="LGP9" s="737"/>
      <c r="LGQ9" s="737"/>
      <c r="LGR9" s="737"/>
      <c r="LGS9" s="737"/>
      <c r="LGT9" s="737"/>
      <c r="LGU9" s="737"/>
      <c r="LGV9" s="737"/>
      <c r="LGW9" s="737"/>
      <c r="LGX9" s="737"/>
      <c r="LGY9" s="737"/>
      <c r="LGZ9" s="737"/>
      <c r="LHA9" s="737"/>
      <c r="LHB9" s="737"/>
      <c r="LHC9" s="737"/>
      <c r="LHD9" s="737"/>
      <c r="LHE9" s="737"/>
      <c r="LHF9" s="737"/>
      <c r="LHG9" s="737"/>
      <c r="LHH9" s="737"/>
      <c r="LHI9" s="737"/>
      <c r="LHJ9" s="737"/>
      <c r="LHK9" s="737"/>
      <c r="LHL9" s="737"/>
      <c r="LHM9" s="737"/>
      <c r="LHN9" s="737"/>
      <c r="LHO9" s="737"/>
      <c r="LHP9" s="737"/>
      <c r="LHQ9" s="737"/>
      <c r="LHR9" s="737"/>
      <c r="LHS9" s="737"/>
      <c r="LHT9" s="737"/>
      <c r="LHU9" s="737"/>
      <c r="LHV9" s="737"/>
      <c r="LHW9" s="737"/>
      <c r="LHX9" s="737"/>
      <c r="LHY9" s="737"/>
      <c r="LHZ9" s="737"/>
      <c r="LIA9" s="737"/>
      <c r="LIB9" s="737"/>
      <c r="LIC9" s="737"/>
      <c r="LID9" s="737"/>
      <c r="LIE9" s="737"/>
      <c r="LIF9" s="737"/>
      <c r="LIG9" s="737"/>
      <c r="LIH9" s="737"/>
      <c r="LII9" s="737"/>
      <c r="LIJ9" s="737"/>
      <c r="LIK9" s="737"/>
      <c r="LIL9" s="737"/>
      <c r="LIM9" s="737"/>
      <c r="LIN9" s="737"/>
      <c r="LIO9" s="737"/>
      <c r="LIP9" s="737"/>
      <c r="LIQ9" s="737"/>
      <c r="LIR9" s="737"/>
      <c r="LIS9" s="737"/>
      <c r="LIT9" s="737"/>
      <c r="LIU9" s="737"/>
      <c r="LIV9" s="737"/>
      <c r="LIW9" s="737"/>
      <c r="LIX9" s="737"/>
      <c r="LIY9" s="737"/>
      <c r="LIZ9" s="737"/>
      <c r="LJA9" s="737"/>
      <c r="LJB9" s="737"/>
      <c r="LJC9" s="737"/>
      <c r="LJD9" s="737"/>
      <c r="LJE9" s="737"/>
      <c r="LJF9" s="737"/>
      <c r="LJG9" s="737"/>
      <c r="LJH9" s="737"/>
      <c r="LJI9" s="737"/>
      <c r="LJJ9" s="737"/>
      <c r="LJK9" s="737"/>
      <c r="LJL9" s="737"/>
      <c r="LJM9" s="737"/>
      <c r="LJN9" s="737"/>
      <c r="LJO9" s="737"/>
      <c r="LJP9" s="737"/>
      <c r="LJQ9" s="737"/>
      <c r="LJR9" s="737"/>
      <c r="LJS9" s="737"/>
      <c r="LJT9" s="737"/>
      <c r="LJU9" s="737"/>
      <c r="LJV9" s="737"/>
      <c r="LJW9" s="737"/>
      <c r="LJX9" s="737"/>
      <c r="LJY9" s="737"/>
      <c r="LJZ9" s="737"/>
      <c r="LKA9" s="737"/>
      <c r="LKB9" s="737"/>
      <c r="LKC9" s="737"/>
      <c r="LKD9" s="737"/>
      <c r="LKE9" s="737"/>
      <c r="LKF9" s="737"/>
      <c r="LKG9" s="737"/>
      <c r="LKH9" s="737"/>
      <c r="LKI9" s="737"/>
      <c r="LKJ9" s="737"/>
      <c r="LKK9" s="737"/>
      <c r="LKL9" s="737"/>
      <c r="LKM9" s="737"/>
      <c r="LKN9" s="737"/>
      <c r="LKO9" s="737"/>
      <c r="LKP9" s="737"/>
      <c r="LKQ9" s="737"/>
      <c r="LKR9" s="737"/>
      <c r="LKS9" s="737"/>
      <c r="LKT9" s="737"/>
      <c r="LKU9" s="737"/>
      <c r="LKV9" s="737"/>
      <c r="LKW9" s="737"/>
      <c r="LKX9" s="737"/>
      <c r="LKY9" s="737"/>
      <c r="LKZ9" s="737"/>
      <c r="LLA9" s="737"/>
      <c r="LLB9" s="737"/>
      <c r="LLC9" s="737"/>
      <c r="LLD9" s="737"/>
      <c r="LLE9" s="737"/>
      <c r="LLF9" s="737"/>
      <c r="LLG9" s="737"/>
      <c r="LLH9" s="737"/>
      <c r="LLI9" s="737"/>
      <c r="LLJ9" s="737"/>
      <c r="LLK9" s="737"/>
      <c r="LLL9" s="737"/>
      <c r="LLM9" s="737"/>
      <c r="LLN9" s="737"/>
      <c r="LLO9" s="737"/>
      <c r="LLP9" s="737"/>
      <c r="LLQ9" s="737"/>
      <c r="LLR9" s="737"/>
      <c r="LLS9" s="737"/>
      <c r="LLT9" s="737"/>
      <c r="LLU9" s="737"/>
      <c r="LLV9" s="737"/>
      <c r="LLW9" s="737"/>
      <c r="LLX9" s="737"/>
      <c r="LLY9" s="737"/>
      <c r="LLZ9" s="737"/>
      <c r="LMA9" s="737"/>
      <c r="LMB9" s="737"/>
      <c r="LMC9" s="737"/>
      <c r="LMD9" s="737"/>
      <c r="LME9" s="737"/>
      <c r="LMF9" s="737"/>
      <c r="LMG9" s="737"/>
      <c r="LMH9" s="737"/>
      <c r="LMI9" s="737"/>
      <c r="LMJ9" s="737"/>
      <c r="LMK9" s="737"/>
      <c r="LML9" s="737"/>
      <c r="LMM9" s="737"/>
      <c r="LMN9" s="737"/>
      <c r="LMO9" s="737"/>
      <c r="LMP9" s="737"/>
      <c r="LMQ9" s="737"/>
      <c r="LMR9" s="737"/>
      <c r="LMS9" s="737"/>
      <c r="LMT9" s="737"/>
      <c r="LMU9" s="737"/>
      <c r="LMV9" s="737"/>
      <c r="LMW9" s="737"/>
      <c r="LMX9" s="737"/>
      <c r="LMY9" s="737"/>
      <c r="LMZ9" s="737"/>
      <c r="LNA9" s="737"/>
      <c r="LNB9" s="737"/>
      <c r="LNC9" s="737"/>
      <c r="LND9" s="737"/>
      <c r="LNE9" s="737"/>
      <c r="LNF9" s="737"/>
      <c r="LNG9" s="737"/>
      <c r="LNH9" s="737"/>
      <c r="LNI9" s="737"/>
      <c r="LNJ9" s="737"/>
      <c r="LNK9" s="737"/>
      <c r="LNL9" s="737"/>
      <c r="LNM9" s="737"/>
      <c r="LNN9" s="737"/>
      <c r="LNO9" s="737"/>
      <c r="LNP9" s="737"/>
      <c r="LNQ9" s="737"/>
      <c r="LNR9" s="737"/>
      <c r="LNS9" s="737"/>
      <c r="LNT9" s="737"/>
      <c r="LNU9" s="737"/>
      <c r="LNV9" s="737"/>
      <c r="LNW9" s="737"/>
      <c r="LNX9" s="737"/>
      <c r="LNY9" s="737"/>
      <c r="LNZ9" s="737"/>
      <c r="LOA9" s="737"/>
      <c r="LOB9" s="737"/>
      <c r="LOC9" s="737"/>
      <c r="LOD9" s="737"/>
      <c r="LOE9" s="737"/>
      <c r="LOF9" s="737"/>
      <c r="LOG9" s="737"/>
      <c r="LOH9" s="737"/>
      <c r="LOI9" s="737"/>
      <c r="LOJ9" s="737"/>
      <c r="LOK9" s="737"/>
      <c r="LOL9" s="737"/>
      <c r="LOM9" s="737"/>
      <c r="LON9" s="737"/>
      <c r="LOO9" s="737"/>
      <c r="LOP9" s="737"/>
      <c r="LOQ9" s="737"/>
      <c r="LOR9" s="737"/>
      <c r="LOS9" s="737"/>
      <c r="LOT9" s="737"/>
      <c r="LOU9" s="737"/>
      <c r="LOV9" s="737"/>
      <c r="LOW9" s="737"/>
      <c r="LOX9" s="737"/>
      <c r="LOY9" s="737"/>
      <c r="LOZ9" s="737"/>
      <c r="LPA9" s="737"/>
      <c r="LPB9" s="737"/>
      <c r="LPC9" s="737"/>
      <c r="LPD9" s="737"/>
      <c r="LPE9" s="737"/>
      <c r="LPF9" s="737"/>
      <c r="LPG9" s="737"/>
      <c r="LPH9" s="737"/>
      <c r="LPI9" s="737"/>
      <c r="LPJ9" s="737"/>
      <c r="LPK9" s="737"/>
      <c r="LPL9" s="737"/>
      <c r="LPM9" s="737"/>
      <c r="LPN9" s="737"/>
      <c r="LPO9" s="737"/>
      <c r="LPP9" s="737"/>
      <c r="LPQ9" s="737"/>
      <c r="LPR9" s="737"/>
      <c r="LPS9" s="737"/>
      <c r="LPT9" s="737"/>
      <c r="LPU9" s="737"/>
      <c r="LPV9" s="737"/>
      <c r="LPW9" s="737"/>
      <c r="LPX9" s="737"/>
      <c r="LPY9" s="737"/>
      <c r="LPZ9" s="737"/>
      <c r="LQA9" s="737"/>
      <c r="LQB9" s="737"/>
      <c r="LQC9" s="737"/>
      <c r="LQD9" s="737"/>
      <c r="LQE9" s="737"/>
      <c r="LQF9" s="737"/>
      <c r="LQG9" s="737"/>
      <c r="LQH9" s="737"/>
      <c r="LQI9" s="737"/>
      <c r="LQJ9" s="737"/>
      <c r="LQK9" s="737"/>
      <c r="LQL9" s="737"/>
      <c r="LQM9" s="737"/>
      <c r="LQN9" s="737"/>
      <c r="LQO9" s="737"/>
      <c r="LQP9" s="737"/>
      <c r="LQQ9" s="737"/>
      <c r="LQR9" s="737"/>
      <c r="LQS9" s="737"/>
      <c r="LQT9" s="737"/>
      <c r="LQU9" s="737"/>
      <c r="LQV9" s="737"/>
      <c r="LQW9" s="737"/>
      <c r="LQX9" s="737"/>
      <c r="LQY9" s="737"/>
      <c r="LQZ9" s="737"/>
      <c r="LRA9" s="737"/>
      <c r="LRB9" s="737"/>
      <c r="LRC9" s="737"/>
      <c r="LRD9" s="737"/>
      <c r="LRE9" s="737"/>
      <c r="LRF9" s="737"/>
      <c r="LRG9" s="737"/>
      <c r="LRH9" s="737"/>
      <c r="LRI9" s="737"/>
      <c r="LRJ9" s="737"/>
      <c r="LRK9" s="737"/>
      <c r="LRL9" s="737"/>
      <c r="LRM9" s="737"/>
      <c r="LRN9" s="737"/>
      <c r="LRO9" s="737"/>
      <c r="LRP9" s="737"/>
      <c r="LRQ9" s="737"/>
      <c r="LRR9" s="737"/>
      <c r="LRS9" s="737"/>
      <c r="LRT9" s="737"/>
      <c r="LRU9" s="737"/>
      <c r="LRV9" s="737"/>
      <c r="LRW9" s="737"/>
      <c r="LRX9" s="737"/>
      <c r="LRY9" s="737"/>
      <c r="LRZ9" s="737"/>
      <c r="LSA9" s="737"/>
      <c r="LSB9" s="737"/>
      <c r="LSC9" s="737"/>
      <c r="LSD9" s="737"/>
      <c r="LSE9" s="737"/>
      <c r="LSF9" s="737"/>
      <c r="LSG9" s="737"/>
      <c r="LSH9" s="737"/>
      <c r="LSI9" s="737"/>
      <c r="LSJ9" s="737"/>
      <c r="LSK9" s="737"/>
      <c r="LSL9" s="737"/>
      <c r="LSM9" s="737"/>
      <c r="LSN9" s="737"/>
      <c r="LSO9" s="737"/>
      <c r="LSP9" s="737"/>
      <c r="LSQ9" s="737"/>
      <c r="LSR9" s="737"/>
      <c r="LSS9" s="737"/>
      <c r="LST9" s="737"/>
      <c r="LSU9" s="737"/>
      <c r="LSV9" s="737"/>
      <c r="LSW9" s="737"/>
      <c r="LSX9" s="737"/>
      <c r="LSY9" s="737"/>
      <c r="LSZ9" s="737"/>
      <c r="LTA9" s="737"/>
      <c r="LTB9" s="737"/>
      <c r="LTC9" s="737"/>
      <c r="LTD9" s="737"/>
      <c r="LTE9" s="737"/>
      <c r="LTF9" s="737"/>
      <c r="LTG9" s="737"/>
      <c r="LTH9" s="737"/>
      <c r="LTI9" s="737"/>
      <c r="LTJ9" s="737"/>
      <c r="LTK9" s="737"/>
      <c r="LTL9" s="737"/>
      <c r="LTM9" s="737"/>
      <c r="LTN9" s="737"/>
      <c r="LTO9" s="737"/>
      <c r="LTP9" s="737"/>
      <c r="LTQ9" s="737"/>
      <c r="LTR9" s="737"/>
      <c r="LTS9" s="737"/>
      <c r="LTT9" s="737"/>
      <c r="LTU9" s="737"/>
      <c r="LTV9" s="737"/>
      <c r="LTW9" s="737"/>
      <c r="LTX9" s="737"/>
      <c r="LTY9" s="737"/>
      <c r="LTZ9" s="737"/>
      <c r="LUA9" s="737"/>
      <c r="LUB9" s="737"/>
      <c r="LUC9" s="737"/>
      <c r="LUD9" s="737"/>
      <c r="LUE9" s="737"/>
      <c r="LUF9" s="737"/>
      <c r="LUG9" s="737"/>
      <c r="LUH9" s="737"/>
      <c r="LUI9" s="737"/>
      <c r="LUJ9" s="737"/>
      <c r="LUK9" s="737"/>
      <c r="LUL9" s="737"/>
      <c r="LUM9" s="737"/>
      <c r="LUN9" s="737"/>
      <c r="LUO9" s="737"/>
      <c r="LUP9" s="737"/>
      <c r="LUQ9" s="737"/>
      <c r="LUR9" s="737"/>
      <c r="LUS9" s="737"/>
      <c r="LUT9" s="737"/>
      <c r="LUU9" s="737"/>
      <c r="LUV9" s="737"/>
      <c r="LUW9" s="737"/>
      <c r="LUX9" s="737"/>
      <c r="LUY9" s="737"/>
      <c r="LUZ9" s="737"/>
      <c r="LVA9" s="737"/>
      <c r="LVB9" s="737"/>
      <c r="LVC9" s="737"/>
      <c r="LVD9" s="737"/>
      <c r="LVE9" s="737"/>
      <c r="LVF9" s="737"/>
      <c r="LVG9" s="737"/>
      <c r="LVH9" s="737"/>
      <c r="LVI9" s="737"/>
      <c r="LVJ9" s="737"/>
      <c r="LVK9" s="737"/>
      <c r="LVL9" s="737"/>
      <c r="LVM9" s="737"/>
      <c r="LVN9" s="737"/>
      <c r="LVO9" s="737"/>
      <c r="LVP9" s="737"/>
      <c r="LVQ9" s="737"/>
      <c r="LVR9" s="737"/>
      <c r="LVS9" s="737"/>
      <c r="LVT9" s="737"/>
      <c r="LVU9" s="737"/>
      <c r="LVV9" s="737"/>
      <c r="LVW9" s="737"/>
      <c r="LVX9" s="737"/>
      <c r="LVY9" s="737"/>
      <c r="LVZ9" s="737"/>
      <c r="LWA9" s="737"/>
      <c r="LWB9" s="737"/>
      <c r="LWC9" s="737"/>
      <c r="LWD9" s="737"/>
      <c r="LWE9" s="737"/>
      <c r="LWF9" s="737"/>
      <c r="LWG9" s="737"/>
      <c r="LWH9" s="737"/>
      <c r="LWI9" s="737"/>
      <c r="LWJ9" s="737"/>
      <c r="LWK9" s="737"/>
      <c r="LWL9" s="737"/>
      <c r="LWM9" s="737"/>
      <c r="LWN9" s="737"/>
      <c r="LWO9" s="737"/>
      <c r="LWP9" s="737"/>
      <c r="LWQ9" s="737"/>
      <c r="LWR9" s="737"/>
      <c r="LWS9" s="737"/>
      <c r="LWT9" s="737"/>
      <c r="LWU9" s="737"/>
      <c r="LWV9" s="737"/>
      <c r="LWW9" s="737"/>
      <c r="LWX9" s="737"/>
      <c r="LWY9" s="737"/>
      <c r="LWZ9" s="737"/>
      <c r="LXA9" s="737"/>
      <c r="LXB9" s="737"/>
      <c r="LXC9" s="737"/>
      <c r="LXD9" s="737"/>
      <c r="LXE9" s="737"/>
      <c r="LXF9" s="737"/>
      <c r="LXG9" s="737"/>
      <c r="LXH9" s="737"/>
      <c r="LXI9" s="737"/>
      <c r="LXJ9" s="737"/>
      <c r="LXK9" s="737"/>
      <c r="LXL9" s="737"/>
      <c r="LXM9" s="737"/>
      <c r="LXN9" s="737"/>
      <c r="LXO9" s="737"/>
      <c r="LXP9" s="737"/>
      <c r="LXQ9" s="737"/>
      <c r="LXR9" s="737"/>
      <c r="LXS9" s="737"/>
      <c r="LXT9" s="737"/>
      <c r="LXU9" s="737"/>
      <c r="LXV9" s="737"/>
      <c r="LXW9" s="737"/>
      <c r="LXX9" s="737"/>
      <c r="LXY9" s="737"/>
      <c r="LXZ9" s="737"/>
      <c r="LYA9" s="737"/>
      <c r="LYB9" s="737"/>
      <c r="LYC9" s="737"/>
      <c r="LYD9" s="737"/>
      <c r="LYE9" s="737"/>
      <c r="LYF9" s="737"/>
      <c r="LYG9" s="737"/>
      <c r="LYH9" s="737"/>
      <c r="LYI9" s="737"/>
      <c r="LYJ9" s="737"/>
      <c r="LYK9" s="737"/>
      <c r="LYL9" s="737"/>
      <c r="LYM9" s="737"/>
      <c r="LYN9" s="737"/>
      <c r="LYO9" s="737"/>
      <c r="LYP9" s="737"/>
      <c r="LYQ9" s="737"/>
      <c r="LYR9" s="737"/>
      <c r="LYS9" s="737"/>
      <c r="LYT9" s="737"/>
      <c r="LYU9" s="737"/>
      <c r="LYV9" s="737"/>
      <c r="LYW9" s="737"/>
      <c r="LYX9" s="737"/>
      <c r="LYY9" s="737"/>
      <c r="LYZ9" s="737"/>
      <c r="LZA9" s="737"/>
      <c r="LZB9" s="737"/>
      <c r="LZC9" s="737"/>
      <c r="LZD9" s="737"/>
      <c r="LZE9" s="737"/>
      <c r="LZF9" s="737"/>
      <c r="LZG9" s="737"/>
      <c r="LZH9" s="737"/>
      <c r="LZI9" s="737"/>
      <c r="LZJ9" s="737"/>
      <c r="LZK9" s="737"/>
      <c r="LZL9" s="737"/>
      <c r="LZM9" s="737"/>
      <c r="LZN9" s="737"/>
      <c r="LZO9" s="737"/>
      <c r="LZP9" s="737"/>
      <c r="LZQ9" s="737"/>
      <c r="LZR9" s="737"/>
      <c r="LZS9" s="737"/>
      <c r="LZT9" s="737"/>
      <c r="LZU9" s="737"/>
      <c r="LZV9" s="737"/>
      <c r="LZW9" s="737"/>
      <c r="LZX9" s="737"/>
      <c r="LZY9" s="737"/>
      <c r="LZZ9" s="737"/>
      <c r="MAA9" s="737"/>
      <c r="MAB9" s="737"/>
      <c r="MAC9" s="737"/>
      <c r="MAD9" s="737"/>
      <c r="MAE9" s="737"/>
      <c r="MAF9" s="737"/>
      <c r="MAG9" s="737"/>
      <c r="MAH9" s="737"/>
      <c r="MAI9" s="737"/>
      <c r="MAJ9" s="737"/>
      <c r="MAK9" s="737"/>
      <c r="MAL9" s="737"/>
      <c r="MAM9" s="737"/>
      <c r="MAN9" s="737"/>
      <c r="MAO9" s="737"/>
      <c r="MAP9" s="737"/>
      <c r="MAQ9" s="737"/>
      <c r="MAR9" s="737"/>
      <c r="MAS9" s="737"/>
      <c r="MAT9" s="737"/>
      <c r="MAU9" s="737"/>
      <c r="MAV9" s="737"/>
      <c r="MAW9" s="737"/>
      <c r="MAX9" s="737"/>
      <c r="MAY9" s="737"/>
      <c r="MAZ9" s="737"/>
      <c r="MBA9" s="737"/>
      <c r="MBB9" s="737"/>
      <c r="MBC9" s="737"/>
      <c r="MBD9" s="737"/>
      <c r="MBE9" s="737"/>
      <c r="MBF9" s="737"/>
      <c r="MBG9" s="737"/>
      <c r="MBH9" s="737"/>
      <c r="MBI9" s="737"/>
      <c r="MBJ9" s="737"/>
      <c r="MBK9" s="737"/>
      <c r="MBL9" s="737"/>
      <c r="MBM9" s="737"/>
      <c r="MBN9" s="737"/>
      <c r="MBO9" s="737"/>
      <c r="MBP9" s="737"/>
      <c r="MBQ9" s="737"/>
      <c r="MBR9" s="737"/>
      <c r="MBS9" s="737"/>
      <c r="MBT9" s="737"/>
      <c r="MBU9" s="737"/>
      <c r="MBV9" s="737"/>
      <c r="MBW9" s="737"/>
      <c r="MBX9" s="737"/>
      <c r="MBY9" s="737"/>
      <c r="MBZ9" s="737"/>
      <c r="MCA9" s="737"/>
      <c r="MCB9" s="737"/>
      <c r="MCC9" s="737"/>
      <c r="MCD9" s="737"/>
      <c r="MCE9" s="737"/>
      <c r="MCF9" s="737"/>
      <c r="MCG9" s="737"/>
      <c r="MCH9" s="737"/>
      <c r="MCI9" s="737"/>
      <c r="MCJ9" s="737"/>
      <c r="MCK9" s="737"/>
      <c r="MCL9" s="737"/>
      <c r="MCM9" s="737"/>
      <c r="MCN9" s="737"/>
      <c r="MCO9" s="737"/>
      <c r="MCP9" s="737"/>
      <c r="MCQ9" s="737"/>
      <c r="MCR9" s="737"/>
      <c r="MCS9" s="737"/>
      <c r="MCT9" s="737"/>
      <c r="MCU9" s="737"/>
      <c r="MCV9" s="737"/>
      <c r="MCW9" s="737"/>
      <c r="MCX9" s="737"/>
      <c r="MCY9" s="737"/>
      <c r="MCZ9" s="737"/>
      <c r="MDA9" s="737"/>
      <c r="MDB9" s="737"/>
      <c r="MDC9" s="737"/>
      <c r="MDD9" s="737"/>
      <c r="MDE9" s="737"/>
      <c r="MDF9" s="737"/>
      <c r="MDG9" s="737"/>
      <c r="MDH9" s="737"/>
      <c r="MDI9" s="737"/>
      <c r="MDJ9" s="737"/>
      <c r="MDK9" s="737"/>
      <c r="MDL9" s="737"/>
      <c r="MDM9" s="737"/>
      <c r="MDN9" s="737"/>
      <c r="MDO9" s="737"/>
      <c r="MDP9" s="737"/>
      <c r="MDQ9" s="737"/>
      <c r="MDR9" s="737"/>
      <c r="MDS9" s="737"/>
      <c r="MDT9" s="737"/>
      <c r="MDU9" s="737"/>
      <c r="MDV9" s="737"/>
      <c r="MDW9" s="737"/>
      <c r="MDX9" s="737"/>
      <c r="MDY9" s="737"/>
      <c r="MDZ9" s="737"/>
      <c r="MEA9" s="737"/>
      <c r="MEB9" s="737"/>
      <c r="MEC9" s="737"/>
      <c r="MED9" s="737"/>
      <c r="MEE9" s="737"/>
      <c r="MEF9" s="737"/>
      <c r="MEG9" s="737"/>
      <c r="MEH9" s="737"/>
      <c r="MEI9" s="737"/>
      <c r="MEJ9" s="737"/>
      <c r="MEK9" s="737"/>
      <c r="MEL9" s="737"/>
      <c r="MEM9" s="737"/>
      <c r="MEN9" s="737"/>
      <c r="MEO9" s="737"/>
      <c r="MEP9" s="737"/>
      <c r="MEQ9" s="737"/>
      <c r="MER9" s="737"/>
      <c r="MES9" s="737"/>
      <c r="MET9" s="737"/>
      <c r="MEU9" s="737"/>
      <c r="MEV9" s="737"/>
      <c r="MEW9" s="737"/>
      <c r="MEX9" s="737"/>
      <c r="MEY9" s="737"/>
      <c r="MEZ9" s="737"/>
      <c r="MFA9" s="737"/>
      <c r="MFB9" s="737"/>
      <c r="MFC9" s="737"/>
      <c r="MFD9" s="737"/>
      <c r="MFE9" s="737"/>
      <c r="MFF9" s="737"/>
      <c r="MFG9" s="737"/>
      <c r="MFH9" s="737"/>
      <c r="MFI9" s="737"/>
      <c r="MFJ9" s="737"/>
      <c r="MFK9" s="737"/>
      <c r="MFL9" s="737"/>
      <c r="MFM9" s="737"/>
      <c r="MFN9" s="737"/>
      <c r="MFO9" s="737"/>
      <c r="MFP9" s="737"/>
      <c r="MFQ9" s="737"/>
      <c r="MFR9" s="737"/>
      <c r="MFS9" s="737"/>
      <c r="MFT9" s="737"/>
      <c r="MFU9" s="737"/>
      <c r="MFV9" s="737"/>
      <c r="MFW9" s="737"/>
      <c r="MFX9" s="737"/>
      <c r="MFY9" s="737"/>
      <c r="MFZ9" s="737"/>
      <c r="MGA9" s="737"/>
      <c r="MGB9" s="737"/>
      <c r="MGC9" s="737"/>
      <c r="MGD9" s="737"/>
      <c r="MGE9" s="737"/>
      <c r="MGF9" s="737"/>
      <c r="MGG9" s="737"/>
      <c r="MGH9" s="737"/>
      <c r="MGI9" s="737"/>
      <c r="MGJ9" s="737"/>
      <c r="MGK9" s="737"/>
      <c r="MGL9" s="737"/>
      <c r="MGM9" s="737"/>
      <c r="MGN9" s="737"/>
      <c r="MGO9" s="737"/>
      <c r="MGP9" s="737"/>
      <c r="MGQ9" s="737"/>
      <c r="MGR9" s="737"/>
      <c r="MGS9" s="737"/>
      <c r="MGT9" s="737"/>
      <c r="MGU9" s="737"/>
      <c r="MGV9" s="737"/>
      <c r="MGW9" s="737"/>
      <c r="MGX9" s="737"/>
      <c r="MGY9" s="737"/>
      <c r="MGZ9" s="737"/>
      <c r="MHA9" s="737"/>
      <c r="MHB9" s="737"/>
      <c r="MHC9" s="737"/>
      <c r="MHD9" s="737"/>
      <c r="MHE9" s="737"/>
      <c r="MHF9" s="737"/>
      <c r="MHG9" s="737"/>
      <c r="MHH9" s="737"/>
      <c r="MHI9" s="737"/>
      <c r="MHJ9" s="737"/>
      <c r="MHK9" s="737"/>
      <c r="MHL9" s="737"/>
      <c r="MHM9" s="737"/>
      <c r="MHN9" s="737"/>
      <c r="MHO9" s="737"/>
      <c r="MHP9" s="737"/>
      <c r="MHQ9" s="737"/>
      <c r="MHR9" s="737"/>
      <c r="MHS9" s="737"/>
      <c r="MHT9" s="737"/>
      <c r="MHU9" s="737"/>
      <c r="MHV9" s="737"/>
      <c r="MHW9" s="737"/>
      <c r="MHX9" s="737"/>
      <c r="MHY9" s="737"/>
      <c r="MHZ9" s="737"/>
      <c r="MIA9" s="737"/>
      <c r="MIB9" s="737"/>
      <c r="MIC9" s="737"/>
      <c r="MID9" s="737"/>
      <c r="MIE9" s="737"/>
      <c r="MIF9" s="737"/>
      <c r="MIG9" s="737"/>
      <c r="MIH9" s="737"/>
      <c r="MII9" s="737"/>
      <c r="MIJ9" s="737"/>
      <c r="MIK9" s="737"/>
      <c r="MIL9" s="737"/>
      <c r="MIM9" s="737"/>
      <c r="MIN9" s="737"/>
      <c r="MIO9" s="737"/>
      <c r="MIP9" s="737"/>
      <c r="MIQ9" s="737"/>
      <c r="MIR9" s="737"/>
      <c r="MIS9" s="737"/>
      <c r="MIT9" s="737"/>
      <c r="MIU9" s="737"/>
      <c r="MIV9" s="737"/>
      <c r="MIW9" s="737"/>
      <c r="MIX9" s="737"/>
      <c r="MIY9" s="737"/>
      <c r="MIZ9" s="737"/>
      <c r="MJA9" s="737"/>
      <c r="MJB9" s="737"/>
      <c r="MJC9" s="737"/>
      <c r="MJD9" s="737"/>
      <c r="MJE9" s="737"/>
      <c r="MJF9" s="737"/>
      <c r="MJG9" s="737"/>
      <c r="MJH9" s="737"/>
      <c r="MJI9" s="737"/>
      <c r="MJJ9" s="737"/>
      <c r="MJK9" s="737"/>
      <c r="MJL9" s="737"/>
      <c r="MJM9" s="737"/>
      <c r="MJN9" s="737"/>
      <c r="MJO9" s="737"/>
      <c r="MJP9" s="737"/>
      <c r="MJQ9" s="737"/>
      <c r="MJR9" s="737"/>
      <c r="MJS9" s="737"/>
      <c r="MJT9" s="737"/>
      <c r="MJU9" s="737"/>
      <c r="MJV9" s="737"/>
      <c r="MJW9" s="737"/>
      <c r="MJX9" s="737"/>
      <c r="MJY9" s="737"/>
      <c r="MJZ9" s="737"/>
      <c r="MKA9" s="737"/>
      <c r="MKB9" s="737"/>
      <c r="MKC9" s="737"/>
      <c r="MKD9" s="737"/>
      <c r="MKE9" s="737"/>
      <c r="MKF9" s="737"/>
      <c r="MKG9" s="737"/>
      <c r="MKH9" s="737"/>
      <c r="MKI9" s="737"/>
      <c r="MKJ9" s="737"/>
      <c r="MKK9" s="737"/>
      <c r="MKL9" s="737"/>
      <c r="MKM9" s="737"/>
      <c r="MKN9" s="737"/>
      <c r="MKO9" s="737"/>
      <c r="MKP9" s="737"/>
      <c r="MKQ9" s="737"/>
      <c r="MKR9" s="737"/>
      <c r="MKS9" s="737"/>
      <c r="MKT9" s="737"/>
      <c r="MKU9" s="737"/>
      <c r="MKV9" s="737"/>
      <c r="MKW9" s="737"/>
      <c r="MKX9" s="737"/>
      <c r="MKY9" s="737"/>
      <c r="MKZ9" s="737"/>
      <c r="MLA9" s="737"/>
      <c r="MLB9" s="737"/>
      <c r="MLC9" s="737"/>
      <c r="MLD9" s="737"/>
      <c r="MLE9" s="737"/>
      <c r="MLF9" s="737"/>
      <c r="MLG9" s="737"/>
      <c r="MLH9" s="737"/>
      <c r="MLI9" s="737"/>
      <c r="MLJ9" s="737"/>
      <c r="MLK9" s="737"/>
      <c r="MLL9" s="737"/>
      <c r="MLM9" s="737"/>
      <c r="MLN9" s="737"/>
      <c r="MLO9" s="737"/>
      <c r="MLP9" s="737"/>
      <c r="MLQ9" s="737"/>
      <c r="MLR9" s="737"/>
      <c r="MLS9" s="737"/>
      <c r="MLT9" s="737"/>
      <c r="MLU9" s="737"/>
      <c r="MLV9" s="737"/>
      <c r="MLW9" s="737"/>
      <c r="MLX9" s="737"/>
      <c r="MLY9" s="737"/>
      <c r="MLZ9" s="737"/>
      <c r="MMA9" s="737"/>
      <c r="MMB9" s="737"/>
      <c r="MMC9" s="737"/>
      <c r="MMD9" s="737"/>
      <c r="MME9" s="737"/>
      <c r="MMF9" s="737"/>
      <c r="MMG9" s="737"/>
      <c r="MMH9" s="737"/>
      <c r="MMI9" s="737"/>
      <c r="MMJ9" s="737"/>
      <c r="MMK9" s="737"/>
      <c r="MML9" s="737"/>
      <c r="MMM9" s="737"/>
      <c r="MMN9" s="737"/>
      <c r="MMO9" s="737"/>
      <c r="MMP9" s="737"/>
      <c r="MMQ9" s="737"/>
      <c r="MMR9" s="737"/>
      <c r="MMS9" s="737"/>
      <c r="MMT9" s="737"/>
      <c r="MMU9" s="737"/>
      <c r="MMV9" s="737"/>
      <c r="MMW9" s="737"/>
      <c r="MMX9" s="737"/>
      <c r="MMY9" s="737"/>
      <c r="MMZ9" s="737"/>
      <c r="MNA9" s="737"/>
      <c r="MNB9" s="737"/>
      <c r="MNC9" s="737"/>
      <c r="MND9" s="737"/>
      <c r="MNE9" s="737"/>
      <c r="MNF9" s="737"/>
      <c r="MNG9" s="737"/>
      <c r="MNH9" s="737"/>
      <c r="MNI9" s="737"/>
      <c r="MNJ9" s="737"/>
      <c r="MNK9" s="737"/>
      <c r="MNL9" s="737"/>
      <c r="MNM9" s="737"/>
      <c r="MNN9" s="737"/>
      <c r="MNO9" s="737"/>
      <c r="MNP9" s="737"/>
      <c r="MNQ9" s="737"/>
      <c r="MNR9" s="737"/>
      <c r="MNS9" s="737"/>
      <c r="MNT9" s="737"/>
      <c r="MNU9" s="737"/>
      <c r="MNV9" s="737"/>
      <c r="MNW9" s="737"/>
      <c r="MNX9" s="737"/>
      <c r="MNY9" s="737"/>
      <c r="MNZ9" s="737"/>
      <c r="MOA9" s="737"/>
      <c r="MOB9" s="737"/>
      <c r="MOC9" s="737"/>
      <c r="MOD9" s="737"/>
      <c r="MOE9" s="737"/>
      <c r="MOF9" s="737"/>
      <c r="MOG9" s="737"/>
      <c r="MOH9" s="737"/>
      <c r="MOI9" s="737"/>
      <c r="MOJ9" s="737"/>
      <c r="MOK9" s="737"/>
      <c r="MOL9" s="737"/>
      <c r="MOM9" s="737"/>
      <c r="MON9" s="737"/>
      <c r="MOO9" s="737"/>
      <c r="MOP9" s="737"/>
      <c r="MOQ9" s="737"/>
      <c r="MOR9" s="737"/>
      <c r="MOS9" s="737"/>
      <c r="MOT9" s="737"/>
      <c r="MOU9" s="737"/>
      <c r="MOV9" s="737"/>
      <c r="MOW9" s="737"/>
      <c r="MOX9" s="737"/>
      <c r="MOY9" s="737"/>
      <c r="MOZ9" s="737"/>
      <c r="MPA9" s="737"/>
      <c r="MPB9" s="737"/>
      <c r="MPC9" s="737"/>
      <c r="MPD9" s="737"/>
      <c r="MPE9" s="737"/>
      <c r="MPF9" s="737"/>
      <c r="MPG9" s="737"/>
      <c r="MPH9" s="737"/>
      <c r="MPI9" s="737"/>
      <c r="MPJ9" s="737"/>
      <c r="MPK9" s="737"/>
      <c r="MPL9" s="737"/>
      <c r="MPM9" s="737"/>
      <c r="MPN9" s="737"/>
      <c r="MPO9" s="737"/>
      <c r="MPP9" s="737"/>
      <c r="MPQ9" s="737"/>
      <c r="MPR9" s="737"/>
      <c r="MPS9" s="737"/>
      <c r="MPT9" s="737"/>
      <c r="MPU9" s="737"/>
      <c r="MPV9" s="737"/>
      <c r="MPW9" s="737"/>
      <c r="MPX9" s="737"/>
      <c r="MPY9" s="737"/>
      <c r="MPZ9" s="737"/>
      <c r="MQA9" s="737"/>
      <c r="MQB9" s="737"/>
      <c r="MQC9" s="737"/>
      <c r="MQD9" s="737"/>
      <c r="MQE9" s="737"/>
      <c r="MQF9" s="737"/>
      <c r="MQG9" s="737"/>
      <c r="MQH9" s="737"/>
      <c r="MQI9" s="737"/>
      <c r="MQJ9" s="737"/>
      <c r="MQK9" s="737"/>
      <c r="MQL9" s="737"/>
      <c r="MQM9" s="737"/>
      <c r="MQN9" s="737"/>
      <c r="MQO9" s="737"/>
      <c r="MQP9" s="737"/>
      <c r="MQQ9" s="737"/>
      <c r="MQR9" s="737"/>
      <c r="MQS9" s="737"/>
      <c r="MQT9" s="737"/>
      <c r="MQU9" s="737"/>
      <c r="MQV9" s="737"/>
      <c r="MQW9" s="737"/>
      <c r="MQX9" s="737"/>
      <c r="MQY9" s="737"/>
      <c r="MQZ9" s="737"/>
      <c r="MRA9" s="737"/>
      <c r="MRB9" s="737"/>
      <c r="MRC9" s="737"/>
      <c r="MRD9" s="737"/>
      <c r="MRE9" s="737"/>
      <c r="MRF9" s="737"/>
      <c r="MRG9" s="737"/>
      <c r="MRH9" s="737"/>
      <c r="MRI9" s="737"/>
      <c r="MRJ9" s="737"/>
      <c r="MRK9" s="737"/>
      <c r="MRL9" s="737"/>
      <c r="MRM9" s="737"/>
      <c r="MRN9" s="737"/>
      <c r="MRO9" s="737"/>
      <c r="MRP9" s="737"/>
      <c r="MRQ9" s="737"/>
      <c r="MRR9" s="737"/>
      <c r="MRS9" s="737"/>
      <c r="MRT9" s="737"/>
      <c r="MRU9" s="737"/>
      <c r="MRV9" s="737"/>
      <c r="MRW9" s="737"/>
      <c r="MRX9" s="737"/>
      <c r="MRY9" s="737"/>
      <c r="MRZ9" s="737"/>
      <c r="MSA9" s="737"/>
      <c r="MSB9" s="737"/>
      <c r="MSC9" s="737"/>
      <c r="MSD9" s="737"/>
      <c r="MSE9" s="737"/>
      <c r="MSF9" s="737"/>
      <c r="MSG9" s="737"/>
      <c r="MSH9" s="737"/>
      <c r="MSI9" s="737"/>
      <c r="MSJ9" s="737"/>
      <c r="MSK9" s="737"/>
      <c r="MSL9" s="737"/>
      <c r="MSM9" s="737"/>
      <c r="MSN9" s="737"/>
      <c r="MSO9" s="737"/>
      <c r="MSP9" s="737"/>
      <c r="MSQ9" s="737"/>
      <c r="MSR9" s="737"/>
      <c r="MSS9" s="737"/>
      <c r="MST9" s="737"/>
      <c r="MSU9" s="737"/>
      <c r="MSV9" s="737"/>
      <c r="MSW9" s="737"/>
      <c r="MSX9" s="737"/>
      <c r="MSY9" s="737"/>
      <c r="MSZ9" s="737"/>
      <c r="MTA9" s="737"/>
      <c r="MTB9" s="737"/>
      <c r="MTC9" s="737"/>
      <c r="MTD9" s="737"/>
      <c r="MTE9" s="737"/>
      <c r="MTF9" s="737"/>
      <c r="MTG9" s="737"/>
      <c r="MTH9" s="737"/>
      <c r="MTI9" s="737"/>
      <c r="MTJ9" s="737"/>
      <c r="MTK9" s="737"/>
      <c r="MTL9" s="737"/>
      <c r="MTM9" s="737"/>
      <c r="MTN9" s="737"/>
      <c r="MTO9" s="737"/>
      <c r="MTP9" s="737"/>
      <c r="MTQ9" s="737"/>
      <c r="MTR9" s="737"/>
      <c r="MTS9" s="737"/>
      <c r="MTT9" s="737"/>
      <c r="MTU9" s="737"/>
      <c r="MTV9" s="737"/>
      <c r="MTW9" s="737"/>
      <c r="MTX9" s="737"/>
      <c r="MTY9" s="737"/>
      <c r="MTZ9" s="737"/>
      <c r="MUA9" s="737"/>
      <c r="MUB9" s="737"/>
      <c r="MUC9" s="737"/>
      <c r="MUD9" s="737"/>
      <c r="MUE9" s="737"/>
      <c r="MUF9" s="737"/>
      <c r="MUG9" s="737"/>
      <c r="MUH9" s="737"/>
      <c r="MUI9" s="737"/>
      <c r="MUJ9" s="737"/>
      <c r="MUK9" s="737"/>
      <c r="MUL9" s="737"/>
      <c r="MUM9" s="737"/>
      <c r="MUN9" s="737"/>
      <c r="MUO9" s="737"/>
      <c r="MUP9" s="737"/>
      <c r="MUQ9" s="737"/>
      <c r="MUR9" s="737"/>
      <c r="MUS9" s="737"/>
      <c r="MUT9" s="737"/>
      <c r="MUU9" s="737"/>
      <c r="MUV9" s="737"/>
      <c r="MUW9" s="737"/>
      <c r="MUX9" s="737"/>
      <c r="MUY9" s="737"/>
      <c r="MUZ9" s="737"/>
      <c r="MVA9" s="737"/>
      <c r="MVB9" s="737"/>
      <c r="MVC9" s="737"/>
      <c r="MVD9" s="737"/>
      <c r="MVE9" s="737"/>
      <c r="MVF9" s="737"/>
      <c r="MVG9" s="737"/>
      <c r="MVH9" s="737"/>
      <c r="MVI9" s="737"/>
      <c r="MVJ9" s="737"/>
      <c r="MVK9" s="737"/>
      <c r="MVL9" s="737"/>
      <c r="MVM9" s="737"/>
      <c r="MVN9" s="737"/>
      <c r="MVO9" s="737"/>
      <c r="MVP9" s="737"/>
      <c r="MVQ9" s="737"/>
      <c r="MVR9" s="737"/>
      <c r="MVS9" s="737"/>
      <c r="MVT9" s="737"/>
      <c r="MVU9" s="737"/>
      <c r="MVV9" s="737"/>
      <c r="MVW9" s="737"/>
      <c r="MVX9" s="737"/>
      <c r="MVY9" s="737"/>
      <c r="MVZ9" s="737"/>
      <c r="MWA9" s="737"/>
      <c r="MWB9" s="737"/>
      <c r="MWC9" s="737"/>
      <c r="MWD9" s="737"/>
      <c r="MWE9" s="737"/>
      <c r="MWF9" s="737"/>
      <c r="MWG9" s="737"/>
      <c r="MWH9" s="737"/>
      <c r="MWI9" s="737"/>
      <c r="MWJ9" s="737"/>
      <c r="MWK9" s="737"/>
      <c r="MWL9" s="737"/>
      <c r="MWM9" s="737"/>
      <c r="MWN9" s="737"/>
      <c r="MWO9" s="737"/>
      <c r="MWP9" s="737"/>
      <c r="MWQ9" s="737"/>
      <c r="MWR9" s="737"/>
      <c r="MWS9" s="737"/>
      <c r="MWT9" s="737"/>
      <c r="MWU9" s="737"/>
      <c r="MWV9" s="737"/>
      <c r="MWW9" s="737"/>
      <c r="MWX9" s="737"/>
      <c r="MWY9" s="737"/>
      <c r="MWZ9" s="737"/>
      <c r="MXA9" s="737"/>
      <c r="MXB9" s="737"/>
      <c r="MXC9" s="737"/>
      <c r="MXD9" s="737"/>
      <c r="MXE9" s="737"/>
      <c r="MXF9" s="737"/>
      <c r="MXG9" s="737"/>
      <c r="MXH9" s="737"/>
      <c r="MXI9" s="737"/>
      <c r="MXJ9" s="737"/>
      <c r="MXK9" s="737"/>
      <c r="MXL9" s="737"/>
      <c r="MXM9" s="737"/>
      <c r="MXN9" s="737"/>
      <c r="MXO9" s="737"/>
      <c r="MXP9" s="737"/>
      <c r="MXQ9" s="737"/>
      <c r="MXR9" s="737"/>
      <c r="MXS9" s="737"/>
      <c r="MXT9" s="737"/>
      <c r="MXU9" s="737"/>
      <c r="MXV9" s="737"/>
      <c r="MXW9" s="737"/>
      <c r="MXX9" s="737"/>
      <c r="MXY9" s="737"/>
      <c r="MXZ9" s="737"/>
      <c r="MYA9" s="737"/>
      <c r="MYB9" s="737"/>
      <c r="MYC9" s="737"/>
      <c r="MYD9" s="737"/>
      <c r="MYE9" s="737"/>
      <c r="MYF9" s="737"/>
      <c r="MYG9" s="737"/>
      <c r="MYH9" s="737"/>
      <c r="MYI9" s="737"/>
      <c r="MYJ9" s="737"/>
      <c r="MYK9" s="737"/>
      <c r="MYL9" s="737"/>
      <c r="MYM9" s="737"/>
      <c r="MYN9" s="737"/>
      <c r="MYO9" s="737"/>
      <c r="MYP9" s="737"/>
      <c r="MYQ9" s="737"/>
      <c r="MYR9" s="737"/>
      <c r="MYS9" s="737"/>
      <c r="MYT9" s="737"/>
      <c r="MYU9" s="737"/>
      <c r="MYV9" s="737"/>
      <c r="MYW9" s="737"/>
      <c r="MYX9" s="737"/>
      <c r="MYY9" s="737"/>
      <c r="MYZ9" s="737"/>
      <c r="MZA9" s="737"/>
      <c r="MZB9" s="737"/>
      <c r="MZC9" s="737"/>
      <c r="MZD9" s="737"/>
      <c r="MZE9" s="737"/>
      <c r="MZF9" s="737"/>
      <c r="MZG9" s="737"/>
      <c r="MZH9" s="737"/>
      <c r="MZI9" s="737"/>
      <c r="MZJ9" s="737"/>
      <c r="MZK9" s="737"/>
      <c r="MZL9" s="737"/>
      <c r="MZM9" s="737"/>
      <c r="MZN9" s="737"/>
      <c r="MZO9" s="737"/>
      <c r="MZP9" s="737"/>
      <c r="MZQ9" s="737"/>
      <c r="MZR9" s="737"/>
      <c r="MZS9" s="737"/>
      <c r="MZT9" s="737"/>
      <c r="MZU9" s="737"/>
      <c r="MZV9" s="737"/>
      <c r="MZW9" s="737"/>
      <c r="MZX9" s="737"/>
      <c r="MZY9" s="737"/>
      <c r="MZZ9" s="737"/>
      <c r="NAA9" s="737"/>
      <c r="NAB9" s="737"/>
      <c r="NAC9" s="737"/>
      <c r="NAD9" s="737"/>
      <c r="NAE9" s="737"/>
      <c r="NAF9" s="737"/>
      <c r="NAG9" s="737"/>
      <c r="NAH9" s="737"/>
      <c r="NAI9" s="737"/>
      <c r="NAJ9" s="737"/>
      <c r="NAK9" s="737"/>
      <c r="NAL9" s="737"/>
      <c r="NAM9" s="737"/>
      <c r="NAN9" s="737"/>
      <c r="NAO9" s="737"/>
      <c r="NAP9" s="737"/>
      <c r="NAQ9" s="737"/>
      <c r="NAR9" s="737"/>
      <c r="NAS9" s="737"/>
      <c r="NAT9" s="737"/>
      <c r="NAU9" s="737"/>
      <c r="NAV9" s="737"/>
      <c r="NAW9" s="737"/>
      <c r="NAX9" s="737"/>
      <c r="NAY9" s="737"/>
      <c r="NAZ9" s="737"/>
      <c r="NBA9" s="737"/>
      <c r="NBB9" s="737"/>
      <c r="NBC9" s="737"/>
      <c r="NBD9" s="737"/>
      <c r="NBE9" s="737"/>
      <c r="NBF9" s="737"/>
      <c r="NBG9" s="737"/>
      <c r="NBH9" s="737"/>
      <c r="NBI9" s="737"/>
      <c r="NBJ9" s="737"/>
      <c r="NBK9" s="737"/>
      <c r="NBL9" s="737"/>
      <c r="NBM9" s="737"/>
      <c r="NBN9" s="737"/>
      <c r="NBO9" s="737"/>
      <c r="NBP9" s="737"/>
      <c r="NBQ9" s="737"/>
      <c r="NBR9" s="737"/>
      <c r="NBS9" s="737"/>
      <c r="NBT9" s="737"/>
      <c r="NBU9" s="737"/>
      <c r="NBV9" s="737"/>
      <c r="NBW9" s="737"/>
      <c r="NBX9" s="737"/>
      <c r="NBY9" s="737"/>
      <c r="NBZ9" s="737"/>
      <c r="NCA9" s="737"/>
      <c r="NCB9" s="737"/>
      <c r="NCC9" s="737"/>
      <c r="NCD9" s="737"/>
      <c r="NCE9" s="737"/>
      <c r="NCF9" s="737"/>
      <c r="NCG9" s="737"/>
      <c r="NCH9" s="737"/>
      <c r="NCI9" s="737"/>
      <c r="NCJ9" s="737"/>
      <c r="NCK9" s="737"/>
      <c r="NCL9" s="737"/>
      <c r="NCM9" s="737"/>
      <c r="NCN9" s="737"/>
      <c r="NCO9" s="737"/>
      <c r="NCP9" s="737"/>
      <c r="NCQ9" s="737"/>
      <c r="NCR9" s="737"/>
      <c r="NCS9" s="737"/>
      <c r="NCT9" s="737"/>
      <c r="NCU9" s="737"/>
      <c r="NCV9" s="737"/>
      <c r="NCW9" s="737"/>
      <c r="NCX9" s="737"/>
      <c r="NCY9" s="737"/>
      <c r="NCZ9" s="737"/>
      <c r="NDA9" s="737"/>
      <c r="NDB9" s="737"/>
      <c r="NDC9" s="737"/>
      <c r="NDD9" s="737"/>
      <c r="NDE9" s="737"/>
      <c r="NDF9" s="737"/>
      <c r="NDG9" s="737"/>
      <c r="NDH9" s="737"/>
      <c r="NDI9" s="737"/>
      <c r="NDJ9" s="737"/>
      <c r="NDK9" s="737"/>
      <c r="NDL9" s="737"/>
      <c r="NDM9" s="737"/>
      <c r="NDN9" s="737"/>
      <c r="NDO9" s="737"/>
      <c r="NDP9" s="737"/>
      <c r="NDQ9" s="737"/>
      <c r="NDR9" s="737"/>
      <c r="NDS9" s="737"/>
      <c r="NDT9" s="737"/>
      <c r="NDU9" s="737"/>
      <c r="NDV9" s="737"/>
      <c r="NDW9" s="737"/>
      <c r="NDX9" s="737"/>
      <c r="NDY9" s="737"/>
      <c r="NDZ9" s="737"/>
      <c r="NEA9" s="737"/>
      <c r="NEB9" s="737"/>
      <c r="NEC9" s="737"/>
      <c r="NED9" s="737"/>
      <c r="NEE9" s="737"/>
      <c r="NEF9" s="737"/>
      <c r="NEG9" s="737"/>
      <c r="NEH9" s="737"/>
      <c r="NEI9" s="737"/>
      <c r="NEJ9" s="737"/>
      <c r="NEK9" s="737"/>
      <c r="NEL9" s="737"/>
      <c r="NEM9" s="737"/>
      <c r="NEN9" s="737"/>
      <c r="NEO9" s="737"/>
      <c r="NEP9" s="737"/>
      <c r="NEQ9" s="737"/>
      <c r="NER9" s="737"/>
      <c r="NES9" s="737"/>
      <c r="NET9" s="737"/>
      <c r="NEU9" s="737"/>
      <c r="NEV9" s="737"/>
      <c r="NEW9" s="737"/>
      <c r="NEX9" s="737"/>
      <c r="NEY9" s="737"/>
      <c r="NEZ9" s="737"/>
      <c r="NFA9" s="737"/>
      <c r="NFB9" s="737"/>
      <c r="NFC9" s="737"/>
      <c r="NFD9" s="737"/>
      <c r="NFE9" s="737"/>
      <c r="NFF9" s="737"/>
      <c r="NFG9" s="737"/>
      <c r="NFH9" s="737"/>
      <c r="NFI9" s="737"/>
      <c r="NFJ9" s="737"/>
      <c r="NFK9" s="737"/>
      <c r="NFL9" s="737"/>
      <c r="NFM9" s="737"/>
      <c r="NFN9" s="737"/>
      <c r="NFO9" s="737"/>
      <c r="NFP9" s="737"/>
      <c r="NFQ9" s="737"/>
      <c r="NFR9" s="737"/>
      <c r="NFS9" s="737"/>
      <c r="NFT9" s="737"/>
      <c r="NFU9" s="737"/>
      <c r="NFV9" s="737"/>
      <c r="NFW9" s="737"/>
      <c r="NFX9" s="737"/>
      <c r="NFY9" s="737"/>
      <c r="NFZ9" s="737"/>
      <c r="NGA9" s="737"/>
      <c r="NGB9" s="737"/>
      <c r="NGC9" s="737"/>
      <c r="NGD9" s="737"/>
      <c r="NGE9" s="737"/>
      <c r="NGF9" s="737"/>
      <c r="NGG9" s="737"/>
      <c r="NGH9" s="737"/>
      <c r="NGI9" s="737"/>
      <c r="NGJ9" s="737"/>
      <c r="NGK9" s="737"/>
      <c r="NGL9" s="737"/>
      <c r="NGM9" s="737"/>
      <c r="NGN9" s="737"/>
      <c r="NGO9" s="737"/>
      <c r="NGP9" s="737"/>
      <c r="NGQ9" s="737"/>
      <c r="NGR9" s="737"/>
      <c r="NGS9" s="737"/>
      <c r="NGT9" s="737"/>
      <c r="NGU9" s="737"/>
      <c r="NGV9" s="737"/>
      <c r="NGW9" s="737"/>
      <c r="NGX9" s="737"/>
      <c r="NGY9" s="737"/>
      <c r="NGZ9" s="737"/>
      <c r="NHA9" s="737"/>
      <c r="NHB9" s="737"/>
      <c r="NHC9" s="737"/>
      <c r="NHD9" s="737"/>
      <c r="NHE9" s="737"/>
      <c r="NHF9" s="737"/>
      <c r="NHG9" s="737"/>
      <c r="NHH9" s="737"/>
      <c r="NHI9" s="737"/>
      <c r="NHJ9" s="737"/>
      <c r="NHK9" s="737"/>
      <c r="NHL9" s="737"/>
      <c r="NHM9" s="737"/>
      <c r="NHN9" s="737"/>
      <c r="NHO9" s="737"/>
      <c r="NHP9" s="737"/>
      <c r="NHQ9" s="737"/>
      <c r="NHR9" s="737"/>
      <c r="NHS9" s="737"/>
      <c r="NHT9" s="737"/>
      <c r="NHU9" s="737"/>
      <c r="NHV9" s="737"/>
      <c r="NHW9" s="737"/>
      <c r="NHX9" s="737"/>
      <c r="NHY9" s="737"/>
      <c r="NHZ9" s="737"/>
      <c r="NIA9" s="737"/>
      <c r="NIB9" s="737"/>
      <c r="NIC9" s="737"/>
      <c r="NID9" s="737"/>
      <c r="NIE9" s="737"/>
      <c r="NIF9" s="737"/>
      <c r="NIG9" s="737"/>
      <c r="NIH9" s="737"/>
      <c r="NII9" s="737"/>
      <c r="NIJ9" s="737"/>
      <c r="NIK9" s="737"/>
      <c r="NIL9" s="737"/>
      <c r="NIM9" s="737"/>
      <c r="NIN9" s="737"/>
      <c r="NIO9" s="737"/>
      <c r="NIP9" s="737"/>
      <c r="NIQ9" s="737"/>
      <c r="NIR9" s="737"/>
      <c r="NIS9" s="737"/>
      <c r="NIT9" s="737"/>
      <c r="NIU9" s="737"/>
      <c r="NIV9" s="737"/>
      <c r="NIW9" s="737"/>
      <c r="NIX9" s="737"/>
      <c r="NIY9" s="737"/>
      <c r="NIZ9" s="737"/>
      <c r="NJA9" s="737"/>
      <c r="NJB9" s="737"/>
      <c r="NJC9" s="737"/>
      <c r="NJD9" s="737"/>
      <c r="NJE9" s="737"/>
      <c r="NJF9" s="737"/>
      <c r="NJG9" s="737"/>
      <c r="NJH9" s="737"/>
      <c r="NJI9" s="737"/>
      <c r="NJJ9" s="737"/>
      <c r="NJK9" s="737"/>
      <c r="NJL9" s="737"/>
      <c r="NJM9" s="737"/>
      <c r="NJN9" s="737"/>
      <c r="NJO9" s="737"/>
      <c r="NJP9" s="737"/>
      <c r="NJQ9" s="737"/>
      <c r="NJR9" s="737"/>
      <c r="NJS9" s="737"/>
      <c r="NJT9" s="737"/>
      <c r="NJU9" s="737"/>
      <c r="NJV9" s="737"/>
      <c r="NJW9" s="737"/>
      <c r="NJX9" s="737"/>
      <c r="NJY9" s="737"/>
      <c r="NJZ9" s="737"/>
      <c r="NKA9" s="737"/>
      <c r="NKB9" s="737"/>
      <c r="NKC9" s="737"/>
      <c r="NKD9" s="737"/>
      <c r="NKE9" s="737"/>
      <c r="NKF9" s="737"/>
      <c r="NKG9" s="737"/>
      <c r="NKH9" s="737"/>
      <c r="NKI9" s="737"/>
      <c r="NKJ9" s="737"/>
      <c r="NKK9" s="737"/>
      <c r="NKL9" s="737"/>
      <c r="NKM9" s="737"/>
      <c r="NKN9" s="737"/>
      <c r="NKO9" s="737"/>
      <c r="NKP9" s="737"/>
      <c r="NKQ9" s="737"/>
      <c r="NKR9" s="737"/>
      <c r="NKS9" s="737"/>
      <c r="NKT9" s="737"/>
      <c r="NKU9" s="737"/>
      <c r="NKV9" s="737"/>
      <c r="NKW9" s="737"/>
      <c r="NKX9" s="737"/>
      <c r="NKY9" s="737"/>
      <c r="NKZ9" s="737"/>
      <c r="NLA9" s="737"/>
      <c r="NLB9" s="737"/>
      <c r="NLC9" s="737"/>
      <c r="NLD9" s="737"/>
      <c r="NLE9" s="737"/>
      <c r="NLF9" s="737"/>
      <c r="NLG9" s="737"/>
      <c r="NLH9" s="737"/>
      <c r="NLI9" s="737"/>
      <c r="NLJ9" s="737"/>
      <c r="NLK9" s="737"/>
      <c r="NLL9" s="737"/>
      <c r="NLM9" s="737"/>
      <c r="NLN9" s="737"/>
      <c r="NLO9" s="737"/>
      <c r="NLP9" s="737"/>
      <c r="NLQ9" s="737"/>
      <c r="NLR9" s="737"/>
      <c r="NLS9" s="737"/>
      <c r="NLT9" s="737"/>
      <c r="NLU9" s="737"/>
      <c r="NLV9" s="737"/>
      <c r="NLW9" s="737"/>
      <c r="NLX9" s="737"/>
      <c r="NLY9" s="737"/>
      <c r="NLZ9" s="737"/>
      <c r="NMA9" s="737"/>
      <c r="NMB9" s="737"/>
      <c r="NMC9" s="737"/>
      <c r="NMD9" s="737"/>
      <c r="NME9" s="737"/>
      <c r="NMF9" s="737"/>
      <c r="NMG9" s="737"/>
      <c r="NMH9" s="737"/>
      <c r="NMI9" s="737"/>
      <c r="NMJ9" s="737"/>
      <c r="NMK9" s="737"/>
      <c r="NML9" s="737"/>
      <c r="NMM9" s="737"/>
      <c r="NMN9" s="737"/>
      <c r="NMO9" s="737"/>
      <c r="NMP9" s="737"/>
      <c r="NMQ9" s="737"/>
      <c r="NMR9" s="737"/>
      <c r="NMS9" s="737"/>
      <c r="NMT9" s="737"/>
      <c r="NMU9" s="737"/>
      <c r="NMV9" s="737"/>
      <c r="NMW9" s="737"/>
      <c r="NMX9" s="737"/>
      <c r="NMY9" s="737"/>
      <c r="NMZ9" s="737"/>
      <c r="NNA9" s="737"/>
      <c r="NNB9" s="737"/>
      <c r="NNC9" s="737"/>
      <c r="NND9" s="737"/>
      <c r="NNE9" s="737"/>
      <c r="NNF9" s="737"/>
      <c r="NNG9" s="737"/>
      <c r="NNH9" s="737"/>
      <c r="NNI9" s="737"/>
      <c r="NNJ9" s="737"/>
      <c r="NNK9" s="737"/>
      <c r="NNL9" s="737"/>
      <c r="NNM9" s="737"/>
      <c r="NNN9" s="737"/>
      <c r="NNO9" s="737"/>
      <c r="NNP9" s="737"/>
      <c r="NNQ9" s="737"/>
      <c r="NNR9" s="737"/>
      <c r="NNS9" s="737"/>
      <c r="NNT9" s="737"/>
      <c r="NNU9" s="737"/>
      <c r="NNV9" s="737"/>
      <c r="NNW9" s="737"/>
      <c r="NNX9" s="737"/>
      <c r="NNY9" s="737"/>
      <c r="NNZ9" s="737"/>
      <c r="NOA9" s="737"/>
      <c r="NOB9" s="737"/>
      <c r="NOC9" s="737"/>
      <c r="NOD9" s="737"/>
      <c r="NOE9" s="737"/>
      <c r="NOF9" s="737"/>
      <c r="NOG9" s="737"/>
      <c r="NOH9" s="737"/>
      <c r="NOI9" s="737"/>
      <c r="NOJ9" s="737"/>
      <c r="NOK9" s="737"/>
      <c r="NOL9" s="737"/>
      <c r="NOM9" s="737"/>
      <c r="NON9" s="737"/>
      <c r="NOO9" s="737"/>
      <c r="NOP9" s="737"/>
      <c r="NOQ9" s="737"/>
      <c r="NOR9" s="737"/>
      <c r="NOS9" s="737"/>
      <c r="NOT9" s="737"/>
      <c r="NOU9" s="737"/>
      <c r="NOV9" s="737"/>
      <c r="NOW9" s="737"/>
      <c r="NOX9" s="737"/>
      <c r="NOY9" s="737"/>
      <c r="NOZ9" s="737"/>
      <c r="NPA9" s="737"/>
      <c r="NPB9" s="737"/>
      <c r="NPC9" s="737"/>
      <c r="NPD9" s="737"/>
      <c r="NPE9" s="737"/>
      <c r="NPF9" s="737"/>
      <c r="NPG9" s="737"/>
      <c r="NPH9" s="737"/>
      <c r="NPI9" s="737"/>
      <c r="NPJ9" s="737"/>
      <c r="NPK9" s="737"/>
      <c r="NPL9" s="737"/>
      <c r="NPM9" s="737"/>
      <c r="NPN9" s="737"/>
      <c r="NPO9" s="737"/>
      <c r="NPP9" s="737"/>
      <c r="NPQ9" s="737"/>
      <c r="NPR9" s="737"/>
      <c r="NPS9" s="737"/>
      <c r="NPT9" s="737"/>
      <c r="NPU9" s="737"/>
      <c r="NPV9" s="737"/>
      <c r="NPW9" s="737"/>
      <c r="NPX9" s="737"/>
      <c r="NPY9" s="737"/>
      <c r="NPZ9" s="737"/>
      <c r="NQA9" s="737"/>
      <c r="NQB9" s="737"/>
      <c r="NQC9" s="737"/>
      <c r="NQD9" s="737"/>
      <c r="NQE9" s="737"/>
      <c r="NQF9" s="737"/>
      <c r="NQG9" s="737"/>
      <c r="NQH9" s="737"/>
      <c r="NQI9" s="737"/>
      <c r="NQJ9" s="737"/>
      <c r="NQK9" s="737"/>
      <c r="NQL9" s="737"/>
      <c r="NQM9" s="737"/>
      <c r="NQN9" s="737"/>
      <c r="NQO9" s="737"/>
      <c r="NQP9" s="737"/>
      <c r="NQQ9" s="737"/>
      <c r="NQR9" s="737"/>
      <c r="NQS9" s="737"/>
      <c r="NQT9" s="737"/>
      <c r="NQU9" s="737"/>
      <c r="NQV9" s="737"/>
      <c r="NQW9" s="737"/>
      <c r="NQX9" s="737"/>
      <c r="NQY9" s="737"/>
      <c r="NQZ9" s="737"/>
      <c r="NRA9" s="737"/>
      <c r="NRB9" s="737"/>
      <c r="NRC9" s="737"/>
      <c r="NRD9" s="737"/>
      <c r="NRE9" s="737"/>
      <c r="NRF9" s="737"/>
      <c r="NRG9" s="737"/>
      <c r="NRH9" s="737"/>
      <c r="NRI9" s="737"/>
      <c r="NRJ9" s="737"/>
      <c r="NRK9" s="737"/>
      <c r="NRL9" s="737"/>
      <c r="NRM9" s="737"/>
      <c r="NRN9" s="737"/>
      <c r="NRO9" s="737"/>
      <c r="NRP9" s="737"/>
      <c r="NRQ9" s="737"/>
      <c r="NRR9" s="737"/>
      <c r="NRS9" s="737"/>
      <c r="NRT9" s="737"/>
      <c r="NRU9" s="737"/>
      <c r="NRV9" s="737"/>
      <c r="NRW9" s="737"/>
      <c r="NRX9" s="737"/>
      <c r="NRY9" s="737"/>
      <c r="NRZ9" s="737"/>
      <c r="NSA9" s="737"/>
      <c r="NSB9" s="737"/>
      <c r="NSC9" s="737"/>
      <c r="NSD9" s="737"/>
      <c r="NSE9" s="737"/>
      <c r="NSF9" s="737"/>
      <c r="NSG9" s="737"/>
      <c r="NSH9" s="737"/>
      <c r="NSI9" s="737"/>
      <c r="NSJ9" s="737"/>
      <c r="NSK9" s="737"/>
      <c r="NSL9" s="737"/>
      <c r="NSM9" s="737"/>
      <c r="NSN9" s="737"/>
      <c r="NSO9" s="737"/>
      <c r="NSP9" s="737"/>
      <c r="NSQ9" s="737"/>
      <c r="NSR9" s="737"/>
      <c r="NSS9" s="737"/>
      <c r="NST9" s="737"/>
      <c r="NSU9" s="737"/>
      <c r="NSV9" s="737"/>
      <c r="NSW9" s="737"/>
      <c r="NSX9" s="737"/>
      <c r="NSY9" s="737"/>
      <c r="NSZ9" s="737"/>
      <c r="NTA9" s="737"/>
      <c r="NTB9" s="737"/>
      <c r="NTC9" s="737"/>
      <c r="NTD9" s="737"/>
      <c r="NTE9" s="737"/>
      <c r="NTF9" s="737"/>
      <c r="NTG9" s="737"/>
      <c r="NTH9" s="737"/>
      <c r="NTI9" s="737"/>
      <c r="NTJ9" s="737"/>
      <c r="NTK9" s="737"/>
      <c r="NTL9" s="737"/>
      <c r="NTM9" s="737"/>
      <c r="NTN9" s="737"/>
      <c r="NTO9" s="737"/>
      <c r="NTP9" s="737"/>
      <c r="NTQ9" s="737"/>
      <c r="NTR9" s="737"/>
      <c r="NTS9" s="737"/>
      <c r="NTT9" s="737"/>
      <c r="NTU9" s="737"/>
      <c r="NTV9" s="737"/>
      <c r="NTW9" s="737"/>
      <c r="NTX9" s="737"/>
      <c r="NTY9" s="737"/>
      <c r="NTZ9" s="737"/>
      <c r="NUA9" s="737"/>
      <c r="NUB9" s="737"/>
      <c r="NUC9" s="737"/>
      <c r="NUD9" s="737"/>
      <c r="NUE9" s="737"/>
      <c r="NUF9" s="737"/>
      <c r="NUG9" s="737"/>
      <c r="NUH9" s="737"/>
      <c r="NUI9" s="737"/>
      <c r="NUJ9" s="737"/>
      <c r="NUK9" s="737"/>
      <c r="NUL9" s="737"/>
      <c r="NUM9" s="737"/>
      <c r="NUN9" s="737"/>
      <c r="NUO9" s="737"/>
      <c r="NUP9" s="737"/>
      <c r="NUQ9" s="737"/>
      <c r="NUR9" s="737"/>
      <c r="NUS9" s="737"/>
      <c r="NUT9" s="737"/>
      <c r="NUU9" s="737"/>
      <c r="NUV9" s="737"/>
      <c r="NUW9" s="737"/>
      <c r="NUX9" s="737"/>
      <c r="NUY9" s="737"/>
      <c r="NUZ9" s="737"/>
      <c r="NVA9" s="737"/>
      <c r="NVB9" s="737"/>
      <c r="NVC9" s="737"/>
      <c r="NVD9" s="737"/>
      <c r="NVE9" s="737"/>
      <c r="NVF9" s="737"/>
      <c r="NVG9" s="737"/>
      <c r="NVH9" s="737"/>
      <c r="NVI9" s="737"/>
      <c r="NVJ9" s="737"/>
      <c r="NVK9" s="737"/>
      <c r="NVL9" s="737"/>
      <c r="NVM9" s="737"/>
      <c r="NVN9" s="737"/>
      <c r="NVO9" s="737"/>
      <c r="NVP9" s="737"/>
      <c r="NVQ9" s="737"/>
      <c r="NVR9" s="737"/>
      <c r="NVS9" s="737"/>
      <c r="NVT9" s="737"/>
      <c r="NVU9" s="737"/>
      <c r="NVV9" s="737"/>
      <c r="NVW9" s="737"/>
      <c r="NVX9" s="737"/>
      <c r="NVY9" s="737"/>
      <c r="NVZ9" s="737"/>
      <c r="NWA9" s="737"/>
      <c r="NWB9" s="737"/>
      <c r="NWC9" s="737"/>
      <c r="NWD9" s="737"/>
      <c r="NWE9" s="737"/>
      <c r="NWF9" s="737"/>
      <c r="NWG9" s="737"/>
      <c r="NWH9" s="737"/>
      <c r="NWI9" s="737"/>
      <c r="NWJ9" s="737"/>
      <c r="NWK9" s="737"/>
      <c r="NWL9" s="737"/>
      <c r="NWM9" s="737"/>
      <c r="NWN9" s="737"/>
      <c r="NWO9" s="737"/>
      <c r="NWP9" s="737"/>
      <c r="NWQ9" s="737"/>
      <c r="NWR9" s="737"/>
      <c r="NWS9" s="737"/>
      <c r="NWT9" s="737"/>
      <c r="NWU9" s="737"/>
      <c r="NWV9" s="737"/>
      <c r="NWW9" s="737"/>
      <c r="NWX9" s="737"/>
      <c r="NWY9" s="737"/>
      <c r="NWZ9" s="737"/>
      <c r="NXA9" s="737"/>
      <c r="NXB9" s="737"/>
      <c r="NXC9" s="737"/>
      <c r="NXD9" s="737"/>
      <c r="NXE9" s="737"/>
      <c r="NXF9" s="737"/>
      <c r="NXG9" s="737"/>
      <c r="NXH9" s="737"/>
      <c r="NXI9" s="737"/>
      <c r="NXJ9" s="737"/>
      <c r="NXK9" s="737"/>
      <c r="NXL9" s="737"/>
      <c r="NXM9" s="737"/>
      <c r="NXN9" s="737"/>
      <c r="NXO9" s="737"/>
      <c r="NXP9" s="737"/>
      <c r="NXQ9" s="737"/>
      <c r="NXR9" s="737"/>
      <c r="NXS9" s="737"/>
      <c r="NXT9" s="737"/>
      <c r="NXU9" s="737"/>
      <c r="NXV9" s="737"/>
      <c r="NXW9" s="737"/>
      <c r="NXX9" s="737"/>
      <c r="NXY9" s="737"/>
      <c r="NXZ9" s="737"/>
      <c r="NYA9" s="737"/>
      <c r="NYB9" s="737"/>
      <c r="NYC9" s="737"/>
      <c r="NYD9" s="737"/>
      <c r="NYE9" s="737"/>
      <c r="NYF9" s="737"/>
      <c r="NYG9" s="737"/>
      <c r="NYH9" s="737"/>
      <c r="NYI9" s="737"/>
      <c r="NYJ9" s="737"/>
      <c r="NYK9" s="737"/>
      <c r="NYL9" s="737"/>
      <c r="NYM9" s="737"/>
      <c r="NYN9" s="737"/>
      <c r="NYO9" s="737"/>
      <c r="NYP9" s="737"/>
      <c r="NYQ9" s="737"/>
      <c r="NYR9" s="737"/>
      <c r="NYS9" s="737"/>
      <c r="NYT9" s="737"/>
      <c r="NYU9" s="737"/>
      <c r="NYV9" s="737"/>
      <c r="NYW9" s="737"/>
      <c r="NYX9" s="737"/>
      <c r="NYY9" s="737"/>
      <c r="NYZ9" s="737"/>
      <c r="NZA9" s="737"/>
      <c r="NZB9" s="737"/>
      <c r="NZC9" s="737"/>
      <c r="NZD9" s="737"/>
      <c r="NZE9" s="737"/>
      <c r="NZF9" s="737"/>
      <c r="NZG9" s="737"/>
      <c r="NZH9" s="737"/>
      <c r="NZI9" s="737"/>
      <c r="NZJ9" s="737"/>
      <c r="NZK9" s="737"/>
      <c r="NZL9" s="737"/>
      <c r="NZM9" s="737"/>
      <c r="NZN9" s="737"/>
      <c r="NZO9" s="737"/>
      <c r="NZP9" s="737"/>
      <c r="NZQ9" s="737"/>
      <c r="NZR9" s="737"/>
      <c r="NZS9" s="737"/>
      <c r="NZT9" s="737"/>
      <c r="NZU9" s="737"/>
      <c r="NZV9" s="737"/>
      <c r="NZW9" s="737"/>
      <c r="NZX9" s="737"/>
      <c r="NZY9" s="737"/>
      <c r="NZZ9" s="737"/>
      <c r="OAA9" s="737"/>
      <c r="OAB9" s="737"/>
      <c r="OAC9" s="737"/>
      <c r="OAD9" s="737"/>
      <c r="OAE9" s="737"/>
      <c r="OAF9" s="737"/>
      <c r="OAG9" s="737"/>
      <c r="OAH9" s="737"/>
      <c r="OAI9" s="737"/>
      <c r="OAJ9" s="737"/>
      <c r="OAK9" s="737"/>
      <c r="OAL9" s="737"/>
      <c r="OAM9" s="737"/>
      <c r="OAN9" s="737"/>
      <c r="OAO9" s="737"/>
      <c r="OAP9" s="737"/>
      <c r="OAQ9" s="737"/>
      <c r="OAR9" s="737"/>
      <c r="OAS9" s="737"/>
      <c r="OAT9" s="737"/>
      <c r="OAU9" s="737"/>
      <c r="OAV9" s="737"/>
      <c r="OAW9" s="737"/>
      <c r="OAX9" s="737"/>
      <c r="OAY9" s="737"/>
      <c r="OAZ9" s="737"/>
      <c r="OBA9" s="737"/>
      <c r="OBB9" s="737"/>
      <c r="OBC9" s="737"/>
      <c r="OBD9" s="737"/>
      <c r="OBE9" s="737"/>
      <c r="OBF9" s="737"/>
      <c r="OBG9" s="737"/>
      <c r="OBH9" s="737"/>
      <c r="OBI9" s="737"/>
      <c r="OBJ9" s="737"/>
      <c r="OBK9" s="737"/>
      <c r="OBL9" s="737"/>
      <c r="OBM9" s="737"/>
      <c r="OBN9" s="737"/>
      <c r="OBO9" s="737"/>
      <c r="OBP9" s="737"/>
      <c r="OBQ9" s="737"/>
      <c r="OBR9" s="737"/>
      <c r="OBS9" s="737"/>
      <c r="OBT9" s="737"/>
      <c r="OBU9" s="737"/>
      <c r="OBV9" s="737"/>
      <c r="OBW9" s="737"/>
      <c r="OBX9" s="737"/>
      <c r="OBY9" s="737"/>
      <c r="OBZ9" s="737"/>
      <c r="OCA9" s="737"/>
      <c r="OCB9" s="737"/>
      <c r="OCC9" s="737"/>
      <c r="OCD9" s="737"/>
      <c r="OCE9" s="737"/>
      <c r="OCF9" s="737"/>
      <c r="OCG9" s="737"/>
      <c r="OCH9" s="737"/>
      <c r="OCI9" s="737"/>
      <c r="OCJ9" s="737"/>
      <c r="OCK9" s="737"/>
      <c r="OCL9" s="737"/>
      <c r="OCM9" s="737"/>
      <c r="OCN9" s="737"/>
      <c r="OCO9" s="737"/>
      <c r="OCP9" s="737"/>
      <c r="OCQ9" s="737"/>
      <c r="OCR9" s="737"/>
      <c r="OCS9" s="737"/>
      <c r="OCT9" s="737"/>
      <c r="OCU9" s="737"/>
      <c r="OCV9" s="737"/>
      <c r="OCW9" s="737"/>
      <c r="OCX9" s="737"/>
      <c r="OCY9" s="737"/>
      <c r="OCZ9" s="737"/>
      <c r="ODA9" s="737"/>
      <c r="ODB9" s="737"/>
      <c r="ODC9" s="737"/>
      <c r="ODD9" s="737"/>
      <c r="ODE9" s="737"/>
      <c r="ODF9" s="737"/>
      <c r="ODG9" s="737"/>
      <c r="ODH9" s="737"/>
      <c r="ODI9" s="737"/>
      <c r="ODJ9" s="737"/>
      <c r="ODK9" s="737"/>
      <c r="ODL9" s="737"/>
      <c r="ODM9" s="737"/>
      <c r="ODN9" s="737"/>
      <c r="ODO9" s="737"/>
      <c r="ODP9" s="737"/>
      <c r="ODQ9" s="737"/>
      <c r="ODR9" s="737"/>
      <c r="ODS9" s="737"/>
      <c r="ODT9" s="737"/>
      <c r="ODU9" s="737"/>
      <c r="ODV9" s="737"/>
      <c r="ODW9" s="737"/>
      <c r="ODX9" s="737"/>
      <c r="ODY9" s="737"/>
      <c r="ODZ9" s="737"/>
      <c r="OEA9" s="737"/>
      <c r="OEB9" s="737"/>
      <c r="OEC9" s="737"/>
      <c r="OED9" s="737"/>
      <c r="OEE9" s="737"/>
      <c r="OEF9" s="737"/>
      <c r="OEG9" s="737"/>
      <c r="OEH9" s="737"/>
      <c r="OEI9" s="737"/>
      <c r="OEJ9" s="737"/>
      <c r="OEK9" s="737"/>
      <c r="OEL9" s="737"/>
      <c r="OEM9" s="737"/>
      <c r="OEN9" s="737"/>
      <c r="OEO9" s="737"/>
      <c r="OEP9" s="737"/>
      <c r="OEQ9" s="737"/>
      <c r="OER9" s="737"/>
      <c r="OES9" s="737"/>
      <c r="OET9" s="737"/>
      <c r="OEU9" s="737"/>
      <c r="OEV9" s="737"/>
      <c r="OEW9" s="737"/>
      <c r="OEX9" s="737"/>
      <c r="OEY9" s="737"/>
      <c r="OEZ9" s="737"/>
      <c r="OFA9" s="737"/>
      <c r="OFB9" s="737"/>
      <c r="OFC9" s="737"/>
      <c r="OFD9" s="737"/>
      <c r="OFE9" s="737"/>
      <c r="OFF9" s="737"/>
      <c r="OFG9" s="737"/>
      <c r="OFH9" s="737"/>
      <c r="OFI9" s="737"/>
      <c r="OFJ9" s="737"/>
      <c r="OFK9" s="737"/>
      <c r="OFL9" s="737"/>
      <c r="OFM9" s="737"/>
      <c r="OFN9" s="737"/>
      <c r="OFO9" s="737"/>
      <c r="OFP9" s="737"/>
      <c r="OFQ9" s="737"/>
      <c r="OFR9" s="737"/>
      <c r="OFS9" s="737"/>
      <c r="OFT9" s="737"/>
      <c r="OFU9" s="737"/>
      <c r="OFV9" s="737"/>
      <c r="OFW9" s="737"/>
      <c r="OFX9" s="737"/>
      <c r="OFY9" s="737"/>
      <c r="OFZ9" s="737"/>
      <c r="OGA9" s="737"/>
      <c r="OGB9" s="737"/>
      <c r="OGC9" s="737"/>
      <c r="OGD9" s="737"/>
      <c r="OGE9" s="737"/>
      <c r="OGF9" s="737"/>
      <c r="OGG9" s="737"/>
      <c r="OGH9" s="737"/>
      <c r="OGI9" s="737"/>
      <c r="OGJ9" s="737"/>
      <c r="OGK9" s="737"/>
      <c r="OGL9" s="737"/>
      <c r="OGM9" s="737"/>
      <c r="OGN9" s="737"/>
      <c r="OGO9" s="737"/>
      <c r="OGP9" s="737"/>
      <c r="OGQ9" s="737"/>
      <c r="OGR9" s="737"/>
      <c r="OGS9" s="737"/>
      <c r="OGT9" s="737"/>
      <c r="OGU9" s="737"/>
      <c r="OGV9" s="737"/>
      <c r="OGW9" s="737"/>
      <c r="OGX9" s="737"/>
      <c r="OGY9" s="737"/>
      <c r="OGZ9" s="737"/>
      <c r="OHA9" s="737"/>
      <c r="OHB9" s="737"/>
      <c r="OHC9" s="737"/>
      <c r="OHD9" s="737"/>
      <c r="OHE9" s="737"/>
      <c r="OHF9" s="737"/>
      <c r="OHG9" s="737"/>
      <c r="OHH9" s="737"/>
      <c r="OHI9" s="737"/>
      <c r="OHJ9" s="737"/>
      <c r="OHK9" s="737"/>
      <c r="OHL9" s="737"/>
      <c r="OHM9" s="737"/>
      <c r="OHN9" s="737"/>
      <c r="OHO9" s="737"/>
      <c r="OHP9" s="737"/>
      <c r="OHQ9" s="737"/>
      <c r="OHR9" s="737"/>
      <c r="OHS9" s="737"/>
      <c r="OHT9" s="737"/>
      <c r="OHU9" s="737"/>
      <c r="OHV9" s="737"/>
      <c r="OHW9" s="737"/>
      <c r="OHX9" s="737"/>
      <c r="OHY9" s="737"/>
      <c r="OHZ9" s="737"/>
      <c r="OIA9" s="737"/>
      <c r="OIB9" s="737"/>
      <c r="OIC9" s="737"/>
      <c r="OID9" s="737"/>
      <c r="OIE9" s="737"/>
      <c r="OIF9" s="737"/>
      <c r="OIG9" s="737"/>
      <c r="OIH9" s="737"/>
      <c r="OII9" s="737"/>
      <c r="OIJ9" s="737"/>
      <c r="OIK9" s="737"/>
      <c r="OIL9" s="737"/>
      <c r="OIM9" s="737"/>
      <c r="OIN9" s="737"/>
      <c r="OIO9" s="737"/>
      <c r="OIP9" s="737"/>
      <c r="OIQ9" s="737"/>
      <c r="OIR9" s="737"/>
      <c r="OIS9" s="737"/>
      <c r="OIT9" s="737"/>
      <c r="OIU9" s="737"/>
      <c r="OIV9" s="737"/>
      <c r="OIW9" s="737"/>
      <c r="OIX9" s="737"/>
      <c r="OIY9" s="737"/>
      <c r="OIZ9" s="737"/>
      <c r="OJA9" s="737"/>
      <c r="OJB9" s="737"/>
      <c r="OJC9" s="737"/>
      <c r="OJD9" s="737"/>
      <c r="OJE9" s="737"/>
      <c r="OJF9" s="737"/>
      <c r="OJG9" s="737"/>
      <c r="OJH9" s="737"/>
      <c r="OJI9" s="737"/>
      <c r="OJJ9" s="737"/>
      <c r="OJK9" s="737"/>
      <c r="OJL9" s="737"/>
      <c r="OJM9" s="737"/>
      <c r="OJN9" s="737"/>
      <c r="OJO9" s="737"/>
      <c r="OJP9" s="737"/>
      <c r="OJQ9" s="737"/>
      <c r="OJR9" s="737"/>
      <c r="OJS9" s="737"/>
      <c r="OJT9" s="737"/>
      <c r="OJU9" s="737"/>
      <c r="OJV9" s="737"/>
      <c r="OJW9" s="737"/>
      <c r="OJX9" s="737"/>
      <c r="OJY9" s="737"/>
      <c r="OJZ9" s="737"/>
      <c r="OKA9" s="737"/>
      <c r="OKB9" s="737"/>
      <c r="OKC9" s="737"/>
      <c r="OKD9" s="737"/>
      <c r="OKE9" s="737"/>
      <c r="OKF9" s="737"/>
      <c r="OKG9" s="737"/>
      <c r="OKH9" s="737"/>
      <c r="OKI9" s="737"/>
      <c r="OKJ9" s="737"/>
      <c r="OKK9" s="737"/>
      <c r="OKL9" s="737"/>
      <c r="OKM9" s="737"/>
      <c r="OKN9" s="737"/>
      <c r="OKO9" s="737"/>
      <c r="OKP9" s="737"/>
      <c r="OKQ9" s="737"/>
      <c r="OKR9" s="737"/>
      <c r="OKS9" s="737"/>
      <c r="OKT9" s="737"/>
      <c r="OKU9" s="737"/>
      <c r="OKV9" s="737"/>
      <c r="OKW9" s="737"/>
      <c r="OKX9" s="737"/>
      <c r="OKY9" s="737"/>
      <c r="OKZ9" s="737"/>
      <c r="OLA9" s="737"/>
      <c r="OLB9" s="737"/>
      <c r="OLC9" s="737"/>
      <c r="OLD9" s="737"/>
      <c r="OLE9" s="737"/>
      <c r="OLF9" s="737"/>
      <c r="OLG9" s="737"/>
      <c r="OLH9" s="737"/>
      <c r="OLI9" s="737"/>
      <c r="OLJ9" s="737"/>
      <c r="OLK9" s="737"/>
      <c r="OLL9" s="737"/>
      <c r="OLM9" s="737"/>
      <c r="OLN9" s="737"/>
      <c r="OLO9" s="737"/>
      <c r="OLP9" s="737"/>
      <c r="OLQ9" s="737"/>
      <c r="OLR9" s="737"/>
      <c r="OLS9" s="737"/>
      <c r="OLT9" s="737"/>
      <c r="OLU9" s="737"/>
      <c r="OLV9" s="737"/>
      <c r="OLW9" s="737"/>
      <c r="OLX9" s="737"/>
      <c r="OLY9" s="737"/>
      <c r="OLZ9" s="737"/>
      <c r="OMA9" s="737"/>
      <c r="OMB9" s="737"/>
      <c r="OMC9" s="737"/>
      <c r="OMD9" s="737"/>
      <c r="OME9" s="737"/>
      <c r="OMF9" s="737"/>
      <c r="OMG9" s="737"/>
      <c r="OMH9" s="737"/>
      <c r="OMI9" s="737"/>
      <c r="OMJ9" s="737"/>
      <c r="OMK9" s="737"/>
      <c r="OML9" s="737"/>
      <c r="OMM9" s="737"/>
      <c r="OMN9" s="737"/>
      <c r="OMO9" s="737"/>
      <c r="OMP9" s="737"/>
      <c r="OMQ9" s="737"/>
      <c r="OMR9" s="737"/>
      <c r="OMS9" s="737"/>
      <c r="OMT9" s="737"/>
      <c r="OMU9" s="737"/>
      <c r="OMV9" s="737"/>
      <c r="OMW9" s="737"/>
      <c r="OMX9" s="737"/>
      <c r="OMY9" s="737"/>
      <c r="OMZ9" s="737"/>
      <c r="ONA9" s="737"/>
      <c r="ONB9" s="737"/>
      <c r="ONC9" s="737"/>
      <c r="OND9" s="737"/>
      <c r="ONE9" s="737"/>
      <c r="ONF9" s="737"/>
      <c r="ONG9" s="737"/>
      <c r="ONH9" s="737"/>
      <c r="ONI9" s="737"/>
      <c r="ONJ9" s="737"/>
      <c r="ONK9" s="737"/>
      <c r="ONL9" s="737"/>
      <c r="ONM9" s="737"/>
      <c r="ONN9" s="737"/>
      <c r="ONO9" s="737"/>
      <c r="ONP9" s="737"/>
      <c r="ONQ9" s="737"/>
      <c r="ONR9" s="737"/>
      <c r="ONS9" s="737"/>
      <c r="ONT9" s="737"/>
      <c r="ONU9" s="737"/>
      <c r="ONV9" s="737"/>
      <c r="ONW9" s="737"/>
      <c r="ONX9" s="737"/>
      <c r="ONY9" s="737"/>
      <c r="ONZ9" s="737"/>
      <c r="OOA9" s="737"/>
      <c r="OOB9" s="737"/>
      <c r="OOC9" s="737"/>
      <c r="OOD9" s="737"/>
      <c r="OOE9" s="737"/>
      <c r="OOF9" s="737"/>
      <c r="OOG9" s="737"/>
      <c r="OOH9" s="737"/>
      <c r="OOI9" s="737"/>
      <c r="OOJ9" s="737"/>
      <c r="OOK9" s="737"/>
      <c r="OOL9" s="737"/>
      <c r="OOM9" s="737"/>
      <c r="OON9" s="737"/>
      <c r="OOO9" s="737"/>
      <c r="OOP9" s="737"/>
      <c r="OOQ9" s="737"/>
      <c r="OOR9" s="737"/>
      <c r="OOS9" s="737"/>
      <c r="OOT9" s="737"/>
      <c r="OOU9" s="737"/>
      <c r="OOV9" s="737"/>
      <c r="OOW9" s="737"/>
      <c r="OOX9" s="737"/>
      <c r="OOY9" s="737"/>
      <c r="OOZ9" s="737"/>
      <c r="OPA9" s="737"/>
      <c r="OPB9" s="737"/>
      <c r="OPC9" s="737"/>
      <c r="OPD9" s="737"/>
      <c r="OPE9" s="737"/>
      <c r="OPF9" s="737"/>
      <c r="OPG9" s="737"/>
      <c r="OPH9" s="737"/>
      <c r="OPI9" s="737"/>
      <c r="OPJ9" s="737"/>
      <c r="OPK9" s="737"/>
      <c r="OPL9" s="737"/>
      <c r="OPM9" s="737"/>
      <c r="OPN9" s="737"/>
      <c r="OPO9" s="737"/>
      <c r="OPP9" s="737"/>
      <c r="OPQ9" s="737"/>
      <c r="OPR9" s="737"/>
      <c r="OPS9" s="737"/>
      <c r="OPT9" s="737"/>
      <c r="OPU9" s="737"/>
      <c r="OPV9" s="737"/>
      <c r="OPW9" s="737"/>
      <c r="OPX9" s="737"/>
      <c r="OPY9" s="737"/>
      <c r="OPZ9" s="737"/>
      <c r="OQA9" s="737"/>
      <c r="OQB9" s="737"/>
      <c r="OQC9" s="737"/>
      <c r="OQD9" s="737"/>
      <c r="OQE9" s="737"/>
      <c r="OQF9" s="737"/>
      <c r="OQG9" s="737"/>
      <c r="OQH9" s="737"/>
      <c r="OQI9" s="737"/>
      <c r="OQJ9" s="737"/>
      <c r="OQK9" s="737"/>
      <c r="OQL9" s="737"/>
      <c r="OQM9" s="737"/>
      <c r="OQN9" s="737"/>
      <c r="OQO9" s="737"/>
      <c r="OQP9" s="737"/>
      <c r="OQQ9" s="737"/>
      <c r="OQR9" s="737"/>
      <c r="OQS9" s="737"/>
      <c r="OQT9" s="737"/>
      <c r="OQU9" s="737"/>
      <c r="OQV9" s="737"/>
      <c r="OQW9" s="737"/>
      <c r="OQX9" s="737"/>
      <c r="OQY9" s="737"/>
      <c r="OQZ9" s="737"/>
      <c r="ORA9" s="737"/>
      <c r="ORB9" s="737"/>
      <c r="ORC9" s="737"/>
      <c r="ORD9" s="737"/>
      <c r="ORE9" s="737"/>
      <c r="ORF9" s="737"/>
      <c r="ORG9" s="737"/>
      <c r="ORH9" s="737"/>
      <c r="ORI9" s="737"/>
      <c r="ORJ9" s="737"/>
      <c r="ORK9" s="737"/>
      <c r="ORL9" s="737"/>
      <c r="ORM9" s="737"/>
      <c r="ORN9" s="737"/>
      <c r="ORO9" s="737"/>
      <c r="ORP9" s="737"/>
      <c r="ORQ9" s="737"/>
      <c r="ORR9" s="737"/>
      <c r="ORS9" s="737"/>
      <c r="ORT9" s="737"/>
      <c r="ORU9" s="737"/>
      <c r="ORV9" s="737"/>
      <c r="ORW9" s="737"/>
      <c r="ORX9" s="737"/>
      <c r="ORY9" s="737"/>
      <c r="ORZ9" s="737"/>
      <c r="OSA9" s="737"/>
      <c r="OSB9" s="737"/>
      <c r="OSC9" s="737"/>
      <c r="OSD9" s="737"/>
      <c r="OSE9" s="737"/>
      <c r="OSF9" s="737"/>
      <c r="OSG9" s="737"/>
      <c r="OSH9" s="737"/>
      <c r="OSI9" s="737"/>
      <c r="OSJ9" s="737"/>
      <c r="OSK9" s="737"/>
      <c r="OSL9" s="737"/>
      <c r="OSM9" s="737"/>
      <c r="OSN9" s="737"/>
      <c r="OSO9" s="737"/>
      <c r="OSP9" s="737"/>
      <c r="OSQ9" s="737"/>
      <c r="OSR9" s="737"/>
      <c r="OSS9" s="737"/>
      <c r="OST9" s="737"/>
      <c r="OSU9" s="737"/>
      <c r="OSV9" s="737"/>
      <c r="OSW9" s="737"/>
      <c r="OSX9" s="737"/>
      <c r="OSY9" s="737"/>
      <c r="OSZ9" s="737"/>
      <c r="OTA9" s="737"/>
      <c r="OTB9" s="737"/>
      <c r="OTC9" s="737"/>
      <c r="OTD9" s="737"/>
      <c r="OTE9" s="737"/>
      <c r="OTF9" s="737"/>
      <c r="OTG9" s="737"/>
      <c r="OTH9" s="737"/>
      <c r="OTI9" s="737"/>
      <c r="OTJ9" s="737"/>
      <c r="OTK9" s="737"/>
      <c r="OTL9" s="737"/>
      <c r="OTM9" s="737"/>
      <c r="OTN9" s="737"/>
      <c r="OTO9" s="737"/>
      <c r="OTP9" s="737"/>
      <c r="OTQ9" s="737"/>
      <c r="OTR9" s="737"/>
      <c r="OTS9" s="737"/>
      <c r="OTT9" s="737"/>
      <c r="OTU9" s="737"/>
      <c r="OTV9" s="737"/>
      <c r="OTW9" s="737"/>
      <c r="OTX9" s="737"/>
      <c r="OTY9" s="737"/>
      <c r="OTZ9" s="737"/>
      <c r="OUA9" s="737"/>
      <c r="OUB9" s="737"/>
      <c r="OUC9" s="737"/>
      <c r="OUD9" s="737"/>
      <c r="OUE9" s="737"/>
      <c r="OUF9" s="737"/>
      <c r="OUG9" s="737"/>
      <c r="OUH9" s="737"/>
      <c r="OUI9" s="737"/>
      <c r="OUJ9" s="737"/>
      <c r="OUK9" s="737"/>
      <c r="OUL9" s="737"/>
      <c r="OUM9" s="737"/>
      <c r="OUN9" s="737"/>
      <c r="OUO9" s="737"/>
      <c r="OUP9" s="737"/>
      <c r="OUQ9" s="737"/>
      <c r="OUR9" s="737"/>
      <c r="OUS9" s="737"/>
      <c r="OUT9" s="737"/>
      <c r="OUU9" s="737"/>
      <c r="OUV9" s="737"/>
      <c r="OUW9" s="737"/>
      <c r="OUX9" s="737"/>
      <c r="OUY9" s="737"/>
      <c r="OUZ9" s="737"/>
      <c r="OVA9" s="737"/>
      <c r="OVB9" s="737"/>
      <c r="OVC9" s="737"/>
      <c r="OVD9" s="737"/>
      <c r="OVE9" s="737"/>
      <c r="OVF9" s="737"/>
      <c r="OVG9" s="737"/>
      <c r="OVH9" s="737"/>
      <c r="OVI9" s="737"/>
      <c r="OVJ9" s="737"/>
      <c r="OVK9" s="737"/>
      <c r="OVL9" s="737"/>
      <c r="OVM9" s="737"/>
      <c r="OVN9" s="737"/>
      <c r="OVO9" s="737"/>
      <c r="OVP9" s="737"/>
      <c r="OVQ9" s="737"/>
      <c r="OVR9" s="737"/>
      <c r="OVS9" s="737"/>
      <c r="OVT9" s="737"/>
      <c r="OVU9" s="737"/>
      <c r="OVV9" s="737"/>
      <c r="OVW9" s="737"/>
      <c r="OVX9" s="737"/>
      <c r="OVY9" s="737"/>
      <c r="OVZ9" s="737"/>
      <c r="OWA9" s="737"/>
      <c r="OWB9" s="737"/>
      <c r="OWC9" s="737"/>
      <c r="OWD9" s="737"/>
      <c r="OWE9" s="737"/>
      <c r="OWF9" s="737"/>
      <c r="OWG9" s="737"/>
      <c r="OWH9" s="737"/>
      <c r="OWI9" s="737"/>
      <c r="OWJ9" s="737"/>
      <c r="OWK9" s="737"/>
      <c r="OWL9" s="737"/>
      <c r="OWM9" s="737"/>
      <c r="OWN9" s="737"/>
      <c r="OWO9" s="737"/>
      <c r="OWP9" s="737"/>
      <c r="OWQ9" s="737"/>
      <c r="OWR9" s="737"/>
      <c r="OWS9" s="737"/>
      <c r="OWT9" s="737"/>
      <c r="OWU9" s="737"/>
      <c r="OWV9" s="737"/>
      <c r="OWW9" s="737"/>
      <c r="OWX9" s="737"/>
      <c r="OWY9" s="737"/>
      <c r="OWZ9" s="737"/>
      <c r="OXA9" s="737"/>
      <c r="OXB9" s="737"/>
      <c r="OXC9" s="737"/>
      <c r="OXD9" s="737"/>
      <c r="OXE9" s="737"/>
      <c r="OXF9" s="737"/>
      <c r="OXG9" s="737"/>
      <c r="OXH9" s="737"/>
      <c r="OXI9" s="737"/>
      <c r="OXJ9" s="737"/>
      <c r="OXK9" s="737"/>
      <c r="OXL9" s="737"/>
      <c r="OXM9" s="737"/>
      <c r="OXN9" s="737"/>
      <c r="OXO9" s="737"/>
      <c r="OXP9" s="737"/>
      <c r="OXQ9" s="737"/>
      <c r="OXR9" s="737"/>
      <c r="OXS9" s="737"/>
      <c r="OXT9" s="737"/>
      <c r="OXU9" s="737"/>
      <c r="OXV9" s="737"/>
      <c r="OXW9" s="737"/>
      <c r="OXX9" s="737"/>
      <c r="OXY9" s="737"/>
      <c r="OXZ9" s="737"/>
      <c r="OYA9" s="737"/>
      <c r="OYB9" s="737"/>
      <c r="OYC9" s="737"/>
      <c r="OYD9" s="737"/>
      <c r="OYE9" s="737"/>
      <c r="OYF9" s="737"/>
      <c r="OYG9" s="737"/>
      <c r="OYH9" s="737"/>
      <c r="OYI9" s="737"/>
      <c r="OYJ9" s="737"/>
      <c r="OYK9" s="737"/>
      <c r="OYL9" s="737"/>
      <c r="OYM9" s="737"/>
      <c r="OYN9" s="737"/>
      <c r="OYO9" s="737"/>
      <c r="OYP9" s="737"/>
      <c r="OYQ9" s="737"/>
      <c r="OYR9" s="737"/>
      <c r="OYS9" s="737"/>
      <c r="OYT9" s="737"/>
      <c r="OYU9" s="737"/>
      <c r="OYV9" s="737"/>
      <c r="OYW9" s="737"/>
      <c r="OYX9" s="737"/>
      <c r="OYY9" s="737"/>
      <c r="OYZ9" s="737"/>
      <c r="OZA9" s="737"/>
      <c r="OZB9" s="737"/>
      <c r="OZC9" s="737"/>
      <c r="OZD9" s="737"/>
      <c r="OZE9" s="737"/>
      <c r="OZF9" s="737"/>
      <c r="OZG9" s="737"/>
      <c r="OZH9" s="737"/>
      <c r="OZI9" s="737"/>
      <c r="OZJ9" s="737"/>
      <c r="OZK9" s="737"/>
      <c r="OZL9" s="737"/>
      <c r="OZM9" s="737"/>
      <c r="OZN9" s="737"/>
      <c r="OZO9" s="737"/>
      <c r="OZP9" s="737"/>
      <c r="OZQ9" s="737"/>
      <c r="OZR9" s="737"/>
      <c r="OZS9" s="737"/>
      <c r="OZT9" s="737"/>
      <c r="OZU9" s="737"/>
      <c r="OZV9" s="737"/>
      <c r="OZW9" s="737"/>
      <c r="OZX9" s="737"/>
      <c r="OZY9" s="737"/>
      <c r="OZZ9" s="737"/>
      <c r="PAA9" s="737"/>
      <c r="PAB9" s="737"/>
      <c r="PAC9" s="737"/>
      <c r="PAD9" s="737"/>
      <c r="PAE9" s="737"/>
      <c r="PAF9" s="737"/>
      <c r="PAG9" s="737"/>
      <c r="PAH9" s="737"/>
      <c r="PAI9" s="737"/>
      <c r="PAJ9" s="737"/>
      <c r="PAK9" s="737"/>
      <c r="PAL9" s="737"/>
      <c r="PAM9" s="737"/>
      <c r="PAN9" s="737"/>
      <c r="PAO9" s="737"/>
      <c r="PAP9" s="737"/>
      <c r="PAQ9" s="737"/>
      <c r="PAR9" s="737"/>
      <c r="PAS9" s="737"/>
      <c r="PAT9" s="737"/>
      <c r="PAU9" s="737"/>
      <c r="PAV9" s="737"/>
      <c r="PAW9" s="737"/>
      <c r="PAX9" s="737"/>
      <c r="PAY9" s="737"/>
      <c r="PAZ9" s="737"/>
      <c r="PBA9" s="737"/>
      <c r="PBB9" s="737"/>
      <c r="PBC9" s="737"/>
      <c r="PBD9" s="737"/>
      <c r="PBE9" s="737"/>
      <c r="PBF9" s="737"/>
      <c r="PBG9" s="737"/>
      <c r="PBH9" s="737"/>
      <c r="PBI9" s="737"/>
      <c r="PBJ9" s="737"/>
      <c r="PBK9" s="737"/>
      <c r="PBL9" s="737"/>
      <c r="PBM9" s="737"/>
      <c r="PBN9" s="737"/>
      <c r="PBO9" s="737"/>
      <c r="PBP9" s="737"/>
      <c r="PBQ9" s="737"/>
      <c r="PBR9" s="737"/>
      <c r="PBS9" s="737"/>
      <c r="PBT9" s="737"/>
      <c r="PBU9" s="737"/>
      <c r="PBV9" s="737"/>
      <c r="PBW9" s="737"/>
      <c r="PBX9" s="737"/>
      <c r="PBY9" s="737"/>
      <c r="PBZ9" s="737"/>
      <c r="PCA9" s="737"/>
      <c r="PCB9" s="737"/>
      <c r="PCC9" s="737"/>
      <c r="PCD9" s="737"/>
      <c r="PCE9" s="737"/>
      <c r="PCF9" s="737"/>
      <c r="PCG9" s="737"/>
      <c r="PCH9" s="737"/>
      <c r="PCI9" s="737"/>
      <c r="PCJ9" s="737"/>
      <c r="PCK9" s="737"/>
      <c r="PCL9" s="737"/>
      <c r="PCM9" s="737"/>
      <c r="PCN9" s="737"/>
      <c r="PCO9" s="737"/>
      <c r="PCP9" s="737"/>
      <c r="PCQ9" s="737"/>
      <c r="PCR9" s="737"/>
      <c r="PCS9" s="737"/>
      <c r="PCT9" s="737"/>
      <c r="PCU9" s="737"/>
      <c r="PCV9" s="737"/>
      <c r="PCW9" s="737"/>
      <c r="PCX9" s="737"/>
      <c r="PCY9" s="737"/>
      <c r="PCZ9" s="737"/>
      <c r="PDA9" s="737"/>
      <c r="PDB9" s="737"/>
      <c r="PDC9" s="737"/>
      <c r="PDD9" s="737"/>
      <c r="PDE9" s="737"/>
      <c r="PDF9" s="737"/>
      <c r="PDG9" s="737"/>
      <c r="PDH9" s="737"/>
      <c r="PDI9" s="737"/>
      <c r="PDJ9" s="737"/>
      <c r="PDK9" s="737"/>
      <c r="PDL9" s="737"/>
      <c r="PDM9" s="737"/>
      <c r="PDN9" s="737"/>
      <c r="PDO9" s="737"/>
      <c r="PDP9" s="737"/>
      <c r="PDQ9" s="737"/>
      <c r="PDR9" s="737"/>
      <c r="PDS9" s="737"/>
      <c r="PDT9" s="737"/>
      <c r="PDU9" s="737"/>
      <c r="PDV9" s="737"/>
      <c r="PDW9" s="737"/>
      <c r="PDX9" s="737"/>
      <c r="PDY9" s="737"/>
      <c r="PDZ9" s="737"/>
      <c r="PEA9" s="737"/>
      <c r="PEB9" s="737"/>
      <c r="PEC9" s="737"/>
      <c r="PED9" s="737"/>
      <c r="PEE9" s="737"/>
      <c r="PEF9" s="737"/>
      <c r="PEG9" s="737"/>
      <c r="PEH9" s="737"/>
      <c r="PEI9" s="737"/>
      <c r="PEJ9" s="737"/>
      <c r="PEK9" s="737"/>
      <c r="PEL9" s="737"/>
      <c r="PEM9" s="737"/>
      <c r="PEN9" s="737"/>
      <c r="PEO9" s="737"/>
      <c r="PEP9" s="737"/>
      <c r="PEQ9" s="737"/>
      <c r="PER9" s="737"/>
      <c r="PES9" s="737"/>
      <c r="PET9" s="737"/>
      <c r="PEU9" s="737"/>
      <c r="PEV9" s="737"/>
      <c r="PEW9" s="737"/>
      <c r="PEX9" s="737"/>
      <c r="PEY9" s="737"/>
      <c r="PEZ9" s="737"/>
      <c r="PFA9" s="737"/>
      <c r="PFB9" s="737"/>
      <c r="PFC9" s="737"/>
      <c r="PFD9" s="737"/>
      <c r="PFE9" s="737"/>
      <c r="PFF9" s="737"/>
      <c r="PFG9" s="737"/>
      <c r="PFH9" s="737"/>
      <c r="PFI9" s="737"/>
      <c r="PFJ9" s="737"/>
      <c r="PFK9" s="737"/>
      <c r="PFL9" s="737"/>
      <c r="PFM9" s="737"/>
      <c r="PFN9" s="737"/>
      <c r="PFO9" s="737"/>
      <c r="PFP9" s="737"/>
      <c r="PFQ9" s="737"/>
      <c r="PFR9" s="737"/>
      <c r="PFS9" s="737"/>
      <c r="PFT9" s="737"/>
      <c r="PFU9" s="737"/>
      <c r="PFV9" s="737"/>
      <c r="PFW9" s="737"/>
      <c r="PFX9" s="737"/>
      <c r="PFY9" s="737"/>
      <c r="PFZ9" s="737"/>
      <c r="PGA9" s="737"/>
      <c r="PGB9" s="737"/>
      <c r="PGC9" s="737"/>
      <c r="PGD9" s="737"/>
      <c r="PGE9" s="737"/>
      <c r="PGF9" s="737"/>
      <c r="PGG9" s="737"/>
      <c r="PGH9" s="737"/>
      <c r="PGI9" s="737"/>
      <c r="PGJ9" s="737"/>
      <c r="PGK9" s="737"/>
      <c r="PGL9" s="737"/>
      <c r="PGM9" s="737"/>
      <c r="PGN9" s="737"/>
      <c r="PGO9" s="737"/>
      <c r="PGP9" s="737"/>
      <c r="PGQ9" s="737"/>
      <c r="PGR9" s="737"/>
      <c r="PGS9" s="737"/>
      <c r="PGT9" s="737"/>
      <c r="PGU9" s="737"/>
      <c r="PGV9" s="737"/>
      <c r="PGW9" s="737"/>
      <c r="PGX9" s="737"/>
      <c r="PGY9" s="737"/>
      <c r="PGZ9" s="737"/>
      <c r="PHA9" s="737"/>
      <c r="PHB9" s="737"/>
      <c r="PHC9" s="737"/>
      <c r="PHD9" s="737"/>
      <c r="PHE9" s="737"/>
      <c r="PHF9" s="737"/>
      <c r="PHG9" s="737"/>
      <c r="PHH9" s="737"/>
      <c r="PHI9" s="737"/>
      <c r="PHJ9" s="737"/>
      <c r="PHK9" s="737"/>
      <c r="PHL9" s="737"/>
      <c r="PHM9" s="737"/>
      <c r="PHN9" s="737"/>
      <c r="PHO9" s="737"/>
      <c r="PHP9" s="737"/>
      <c r="PHQ9" s="737"/>
      <c r="PHR9" s="737"/>
      <c r="PHS9" s="737"/>
      <c r="PHT9" s="737"/>
      <c r="PHU9" s="737"/>
      <c r="PHV9" s="737"/>
      <c r="PHW9" s="737"/>
      <c r="PHX9" s="737"/>
      <c r="PHY9" s="737"/>
      <c r="PHZ9" s="737"/>
      <c r="PIA9" s="737"/>
      <c r="PIB9" s="737"/>
      <c r="PIC9" s="737"/>
      <c r="PID9" s="737"/>
      <c r="PIE9" s="737"/>
      <c r="PIF9" s="737"/>
      <c r="PIG9" s="737"/>
      <c r="PIH9" s="737"/>
      <c r="PII9" s="737"/>
      <c r="PIJ9" s="737"/>
      <c r="PIK9" s="737"/>
      <c r="PIL9" s="737"/>
      <c r="PIM9" s="737"/>
      <c r="PIN9" s="737"/>
      <c r="PIO9" s="737"/>
      <c r="PIP9" s="737"/>
      <c r="PIQ9" s="737"/>
      <c r="PIR9" s="737"/>
      <c r="PIS9" s="737"/>
      <c r="PIT9" s="737"/>
      <c r="PIU9" s="737"/>
      <c r="PIV9" s="737"/>
      <c r="PIW9" s="737"/>
      <c r="PIX9" s="737"/>
      <c r="PIY9" s="737"/>
      <c r="PIZ9" s="737"/>
      <c r="PJA9" s="737"/>
      <c r="PJB9" s="737"/>
      <c r="PJC9" s="737"/>
      <c r="PJD9" s="737"/>
      <c r="PJE9" s="737"/>
      <c r="PJF9" s="737"/>
      <c r="PJG9" s="737"/>
      <c r="PJH9" s="737"/>
      <c r="PJI9" s="737"/>
      <c r="PJJ9" s="737"/>
      <c r="PJK9" s="737"/>
      <c r="PJL9" s="737"/>
      <c r="PJM9" s="737"/>
      <c r="PJN9" s="737"/>
      <c r="PJO9" s="737"/>
      <c r="PJP9" s="737"/>
      <c r="PJQ9" s="737"/>
      <c r="PJR9" s="737"/>
      <c r="PJS9" s="737"/>
      <c r="PJT9" s="737"/>
      <c r="PJU9" s="737"/>
      <c r="PJV9" s="737"/>
      <c r="PJW9" s="737"/>
      <c r="PJX9" s="737"/>
      <c r="PJY9" s="737"/>
      <c r="PJZ9" s="737"/>
      <c r="PKA9" s="737"/>
      <c r="PKB9" s="737"/>
      <c r="PKC9" s="737"/>
      <c r="PKD9" s="737"/>
      <c r="PKE9" s="737"/>
      <c r="PKF9" s="737"/>
      <c r="PKG9" s="737"/>
      <c r="PKH9" s="737"/>
      <c r="PKI9" s="737"/>
      <c r="PKJ9" s="737"/>
      <c r="PKK9" s="737"/>
      <c r="PKL9" s="737"/>
      <c r="PKM9" s="737"/>
      <c r="PKN9" s="737"/>
      <c r="PKO9" s="737"/>
      <c r="PKP9" s="737"/>
      <c r="PKQ9" s="737"/>
      <c r="PKR9" s="737"/>
      <c r="PKS9" s="737"/>
      <c r="PKT9" s="737"/>
      <c r="PKU9" s="737"/>
      <c r="PKV9" s="737"/>
      <c r="PKW9" s="737"/>
      <c r="PKX9" s="737"/>
      <c r="PKY9" s="737"/>
      <c r="PKZ9" s="737"/>
      <c r="PLA9" s="737"/>
      <c r="PLB9" s="737"/>
      <c r="PLC9" s="737"/>
      <c r="PLD9" s="737"/>
      <c r="PLE9" s="737"/>
      <c r="PLF9" s="737"/>
      <c r="PLG9" s="737"/>
      <c r="PLH9" s="737"/>
      <c r="PLI9" s="737"/>
      <c r="PLJ9" s="737"/>
      <c r="PLK9" s="737"/>
      <c r="PLL9" s="737"/>
      <c r="PLM9" s="737"/>
      <c r="PLN9" s="737"/>
      <c r="PLO9" s="737"/>
      <c r="PLP9" s="737"/>
      <c r="PLQ9" s="737"/>
      <c r="PLR9" s="737"/>
      <c r="PLS9" s="737"/>
      <c r="PLT9" s="737"/>
      <c r="PLU9" s="737"/>
      <c r="PLV9" s="737"/>
      <c r="PLW9" s="737"/>
      <c r="PLX9" s="737"/>
      <c r="PLY9" s="737"/>
      <c r="PLZ9" s="737"/>
      <c r="PMA9" s="737"/>
      <c r="PMB9" s="737"/>
      <c r="PMC9" s="737"/>
      <c r="PMD9" s="737"/>
      <c r="PME9" s="737"/>
      <c r="PMF9" s="737"/>
      <c r="PMG9" s="737"/>
      <c r="PMH9" s="737"/>
      <c r="PMI9" s="737"/>
      <c r="PMJ9" s="737"/>
      <c r="PMK9" s="737"/>
      <c r="PML9" s="737"/>
      <c r="PMM9" s="737"/>
      <c r="PMN9" s="737"/>
      <c r="PMO9" s="737"/>
      <c r="PMP9" s="737"/>
      <c r="PMQ9" s="737"/>
      <c r="PMR9" s="737"/>
      <c r="PMS9" s="737"/>
      <c r="PMT9" s="737"/>
      <c r="PMU9" s="737"/>
      <c r="PMV9" s="737"/>
      <c r="PMW9" s="737"/>
      <c r="PMX9" s="737"/>
      <c r="PMY9" s="737"/>
      <c r="PMZ9" s="737"/>
      <c r="PNA9" s="737"/>
      <c r="PNB9" s="737"/>
      <c r="PNC9" s="737"/>
      <c r="PND9" s="737"/>
      <c r="PNE9" s="737"/>
      <c r="PNF9" s="737"/>
      <c r="PNG9" s="737"/>
      <c r="PNH9" s="737"/>
      <c r="PNI9" s="737"/>
      <c r="PNJ9" s="737"/>
      <c r="PNK9" s="737"/>
      <c r="PNL9" s="737"/>
      <c r="PNM9" s="737"/>
      <c r="PNN9" s="737"/>
      <c r="PNO9" s="737"/>
      <c r="PNP9" s="737"/>
      <c r="PNQ9" s="737"/>
      <c r="PNR9" s="737"/>
      <c r="PNS9" s="737"/>
      <c r="PNT9" s="737"/>
      <c r="PNU9" s="737"/>
      <c r="PNV9" s="737"/>
      <c r="PNW9" s="737"/>
      <c r="PNX9" s="737"/>
      <c r="PNY9" s="737"/>
      <c r="PNZ9" s="737"/>
      <c r="POA9" s="737"/>
      <c r="POB9" s="737"/>
      <c r="POC9" s="737"/>
      <c r="POD9" s="737"/>
      <c r="POE9" s="737"/>
      <c r="POF9" s="737"/>
      <c r="POG9" s="737"/>
      <c r="POH9" s="737"/>
      <c r="POI9" s="737"/>
      <c r="POJ9" s="737"/>
      <c r="POK9" s="737"/>
      <c r="POL9" s="737"/>
      <c r="POM9" s="737"/>
      <c r="PON9" s="737"/>
      <c r="POO9" s="737"/>
      <c r="POP9" s="737"/>
      <c r="POQ9" s="737"/>
      <c r="POR9" s="737"/>
      <c r="POS9" s="737"/>
      <c r="POT9" s="737"/>
      <c r="POU9" s="737"/>
      <c r="POV9" s="737"/>
      <c r="POW9" s="737"/>
      <c r="POX9" s="737"/>
      <c r="POY9" s="737"/>
      <c r="POZ9" s="737"/>
      <c r="PPA9" s="737"/>
      <c r="PPB9" s="737"/>
      <c r="PPC9" s="737"/>
      <c r="PPD9" s="737"/>
      <c r="PPE9" s="737"/>
      <c r="PPF9" s="737"/>
      <c r="PPG9" s="737"/>
      <c r="PPH9" s="737"/>
      <c r="PPI9" s="737"/>
      <c r="PPJ9" s="737"/>
      <c r="PPK9" s="737"/>
      <c r="PPL9" s="737"/>
      <c r="PPM9" s="737"/>
      <c r="PPN9" s="737"/>
      <c r="PPO9" s="737"/>
      <c r="PPP9" s="737"/>
      <c r="PPQ9" s="737"/>
      <c r="PPR9" s="737"/>
      <c r="PPS9" s="737"/>
      <c r="PPT9" s="737"/>
      <c r="PPU9" s="737"/>
      <c r="PPV9" s="737"/>
      <c r="PPW9" s="737"/>
      <c r="PPX9" s="737"/>
      <c r="PPY9" s="737"/>
      <c r="PPZ9" s="737"/>
      <c r="PQA9" s="737"/>
      <c r="PQB9" s="737"/>
      <c r="PQC9" s="737"/>
      <c r="PQD9" s="737"/>
      <c r="PQE9" s="737"/>
      <c r="PQF9" s="737"/>
      <c r="PQG9" s="737"/>
      <c r="PQH9" s="737"/>
      <c r="PQI9" s="737"/>
      <c r="PQJ9" s="737"/>
      <c r="PQK9" s="737"/>
      <c r="PQL9" s="737"/>
      <c r="PQM9" s="737"/>
      <c r="PQN9" s="737"/>
      <c r="PQO9" s="737"/>
      <c r="PQP9" s="737"/>
      <c r="PQQ9" s="737"/>
      <c r="PQR9" s="737"/>
      <c r="PQS9" s="737"/>
      <c r="PQT9" s="737"/>
      <c r="PQU9" s="737"/>
      <c r="PQV9" s="737"/>
      <c r="PQW9" s="737"/>
      <c r="PQX9" s="737"/>
      <c r="PQY9" s="737"/>
      <c r="PQZ9" s="737"/>
      <c r="PRA9" s="737"/>
      <c r="PRB9" s="737"/>
      <c r="PRC9" s="737"/>
      <c r="PRD9" s="737"/>
      <c r="PRE9" s="737"/>
      <c r="PRF9" s="737"/>
      <c r="PRG9" s="737"/>
      <c r="PRH9" s="737"/>
      <c r="PRI9" s="737"/>
      <c r="PRJ9" s="737"/>
      <c r="PRK9" s="737"/>
      <c r="PRL9" s="737"/>
      <c r="PRM9" s="737"/>
      <c r="PRN9" s="737"/>
      <c r="PRO9" s="737"/>
      <c r="PRP9" s="737"/>
      <c r="PRQ9" s="737"/>
      <c r="PRR9" s="737"/>
      <c r="PRS9" s="737"/>
      <c r="PRT9" s="737"/>
      <c r="PRU9" s="737"/>
      <c r="PRV9" s="737"/>
      <c r="PRW9" s="737"/>
      <c r="PRX9" s="737"/>
      <c r="PRY9" s="737"/>
      <c r="PRZ9" s="737"/>
      <c r="PSA9" s="737"/>
      <c r="PSB9" s="737"/>
      <c r="PSC9" s="737"/>
      <c r="PSD9" s="737"/>
      <c r="PSE9" s="737"/>
      <c r="PSF9" s="737"/>
      <c r="PSG9" s="737"/>
      <c r="PSH9" s="737"/>
      <c r="PSI9" s="737"/>
      <c r="PSJ9" s="737"/>
      <c r="PSK9" s="737"/>
      <c r="PSL9" s="737"/>
      <c r="PSM9" s="737"/>
      <c r="PSN9" s="737"/>
      <c r="PSO9" s="737"/>
      <c r="PSP9" s="737"/>
      <c r="PSQ9" s="737"/>
      <c r="PSR9" s="737"/>
      <c r="PSS9" s="737"/>
      <c r="PST9" s="737"/>
      <c r="PSU9" s="737"/>
      <c r="PSV9" s="737"/>
      <c r="PSW9" s="737"/>
      <c r="PSX9" s="737"/>
      <c r="PSY9" s="737"/>
      <c r="PSZ9" s="737"/>
      <c r="PTA9" s="737"/>
      <c r="PTB9" s="737"/>
      <c r="PTC9" s="737"/>
      <c r="PTD9" s="737"/>
      <c r="PTE9" s="737"/>
      <c r="PTF9" s="737"/>
      <c r="PTG9" s="737"/>
      <c r="PTH9" s="737"/>
      <c r="PTI9" s="737"/>
      <c r="PTJ9" s="737"/>
      <c r="PTK9" s="737"/>
      <c r="PTL9" s="737"/>
      <c r="PTM9" s="737"/>
      <c r="PTN9" s="737"/>
      <c r="PTO9" s="737"/>
      <c r="PTP9" s="737"/>
      <c r="PTQ9" s="737"/>
      <c r="PTR9" s="737"/>
      <c r="PTS9" s="737"/>
      <c r="PTT9" s="737"/>
      <c r="PTU9" s="737"/>
      <c r="PTV9" s="737"/>
      <c r="PTW9" s="737"/>
      <c r="PTX9" s="737"/>
      <c r="PTY9" s="737"/>
      <c r="PTZ9" s="737"/>
      <c r="PUA9" s="737"/>
      <c r="PUB9" s="737"/>
      <c r="PUC9" s="737"/>
      <c r="PUD9" s="737"/>
      <c r="PUE9" s="737"/>
      <c r="PUF9" s="737"/>
      <c r="PUG9" s="737"/>
      <c r="PUH9" s="737"/>
      <c r="PUI9" s="737"/>
      <c r="PUJ9" s="737"/>
      <c r="PUK9" s="737"/>
      <c r="PUL9" s="737"/>
      <c r="PUM9" s="737"/>
      <c r="PUN9" s="737"/>
      <c r="PUO9" s="737"/>
      <c r="PUP9" s="737"/>
      <c r="PUQ9" s="737"/>
      <c r="PUR9" s="737"/>
      <c r="PUS9" s="737"/>
      <c r="PUT9" s="737"/>
      <c r="PUU9" s="737"/>
      <c r="PUV9" s="737"/>
      <c r="PUW9" s="737"/>
      <c r="PUX9" s="737"/>
      <c r="PUY9" s="737"/>
      <c r="PUZ9" s="737"/>
      <c r="PVA9" s="737"/>
      <c r="PVB9" s="737"/>
      <c r="PVC9" s="737"/>
      <c r="PVD9" s="737"/>
      <c r="PVE9" s="737"/>
      <c r="PVF9" s="737"/>
      <c r="PVG9" s="737"/>
      <c r="PVH9" s="737"/>
      <c r="PVI9" s="737"/>
      <c r="PVJ9" s="737"/>
      <c r="PVK9" s="737"/>
      <c r="PVL9" s="737"/>
      <c r="PVM9" s="737"/>
      <c r="PVN9" s="737"/>
      <c r="PVO9" s="737"/>
      <c r="PVP9" s="737"/>
      <c r="PVQ9" s="737"/>
      <c r="PVR9" s="737"/>
      <c r="PVS9" s="737"/>
      <c r="PVT9" s="737"/>
      <c r="PVU9" s="737"/>
      <c r="PVV9" s="737"/>
      <c r="PVW9" s="737"/>
      <c r="PVX9" s="737"/>
      <c r="PVY9" s="737"/>
      <c r="PVZ9" s="737"/>
      <c r="PWA9" s="737"/>
      <c r="PWB9" s="737"/>
      <c r="PWC9" s="737"/>
      <c r="PWD9" s="737"/>
      <c r="PWE9" s="737"/>
      <c r="PWF9" s="737"/>
      <c r="PWG9" s="737"/>
      <c r="PWH9" s="737"/>
      <c r="PWI9" s="737"/>
      <c r="PWJ9" s="737"/>
      <c r="PWK9" s="737"/>
      <c r="PWL9" s="737"/>
      <c r="PWM9" s="737"/>
      <c r="PWN9" s="737"/>
      <c r="PWO9" s="737"/>
      <c r="PWP9" s="737"/>
      <c r="PWQ9" s="737"/>
      <c r="PWR9" s="737"/>
      <c r="PWS9" s="737"/>
      <c r="PWT9" s="737"/>
      <c r="PWU9" s="737"/>
      <c r="PWV9" s="737"/>
      <c r="PWW9" s="737"/>
      <c r="PWX9" s="737"/>
      <c r="PWY9" s="737"/>
      <c r="PWZ9" s="737"/>
      <c r="PXA9" s="737"/>
      <c r="PXB9" s="737"/>
      <c r="PXC9" s="737"/>
      <c r="PXD9" s="737"/>
      <c r="PXE9" s="737"/>
      <c r="PXF9" s="737"/>
      <c r="PXG9" s="737"/>
      <c r="PXH9" s="737"/>
      <c r="PXI9" s="737"/>
      <c r="PXJ9" s="737"/>
      <c r="PXK9" s="737"/>
      <c r="PXL9" s="737"/>
      <c r="PXM9" s="737"/>
      <c r="PXN9" s="737"/>
      <c r="PXO9" s="737"/>
      <c r="PXP9" s="737"/>
      <c r="PXQ9" s="737"/>
      <c r="PXR9" s="737"/>
      <c r="PXS9" s="737"/>
      <c r="PXT9" s="737"/>
      <c r="PXU9" s="737"/>
      <c r="PXV9" s="737"/>
      <c r="PXW9" s="737"/>
      <c r="PXX9" s="737"/>
      <c r="PXY9" s="737"/>
      <c r="PXZ9" s="737"/>
      <c r="PYA9" s="737"/>
      <c r="PYB9" s="737"/>
      <c r="PYC9" s="737"/>
      <c r="PYD9" s="737"/>
      <c r="PYE9" s="737"/>
      <c r="PYF9" s="737"/>
      <c r="PYG9" s="737"/>
      <c r="PYH9" s="737"/>
      <c r="PYI9" s="737"/>
      <c r="PYJ9" s="737"/>
      <c r="PYK9" s="737"/>
      <c r="PYL9" s="737"/>
      <c r="PYM9" s="737"/>
      <c r="PYN9" s="737"/>
      <c r="PYO9" s="737"/>
      <c r="PYP9" s="737"/>
      <c r="PYQ9" s="737"/>
      <c r="PYR9" s="737"/>
      <c r="PYS9" s="737"/>
      <c r="PYT9" s="737"/>
      <c r="PYU9" s="737"/>
      <c r="PYV9" s="737"/>
      <c r="PYW9" s="737"/>
      <c r="PYX9" s="737"/>
      <c r="PYY9" s="737"/>
      <c r="PYZ9" s="737"/>
      <c r="PZA9" s="737"/>
      <c r="PZB9" s="737"/>
      <c r="PZC9" s="737"/>
      <c r="PZD9" s="737"/>
      <c r="PZE9" s="737"/>
      <c r="PZF9" s="737"/>
      <c r="PZG9" s="737"/>
      <c r="PZH9" s="737"/>
      <c r="PZI9" s="737"/>
      <c r="PZJ9" s="737"/>
      <c r="PZK9" s="737"/>
      <c r="PZL9" s="737"/>
      <c r="PZM9" s="737"/>
      <c r="PZN9" s="737"/>
      <c r="PZO9" s="737"/>
      <c r="PZP9" s="737"/>
      <c r="PZQ9" s="737"/>
      <c r="PZR9" s="737"/>
      <c r="PZS9" s="737"/>
      <c r="PZT9" s="737"/>
      <c r="PZU9" s="737"/>
      <c r="PZV9" s="737"/>
      <c r="PZW9" s="737"/>
      <c r="PZX9" s="737"/>
      <c r="PZY9" s="737"/>
      <c r="PZZ9" s="737"/>
      <c r="QAA9" s="737"/>
      <c r="QAB9" s="737"/>
      <c r="QAC9" s="737"/>
      <c r="QAD9" s="737"/>
      <c r="QAE9" s="737"/>
      <c r="QAF9" s="737"/>
      <c r="QAG9" s="737"/>
      <c r="QAH9" s="737"/>
      <c r="QAI9" s="737"/>
      <c r="QAJ9" s="737"/>
      <c r="QAK9" s="737"/>
      <c r="QAL9" s="737"/>
      <c r="QAM9" s="737"/>
      <c r="QAN9" s="737"/>
      <c r="QAO9" s="737"/>
      <c r="QAP9" s="737"/>
      <c r="QAQ9" s="737"/>
      <c r="QAR9" s="737"/>
      <c r="QAS9" s="737"/>
      <c r="QAT9" s="737"/>
      <c r="QAU9" s="737"/>
      <c r="QAV9" s="737"/>
      <c r="QAW9" s="737"/>
      <c r="QAX9" s="737"/>
      <c r="QAY9" s="737"/>
      <c r="QAZ9" s="737"/>
      <c r="QBA9" s="737"/>
      <c r="QBB9" s="737"/>
      <c r="QBC9" s="737"/>
      <c r="QBD9" s="737"/>
      <c r="QBE9" s="737"/>
      <c r="QBF9" s="737"/>
      <c r="QBG9" s="737"/>
      <c r="QBH9" s="737"/>
      <c r="QBI9" s="737"/>
      <c r="QBJ9" s="737"/>
      <c r="QBK9" s="737"/>
      <c r="QBL9" s="737"/>
      <c r="QBM9" s="737"/>
      <c r="QBN9" s="737"/>
      <c r="QBO9" s="737"/>
      <c r="QBP9" s="737"/>
      <c r="QBQ9" s="737"/>
      <c r="QBR9" s="737"/>
      <c r="QBS9" s="737"/>
      <c r="QBT9" s="737"/>
      <c r="QBU9" s="737"/>
      <c r="QBV9" s="737"/>
      <c r="QBW9" s="737"/>
      <c r="QBX9" s="737"/>
      <c r="QBY9" s="737"/>
      <c r="QBZ9" s="737"/>
      <c r="QCA9" s="737"/>
      <c r="QCB9" s="737"/>
      <c r="QCC9" s="737"/>
      <c r="QCD9" s="737"/>
      <c r="QCE9" s="737"/>
      <c r="QCF9" s="737"/>
      <c r="QCG9" s="737"/>
      <c r="QCH9" s="737"/>
      <c r="QCI9" s="737"/>
      <c r="QCJ9" s="737"/>
      <c r="QCK9" s="737"/>
      <c r="QCL9" s="737"/>
      <c r="QCM9" s="737"/>
      <c r="QCN9" s="737"/>
      <c r="QCO9" s="737"/>
      <c r="QCP9" s="737"/>
      <c r="QCQ9" s="737"/>
      <c r="QCR9" s="737"/>
      <c r="QCS9" s="737"/>
      <c r="QCT9" s="737"/>
      <c r="QCU9" s="737"/>
      <c r="QCV9" s="737"/>
      <c r="QCW9" s="737"/>
      <c r="QCX9" s="737"/>
      <c r="QCY9" s="737"/>
      <c r="QCZ9" s="737"/>
      <c r="QDA9" s="737"/>
      <c r="QDB9" s="737"/>
      <c r="QDC9" s="737"/>
      <c r="QDD9" s="737"/>
      <c r="QDE9" s="737"/>
      <c r="QDF9" s="737"/>
      <c r="QDG9" s="737"/>
      <c r="QDH9" s="737"/>
      <c r="QDI9" s="737"/>
      <c r="QDJ9" s="737"/>
      <c r="QDK9" s="737"/>
      <c r="QDL9" s="737"/>
      <c r="QDM9" s="737"/>
      <c r="QDN9" s="737"/>
      <c r="QDO9" s="737"/>
      <c r="QDP9" s="737"/>
      <c r="QDQ9" s="737"/>
      <c r="QDR9" s="737"/>
      <c r="QDS9" s="737"/>
      <c r="QDT9" s="737"/>
      <c r="QDU9" s="737"/>
      <c r="QDV9" s="737"/>
      <c r="QDW9" s="737"/>
      <c r="QDX9" s="737"/>
      <c r="QDY9" s="737"/>
      <c r="QDZ9" s="737"/>
      <c r="QEA9" s="737"/>
      <c r="QEB9" s="737"/>
      <c r="QEC9" s="737"/>
      <c r="QED9" s="737"/>
      <c r="QEE9" s="737"/>
      <c r="QEF9" s="737"/>
      <c r="QEG9" s="737"/>
      <c r="QEH9" s="737"/>
      <c r="QEI9" s="737"/>
      <c r="QEJ9" s="737"/>
      <c r="QEK9" s="737"/>
      <c r="QEL9" s="737"/>
      <c r="QEM9" s="737"/>
      <c r="QEN9" s="737"/>
      <c r="QEO9" s="737"/>
      <c r="QEP9" s="737"/>
      <c r="QEQ9" s="737"/>
      <c r="QER9" s="737"/>
      <c r="QES9" s="737"/>
      <c r="QET9" s="737"/>
      <c r="QEU9" s="737"/>
      <c r="QEV9" s="737"/>
      <c r="QEW9" s="737"/>
      <c r="QEX9" s="737"/>
      <c r="QEY9" s="737"/>
      <c r="QEZ9" s="737"/>
      <c r="QFA9" s="737"/>
      <c r="QFB9" s="737"/>
      <c r="QFC9" s="737"/>
      <c r="QFD9" s="737"/>
      <c r="QFE9" s="737"/>
      <c r="QFF9" s="737"/>
      <c r="QFG9" s="737"/>
      <c r="QFH9" s="737"/>
      <c r="QFI9" s="737"/>
      <c r="QFJ9" s="737"/>
      <c r="QFK9" s="737"/>
      <c r="QFL9" s="737"/>
      <c r="QFM9" s="737"/>
      <c r="QFN9" s="737"/>
      <c r="QFO9" s="737"/>
      <c r="QFP9" s="737"/>
      <c r="QFQ9" s="737"/>
      <c r="QFR9" s="737"/>
      <c r="QFS9" s="737"/>
      <c r="QFT9" s="737"/>
      <c r="QFU9" s="737"/>
      <c r="QFV9" s="737"/>
      <c r="QFW9" s="737"/>
      <c r="QFX9" s="737"/>
      <c r="QFY9" s="737"/>
      <c r="QFZ9" s="737"/>
      <c r="QGA9" s="737"/>
      <c r="QGB9" s="737"/>
      <c r="QGC9" s="737"/>
      <c r="QGD9" s="737"/>
      <c r="QGE9" s="737"/>
      <c r="QGF9" s="737"/>
      <c r="QGG9" s="737"/>
      <c r="QGH9" s="737"/>
      <c r="QGI9" s="737"/>
      <c r="QGJ9" s="737"/>
      <c r="QGK9" s="737"/>
      <c r="QGL9" s="737"/>
      <c r="QGM9" s="737"/>
      <c r="QGN9" s="737"/>
      <c r="QGO9" s="737"/>
      <c r="QGP9" s="737"/>
      <c r="QGQ9" s="737"/>
      <c r="QGR9" s="737"/>
      <c r="QGS9" s="737"/>
      <c r="QGT9" s="737"/>
      <c r="QGU9" s="737"/>
      <c r="QGV9" s="737"/>
      <c r="QGW9" s="737"/>
      <c r="QGX9" s="737"/>
      <c r="QGY9" s="737"/>
      <c r="QGZ9" s="737"/>
      <c r="QHA9" s="737"/>
      <c r="QHB9" s="737"/>
      <c r="QHC9" s="737"/>
      <c r="QHD9" s="737"/>
      <c r="QHE9" s="737"/>
      <c r="QHF9" s="737"/>
      <c r="QHG9" s="737"/>
      <c r="QHH9" s="737"/>
      <c r="QHI9" s="737"/>
      <c r="QHJ9" s="737"/>
      <c r="QHK9" s="737"/>
      <c r="QHL9" s="737"/>
      <c r="QHM9" s="737"/>
      <c r="QHN9" s="737"/>
      <c r="QHO9" s="737"/>
      <c r="QHP9" s="737"/>
      <c r="QHQ9" s="737"/>
      <c r="QHR9" s="737"/>
      <c r="QHS9" s="737"/>
      <c r="QHT9" s="737"/>
      <c r="QHU9" s="737"/>
      <c r="QHV9" s="737"/>
      <c r="QHW9" s="737"/>
      <c r="QHX9" s="737"/>
      <c r="QHY9" s="737"/>
      <c r="QHZ9" s="737"/>
      <c r="QIA9" s="737"/>
      <c r="QIB9" s="737"/>
      <c r="QIC9" s="737"/>
      <c r="QID9" s="737"/>
      <c r="QIE9" s="737"/>
      <c r="QIF9" s="737"/>
      <c r="QIG9" s="737"/>
      <c r="QIH9" s="737"/>
      <c r="QII9" s="737"/>
      <c r="QIJ9" s="737"/>
      <c r="QIK9" s="737"/>
      <c r="QIL9" s="737"/>
      <c r="QIM9" s="737"/>
      <c r="QIN9" s="737"/>
      <c r="QIO9" s="737"/>
      <c r="QIP9" s="737"/>
      <c r="QIQ9" s="737"/>
      <c r="QIR9" s="737"/>
      <c r="QIS9" s="737"/>
      <c r="QIT9" s="737"/>
      <c r="QIU9" s="737"/>
      <c r="QIV9" s="737"/>
      <c r="QIW9" s="737"/>
      <c r="QIX9" s="737"/>
      <c r="QIY9" s="737"/>
      <c r="QIZ9" s="737"/>
      <c r="QJA9" s="737"/>
      <c r="QJB9" s="737"/>
      <c r="QJC9" s="737"/>
      <c r="QJD9" s="737"/>
      <c r="QJE9" s="737"/>
      <c r="QJF9" s="737"/>
      <c r="QJG9" s="737"/>
      <c r="QJH9" s="737"/>
      <c r="QJI9" s="737"/>
      <c r="QJJ9" s="737"/>
      <c r="QJK9" s="737"/>
      <c r="QJL9" s="737"/>
      <c r="QJM9" s="737"/>
      <c r="QJN9" s="737"/>
      <c r="QJO9" s="737"/>
      <c r="QJP9" s="737"/>
      <c r="QJQ9" s="737"/>
      <c r="QJR9" s="737"/>
      <c r="QJS9" s="737"/>
      <c r="QJT9" s="737"/>
      <c r="QJU9" s="737"/>
      <c r="QJV9" s="737"/>
      <c r="QJW9" s="737"/>
      <c r="QJX9" s="737"/>
      <c r="QJY9" s="737"/>
      <c r="QJZ9" s="737"/>
      <c r="QKA9" s="737"/>
      <c r="QKB9" s="737"/>
      <c r="QKC9" s="737"/>
      <c r="QKD9" s="737"/>
      <c r="QKE9" s="737"/>
      <c r="QKF9" s="737"/>
      <c r="QKG9" s="737"/>
      <c r="QKH9" s="737"/>
      <c r="QKI9" s="737"/>
      <c r="QKJ9" s="737"/>
      <c r="QKK9" s="737"/>
      <c r="QKL9" s="737"/>
      <c r="QKM9" s="737"/>
      <c r="QKN9" s="737"/>
      <c r="QKO9" s="737"/>
      <c r="QKP9" s="737"/>
      <c r="QKQ9" s="737"/>
      <c r="QKR9" s="737"/>
      <c r="QKS9" s="737"/>
      <c r="QKT9" s="737"/>
      <c r="QKU9" s="737"/>
      <c r="QKV9" s="737"/>
      <c r="QKW9" s="737"/>
      <c r="QKX9" s="737"/>
      <c r="QKY9" s="737"/>
      <c r="QKZ9" s="737"/>
      <c r="QLA9" s="737"/>
      <c r="QLB9" s="737"/>
      <c r="QLC9" s="737"/>
      <c r="QLD9" s="737"/>
      <c r="QLE9" s="737"/>
      <c r="QLF9" s="737"/>
      <c r="QLG9" s="737"/>
      <c r="QLH9" s="737"/>
      <c r="QLI9" s="737"/>
      <c r="QLJ9" s="737"/>
      <c r="QLK9" s="737"/>
      <c r="QLL9" s="737"/>
      <c r="QLM9" s="737"/>
      <c r="QLN9" s="737"/>
      <c r="QLO9" s="737"/>
      <c r="QLP9" s="737"/>
      <c r="QLQ9" s="737"/>
      <c r="QLR9" s="737"/>
      <c r="QLS9" s="737"/>
      <c r="QLT9" s="737"/>
      <c r="QLU9" s="737"/>
      <c r="QLV9" s="737"/>
      <c r="QLW9" s="737"/>
      <c r="QLX9" s="737"/>
      <c r="QLY9" s="737"/>
      <c r="QLZ9" s="737"/>
      <c r="QMA9" s="737"/>
      <c r="QMB9" s="737"/>
      <c r="QMC9" s="737"/>
      <c r="QMD9" s="737"/>
      <c r="QME9" s="737"/>
      <c r="QMF9" s="737"/>
      <c r="QMG9" s="737"/>
      <c r="QMH9" s="737"/>
      <c r="QMI9" s="737"/>
      <c r="QMJ9" s="737"/>
      <c r="QMK9" s="737"/>
      <c r="QML9" s="737"/>
      <c r="QMM9" s="737"/>
      <c r="QMN9" s="737"/>
      <c r="QMO9" s="737"/>
      <c r="QMP9" s="737"/>
      <c r="QMQ9" s="737"/>
      <c r="QMR9" s="737"/>
      <c r="QMS9" s="737"/>
      <c r="QMT9" s="737"/>
      <c r="QMU9" s="737"/>
      <c r="QMV9" s="737"/>
      <c r="QMW9" s="737"/>
      <c r="QMX9" s="737"/>
      <c r="QMY9" s="737"/>
      <c r="QMZ9" s="737"/>
      <c r="QNA9" s="737"/>
      <c r="QNB9" s="737"/>
      <c r="QNC9" s="737"/>
      <c r="QND9" s="737"/>
      <c r="QNE9" s="737"/>
      <c r="QNF9" s="737"/>
      <c r="QNG9" s="737"/>
      <c r="QNH9" s="737"/>
      <c r="QNI9" s="737"/>
      <c r="QNJ9" s="737"/>
      <c r="QNK9" s="737"/>
      <c r="QNL9" s="737"/>
      <c r="QNM9" s="737"/>
      <c r="QNN9" s="737"/>
      <c r="QNO9" s="737"/>
      <c r="QNP9" s="737"/>
      <c r="QNQ9" s="737"/>
      <c r="QNR9" s="737"/>
      <c r="QNS9" s="737"/>
      <c r="QNT9" s="737"/>
      <c r="QNU9" s="737"/>
      <c r="QNV9" s="737"/>
      <c r="QNW9" s="737"/>
      <c r="QNX9" s="737"/>
      <c r="QNY9" s="737"/>
      <c r="QNZ9" s="737"/>
      <c r="QOA9" s="737"/>
      <c r="QOB9" s="737"/>
      <c r="QOC9" s="737"/>
      <c r="QOD9" s="737"/>
      <c r="QOE9" s="737"/>
      <c r="QOF9" s="737"/>
      <c r="QOG9" s="737"/>
      <c r="QOH9" s="737"/>
      <c r="QOI9" s="737"/>
      <c r="QOJ9" s="737"/>
      <c r="QOK9" s="737"/>
      <c r="QOL9" s="737"/>
      <c r="QOM9" s="737"/>
      <c r="QON9" s="737"/>
      <c r="QOO9" s="737"/>
      <c r="QOP9" s="737"/>
      <c r="QOQ9" s="737"/>
      <c r="QOR9" s="737"/>
      <c r="QOS9" s="737"/>
      <c r="QOT9" s="737"/>
      <c r="QOU9" s="737"/>
      <c r="QOV9" s="737"/>
      <c r="QOW9" s="737"/>
      <c r="QOX9" s="737"/>
      <c r="QOY9" s="737"/>
      <c r="QOZ9" s="737"/>
      <c r="QPA9" s="737"/>
      <c r="QPB9" s="737"/>
      <c r="QPC9" s="737"/>
      <c r="QPD9" s="737"/>
      <c r="QPE9" s="737"/>
      <c r="QPF9" s="737"/>
      <c r="QPG9" s="737"/>
      <c r="QPH9" s="737"/>
      <c r="QPI9" s="737"/>
      <c r="QPJ9" s="737"/>
      <c r="QPK9" s="737"/>
      <c r="QPL9" s="737"/>
      <c r="QPM9" s="737"/>
      <c r="QPN9" s="737"/>
      <c r="QPO9" s="737"/>
      <c r="QPP9" s="737"/>
      <c r="QPQ9" s="737"/>
      <c r="QPR9" s="737"/>
      <c r="QPS9" s="737"/>
      <c r="QPT9" s="737"/>
      <c r="QPU9" s="737"/>
      <c r="QPV9" s="737"/>
      <c r="QPW9" s="737"/>
      <c r="QPX9" s="737"/>
      <c r="QPY9" s="737"/>
      <c r="QPZ9" s="737"/>
      <c r="QQA9" s="737"/>
      <c r="QQB9" s="737"/>
      <c r="QQC9" s="737"/>
      <c r="QQD9" s="737"/>
      <c r="QQE9" s="737"/>
      <c r="QQF9" s="737"/>
      <c r="QQG9" s="737"/>
      <c r="QQH9" s="737"/>
      <c r="QQI9" s="737"/>
      <c r="QQJ9" s="737"/>
      <c r="QQK9" s="737"/>
      <c r="QQL9" s="737"/>
      <c r="QQM9" s="737"/>
      <c r="QQN9" s="737"/>
      <c r="QQO9" s="737"/>
      <c r="QQP9" s="737"/>
      <c r="QQQ9" s="737"/>
      <c r="QQR9" s="737"/>
      <c r="QQS9" s="737"/>
      <c r="QQT9" s="737"/>
      <c r="QQU9" s="737"/>
      <c r="QQV9" s="737"/>
      <c r="QQW9" s="737"/>
      <c r="QQX9" s="737"/>
      <c r="QQY9" s="737"/>
      <c r="QQZ9" s="737"/>
      <c r="QRA9" s="737"/>
      <c r="QRB9" s="737"/>
      <c r="QRC9" s="737"/>
      <c r="QRD9" s="737"/>
      <c r="QRE9" s="737"/>
      <c r="QRF9" s="737"/>
      <c r="QRG9" s="737"/>
      <c r="QRH9" s="737"/>
      <c r="QRI9" s="737"/>
      <c r="QRJ9" s="737"/>
      <c r="QRK9" s="737"/>
      <c r="QRL9" s="737"/>
      <c r="QRM9" s="737"/>
      <c r="QRN9" s="737"/>
      <c r="QRO9" s="737"/>
      <c r="QRP9" s="737"/>
      <c r="QRQ9" s="737"/>
      <c r="QRR9" s="737"/>
      <c r="QRS9" s="737"/>
      <c r="QRT9" s="737"/>
      <c r="QRU9" s="737"/>
      <c r="QRV9" s="737"/>
      <c r="QRW9" s="737"/>
      <c r="QRX9" s="737"/>
      <c r="QRY9" s="737"/>
      <c r="QRZ9" s="737"/>
      <c r="QSA9" s="737"/>
      <c r="QSB9" s="737"/>
      <c r="QSC9" s="737"/>
      <c r="QSD9" s="737"/>
      <c r="QSE9" s="737"/>
      <c r="QSF9" s="737"/>
      <c r="QSG9" s="737"/>
      <c r="QSH9" s="737"/>
      <c r="QSI9" s="737"/>
      <c r="QSJ9" s="737"/>
      <c r="QSK9" s="737"/>
      <c r="QSL9" s="737"/>
      <c r="QSM9" s="737"/>
      <c r="QSN9" s="737"/>
      <c r="QSO9" s="737"/>
      <c r="QSP9" s="737"/>
      <c r="QSQ9" s="737"/>
      <c r="QSR9" s="737"/>
      <c r="QSS9" s="737"/>
      <c r="QST9" s="737"/>
      <c r="QSU9" s="737"/>
      <c r="QSV9" s="737"/>
      <c r="QSW9" s="737"/>
      <c r="QSX9" s="737"/>
      <c r="QSY9" s="737"/>
      <c r="QSZ9" s="737"/>
      <c r="QTA9" s="737"/>
      <c r="QTB9" s="737"/>
      <c r="QTC9" s="737"/>
      <c r="QTD9" s="737"/>
      <c r="QTE9" s="737"/>
      <c r="QTF9" s="737"/>
      <c r="QTG9" s="737"/>
      <c r="QTH9" s="737"/>
      <c r="QTI9" s="737"/>
      <c r="QTJ9" s="737"/>
      <c r="QTK9" s="737"/>
      <c r="QTL9" s="737"/>
      <c r="QTM9" s="737"/>
      <c r="QTN9" s="737"/>
      <c r="QTO9" s="737"/>
      <c r="QTP9" s="737"/>
      <c r="QTQ9" s="737"/>
      <c r="QTR9" s="737"/>
      <c r="QTS9" s="737"/>
      <c r="QTT9" s="737"/>
      <c r="QTU9" s="737"/>
      <c r="QTV9" s="737"/>
      <c r="QTW9" s="737"/>
      <c r="QTX9" s="737"/>
      <c r="QTY9" s="737"/>
      <c r="QTZ9" s="737"/>
      <c r="QUA9" s="737"/>
      <c r="QUB9" s="737"/>
      <c r="QUC9" s="737"/>
      <c r="QUD9" s="737"/>
      <c r="QUE9" s="737"/>
      <c r="QUF9" s="737"/>
      <c r="QUG9" s="737"/>
      <c r="QUH9" s="737"/>
      <c r="QUI9" s="737"/>
      <c r="QUJ9" s="737"/>
      <c r="QUK9" s="737"/>
      <c r="QUL9" s="737"/>
      <c r="QUM9" s="737"/>
      <c r="QUN9" s="737"/>
      <c r="QUO9" s="737"/>
      <c r="QUP9" s="737"/>
      <c r="QUQ9" s="737"/>
      <c r="QUR9" s="737"/>
      <c r="QUS9" s="737"/>
      <c r="QUT9" s="737"/>
      <c r="QUU9" s="737"/>
      <c r="QUV9" s="737"/>
      <c r="QUW9" s="737"/>
      <c r="QUX9" s="737"/>
      <c r="QUY9" s="737"/>
      <c r="QUZ9" s="737"/>
      <c r="QVA9" s="737"/>
      <c r="QVB9" s="737"/>
      <c r="QVC9" s="737"/>
      <c r="QVD9" s="737"/>
      <c r="QVE9" s="737"/>
      <c r="QVF9" s="737"/>
      <c r="QVG9" s="737"/>
      <c r="QVH9" s="737"/>
      <c r="QVI9" s="737"/>
      <c r="QVJ9" s="737"/>
      <c r="QVK9" s="737"/>
      <c r="QVL9" s="737"/>
      <c r="QVM9" s="737"/>
      <c r="QVN9" s="737"/>
      <c r="QVO9" s="737"/>
      <c r="QVP9" s="737"/>
      <c r="QVQ9" s="737"/>
      <c r="QVR9" s="737"/>
      <c r="QVS9" s="737"/>
      <c r="QVT9" s="737"/>
      <c r="QVU9" s="737"/>
      <c r="QVV9" s="737"/>
      <c r="QVW9" s="737"/>
      <c r="QVX9" s="737"/>
      <c r="QVY9" s="737"/>
      <c r="QVZ9" s="737"/>
      <c r="QWA9" s="737"/>
      <c r="QWB9" s="737"/>
      <c r="QWC9" s="737"/>
      <c r="QWD9" s="737"/>
      <c r="QWE9" s="737"/>
      <c r="QWF9" s="737"/>
      <c r="QWG9" s="737"/>
      <c r="QWH9" s="737"/>
      <c r="QWI9" s="737"/>
      <c r="QWJ9" s="737"/>
      <c r="QWK9" s="737"/>
      <c r="QWL9" s="737"/>
      <c r="QWM9" s="737"/>
      <c r="QWN9" s="737"/>
      <c r="QWO9" s="737"/>
      <c r="QWP9" s="737"/>
      <c r="QWQ9" s="737"/>
      <c r="QWR9" s="737"/>
      <c r="QWS9" s="737"/>
      <c r="QWT9" s="737"/>
      <c r="QWU9" s="737"/>
      <c r="QWV9" s="737"/>
      <c r="QWW9" s="737"/>
      <c r="QWX9" s="737"/>
      <c r="QWY9" s="737"/>
      <c r="QWZ9" s="737"/>
      <c r="QXA9" s="737"/>
      <c r="QXB9" s="737"/>
      <c r="QXC9" s="737"/>
      <c r="QXD9" s="737"/>
      <c r="QXE9" s="737"/>
      <c r="QXF9" s="737"/>
      <c r="QXG9" s="737"/>
      <c r="QXH9" s="737"/>
      <c r="QXI9" s="737"/>
      <c r="QXJ9" s="737"/>
      <c r="QXK9" s="737"/>
      <c r="QXL9" s="737"/>
      <c r="QXM9" s="737"/>
      <c r="QXN9" s="737"/>
      <c r="QXO9" s="737"/>
      <c r="QXP9" s="737"/>
      <c r="QXQ9" s="737"/>
      <c r="QXR9" s="737"/>
      <c r="QXS9" s="737"/>
      <c r="QXT9" s="737"/>
      <c r="QXU9" s="737"/>
      <c r="QXV9" s="737"/>
      <c r="QXW9" s="737"/>
      <c r="QXX9" s="737"/>
      <c r="QXY9" s="737"/>
      <c r="QXZ9" s="737"/>
      <c r="QYA9" s="737"/>
      <c r="QYB9" s="737"/>
      <c r="QYC9" s="737"/>
      <c r="QYD9" s="737"/>
      <c r="QYE9" s="737"/>
      <c r="QYF9" s="737"/>
      <c r="QYG9" s="737"/>
      <c r="QYH9" s="737"/>
      <c r="QYI9" s="737"/>
      <c r="QYJ9" s="737"/>
      <c r="QYK9" s="737"/>
      <c r="QYL9" s="737"/>
      <c r="QYM9" s="737"/>
      <c r="QYN9" s="737"/>
      <c r="QYO9" s="737"/>
      <c r="QYP9" s="737"/>
      <c r="QYQ9" s="737"/>
      <c r="QYR9" s="737"/>
      <c r="QYS9" s="737"/>
      <c r="QYT9" s="737"/>
      <c r="QYU9" s="737"/>
      <c r="QYV9" s="737"/>
      <c r="QYW9" s="737"/>
      <c r="QYX9" s="737"/>
      <c r="QYY9" s="737"/>
      <c r="QYZ9" s="737"/>
      <c r="QZA9" s="737"/>
      <c r="QZB9" s="737"/>
      <c r="QZC9" s="737"/>
      <c r="QZD9" s="737"/>
      <c r="QZE9" s="737"/>
      <c r="QZF9" s="737"/>
      <c r="QZG9" s="737"/>
      <c r="QZH9" s="737"/>
      <c r="QZI9" s="737"/>
      <c r="QZJ9" s="737"/>
      <c r="QZK9" s="737"/>
      <c r="QZL9" s="737"/>
      <c r="QZM9" s="737"/>
      <c r="QZN9" s="737"/>
      <c r="QZO9" s="737"/>
      <c r="QZP9" s="737"/>
      <c r="QZQ9" s="737"/>
      <c r="QZR9" s="737"/>
      <c r="QZS9" s="737"/>
      <c r="QZT9" s="737"/>
      <c r="QZU9" s="737"/>
      <c r="QZV9" s="737"/>
      <c r="QZW9" s="737"/>
      <c r="QZX9" s="737"/>
      <c r="QZY9" s="737"/>
      <c r="QZZ9" s="737"/>
      <c r="RAA9" s="737"/>
      <c r="RAB9" s="737"/>
      <c r="RAC9" s="737"/>
      <c r="RAD9" s="737"/>
      <c r="RAE9" s="737"/>
      <c r="RAF9" s="737"/>
      <c r="RAG9" s="737"/>
      <c r="RAH9" s="737"/>
      <c r="RAI9" s="737"/>
      <c r="RAJ9" s="737"/>
      <c r="RAK9" s="737"/>
      <c r="RAL9" s="737"/>
      <c r="RAM9" s="737"/>
      <c r="RAN9" s="737"/>
      <c r="RAO9" s="737"/>
      <c r="RAP9" s="737"/>
      <c r="RAQ9" s="737"/>
      <c r="RAR9" s="737"/>
      <c r="RAS9" s="737"/>
      <c r="RAT9" s="737"/>
      <c r="RAU9" s="737"/>
      <c r="RAV9" s="737"/>
      <c r="RAW9" s="737"/>
      <c r="RAX9" s="737"/>
      <c r="RAY9" s="737"/>
      <c r="RAZ9" s="737"/>
      <c r="RBA9" s="737"/>
      <c r="RBB9" s="737"/>
      <c r="RBC9" s="737"/>
      <c r="RBD9" s="737"/>
      <c r="RBE9" s="737"/>
      <c r="RBF9" s="737"/>
      <c r="RBG9" s="737"/>
      <c r="RBH9" s="737"/>
      <c r="RBI9" s="737"/>
      <c r="RBJ9" s="737"/>
      <c r="RBK9" s="737"/>
      <c r="RBL9" s="737"/>
      <c r="RBM9" s="737"/>
      <c r="RBN9" s="737"/>
      <c r="RBO9" s="737"/>
      <c r="RBP9" s="737"/>
      <c r="RBQ9" s="737"/>
      <c r="RBR9" s="737"/>
      <c r="RBS9" s="737"/>
      <c r="RBT9" s="737"/>
      <c r="RBU9" s="737"/>
      <c r="RBV9" s="737"/>
      <c r="RBW9" s="737"/>
      <c r="RBX9" s="737"/>
      <c r="RBY9" s="737"/>
      <c r="RBZ9" s="737"/>
      <c r="RCA9" s="737"/>
      <c r="RCB9" s="737"/>
      <c r="RCC9" s="737"/>
      <c r="RCD9" s="737"/>
      <c r="RCE9" s="737"/>
      <c r="RCF9" s="737"/>
      <c r="RCG9" s="737"/>
      <c r="RCH9" s="737"/>
      <c r="RCI9" s="737"/>
      <c r="RCJ9" s="737"/>
      <c r="RCK9" s="737"/>
      <c r="RCL9" s="737"/>
      <c r="RCM9" s="737"/>
      <c r="RCN9" s="737"/>
      <c r="RCO9" s="737"/>
      <c r="RCP9" s="737"/>
      <c r="RCQ9" s="737"/>
      <c r="RCR9" s="737"/>
      <c r="RCS9" s="737"/>
      <c r="RCT9" s="737"/>
      <c r="RCU9" s="737"/>
      <c r="RCV9" s="737"/>
      <c r="RCW9" s="737"/>
      <c r="RCX9" s="737"/>
      <c r="RCY9" s="737"/>
      <c r="RCZ9" s="737"/>
      <c r="RDA9" s="737"/>
      <c r="RDB9" s="737"/>
      <c r="RDC9" s="737"/>
      <c r="RDD9" s="737"/>
      <c r="RDE9" s="737"/>
      <c r="RDF9" s="737"/>
      <c r="RDG9" s="737"/>
      <c r="RDH9" s="737"/>
      <c r="RDI9" s="737"/>
      <c r="RDJ9" s="737"/>
      <c r="RDK9" s="737"/>
      <c r="RDL9" s="737"/>
      <c r="RDM9" s="737"/>
      <c r="RDN9" s="737"/>
      <c r="RDO9" s="737"/>
      <c r="RDP9" s="737"/>
      <c r="RDQ9" s="737"/>
      <c r="RDR9" s="737"/>
      <c r="RDS9" s="737"/>
      <c r="RDT9" s="737"/>
      <c r="RDU9" s="737"/>
      <c r="RDV9" s="737"/>
      <c r="RDW9" s="737"/>
      <c r="RDX9" s="737"/>
      <c r="RDY9" s="737"/>
      <c r="RDZ9" s="737"/>
      <c r="REA9" s="737"/>
      <c r="REB9" s="737"/>
      <c r="REC9" s="737"/>
      <c r="RED9" s="737"/>
      <c r="REE9" s="737"/>
      <c r="REF9" s="737"/>
      <c r="REG9" s="737"/>
      <c r="REH9" s="737"/>
      <c r="REI9" s="737"/>
      <c r="REJ9" s="737"/>
      <c r="REK9" s="737"/>
      <c r="REL9" s="737"/>
      <c r="REM9" s="737"/>
      <c r="REN9" s="737"/>
      <c r="REO9" s="737"/>
      <c r="REP9" s="737"/>
      <c r="REQ9" s="737"/>
      <c r="RER9" s="737"/>
      <c r="RES9" s="737"/>
      <c r="RET9" s="737"/>
      <c r="REU9" s="737"/>
      <c r="REV9" s="737"/>
      <c r="REW9" s="737"/>
      <c r="REX9" s="737"/>
      <c r="REY9" s="737"/>
      <c r="REZ9" s="737"/>
      <c r="RFA9" s="737"/>
      <c r="RFB9" s="737"/>
      <c r="RFC9" s="737"/>
      <c r="RFD9" s="737"/>
      <c r="RFE9" s="737"/>
      <c r="RFF9" s="737"/>
      <c r="RFG9" s="737"/>
      <c r="RFH9" s="737"/>
      <c r="RFI9" s="737"/>
      <c r="RFJ9" s="737"/>
      <c r="RFK9" s="737"/>
      <c r="RFL9" s="737"/>
      <c r="RFM9" s="737"/>
      <c r="RFN9" s="737"/>
      <c r="RFO9" s="737"/>
      <c r="RFP9" s="737"/>
      <c r="RFQ9" s="737"/>
      <c r="RFR9" s="737"/>
      <c r="RFS9" s="737"/>
      <c r="RFT9" s="737"/>
      <c r="RFU9" s="737"/>
      <c r="RFV9" s="737"/>
      <c r="RFW9" s="737"/>
      <c r="RFX9" s="737"/>
      <c r="RFY9" s="737"/>
      <c r="RFZ9" s="737"/>
      <c r="RGA9" s="737"/>
      <c r="RGB9" s="737"/>
      <c r="RGC9" s="737"/>
      <c r="RGD9" s="737"/>
      <c r="RGE9" s="737"/>
      <c r="RGF9" s="737"/>
      <c r="RGG9" s="737"/>
      <c r="RGH9" s="737"/>
      <c r="RGI9" s="737"/>
      <c r="RGJ9" s="737"/>
      <c r="RGK9" s="737"/>
      <c r="RGL9" s="737"/>
      <c r="RGM9" s="737"/>
      <c r="RGN9" s="737"/>
      <c r="RGO9" s="737"/>
      <c r="RGP9" s="737"/>
      <c r="RGQ9" s="737"/>
      <c r="RGR9" s="737"/>
      <c r="RGS9" s="737"/>
      <c r="RGT9" s="737"/>
      <c r="RGU9" s="737"/>
      <c r="RGV9" s="737"/>
      <c r="RGW9" s="737"/>
      <c r="RGX9" s="737"/>
      <c r="RGY9" s="737"/>
      <c r="RGZ9" s="737"/>
      <c r="RHA9" s="737"/>
      <c r="RHB9" s="737"/>
      <c r="RHC9" s="737"/>
      <c r="RHD9" s="737"/>
      <c r="RHE9" s="737"/>
      <c r="RHF9" s="737"/>
      <c r="RHG9" s="737"/>
      <c r="RHH9" s="737"/>
      <c r="RHI9" s="737"/>
      <c r="RHJ9" s="737"/>
      <c r="RHK9" s="737"/>
      <c r="RHL9" s="737"/>
      <c r="RHM9" s="737"/>
      <c r="RHN9" s="737"/>
      <c r="RHO9" s="737"/>
      <c r="RHP9" s="737"/>
      <c r="RHQ9" s="737"/>
      <c r="RHR9" s="737"/>
      <c r="RHS9" s="737"/>
      <c r="RHT9" s="737"/>
      <c r="RHU9" s="737"/>
      <c r="RHV9" s="737"/>
      <c r="RHW9" s="737"/>
      <c r="RHX9" s="737"/>
      <c r="RHY9" s="737"/>
      <c r="RHZ9" s="737"/>
      <c r="RIA9" s="737"/>
      <c r="RIB9" s="737"/>
      <c r="RIC9" s="737"/>
      <c r="RID9" s="737"/>
      <c r="RIE9" s="737"/>
      <c r="RIF9" s="737"/>
      <c r="RIG9" s="737"/>
      <c r="RIH9" s="737"/>
      <c r="RII9" s="737"/>
      <c r="RIJ9" s="737"/>
      <c r="RIK9" s="737"/>
      <c r="RIL9" s="737"/>
      <c r="RIM9" s="737"/>
      <c r="RIN9" s="737"/>
      <c r="RIO9" s="737"/>
      <c r="RIP9" s="737"/>
      <c r="RIQ9" s="737"/>
      <c r="RIR9" s="737"/>
      <c r="RIS9" s="737"/>
      <c r="RIT9" s="737"/>
      <c r="RIU9" s="737"/>
      <c r="RIV9" s="737"/>
      <c r="RIW9" s="737"/>
      <c r="RIX9" s="737"/>
      <c r="RIY9" s="737"/>
      <c r="RIZ9" s="737"/>
      <c r="RJA9" s="737"/>
      <c r="RJB9" s="737"/>
      <c r="RJC9" s="737"/>
      <c r="RJD9" s="737"/>
      <c r="RJE9" s="737"/>
      <c r="RJF9" s="737"/>
      <c r="RJG9" s="737"/>
      <c r="RJH9" s="737"/>
      <c r="RJI9" s="737"/>
      <c r="RJJ9" s="737"/>
      <c r="RJK9" s="737"/>
      <c r="RJL9" s="737"/>
      <c r="RJM9" s="737"/>
      <c r="RJN9" s="737"/>
      <c r="RJO9" s="737"/>
      <c r="RJP9" s="737"/>
      <c r="RJQ9" s="737"/>
      <c r="RJR9" s="737"/>
      <c r="RJS9" s="737"/>
      <c r="RJT9" s="737"/>
      <c r="RJU9" s="737"/>
      <c r="RJV9" s="737"/>
      <c r="RJW9" s="737"/>
      <c r="RJX9" s="737"/>
      <c r="RJY9" s="737"/>
      <c r="RJZ9" s="737"/>
      <c r="RKA9" s="737"/>
      <c r="RKB9" s="737"/>
      <c r="RKC9" s="737"/>
      <c r="RKD9" s="737"/>
      <c r="RKE9" s="737"/>
      <c r="RKF9" s="737"/>
      <c r="RKG9" s="737"/>
      <c r="RKH9" s="737"/>
      <c r="RKI9" s="737"/>
      <c r="RKJ9" s="737"/>
      <c r="RKK9" s="737"/>
      <c r="RKL9" s="737"/>
      <c r="RKM9" s="737"/>
      <c r="RKN9" s="737"/>
      <c r="RKO9" s="737"/>
      <c r="RKP9" s="737"/>
      <c r="RKQ9" s="737"/>
      <c r="RKR9" s="737"/>
      <c r="RKS9" s="737"/>
      <c r="RKT9" s="737"/>
      <c r="RKU9" s="737"/>
      <c r="RKV9" s="737"/>
      <c r="RKW9" s="737"/>
      <c r="RKX9" s="737"/>
      <c r="RKY9" s="737"/>
      <c r="RKZ9" s="737"/>
      <c r="RLA9" s="737"/>
      <c r="RLB9" s="737"/>
      <c r="RLC9" s="737"/>
      <c r="RLD9" s="737"/>
      <c r="RLE9" s="737"/>
      <c r="RLF9" s="737"/>
      <c r="RLG9" s="737"/>
      <c r="RLH9" s="737"/>
      <c r="RLI9" s="737"/>
      <c r="RLJ9" s="737"/>
      <c r="RLK9" s="737"/>
      <c r="RLL9" s="737"/>
      <c r="RLM9" s="737"/>
      <c r="RLN9" s="737"/>
      <c r="RLO9" s="737"/>
      <c r="RLP9" s="737"/>
      <c r="RLQ9" s="737"/>
      <c r="RLR9" s="737"/>
      <c r="RLS9" s="737"/>
      <c r="RLT9" s="737"/>
      <c r="RLU9" s="737"/>
      <c r="RLV9" s="737"/>
      <c r="RLW9" s="737"/>
      <c r="RLX9" s="737"/>
      <c r="RLY9" s="737"/>
      <c r="RLZ9" s="737"/>
      <c r="RMA9" s="737"/>
      <c r="RMB9" s="737"/>
      <c r="RMC9" s="737"/>
      <c r="RMD9" s="737"/>
      <c r="RME9" s="737"/>
      <c r="RMF9" s="737"/>
      <c r="RMG9" s="737"/>
      <c r="RMH9" s="737"/>
      <c r="RMI9" s="737"/>
      <c r="RMJ9" s="737"/>
      <c r="RMK9" s="737"/>
      <c r="RML9" s="737"/>
      <c r="RMM9" s="737"/>
      <c r="RMN9" s="737"/>
      <c r="RMO9" s="737"/>
      <c r="RMP9" s="737"/>
      <c r="RMQ9" s="737"/>
      <c r="RMR9" s="737"/>
      <c r="RMS9" s="737"/>
      <c r="RMT9" s="737"/>
      <c r="RMU9" s="737"/>
      <c r="RMV9" s="737"/>
      <c r="RMW9" s="737"/>
      <c r="RMX9" s="737"/>
      <c r="RMY9" s="737"/>
      <c r="RMZ9" s="737"/>
      <c r="RNA9" s="737"/>
      <c r="RNB9" s="737"/>
      <c r="RNC9" s="737"/>
      <c r="RND9" s="737"/>
      <c r="RNE9" s="737"/>
      <c r="RNF9" s="737"/>
      <c r="RNG9" s="737"/>
      <c r="RNH9" s="737"/>
      <c r="RNI9" s="737"/>
      <c r="RNJ9" s="737"/>
      <c r="RNK9" s="737"/>
      <c r="RNL9" s="737"/>
      <c r="RNM9" s="737"/>
      <c r="RNN9" s="737"/>
      <c r="RNO9" s="737"/>
      <c r="RNP9" s="737"/>
      <c r="RNQ9" s="737"/>
      <c r="RNR9" s="737"/>
      <c r="RNS9" s="737"/>
      <c r="RNT9" s="737"/>
      <c r="RNU9" s="737"/>
      <c r="RNV9" s="737"/>
      <c r="RNW9" s="737"/>
      <c r="RNX9" s="737"/>
      <c r="RNY9" s="737"/>
      <c r="RNZ9" s="737"/>
      <c r="ROA9" s="737"/>
      <c r="ROB9" s="737"/>
      <c r="ROC9" s="737"/>
      <c r="ROD9" s="737"/>
      <c r="ROE9" s="737"/>
      <c r="ROF9" s="737"/>
      <c r="ROG9" s="737"/>
      <c r="ROH9" s="737"/>
      <c r="ROI9" s="737"/>
      <c r="ROJ9" s="737"/>
      <c r="ROK9" s="737"/>
      <c r="ROL9" s="737"/>
      <c r="ROM9" s="737"/>
      <c r="RON9" s="737"/>
      <c r="ROO9" s="737"/>
      <c r="ROP9" s="737"/>
      <c r="ROQ9" s="737"/>
      <c r="ROR9" s="737"/>
      <c r="ROS9" s="737"/>
      <c r="ROT9" s="737"/>
      <c r="ROU9" s="737"/>
      <c r="ROV9" s="737"/>
      <c r="ROW9" s="737"/>
      <c r="ROX9" s="737"/>
      <c r="ROY9" s="737"/>
      <c r="ROZ9" s="737"/>
      <c r="RPA9" s="737"/>
      <c r="RPB9" s="737"/>
      <c r="RPC9" s="737"/>
      <c r="RPD9" s="737"/>
      <c r="RPE9" s="737"/>
      <c r="RPF9" s="737"/>
      <c r="RPG9" s="737"/>
      <c r="RPH9" s="737"/>
      <c r="RPI9" s="737"/>
      <c r="RPJ9" s="737"/>
      <c r="RPK9" s="737"/>
      <c r="RPL9" s="737"/>
      <c r="RPM9" s="737"/>
      <c r="RPN9" s="737"/>
      <c r="RPO9" s="737"/>
      <c r="RPP9" s="737"/>
      <c r="RPQ9" s="737"/>
      <c r="RPR9" s="737"/>
      <c r="RPS9" s="737"/>
      <c r="RPT9" s="737"/>
      <c r="RPU9" s="737"/>
      <c r="RPV9" s="737"/>
      <c r="RPW9" s="737"/>
      <c r="RPX9" s="737"/>
      <c r="RPY9" s="737"/>
      <c r="RPZ9" s="737"/>
      <c r="RQA9" s="737"/>
      <c r="RQB9" s="737"/>
      <c r="RQC9" s="737"/>
      <c r="RQD9" s="737"/>
      <c r="RQE9" s="737"/>
      <c r="RQF9" s="737"/>
      <c r="RQG9" s="737"/>
      <c r="RQH9" s="737"/>
      <c r="RQI9" s="737"/>
      <c r="RQJ9" s="737"/>
      <c r="RQK9" s="737"/>
      <c r="RQL9" s="737"/>
      <c r="RQM9" s="737"/>
      <c r="RQN9" s="737"/>
      <c r="RQO9" s="737"/>
      <c r="RQP9" s="737"/>
      <c r="RQQ9" s="737"/>
      <c r="RQR9" s="737"/>
      <c r="RQS9" s="737"/>
      <c r="RQT9" s="737"/>
      <c r="RQU9" s="737"/>
      <c r="RQV9" s="737"/>
      <c r="RQW9" s="737"/>
      <c r="RQX9" s="737"/>
      <c r="RQY9" s="737"/>
      <c r="RQZ9" s="737"/>
      <c r="RRA9" s="737"/>
      <c r="RRB9" s="737"/>
      <c r="RRC9" s="737"/>
      <c r="RRD9" s="737"/>
      <c r="RRE9" s="737"/>
      <c r="RRF9" s="737"/>
      <c r="RRG9" s="737"/>
      <c r="RRH9" s="737"/>
      <c r="RRI9" s="737"/>
      <c r="RRJ9" s="737"/>
      <c r="RRK9" s="737"/>
      <c r="RRL9" s="737"/>
      <c r="RRM9" s="737"/>
      <c r="RRN9" s="737"/>
      <c r="RRO9" s="737"/>
      <c r="RRP9" s="737"/>
      <c r="RRQ9" s="737"/>
      <c r="RRR9" s="737"/>
      <c r="RRS9" s="737"/>
      <c r="RRT9" s="737"/>
      <c r="RRU9" s="737"/>
      <c r="RRV9" s="737"/>
      <c r="RRW9" s="737"/>
      <c r="RRX9" s="737"/>
      <c r="RRY9" s="737"/>
      <c r="RRZ9" s="737"/>
      <c r="RSA9" s="737"/>
      <c r="RSB9" s="737"/>
      <c r="RSC9" s="737"/>
      <c r="RSD9" s="737"/>
      <c r="RSE9" s="737"/>
      <c r="RSF9" s="737"/>
      <c r="RSG9" s="737"/>
      <c r="RSH9" s="737"/>
      <c r="RSI9" s="737"/>
      <c r="RSJ9" s="737"/>
      <c r="RSK9" s="737"/>
      <c r="RSL9" s="737"/>
      <c r="RSM9" s="737"/>
      <c r="RSN9" s="737"/>
      <c r="RSO9" s="737"/>
      <c r="RSP9" s="737"/>
      <c r="RSQ9" s="737"/>
      <c r="RSR9" s="737"/>
      <c r="RSS9" s="737"/>
      <c r="RST9" s="737"/>
      <c r="RSU9" s="737"/>
      <c r="RSV9" s="737"/>
      <c r="RSW9" s="737"/>
      <c r="RSX9" s="737"/>
      <c r="RSY9" s="737"/>
      <c r="RSZ9" s="737"/>
      <c r="RTA9" s="737"/>
      <c r="RTB9" s="737"/>
      <c r="RTC9" s="737"/>
      <c r="RTD9" s="737"/>
      <c r="RTE9" s="737"/>
      <c r="RTF9" s="737"/>
      <c r="RTG9" s="737"/>
      <c r="RTH9" s="737"/>
      <c r="RTI9" s="737"/>
      <c r="RTJ9" s="737"/>
      <c r="RTK9" s="737"/>
      <c r="RTL9" s="737"/>
      <c r="RTM9" s="737"/>
      <c r="RTN9" s="737"/>
      <c r="RTO9" s="737"/>
      <c r="RTP9" s="737"/>
      <c r="RTQ9" s="737"/>
      <c r="RTR9" s="737"/>
      <c r="RTS9" s="737"/>
      <c r="RTT9" s="737"/>
      <c r="RTU9" s="737"/>
      <c r="RTV9" s="737"/>
      <c r="RTW9" s="737"/>
      <c r="RTX9" s="737"/>
      <c r="RTY9" s="737"/>
      <c r="RTZ9" s="737"/>
      <c r="RUA9" s="737"/>
      <c r="RUB9" s="737"/>
      <c r="RUC9" s="737"/>
      <c r="RUD9" s="737"/>
      <c r="RUE9" s="737"/>
      <c r="RUF9" s="737"/>
      <c r="RUG9" s="737"/>
      <c r="RUH9" s="737"/>
      <c r="RUI9" s="737"/>
      <c r="RUJ9" s="737"/>
      <c r="RUK9" s="737"/>
      <c r="RUL9" s="737"/>
      <c r="RUM9" s="737"/>
      <c r="RUN9" s="737"/>
      <c r="RUO9" s="737"/>
      <c r="RUP9" s="737"/>
      <c r="RUQ9" s="737"/>
      <c r="RUR9" s="737"/>
      <c r="RUS9" s="737"/>
      <c r="RUT9" s="737"/>
      <c r="RUU9" s="737"/>
      <c r="RUV9" s="737"/>
      <c r="RUW9" s="737"/>
      <c r="RUX9" s="737"/>
      <c r="RUY9" s="737"/>
      <c r="RUZ9" s="737"/>
      <c r="RVA9" s="737"/>
      <c r="RVB9" s="737"/>
      <c r="RVC9" s="737"/>
      <c r="RVD9" s="737"/>
      <c r="RVE9" s="737"/>
      <c r="RVF9" s="737"/>
      <c r="RVG9" s="737"/>
      <c r="RVH9" s="737"/>
      <c r="RVI9" s="737"/>
      <c r="RVJ9" s="737"/>
      <c r="RVK9" s="737"/>
      <c r="RVL9" s="737"/>
      <c r="RVM9" s="737"/>
      <c r="RVN9" s="737"/>
      <c r="RVO9" s="737"/>
      <c r="RVP9" s="737"/>
      <c r="RVQ9" s="737"/>
      <c r="RVR9" s="737"/>
      <c r="RVS9" s="737"/>
      <c r="RVT9" s="737"/>
      <c r="RVU9" s="737"/>
      <c r="RVV9" s="737"/>
      <c r="RVW9" s="737"/>
      <c r="RVX9" s="737"/>
      <c r="RVY9" s="737"/>
      <c r="RVZ9" s="737"/>
      <c r="RWA9" s="737"/>
      <c r="RWB9" s="737"/>
      <c r="RWC9" s="737"/>
      <c r="RWD9" s="737"/>
      <c r="RWE9" s="737"/>
      <c r="RWF9" s="737"/>
      <c r="RWG9" s="737"/>
      <c r="RWH9" s="737"/>
      <c r="RWI9" s="737"/>
      <c r="RWJ9" s="737"/>
      <c r="RWK9" s="737"/>
      <c r="RWL9" s="737"/>
      <c r="RWM9" s="737"/>
      <c r="RWN9" s="737"/>
      <c r="RWO9" s="737"/>
      <c r="RWP9" s="737"/>
      <c r="RWQ9" s="737"/>
      <c r="RWR9" s="737"/>
      <c r="RWS9" s="737"/>
      <c r="RWT9" s="737"/>
      <c r="RWU9" s="737"/>
      <c r="RWV9" s="737"/>
      <c r="RWW9" s="737"/>
      <c r="RWX9" s="737"/>
      <c r="RWY9" s="737"/>
      <c r="RWZ9" s="737"/>
      <c r="RXA9" s="737"/>
      <c r="RXB9" s="737"/>
      <c r="RXC9" s="737"/>
      <c r="RXD9" s="737"/>
      <c r="RXE9" s="737"/>
      <c r="RXF9" s="737"/>
      <c r="RXG9" s="737"/>
      <c r="RXH9" s="737"/>
      <c r="RXI9" s="737"/>
      <c r="RXJ9" s="737"/>
      <c r="RXK9" s="737"/>
      <c r="RXL9" s="737"/>
      <c r="RXM9" s="737"/>
      <c r="RXN9" s="737"/>
      <c r="RXO9" s="737"/>
      <c r="RXP9" s="737"/>
      <c r="RXQ9" s="737"/>
      <c r="RXR9" s="737"/>
      <c r="RXS9" s="737"/>
      <c r="RXT9" s="737"/>
      <c r="RXU9" s="737"/>
      <c r="RXV9" s="737"/>
      <c r="RXW9" s="737"/>
      <c r="RXX9" s="737"/>
      <c r="RXY9" s="737"/>
      <c r="RXZ9" s="737"/>
      <c r="RYA9" s="737"/>
      <c r="RYB9" s="737"/>
      <c r="RYC9" s="737"/>
      <c r="RYD9" s="737"/>
      <c r="RYE9" s="737"/>
      <c r="RYF9" s="737"/>
      <c r="RYG9" s="737"/>
      <c r="RYH9" s="737"/>
      <c r="RYI9" s="737"/>
      <c r="RYJ9" s="737"/>
      <c r="RYK9" s="737"/>
      <c r="RYL9" s="737"/>
      <c r="RYM9" s="737"/>
      <c r="RYN9" s="737"/>
      <c r="RYO9" s="737"/>
      <c r="RYP9" s="737"/>
      <c r="RYQ9" s="737"/>
      <c r="RYR9" s="737"/>
      <c r="RYS9" s="737"/>
      <c r="RYT9" s="737"/>
      <c r="RYU9" s="737"/>
      <c r="RYV9" s="737"/>
      <c r="RYW9" s="737"/>
      <c r="RYX9" s="737"/>
      <c r="RYY9" s="737"/>
      <c r="RYZ9" s="737"/>
      <c r="RZA9" s="737"/>
      <c r="RZB9" s="737"/>
      <c r="RZC9" s="737"/>
      <c r="RZD9" s="737"/>
      <c r="RZE9" s="737"/>
      <c r="RZF9" s="737"/>
      <c r="RZG9" s="737"/>
      <c r="RZH9" s="737"/>
      <c r="RZI9" s="737"/>
      <c r="RZJ9" s="737"/>
      <c r="RZK9" s="737"/>
      <c r="RZL9" s="737"/>
      <c r="RZM9" s="737"/>
      <c r="RZN9" s="737"/>
      <c r="RZO9" s="737"/>
      <c r="RZP9" s="737"/>
      <c r="RZQ9" s="737"/>
      <c r="RZR9" s="737"/>
      <c r="RZS9" s="737"/>
      <c r="RZT9" s="737"/>
      <c r="RZU9" s="737"/>
      <c r="RZV9" s="737"/>
      <c r="RZW9" s="737"/>
      <c r="RZX9" s="737"/>
      <c r="RZY9" s="737"/>
      <c r="RZZ9" s="737"/>
      <c r="SAA9" s="737"/>
      <c r="SAB9" s="737"/>
      <c r="SAC9" s="737"/>
      <c r="SAD9" s="737"/>
      <c r="SAE9" s="737"/>
      <c r="SAF9" s="737"/>
      <c r="SAG9" s="737"/>
      <c r="SAH9" s="737"/>
      <c r="SAI9" s="737"/>
      <c r="SAJ9" s="737"/>
      <c r="SAK9" s="737"/>
      <c r="SAL9" s="737"/>
      <c r="SAM9" s="737"/>
      <c r="SAN9" s="737"/>
      <c r="SAO9" s="737"/>
      <c r="SAP9" s="737"/>
      <c r="SAQ9" s="737"/>
      <c r="SAR9" s="737"/>
      <c r="SAS9" s="737"/>
      <c r="SAT9" s="737"/>
      <c r="SAU9" s="737"/>
      <c r="SAV9" s="737"/>
      <c r="SAW9" s="737"/>
      <c r="SAX9" s="737"/>
      <c r="SAY9" s="737"/>
      <c r="SAZ9" s="737"/>
      <c r="SBA9" s="737"/>
      <c r="SBB9" s="737"/>
      <c r="SBC9" s="737"/>
      <c r="SBD9" s="737"/>
      <c r="SBE9" s="737"/>
      <c r="SBF9" s="737"/>
      <c r="SBG9" s="737"/>
      <c r="SBH9" s="737"/>
      <c r="SBI9" s="737"/>
      <c r="SBJ9" s="737"/>
      <c r="SBK9" s="737"/>
      <c r="SBL9" s="737"/>
      <c r="SBM9" s="737"/>
      <c r="SBN9" s="737"/>
      <c r="SBO9" s="737"/>
      <c r="SBP9" s="737"/>
      <c r="SBQ9" s="737"/>
      <c r="SBR9" s="737"/>
      <c r="SBS9" s="737"/>
      <c r="SBT9" s="737"/>
      <c r="SBU9" s="737"/>
      <c r="SBV9" s="737"/>
      <c r="SBW9" s="737"/>
      <c r="SBX9" s="737"/>
      <c r="SBY9" s="737"/>
      <c r="SBZ9" s="737"/>
      <c r="SCA9" s="737"/>
      <c r="SCB9" s="737"/>
      <c r="SCC9" s="737"/>
      <c r="SCD9" s="737"/>
      <c r="SCE9" s="737"/>
      <c r="SCF9" s="737"/>
      <c r="SCG9" s="737"/>
      <c r="SCH9" s="737"/>
      <c r="SCI9" s="737"/>
      <c r="SCJ9" s="737"/>
      <c r="SCK9" s="737"/>
      <c r="SCL9" s="737"/>
      <c r="SCM9" s="737"/>
      <c r="SCN9" s="737"/>
      <c r="SCO9" s="737"/>
      <c r="SCP9" s="737"/>
      <c r="SCQ9" s="737"/>
      <c r="SCR9" s="737"/>
      <c r="SCS9" s="737"/>
      <c r="SCT9" s="737"/>
      <c r="SCU9" s="737"/>
      <c r="SCV9" s="737"/>
      <c r="SCW9" s="737"/>
      <c r="SCX9" s="737"/>
      <c r="SCY9" s="737"/>
      <c r="SCZ9" s="737"/>
      <c r="SDA9" s="737"/>
      <c r="SDB9" s="737"/>
      <c r="SDC9" s="737"/>
      <c r="SDD9" s="737"/>
      <c r="SDE9" s="737"/>
      <c r="SDF9" s="737"/>
      <c r="SDG9" s="737"/>
      <c r="SDH9" s="737"/>
      <c r="SDI9" s="737"/>
      <c r="SDJ9" s="737"/>
      <c r="SDK9" s="737"/>
      <c r="SDL9" s="737"/>
      <c r="SDM9" s="737"/>
      <c r="SDN9" s="737"/>
      <c r="SDO9" s="737"/>
      <c r="SDP9" s="737"/>
      <c r="SDQ9" s="737"/>
      <c r="SDR9" s="737"/>
      <c r="SDS9" s="737"/>
      <c r="SDT9" s="737"/>
      <c r="SDU9" s="737"/>
      <c r="SDV9" s="737"/>
      <c r="SDW9" s="737"/>
      <c r="SDX9" s="737"/>
      <c r="SDY9" s="737"/>
      <c r="SDZ9" s="737"/>
      <c r="SEA9" s="737"/>
      <c r="SEB9" s="737"/>
      <c r="SEC9" s="737"/>
      <c r="SED9" s="737"/>
      <c r="SEE9" s="737"/>
      <c r="SEF9" s="737"/>
      <c r="SEG9" s="737"/>
      <c r="SEH9" s="737"/>
      <c r="SEI9" s="737"/>
      <c r="SEJ9" s="737"/>
      <c r="SEK9" s="737"/>
      <c r="SEL9" s="737"/>
      <c r="SEM9" s="737"/>
      <c r="SEN9" s="737"/>
      <c r="SEO9" s="737"/>
      <c r="SEP9" s="737"/>
      <c r="SEQ9" s="737"/>
      <c r="SER9" s="737"/>
      <c r="SES9" s="737"/>
      <c r="SET9" s="737"/>
      <c r="SEU9" s="737"/>
      <c r="SEV9" s="737"/>
      <c r="SEW9" s="737"/>
      <c r="SEX9" s="737"/>
      <c r="SEY9" s="737"/>
      <c r="SEZ9" s="737"/>
      <c r="SFA9" s="737"/>
      <c r="SFB9" s="737"/>
      <c r="SFC9" s="737"/>
      <c r="SFD9" s="737"/>
      <c r="SFE9" s="737"/>
      <c r="SFF9" s="737"/>
      <c r="SFG9" s="737"/>
      <c r="SFH9" s="737"/>
      <c r="SFI9" s="737"/>
      <c r="SFJ9" s="737"/>
      <c r="SFK9" s="737"/>
      <c r="SFL9" s="737"/>
      <c r="SFM9" s="737"/>
      <c r="SFN9" s="737"/>
      <c r="SFO9" s="737"/>
      <c r="SFP9" s="737"/>
      <c r="SFQ9" s="737"/>
      <c r="SFR9" s="737"/>
      <c r="SFS9" s="737"/>
      <c r="SFT9" s="737"/>
      <c r="SFU9" s="737"/>
      <c r="SFV9" s="737"/>
      <c r="SFW9" s="737"/>
      <c r="SFX9" s="737"/>
      <c r="SFY9" s="737"/>
      <c r="SFZ9" s="737"/>
      <c r="SGA9" s="737"/>
      <c r="SGB9" s="737"/>
      <c r="SGC9" s="737"/>
      <c r="SGD9" s="737"/>
      <c r="SGE9" s="737"/>
      <c r="SGF9" s="737"/>
      <c r="SGG9" s="737"/>
      <c r="SGH9" s="737"/>
      <c r="SGI9" s="737"/>
      <c r="SGJ9" s="737"/>
      <c r="SGK9" s="737"/>
      <c r="SGL9" s="737"/>
      <c r="SGM9" s="737"/>
      <c r="SGN9" s="737"/>
      <c r="SGO9" s="737"/>
      <c r="SGP9" s="737"/>
      <c r="SGQ9" s="737"/>
      <c r="SGR9" s="737"/>
      <c r="SGS9" s="737"/>
      <c r="SGT9" s="737"/>
      <c r="SGU9" s="737"/>
      <c r="SGV9" s="737"/>
      <c r="SGW9" s="737"/>
      <c r="SGX9" s="737"/>
      <c r="SGY9" s="737"/>
      <c r="SGZ9" s="737"/>
      <c r="SHA9" s="737"/>
      <c r="SHB9" s="737"/>
      <c r="SHC9" s="737"/>
      <c r="SHD9" s="737"/>
      <c r="SHE9" s="737"/>
      <c r="SHF9" s="737"/>
      <c r="SHG9" s="737"/>
      <c r="SHH9" s="737"/>
      <c r="SHI9" s="737"/>
      <c r="SHJ9" s="737"/>
      <c r="SHK9" s="737"/>
      <c r="SHL9" s="737"/>
      <c r="SHM9" s="737"/>
      <c r="SHN9" s="737"/>
      <c r="SHO9" s="737"/>
      <c r="SHP9" s="737"/>
      <c r="SHQ9" s="737"/>
      <c r="SHR9" s="737"/>
      <c r="SHS9" s="737"/>
      <c r="SHT9" s="737"/>
      <c r="SHU9" s="737"/>
      <c r="SHV9" s="737"/>
      <c r="SHW9" s="737"/>
      <c r="SHX9" s="737"/>
      <c r="SHY9" s="737"/>
      <c r="SHZ9" s="737"/>
      <c r="SIA9" s="737"/>
      <c r="SIB9" s="737"/>
      <c r="SIC9" s="737"/>
      <c r="SID9" s="737"/>
      <c r="SIE9" s="737"/>
      <c r="SIF9" s="737"/>
      <c r="SIG9" s="737"/>
      <c r="SIH9" s="737"/>
      <c r="SII9" s="737"/>
      <c r="SIJ9" s="737"/>
      <c r="SIK9" s="737"/>
      <c r="SIL9" s="737"/>
      <c r="SIM9" s="737"/>
      <c r="SIN9" s="737"/>
      <c r="SIO9" s="737"/>
      <c r="SIP9" s="737"/>
      <c r="SIQ9" s="737"/>
      <c r="SIR9" s="737"/>
      <c r="SIS9" s="737"/>
      <c r="SIT9" s="737"/>
      <c r="SIU9" s="737"/>
      <c r="SIV9" s="737"/>
      <c r="SIW9" s="737"/>
      <c r="SIX9" s="737"/>
      <c r="SIY9" s="737"/>
      <c r="SIZ9" s="737"/>
      <c r="SJA9" s="737"/>
      <c r="SJB9" s="737"/>
      <c r="SJC9" s="737"/>
      <c r="SJD9" s="737"/>
      <c r="SJE9" s="737"/>
      <c r="SJF9" s="737"/>
      <c r="SJG9" s="737"/>
      <c r="SJH9" s="737"/>
      <c r="SJI9" s="737"/>
      <c r="SJJ9" s="737"/>
      <c r="SJK9" s="737"/>
      <c r="SJL9" s="737"/>
      <c r="SJM9" s="737"/>
      <c r="SJN9" s="737"/>
      <c r="SJO9" s="737"/>
      <c r="SJP9" s="737"/>
      <c r="SJQ9" s="737"/>
      <c r="SJR9" s="737"/>
      <c r="SJS9" s="737"/>
      <c r="SJT9" s="737"/>
      <c r="SJU9" s="737"/>
      <c r="SJV9" s="737"/>
      <c r="SJW9" s="737"/>
      <c r="SJX9" s="737"/>
      <c r="SJY9" s="737"/>
      <c r="SJZ9" s="737"/>
      <c r="SKA9" s="737"/>
      <c r="SKB9" s="737"/>
      <c r="SKC9" s="737"/>
      <c r="SKD9" s="737"/>
      <c r="SKE9" s="737"/>
      <c r="SKF9" s="737"/>
      <c r="SKG9" s="737"/>
      <c r="SKH9" s="737"/>
      <c r="SKI9" s="737"/>
      <c r="SKJ9" s="737"/>
      <c r="SKK9" s="737"/>
      <c r="SKL9" s="737"/>
      <c r="SKM9" s="737"/>
      <c r="SKN9" s="737"/>
      <c r="SKO9" s="737"/>
      <c r="SKP9" s="737"/>
      <c r="SKQ9" s="737"/>
      <c r="SKR9" s="737"/>
      <c r="SKS9" s="737"/>
      <c r="SKT9" s="737"/>
      <c r="SKU9" s="737"/>
      <c r="SKV9" s="737"/>
      <c r="SKW9" s="737"/>
      <c r="SKX9" s="737"/>
      <c r="SKY9" s="737"/>
      <c r="SKZ9" s="737"/>
      <c r="SLA9" s="737"/>
      <c r="SLB9" s="737"/>
      <c r="SLC9" s="737"/>
      <c r="SLD9" s="737"/>
      <c r="SLE9" s="737"/>
      <c r="SLF9" s="737"/>
      <c r="SLG9" s="737"/>
      <c r="SLH9" s="737"/>
      <c r="SLI9" s="737"/>
      <c r="SLJ9" s="737"/>
      <c r="SLK9" s="737"/>
      <c r="SLL9" s="737"/>
      <c r="SLM9" s="737"/>
      <c r="SLN9" s="737"/>
      <c r="SLO9" s="737"/>
      <c r="SLP9" s="737"/>
      <c r="SLQ9" s="737"/>
      <c r="SLR9" s="737"/>
      <c r="SLS9" s="737"/>
      <c r="SLT9" s="737"/>
      <c r="SLU9" s="737"/>
      <c r="SLV9" s="737"/>
      <c r="SLW9" s="737"/>
      <c r="SLX9" s="737"/>
      <c r="SLY9" s="737"/>
      <c r="SLZ9" s="737"/>
      <c r="SMA9" s="737"/>
      <c r="SMB9" s="737"/>
      <c r="SMC9" s="737"/>
      <c r="SMD9" s="737"/>
      <c r="SME9" s="737"/>
      <c r="SMF9" s="737"/>
      <c r="SMG9" s="737"/>
      <c r="SMH9" s="737"/>
      <c r="SMI9" s="737"/>
      <c r="SMJ9" s="737"/>
      <c r="SMK9" s="737"/>
      <c r="SML9" s="737"/>
      <c r="SMM9" s="737"/>
      <c r="SMN9" s="737"/>
      <c r="SMO9" s="737"/>
      <c r="SMP9" s="737"/>
      <c r="SMQ9" s="737"/>
      <c r="SMR9" s="737"/>
      <c r="SMS9" s="737"/>
      <c r="SMT9" s="737"/>
      <c r="SMU9" s="737"/>
      <c r="SMV9" s="737"/>
      <c r="SMW9" s="737"/>
      <c r="SMX9" s="737"/>
      <c r="SMY9" s="737"/>
      <c r="SMZ9" s="737"/>
      <c r="SNA9" s="737"/>
      <c r="SNB9" s="737"/>
      <c r="SNC9" s="737"/>
      <c r="SND9" s="737"/>
      <c r="SNE9" s="737"/>
      <c r="SNF9" s="737"/>
      <c r="SNG9" s="737"/>
      <c r="SNH9" s="737"/>
      <c r="SNI9" s="737"/>
      <c r="SNJ9" s="737"/>
      <c r="SNK9" s="737"/>
      <c r="SNL9" s="737"/>
      <c r="SNM9" s="737"/>
      <c r="SNN9" s="737"/>
      <c r="SNO9" s="737"/>
      <c r="SNP9" s="737"/>
      <c r="SNQ9" s="737"/>
      <c r="SNR9" s="737"/>
      <c r="SNS9" s="737"/>
      <c r="SNT9" s="737"/>
      <c r="SNU9" s="737"/>
      <c r="SNV9" s="737"/>
      <c r="SNW9" s="737"/>
      <c r="SNX9" s="737"/>
      <c r="SNY9" s="737"/>
      <c r="SNZ9" s="737"/>
      <c r="SOA9" s="737"/>
      <c r="SOB9" s="737"/>
      <c r="SOC9" s="737"/>
      <c r="SOD9" s="737"/>
      <c r="SOE9" s="737"/>
      <c r="SOF9" s="737"/>
      <c r="SOG9" s="737"/>
      <c r="SOH9" s="737"/>
      <c r="SOI9" s="737"/>
      <c r="SOJ9" s="737"/>
      <c r="SOK9" s="737"/>
      <c r="SOL9" s="737"/>
      <c r="SOM9" s="737"/>
      <c r="SON9" s="737"/>
      <c r="SOO9" s="737"/>
      <c r="SOP9" s="737"/>
      <c r="SOQ9" s="737"/>
      <c r="SOR9" s="737"/>
      <c r="SOS9" s="737"/>
      <c r="SOT9" s="737"/>
      <c r="SOU9" s="737"/>
      <c r="SOV9" s="737"/>
      <c r="SOW9" s="737"/>
      <c r="SOX9" s="737"/>
      <c r="SOY9" s="737"/>
      <c r="SOZ9" s="737"/>
      <c r="SPA9" s="737"/>
      <c r="SPB9" s="737"/>
      <c r="SPC9" s="737"/>
      <c r="SPD9" s="737"/>
      <c r="SPE9" s="737"/>
      <c r="SPF9" s="737"/>
      <c r="SPG9" s="737"/>
      <c r="SPH9" s="737"/>
      <c r="SPI9" s="737"/>
      <c r="SPJ9" s="737"/>
      <c r="SPK9" s="737"/>
      <c r="SPL9" s="737"/>
      <c r="SPM9" s="737"/>
      <c r="SPN9" s="737"/>
      <c r="SPO9" s="737"/>
      <c r="SPP9" s="737"/>
      <c r="SPQ9" s="737"/>
      <c r="SPR9" s="737"/>
      <c r="SPS9" s="737"/>
      <c r="SPT9" s="737"/>
      <c r="SPU9" s="737"/>
      <c r="SPV9" s="737"/>
      <c r="SPW9" s="737"/>
      <c r="SPX9" s="737"/>
      <c r="SPY9" s="737"/>
      <c r="SPZ9" s="737"/>
      <c r="SQA9" s="737"/>
      <c r="SQB9" s="737"/>
      <c r="SQC9" s="737"/>
      <c r="SQD9" s="737"/>
      <c r="SQE9" s="737"/>
      <c r="SQF9" s="737"/>
      <c r="SQG9" s="737"/>
      <c r="SQH9" s="737"/>
      <c r="SQI9" s="737"/>
      <c r="SQJ9" s="737"/>
      <c r="SQK9" s="737"/>
      <c r="SQL9" s="737"/>
      <c r="SQM9" s="737"/>
      <c r="SQN9" s="737"/>
      <c r="SQO9" s="737"/>
      <c r="SQP9" s="737"/>
      <c r="SQQ9" s="737"/>
      <c r="SQR9" s="737"/>
      <c r="SQS9" s="737"/>
      <c r="SQT9" s="737"/>
      <c r="SQU9" s="737"/>
      <c r="SQV9" s="737"/>
      <c r="SQW9" s="737"/>
      <c r="SQX9" s="737"/>
      <c r="SQY9" s="737"/>
      <c r="SQZ9" s="737"/>
      <c r="SRA9" s="737"/>
      <c r="SRB9" s="737"/>
      <c r="SRC9" s="737"/>
      <c r="SRD9" s="737"/>
      <c r="SRE9" s="737"/>
      <c r="SRF9" s="737"/>
      <c r="SRG9" s="737"/>
      <c r="SRH9" s="737"/>
      <c r="SRI9" s="737"/>
      <c r="SRJ9" s="737"/>
      <c r="SRK9" s="737"/>
      <c r="SRL9" s="737"/>
      <c r="SRM9" s="737"/>
      <c r="SRN9" s="737"/>
      <c r="SRO9" s="737"/>
      <c r="SRP9" s="737"/>
      <c r="SRQ9" s="737"/>
      <c r="SRR9" s="737"/>
      <c r="SRS9" s="737"/>
      <c r="SRT9" s="737"/>
      <c r="SRU9" s="737"/>
      <c r="SRV9" s="737"/>
      <c r="SRW9" s="737"/>
      <c r="SRX9" s="737"/>
      <c r="SRY9" s="737"/>
      <c r="SRZ9" s="737"/>
      <c r="SSA9" s="737"/>
      <c r="SSB9" s="737"/>
      <c r="SSC9" s="737"/>
      <c r="SSD9" s="737"/>
      <c r="SSE9" s="737"/>
      <c r="SSF9" s="737"/>
      <c r="SSG9" s="737"/>
      <c r="SSH9" s="737"/>
      <c r="SSI9" s="737"/>
      <c r="SSJ9" s="737"/>
      <c r="SSK9" s="737"/>
      <c r="SSL9" s="737"/>
      <c r="SSM9" s="737"/>
      <c r="SSN9" s="737"/>
      <c r="SSO9" s="737"/>
      <c r="SSP9" s="737"/>
      <c r="SSQ9" s="737"/>
      <c r="SSR9" s="737"/>
      <c r="SSS9" s="737"/>
      <c r="SST9" s="737"/>
      <c r="SSU9" s="737"/>
      <c r="SSV9" s="737"/>
      <c r="SSW9" s="737"/>
      <c r="SSX9" s="737"/>
      <c r="SSY9" s="737"/>
      <c r="SSZ9" s="737"/>
      <c r="STA9" s="737"/>
      <c r="STB9" s="737"/>
      <c r="STC9" s="737"/>
      <c r="STD9" s="737"/>
      <c r="STE9" s="737"/>
      <c r="STF9" s="737"/>
      <c r="STG9" s="737"/>
      <c r="STH9" s="737"/>
      <c r="STI9" s="737"/>
      <c r="STJ9" s="737"/>
      <c r="STK9" s="737"/>
      <c r="STL9" s="737"/>
      <c r="STM9" s="737"/>
      <c r="STN9" s="737"/>
      <c r="STO9" s="737"/>
      <c r="STP9" s="737"/>
      <c r="STQ9" s="737"/>
      <c r="STR9" s="737"/>
      <c r="STS9" s="737"/>
      <c r="STT9" s="737"/>
      <c r="STU9" s="737"/>
      <c r="STV9" s="737"/>
      <c r="STW9" s="737"/>
      <c r="STX9" s="737"/>
      <c r="STY9" s="737"/>
      <c r="STZ9" s="737"/>
      <c r="SUA9" s="737"/>
      <c r="SUB9" s="737"/>
      <c r="SUC9" s="737"/>
      <c r="SUD9" s="737"/>
      <c r="SUE9" s="737"/>
      <c r="SUF9" s="737"/>
      <c r="SUG9" s="737"/>
      <c r="SUH9" s="737"/>
      <c r="SUI9" s="737"/>
      <c r="SUJ9" s="737"/>
      <c r="SUK9" s="737"/>
      <c r="SUL9" s="737"/>
      <c r="SUM9" s="737"/>
      <c r="SUN9" s="737"/>
      <c r="SUO9" s="737"/>
      <c r="SUP9" s="737"/>
      <c r="SUQ9" s="737"/>
      <c r="SUR9" s="737"/>
      <c r="SUS9" s="737"/>
      <c r="SUT9" s="737"/>
      <c r="SUU9" s="737"/>
      <c r="SUV9" s="737"/>
      <c r="SUW9" s="737"/>
      <c r="SUX9" s="737"/>
      <c r="SUY9" s="737"/>
      <c r="SUZ9" s="737"/>
      <c r="SVA9" s="737"/>
      <c r="SVB9" s="737"/>
      <c r="SVC9" s="737"/>
      <c r="SVD9" s="737"/>
      <c r="SVE9" s="737"/>
      <c r="SVF9" s="737"/>
      <c r="SVG9" s="737"/>
      <c r="SVH9" s="737"/>
      <c r="SVI9" s="737"/>
      <c r="SVJ9" s="737"/>
      <c r="SVK9" s="737"/>
      <c r="SVL9" s="737"/>
      <c r="SVM9" s="737"/>
      <c r="SVN9" s="737"/>
      <c r="SVO9" s="737"/>
      <c r="SVP9" s="737"/>
      <c r="SVQ9" s="737"/>
      <c r="SVR9" s="737"/>
      <c r="SVS9" s="737"/>
      <c r="SVT9" s="737"/>
      <c r="SVU9" s="737"/>
      <c r="SVV9" s="737"/>
      <c r="SVW9" s="737"/>
      <c r="SVX9" s="737"/>
      <c r="SVY9" s="737"/>
      <c r="SVZ9" s="737"/>
      <c r="SWA9" s="737"/>
      <c r="SWB9" s="737"/>
      <c r="SWC9" s="737"/>
      <c r="SWD9" s="737"/>
      <c r="SWE9" s="737"/>
      <c r="SWF9" s="737"/>
      <c r="SWG9" s="737"/>
      <c r="SWH9" s="737"/>
      <c r="SWI9" s="737"/>
      <c r="SWJ9" s="737"/>
      <c r="SWK9" s="737"/>
      <c r="SWL9" s="737"/>
      <c r="SWM9" s="737"/>
      <c r="SWN9" s="737"/>
      <c r="SWO9" s="737"/>
      <c r="SWP9" s="737"/>
      <c r="SWQ9" s="737"/>
      <c r="SWR9" s="737"/>
      <c r="SWS9" s="737"/>
      <c r="SWT9" s="737"/>
      <c r="SWU9" s="737"/>
      <c r="SWV9" s="737"/>
      <c r="SWW9" s="737"/>
      <c r="SWX9" s="737"/>
      <c r="SWY9" s="737"/>
      <c r="SWZ9" s="737"/>
      <c r="SXA9" s="737"/>
      <c r="SXB9" s="737"/>
      <c r="SXC9" s="737"/>
      <c r="SXD9" s="737"/>
      <c r="SXE9" s="737"/>
      <c r="SXF9" s="737"/>
      <c r="SXG9" s="737"/>
      <c r="SXH9" s="737"/>
      <c r="SXI9" s="737"/>
      <c r="SXJ9" s="737"/>
      <c r="SXK9" s="737"/>
      <c r="SXL9" s="737"/>
      <c r="SXM9" s="737"/>
      <c r="SXN9" s="737"/>
      <c r="SXO9" s="737"/>
      <c r="SXP9" s="737"/>
      <c r="SXQ9" s="737"/>
      <c r="SXR9" s="737"/>
      <c r="SXS9" s="737"/>
      <c r="SXT9" s="737"/>
      <c r="SXU9" s="737"/>
      <c r="SXV9" s="737"/>
      <c r="SXW9" s="737"/>
      <c r="SXX9" s="737"/>
      <c r="SXY9" s="737"/>
      <c r="SXZ9" s="737"/>
      <c r="SYA9" s="737"/>
      <c r="SYB9" s="737"/>
      <c r="SYC9" s="737"/>
      <c r="SYD9" s="737"/>
      <c r="SYE9" s="737"/>
      <c r="SYF9" s="737"/>
      <c r="SYG9" s="737"/>
      <c r="SYH9" s="737"/>
      <c r="SYI9" s="737"/>
      <c r="SYJ9" s="737"/>
      <c r="SYK9" s="737"/>
      <c r="SYL9" s="737"/>
      <c r="SYM9" s="737"/>
      <c r="SYN9" s="737"/>
      <c r="SYO9" s="737"/>
      <c r="SYP9" s="737"/>
      <c r="SYQ9" s="737"/>
      <c r="SYR9" s="737"/>
      <c r="SYS9" s="737"/>
      <c r="SYT9" s="737"/>
      <c r="SYU9" s="737"/>
      <c r="SYV9" s="737"/>
      <c r="SYW9" s="737"/>
      <c r="SYX9" s="737"/>
      <c r="SYY9" s="737"/>
      <c r="SYZ9" s="737"/>
      <c r="SZA9" s="737"/>
      <c r="SZB9" s="737"/>
      <c r="SZC9" s="737"/>
      <c r="SZD9" s="737"/>
      <c r="SZE9" s="737"/>
      <c r="SZF9" s="737"/>
      <c r="SZG9" s="737"/>
      <c r="SZH9" s="737"/>
      <c r="SZI9" s="737"/>
      <c r="SZJ9" s="737"/>
      <c r="SZK9" s="737"/>
      <c r="SZL9" s="737"/>
      <c r="SZM9" s="737"/>
      <c r="SZN9" s="737"/>
      <c r="SZO9" s="737"/>
      <c r="SZP9" s="737"/>
      <c r="SZQ9" s="737"/>
      <c r="SZR9" s="737"/>
      <c r="SZS9" s="737"/>
      <c r="SZT9" s="737"/>
      <c r="SZU9" s="737"/>
      <c r="SZV9" s="737"/>
      <c r="SZW9" s="737"/>
      <c r="SZX9" s="737"/>
      <c r="SZY9" s="737"/>
      <c r="SZZ9" s="737"/>
      <c r="TAA9" s="737"/>
      <c r="TAB9" s="737"/>
      <c r="TAC9" s="737"/>
      <c r="TAD9" s="737"/>
      <c r="TAE9" s="737"/>
      <c r="TAF9" s="737"/>
      <c r="TAG9" s="737"/>
      <c r="TAH9" s="737"/>
      <c r="TAI9" s="737"/>
      <c r="TAJ9" s="737"/>
      <c r="TAK9" s="737"/>
      <c r="TAL9" s="737"/>
      <c r="TAM9" s="737"/>
      <c r="TAN9" s="737"/>
      <c r="TAO9" s="737"/>
      <c r="TAP9" s="737"/>
      <c r="TAQ9" s="737"/>
      <c r="TAR9" s="737"/>
      <c r="TAS9" s="737"/>
      <c r="TAT9" s="737"/>
      <c r="TAU9" s="737"/>
      <c r="TAV9" s="737"/>
      <c r="TAW9" s="737"/>
      <c r="TAX9" s="737"/>
      <c r="TAY9" s="737"/>
      <c r="TAZ9" s="737"/>
      <c r="TBA9" s="737"/>
      <c r="TBB9" s="737"/>
      <c r="TBC9" s="737"/>
      <c r="TBD9" s="737"/>
      <c r="TBE9" s="737"/>
      <c r="TBF9" s="737"/>
      <c r="TBG9" s="737"/>
      <c r="TBH9" s="737"/>
      <c r="TBI9" s="737"/>
      <c r="TBJ9" s="737"/>
      <c r="TBK9" s="737"/>
      <c r="TBL9" s="737"/>
      <c r="TBM9" s="737"/>
      <c r="TBN9" s="737"/>
      <c r="TBO9" s="737"/>
      <c r="TBP9" s="737"/>
      <c r="TBQ9" s="737"/>
      <c r="TBR9" s="737"/>
      <c r="TBS9" s="737"/>
      <c r="TBT9" s="737"/>
      <c r="TBU9" s="737"/>
      <c r="TBV9" s="737"/>
      <c r="TBW9" s="737"/>
      <c r="TBX9" s="737"/>
      <c r="TBY9" s="737"/>
      <c r="TBZ9" s="737"/>
      <c r="TCA9" s="737"/>
      <c r="TCB9" s="737"/>
      <c r="TCC9" s="737"/>
      <c r="TCD9" s="737"/>
      <c r="TCE9" s="737"/>
      <c r="TCF9" s="737"/>
      <c r="TCG9" s="737"/>
      <c r="TCH9" s="737"/>
      <c r="TCI9" s="737"/>
      <c r="TCJ9" s="737"/>
      <c r="TCK9" s="737"/>
      <c r="TCL9" s="737"/>
      <c r="TCM9" s="737"/>
      <c r="TCN9" s="737"/>
      <c r="TCO9" s="737"/>
      <c r="TCP9" s="737"/>
      <c r="TCQ9" s="737"/>
      <c r="TCR9" s="737"/>
      <c r="TCS9" s="737"/>
      <c r="TCT9" s="737"/>
      <c r="TCU9" s="737"/>
      <c r="TCV9" s="737"/>
      <c r="TCW9" s="737"/>
      <c r="TCX9" s="737"/>
      <c r="TCY9" s="737"/>
      <c r="TCZ9" s="737"/>
      <c r="TDA9" s="737"/>
      <c r="TDB9" s="737"/>
      <c r="TDC9" s="737"/>
      <c r="TDD9" s="737"/>
      <c r="TDE9" s="737"/>
      <c r="TDF9" s="737"/>
      <c r="TDG9" s="737"/>
      <c r="TDH9" s="737"/>
      <c r="TDI9" s="737"/>
      <c r="TDJ9" s="737"/>
      <c r="TDK9" s="737"/>
      <c r="TDL9" s="737"/>
      <c r="TDM9" s="737"/>
      <c r="TDN9" s="737"/>
      <c r="TDO9" s="737"/>
      <c r="TDP9" s="737"/>
      <c r="TDQ9" s="737"/>
      <c r="TDR9" s="737"/>
      <c r="TDS9" s="737"/>
      <c r="TDT9" s="737"/>
      <c r="TDU9" s="737"/>
      <c r="TDV9" s="737"/>
      <c r="TDW9" s="737"/>
      <c r="TDX9" s="737"/>
      <c r="TDY9" s="737"/>
      <c r="TDZ9" s="737"/>
      <c r="TEA9" s="737"/>
      <c r="TEB9" s="737"/>
      <c r="TEC9" s="737"/>
      <c r="TED9" s="737"/>
      <c r="TEE9" s="737"/>
      <c r="TEF9" s="737"/>
      <c r="TEG9" s="737"/>
      <c r="TEH9" s="737"/>
      <c r="TEI9" s="737"/>
      <c r="TEJ9" s="737"/>
      <c r="TEK9" s="737"/>
      <c r="TEL9" s="737"/>
      <c r="TEM9" s="737"/>
      <c r="TEN9" s="737"/>
      <c r="TEO9" s="737"/>
      <c r="TEP9" s="737"/>
      <c r="TEQ9" s="737"/>
      <c r="TER9" s="737"/>
      <c r="TES9" s="737"/>
      <c r="TET9" s="737"/>
      <c r="TEU9" s="737"/>
      <c r="TEV9" s="737"/>
      <c r="TEW9" s="737"/>
      <c r="TEX9" s="737"/>
      <c r="TEY9" s="737"/>
      <c r="TEZ9" s="737"/>
      <c r="TFA9" s="737"/>
      <c r="TFB9" s="737"/>
      <c r="TFC9" s="737"/>
      <c r="TFD9" s="737"/>
      <c r="TFE9" s="737"/>
      <c r="TFF9" s="737"/>
      <c r="TFG9" s="737"/>
      <c r="TFH9" s="737"/>
      <c r="TFI9" s="737"/>
      <c r="TFJ9" s="737"/>
      <c r="TFK9" s="737"/>
      <c r="TFL9" s="737"/>
      <c r="TFM9" s="737"/>
      <c r="TFN9" s="737"/>
      <c r="TFO9" s="737"/>
      <c r="TFP9" s="737"/>
      <c r="TFQ9" s="737"/>
      <c r="TFR9" s="737"/>
      <c r="TFS9" s="737"/>
      <c r="TFT9" s="737"/>
      <c r="TFU9" s="737"/>
      <c r="TFV9" s="737"/>
      <c r="TFW9" s="737"/>
      <c r="TFX9" s="737"/>
      <c r="TFY9" s="737"/>
      <c r="TFZ9" s="737"/>
      <c r="TGA9" s="737"/>
      <c r="TGB9" s="737"/>
      <c r="TGC9" s="737"/>
      <c r="TGD9" s="737"/>
      <c r="TGE9" s="737"/>
      <c r="TGF9" s="737"/>
      <c r="TGG9" s="737"/>
      <c r="TGH9" s="737"/>
      <c r="TGI9" s="737"/>
      <c r="TGJ9" s="737"/>
      <c r="TGK9" s="737"/>
      <c r="TGL9" s="737"/>
      <c r="TGM9" s="737"/>
      <c r="TGN9" s="737"/>
      <c r="TGO9" s="737"/>
      <c r="TGP9" s="737"/>
      <c r="TGQ9" s="737"/>
      <c r="TGR9" s="737"/>
      <c r="TGS9" s="737"/>
      <c r="TGT9" s="737"/>
      <c r="TGU9" s="737"/>
      <c r="TGV9" s="737"/>
      <c r="TGW9" s="737"/>
      <c r="TGX9" s="737"/>
      <c r="TGY9" s="737"/>
      <c r="TGZ9" s="737"/>
      <c r="THA9" s="737"/>
      <c r="THB9" s="737"/>
      <c r="THC9" s="737"/>
      <c r="THD9" s="737"/>
      <c r="THE9" s="737"/>
      <c r="THF9" s="737"/>
      <c r="THG9" s="737"/>
      <c r="THH9" s="737"/>
      <c r="THI9" s="737"/>
      <c r="THJ9" s="737"/>
      <c r="THK9" s="737"/>
      <c r="THL9" s="737"/>
      <c r="THM9" s="737"/>
      <c r="THN9" s="737"/>
      <c r="THO9" s="737"/>
      <c r="THP9" s="737"/>
      <c r="THQ9" s="737"/>
      <c r="THR9" s="737"/>
      <c r="THS9" s="737"/>
      <c r="THT9" s="737"/>
      <c r="THU9" s="737"/>
      <c r="THV9" s="737"/>
      <c r="THW9" s="737"/>
      <c r="THX9" s="737"/>
      <c r="THY9" s="737"/>
      <c r="THZ9" s="737"/>
      <c r="TIA9" s="737"/>
      <c r="TIB9" s="737"/>
      <c r="TIC9" s="737"/>
      <c r="TID9" s="737"/>
      <c r="TIE9" s="737"/>
      <c r="TIF9" s="737"/>
      <c r="TIG9" s="737"/>
      <c r="TIH9" s="737"/>
      <c r="TII9" s="737"/>
      <c r="TIJ9" s="737"/>
      <c r="TIK9" s="737"/>
      <c r="TIL9" s="737"/>
      <c r="TIM9" s="737"/>
      <c r="TIN9" s="737"/>
      <c r="TIO9" s="737"/>
      <c r="TIP9" s="737"/>
      <c r="TIQ9" s="737"/>
      <c r="TIR9" s="737"/>
      <c r="TIS9" s="737"/>
      <c r="TIT9" s="737"/>
      <c r="TIU9" s="737"/>
      <c r="TIV9" s="737"/>
      <c r="TIW9" s="737"/>
      <c r="TIX9" s="737"/>
      <c r="TIY9" s="737"/>
      <c r="TIZ9" s="737"/>
      <c r="TJA9" s="737"/>
      <c r="TJB9" s="737"/>
      <c r="TJC9" s="737"/>
      <c r="TJD9" s="737"/>
      <c r="TJE9" s="737"/>
      <c r="TJF9" s="737"/>
      <c r="TJG9" s="737"/>
      <c r="TJH9" s="737"/>
      <c r="TJI9" s="737"/>
      <c r="TJJ9" s="737"/>
      <c r="TJK9" s="737"/>
      <c r="TJL9" s="737"/>
      <c r="TJM9" s="737"/>
      <c r="TJN9" s="737"/>
      <c r="TJO9" s="737"/>
      <c r="TJP9" s="737"/>
      <c r="TJQ9" s="737"/>
      <c r="TJR9" s="737"/>
      <c r="TJS9" s="737"/>
      <c r="TJT9" s="737"/>
      <c r="TJU9" s="737"/>
      <c r="TJV9" s="737"/>
      <c r="TJW9" s="737"/>
      <c r="TJX9" s="737"/>
      <c r="TJY9" s="737"/>
      <c r="TJZ9" s="737"/>
      <c r="TKA9" s="737"/>
      <c r="TKB9" s="737"/>
      <c r="TKC9" s="737"/>
      <c r="TKD9" s="737"/>
      <c r="TKE9" s="737"/>
      <c r="TKF9" s="737"/>
      <c r="TKG9" s="737"/>
      <c r="TKH9" s="737"/>
      <c r="TKI9" s="737"/>
      <c r="TKJ9" s="737"/>
      <c r="TKK9" s="737"/>
      <c r="TKL9" s="737"/>
      <c r="TKM9" s="737"/>
      <c r="TKN9" s="737"/>
      <c r="TKO9" s="737"/>
      <c r="TKP9" s="737"/>
      <c r="TKQ9" s="737"/>
      <c r="TKR9" s="737"/>
      <c r="TKS9" s="737"/>
      <c r="TKT9" s="737"/>
      <c r="TKU9" s="737"/>
      <c r="TKV9" s="737"/>
      <c r="TKW9" s="737"/>
      <c r="TKX9" s="737"/>
      <c r="TKY9" s="737"/>
      <c r="TKZ9" s="737"/>
      <c r="TLA9" s="737"/>
      <c r="TLB9" s="737"/>
      <c r="TLC9" s="737"/>
      <c r="TLD9" s="737"/>
      <c r="TLE9" s="737"/>
      <c r="TLF9" s="737"/>
      <c r="TLG9" s="737"/>
      <c r="TLH9" s="737"/>
      <c r="TLI9" s="737"/>
      <c r="TLJ9" s="737"/>
      <c r="TLK9" s="737"/>
      <c r="TLL9" s="737"/>
      <c r="TLM9" s="737"/>
      <c r="TLN9" s="737"/>
      <c r="TLO9" s="737"/>
      <c r="TLP9" s="737"/>
      <c r="TLQ9" s="737"/>
      <c r="TLR9" s="737"/>
      <c r="TLS9" s="737"/>
      <c r="TLT9" s="737"/>
      <c r="TLU9" s="737"/>
      <c r="TLV9" s="737"/>
      <c r="TLW9" s="737"/>
      <c r="TLX9" s="737"/>
      <c r="TLY9" s="737"/>
      <c r="TLZ9" s="737"/>
      <c r="TMA9" s="737"/>
      <c r="TMB9" s="737"/>
      <c r="TMC9" s="737"/>
      <c r="TMD9" s="737"/>
      <c r="TME9" s="737"/>
      <c r="TMF9" s="737"/>
      <c r="TMG9" s="737"/>
      <c r="TMH9" s="737"/>
      <c r="TMI9" s="737"/>
      <c r="TMJ9" s="737"/>
      <c r="TMK9" s="737"/>
      <c r="TML9" s="737"/>
      <c r="TMM9" s="737"/>
      <c r="TMN9" s="737"/>
      <c r="TMO9" s="737"/>
      <c r="TMP9" s="737"/>
      <c r="TMQ9" s="737"/>
      <c r="TMR9" s="737"/>
      <c r="TMS9" s="737"/>
      <c r="TMT9" s="737"/>
      <c r="TMU9" s="737"/>
      <c r="TMV9" s="737"/>
      <c r="TMW9" s="737"/>
      <c r="TMX9" s="737"/>
      <c r="TMY9" s="737"/>
      <c r="TMZ9" s="737"/>
      <c r="TNA9" s="737"/>
      <c r="TNB9" s="737"/>
      <c r="TNC9" s="737"/>
      <c r="TND9" s="737"/>
      <c r="TNE9" s="737"/>
      <c r="TNF9" s="737"/>
      <c r="TNG9" s="737"/>
      <c r="TNH9" s="737"/>
      <c r="TNI9" s="737"/>
      <c r="TNJ9" s="737"/>
      <c r="TNK9" s="737"/>
      <c r="TNL9" s="737"/>
      <c r="TNM9" s="737"/>
      <c r="TNN9" s="737"/>
      <c r="TNO9" s="737"/>
      <c r="TNP9" s="737"/>
      <c r="TNQ9" s="737"/>
      <c r="TNR9" s="737"/>
      <c r="TNS9" s="737"/>
      <c r="TNT9" s="737"/>
      <c r="TNU9" s="737"/>
      <c r="TNV9" s="737"/>
      <c r="TNW9" s="737"/>
      <c r="TNX9" s="737"/>
      <c r="TNY9" s="737"/>
      <c r="TNZ9" s="737"/>
      <c r="TOA9" s="737"/>
      <c r="TOB9" s="737"/>
      <c r="TOC9" s="737"/>
      <c r="TOD9" s="737"/>
      <c r="TOE9" s="737"/>
      <c r="TOF9" s="737"/>
      <c r="TOG9" s="737"/>
      <c r="TOH9" s="737"/>
      <c r="TOI9" s="737"/>
      <c r="TOJ9" s="737"/>
      <c r="TOK9" s="737"/>
      <c r="TOL9" s="737"/>
      <c r="TOM9" s="737"/>
      <c r="TON9" s="737"/>
      <c r="TOO9" s="737"/>
      <c r="TOP9" s="737"/>
      <c r="TOQ9" s="737"/>
      <c r="TOR9" s="737"/>
      <c r="TOS9" s="737"/>
      <c r="TOT9" s="737"/>
      <c r="TOU9" s="737"/>
      <c r="TOV9" s="737"/>
      <c r="TOW9" s="737"/>
      <c r="TOX9" s="737"/>
      <c r="TOY9" s="737"/>
      <c r="TOZ9" s="737"/>
      <c r="TPA9" s="737"/>
      <c r="TPB9" s="737"/>
      <c r="TPC9" s="737"/>
      <c r="TPD9" s="737"/>
      <c r="TPE9" s="737"/>
      <c r="TPF9" s="737"/>
      <c r="TPG9" s="737"/>
      <c r="TPH9" s="737"/>
      <c r="TPI9" s="737"/>
      <c r="TPJ9" s="737"/>
      <c r="TPK9" s="737"/>
      <c r="TPL9" s="737"/>
      <c r="TPM9" s="737"/>
      <c r="TPN9" s="737"/>
      <c r="TPO9" s="737"/>
      <c r="TPP9" s="737"/>
      <c r="TPQ9" s="737"/>
      <c r="TPR9" s="737"/>
      <c r="TPS9" s="737"/>
      <c r="TPT9" s="737"/>
      <c r="TPU9" s="737"/>
      <c r="TPV9" s="737"/>
      <c r="TPW9" s="737"/>
      <c r="TPX9" s="737"/>
      <c r="TPY9" s="737"/>
      <c r="TPZ9" s="737"/>
      <c r="TQA9" s="737"/>
      <c r="TQB9" s="737"/>
      <c r="TQC9" s="737"/>
      <c r="TQD9" s="737"/>
      <c r="TQE9" s="737"/>
      <c r="TQF9" s="737"/>
      <c r="TQG9" s="737"/>
      <c r="TQH9" s="737"/>
      <c r="TQI9" s="737"/>
      <c r="TQJ9" s="737"/>
      <c r="TQK9" s="737"/>
      <c r="TQL9" s="737"/>
      <c r="TQM9" s="737"/>
      <c r="TQN9" s="737"/>
      <c r="TQO9" s="737"/>
      <c r="TQP9" s="737"/>
      <c r="TQQ9" s="737"/>
      <c r="TQR9" s="737"/>
      <c r="TQS9" s="737"/>
      <c r="TQT9" s="737"/>
      <c r="TQU9" s="737"/>
      <c r="TQV9" s="737"/>
      <c r="TQW9" s="737"/>
      <c r="TQX9" s="737"/>
      <c r="TQY9" s="737"/>
      <c r="TQZ9" s="737"/>
      <c r="TRA9" s="737"/>
      <c r="TRB9" s="737"/>
      <c r="TRC9" s="737"/>
      <c r="TRD9" s="737"/>
      <c r="TRE9" s="737"/>
      <c r="TRF9" s="737"/>
      <c r="TRG9" s="737"/>
      <c r="TRH9" s="737"/>
      <c r="TRI9" s="737"/>
      <c r="TRJ9" s="737"/>
      <c r="TRK9" s="737"/>
      <c r="TRL9" s="737"/>
      <c r="TRM9" s="737"/>
      <c r="TRN9" s="737"/>
      <c r="TRO9" s="737"/>
      <c r="TRP9" s="737"/>
      <c r="TRQ9" s="737"/>
      <c r="TRR9" s="737"/>
      <c r="TRS9" s="737"/>
      <c r="TRT9" s="737"/>
      <c r="TRU9" s="737"/>
      <c r="TRV9" s="737"/>
      <c r="TRW9" s="737"/>
      <c r="TRX9" s="737"/>
      <c r="TRY9" s="737"/>
      <c r="TRZ9" s="737"/>
      <c r="TSA9" s="737"/>
      <c r="TSB9" s="737"/>
      <c r="TSC9" s="737"/>
      <c r="TSD9" s="737"/>
      <c r="TSE9" s="737"/>
      <c r="TSF9" s="737"/>
      <c r="TSG9" s="737"/>
      <c r="TSH9" s="737"/>
      <c r="TSI9" s="737"/>
      <c r="TSJ9" s="737"/>
      <c r="TSK9" s="737"/>
      <c r="TSL9" s="737"/>
      <c r="TSM9" s="737"/>
      <c r="TSN9" s="737"/>
      <c r="TSO9" s="737"/>
      <c r="TSP9" s="737"/>
      <c r="TSQ9" s="737"/>
      <c r="TSR9" s="737"/>
      <c r="TSS9" s="737"/>
      <c r="TST9" s="737"/>
      <c r="TSU9" s="737"/>
      <c r="TSV9" s="737"/>
      <c r="TSW9" s="737"/>
      <c r="TSX9" s="737"/>
      <c r="TSY9" s="737"/>
      <c r="TSZ9" s="737"/>
      <c r="TTA9" s="737"/>
      <c r="TTB9" s="737"/>
      <c r="TTC9" s="737"/>
      <c r="TTD9" s="737"/>
      <c r="TTE9" s="737"/>
      <c r="TTF9" s="737"/>
      <c r="TTG9" s="737"/>
      <c r="TTH9" s="737"/>
      <c r="TTI9" s="737"/>
      <c r="TTJ9" s="737"/>
      <c r="TTK9" s="737"/>
      <c r="TTL9" s="737"/>
      <c r="TTM9" s="737"/>
      <c r="TTN9" s="737"/>
      <c r="TTO9" s="737"/>
      <c r="TTP9" s="737"/>
      <c r="TTQ9" s="737"/>
      <c r="TTR9" s="737"/>
      <c r="TTS9" s="737"/>
      <c r="TTT9" s="737"/>
      <c r="TTU9" s="737"/>
      <c r="TTV9" s="737"/>
      <c r="TTW9" s="737"/>
      <c r="TTX9" s="737"/>
      <c r="TTY9" s="737"/>
      <c r="TTZ9" s="737"/>
      <c r="TUA9" s="737"/>
      <c r="TUB9" s="737"/>
      <c r="TUC9" s="737"/>
      <c r="TUD9" s="737"/>
      <c r="TUE9" s="737"/>
      <c r="TUF9" s="737"/>
      <c r="TUG9" s="737"/>
      <c r="TUH9" s="737"/>
      <c r="TUI9" s="737"/>
      <c r="TUJ9" s="737"/>
      <c r="TUK9" s="737"/>
      <c r="TUL9" s="737"/>
      <c r="TUM9" s="737"/>
      <c r="TUN9" s="737"/>
      <c r="TUO9" s="737"/>
      <c r="TUP9" s="737"/>
      <c r="TUQ9" s="737"/>
      <c r="TUR9" s="737"/>
      <c r="TUS9" s="737"/>
      <c r="TUT9" s="737"/>
      <c r="TUU9" s="737"/>
      <c r="TUV9" s="737"/>
      <c r="TUW9" s="737"/>
      <c r="TUX9" s="737"/>
      <c r="TUY9" s="737"/>
      <c r="TUZ9" s="737"/>
      <c r="TVA9" s="737"/>
      <c r="TVB9" s="737"/>
      <c r="TVC9" s="737"/>
      <c r="TVD9" s="737"/>
      <c r="TVE9" s="737"/>
      <c r="TVF9" s="737"/>
      <c r="TVG9" s="737"/>
      <c r="TVH9" s="737"/>
      <c r="TVI9" s="737"/>
      <c r="TVJ9" s="737"/>
      <c r="TVK9" s="737"/>
      <c r="TVL9" s="737"/>
      <c r="TVM9" s="737"/>
      <c r="TVN9" s="737"/>
      <c r="TVO9" s="737"/>
      <c r="TVP9" s="737"/>
      <c r="TVQ9" s="737"/>
      <c r="TVR9" s="737"/>
      <c r="TVS9" s="737"/>
      <c r="TVT9" s="737"/>
      <c r="TVU9" s="737"/>
      <c r="TVV9" s="737"/>
      <c r="TVW9" s="737"/>
      <c r="TVX9" s="737"/>
      <c r="TVY9" s="737"/>
      <c r="TVZ9" s="737"/>
      <c r="TWA9" s="737"/>
      <c r="TWB9" s="737"/>
      <c r="TWC9" s="737"/>
      <c r="TWD9" s="737"/>
      <c r="TWE9" s="737"/>
      <c r="TWF9" s="737"/>
      <c r="TWG9" s="737"/>
      <c r="TWH9" s="737"/>
      <c r="TWI9" s="737"/>
      <c r="TWJ9" s="737"/>
      <c r="TWK9" s="737"/>
      <c r="TWL9" s="737"/>
      <c r="TWM9" s="737"/>
      <c r="TWN9" s="737"/>
      <c r="TWO9" s="737"/>
      <c r="TWP9" s="737"/>
      <c r="TWQ9" s="737"/>
      <c r="TWR9" s="737"/>
      <c r="TWS9" s="737"/>
      <c r="TWT9" s="737"/>
      <c r="TWU9" s="737"/>
      <c r="TWV9" s="737"/>
      <c r="TWW9" s="737"/>
      <c r="TWX9" s="737"/>
      <c r="TWY9" s="737"/>
      <c r="TWZ9" s="737"/>
      <c r="TXA9" s="737"/>
      <c r="TXB9" s="737"/>
      <c r="TXC9" s="737"/>
      <c r="TXD9" s="737"/>
      <c r="TXE9" s="737"/>
      <c r="TXF9" s="737"/>
      <c r="TXG9" s="737"/>
      <c r="TXH9" s="737"/>
      <c r="TXI9" s="737"/>
      <c r="TXJ9" s="737"/>
      <c r="TXK9" s="737"/>
      <c r="TXL9" s="737"/>
      <c r="TXM9" s="737"/>
      <c r="TXN9" s="737"/>
      <c r="TXO9" s="737"/>
      <c r="TXP9" s="737"/>
      <c r="TXQ9" s="737"/>
      <c r="TXR9" s="737"/>
      <c r="TXS9" s="737"/>
      <c r="TXT9" s="737"/>
      <c r="TXU9" s="737"/>
      <c r="TXV9" s="737"/>
      <c r="TXW9" s="737"/>
      <c r="TXX9" s="737"/>
      <c r="TXY9" s="737"/>
      <c r="TXZ9" s="737"/>
      <c r="TYA9" s="737"/>
      <c r="TYB9" s="737"/>
      <c r="TYC9" s="737"/>
      <c r="TYD9" s="737"/>
      <c r="TYE9" s="737"/>
      <c r="TYF9" s="737"/>
      <c r="TYG9" s="737"/>
      <c r="TYH9" s="737"/>
      <c r="TYI9" s="737"/>
      <c r="TYJ9" s="737"/>
      <c r="TYK9" s="737"/>
      <c r="TYL9" s="737"/>
      <c r="TYM9" s="737"/>
      <c r="TYN9" s="737"/>
      <c r="TYO9" s="737"/>
      <c r="TYP9" s="737"/>
      <c r="TYQ9" s="737"/>
      <c r="TYR9" s="737"/>
      <c r="TYS9" s="737"/>
      <c r="TYT9" s="737"/>
      <c r="TYU9" s="737"/>
      <c r="TYV9" s="737"/>
      <c r="TYW9" s="737"/>
      <c r="TYX9" s="737"/>
      <c r="TYY9" s="737"/>
      <c r="TYZ9" s="737"/>
      <c r="TZA9" s="737"/>
      <c r="TZB9" s="737"/>
      <c r="TZC9" s="737"/>
      <c r="TZD9" s="737"/>
      <c r="TZE9" s="737"/>
      <c r="TZF9" s="737"/>
      <c r="TZG9" s="737"/>
      <c r="TZH9" s="737"/>
      <c r="TZI9" s="737"/>
      <c r="TZJ9" s="737"/>
      <c r="TZK9" s="737"/>
      <c r="TZL9" s="737"/>
      <c r="TZM9" s="737"/>
      <c r="TZN9" s="737"/>
      <c r="TZO9" s="737"/>
      <c r="TZP9" s="737"/>
      <c r="TZQ9" s="737"/>
      <c r="TZR9" s="737"/>
      <c r="TZS9" s="737"/>
      <c r="TZT9" s="737"/>
      <c r="TZU9" s="737"/>
      <c r="TZV9" s="737"/>
      <c r="TZW9" s="737"/>
      <c r="TZX9" s="737"/>
      <c r="TZY9" s="737"/>
      <c r="TZZ9" s="737"/>
      <c r="UAA9" s="737"/>
      <c r="UAB9" s="737"/>
      <c r="UAC9" s="737"/>
      <c r="UAD9" s="737"/>
      <c r="UAE9" s="737"/>
      <c r="UAF9" s="737"/>
      <c r="UAG9" s="737"/>
      <c r="UAH9" s="737"/>
      <c r="UAI9" s="737"/>
      <c r="UAJ9" s="737"/>
      <c r="UAK9" s="737"/>
      <c r="UAL9" s="737"/>
      <c r="UAM9" s="737"/>
      <c r="UAN9" s="737"/>
      <c r="UAO9" s="737"/>
      <c r="UAP9" s="737"/>
      <c r="UAQ9" s="737"/>
      <c r="UAR9" s="737"/>
      <c r="UAS9" s="737"/>
      <c r="UAT9" s="737"/>
      <c r="UAU9" s="737"/>
      <c r="UAV9" s="737"/>
      <c r="UAW9" s="737"/>
      <c r="UAX9" s="737"/>
      <c r="UAY9" s="737"/>
      <c r="UAZ9" s="737"/>
      <c r="UBA9" s="737"/>
      <c r="UBB9" s="737"/>
      <c r="UBC9" s="737"/>
      <c r="UBD9" s="737"/>
      <c r="UBE9" s="737"/>
      <c r="UBF9" s="737"/>
      <c r="UBG9" s="737"/>
      <c r="UBH9" s="737"/>
      <c r="UBI9" s="737"/>
      <c r="UBJ9" s="737"/>
      <c r="UBK9" s="737"/>
      <c r="UBL9" s="737"/>
      <c r="UBM9" s="737"/>
      <c r="UBN9" s="737"/>
      <c r="UBO9" s="737"/>
      <c r="UBP9" s="737"/>
      <c r="UBQ9" s="737"/>
      <c r="UBR9" s="737"/>
      <c r="UBS9" s="737"/>
      <c r="UBT9" s="737"/>
      <c r="UBU9" s="737"/>
      <c r="UBV9" s="737"/>
      <c r="UBW9" s="737"/>
      <c r="UBX9" s="737"/>
      <c r="UBY9" s="737"/>
      <c r="UBZ9" s="737"/>
      <c r="UCA9" s="737"/>
      <c r="UCB9" s="737"/>
      <c r="UCC9" s="737"/>
      <c r="UCD9" s="737"/>
      <c r="UCE9" s="737"/>
      <c r="UCF9" s="737"/>
      <c r="UCG9" s="737"/>
      <c r="UCH9" s="737"/>
      <c r="UCI9" s="737"/>
      <c r="UCJ9" s="737"/>
      <c r="UCK9" s="737"/>
      <c r="UCL9" s="737"/>
      <c r="UCM9" s="737"/>
      <c r="UCN9" s="737"/>
      <c r="UCO9" s="737"/>
      <c r="UCP9" s="737"/>
      <c r="UCQ9" s="737"/>
      <c r="UCR9" s="737"/>
      <c r="UCS9" s="737"/>
      <c r="UCT9" s="737"/>
      <c r="UCU9" s="737"/>
      <c r="UCV9" s="737"/>
      <c r="UCW9" s="737"/>
      <c r="UCX9" s="737"/>
      <c r="UCY9" s="737"/>
      <c r="UCZ9" s="737"/>
      <c r="UDA9" s="737"/>
      <c r="UDB9" s="737"/>
      <c r="UDC9" s="737"/>
      <c r="UDD9" s="737"/>
      <c r="UDE9" s="737"/>
      <c r="UDF9" s="737"/>
      <c r="UDG9" s="737"/>
      <c r="UDH9" s="737"/>
      <c r="UDI9" s="737"/>
      <c r="UDJ9" s="737"/>
      <c r="UDK9" s="737"/>
      <c r="UDL9" s="737"/>
      <c r="UDM9" s="737"/>
      <c r="UDN9" s="737"/>
      <c r="UDO9" s="737"/>
      <c r="UDP9" s="737"/>
      <c r="UDQ9" s="737"/>
      <c r="UDR9" s="737"/>
      <c r="UDS9" s="737"/>
      <c r="UDT9" s="737"/>
      <c r="UDU9" s="737"/>
      <c r="UDV9" s="737"/>
      <c r="UDW9" s="737"/>
      <c r="UDX9" s="737"/>
      <c r="UDY9" s="737"/>
      <c r="UDZ9" s="737"/>
      <c r="UEA9" s="737"/>
      <c r="UEB9" s="737"/>
      <c r="UEC9" s="737"/>
      <c r="UED9" s="737"/>
      <c r="UEE9" s="737"/>
      <c r="UEF9" s="737"/>
      <c r="UEG9" s="737"/>
      <c r="UEH9" s="737"/>
      <c r="UEI9" s="737"/>
      <c r="UEJ9" s="737"/>
      <c r="UEK9" s="737"/>
      <c r="UEL9" s="737"/>
      <c r="UEM9" s="737"/>
      <c r="UEN9" s="737"/>
      <c r="UEO9" s="737"/>
      <c r="UEP9" s="737"/>
      <c r="UEQ9" s="737"/>
      <c r="UER9" s="737"/>
      <c r="UES9" s="737"/>
      <c r="UET9" s="737"/>
      <c r="UEU9" s="737"/>
      <c r="UEV9" s="737"/>
      <c r="UEW9" s="737"/>
      <c r="UEX9" s="737"/>
      <c r="UEY9" s="737"/>
      <c r="UEZ9" s="737"/>
      <c r="UFA9" s="737"/>
      <c r="UFB9" s="737"/>
      <c r="UFC9" s="737"/>
      <c r="UFD9" s="737"/>
      <c r="UFE9" s="737"/>
      <c r="UFF9" s="737"/>
      <c r="UFG9" s="737"/>
      <c r="UFH9" s="737"/>
      <c r="UFI9" s="737"/>
      <c r="UFJ9" s="737"/>
      <c r="UFK9" s="737"/>
      <c r="UFL9" s="737"/>
      <c r="UFM9" s="737"/>
      <c r="UFN9" s="737"/>
      <c r="UFO9" s="737"/>
      <c r="UFP9" s="737"/>
      <c r="UFQ9" s="737"/>
      <c r="UFR9" s="737"/>
      <c r="UFS9" s="737"/>
      <c r="UFT9" s="737"/>
      <c r="UFU9" s="737"/>
      <c r="UFV9" s="737"/>
      <c r="UFW9" s="737"/>
      <c r="UFX9" s="737"/>
      <c r="UFY9" s="737"/>
      <c r="UFZ9" s="737"/>
      <c r="UGA9" s="737"/>
      <c r="UGB9" s="737"/>
      <c r="UGC9" s="737"/>
      <c r="UGD9" s="737"/>
      <c r="UGE9" s="737"/>
      <c r="UGF9" s="737"/>
      <c r="UGG9" s="737"/>
      <c r="UGH9" s="737"/>
      <c r="UGI9" s="737"/>
      <c r="UGJ9" s="737"/>
      <c r="UGK9" s="737"/>
      <c r="UGL9" s="737"/>
      <c r="UGM9" s="737"/>
      <c r="UGN9" s="737"/>
      <c r="UGO9" s="737"/>
      <c r="UGP9" s="737"/>
      <c r="UGQ9" s="737"/>
      <c r="UGR9" s="737"/>
      <c r="UGS9" s="737"/>
      <c r="UGT9" s="737"/>
      <c r="UGU9" s="737"/>
      <c r="UGV9" s="737"/>
      <c r="UGW9" s="737"/>
      <c r="UGX9" s="737"/>
      <c r="UGY9" s="737"/>
      <c r="UGZ9" s="737"/>
      <c r="UHA9" s="737"/>
      <c r="UHB9" s="737"/>
      <c r="UHC9" s="737"/>
      <c r="UHD9" s="737"/>
      <c r="UHE9" s="737"/>
      <c r="UHF9" s="737"/>
      <c r="UHG9" s="737"/>
      <c r="UHH9" s="737"/>
      <c r="UHI9" s="737"/>
      <c r="UHJ9" s="737"/>
      <c r="UHK9" s="737"/>
      <c r="UHL9" s="737"/>
      <c r="UHM9" s="737"/>
      <c r="UHN9" s="737"/>
      <c r="UHO9" s="737"/>
      <c r="UHP9" s="737"/>
      <c r="UHQ9" s="737"/>
      <c r="UHR9" s="737"/>
      <c r="UHS9" s="737"/>
      <c r="UHT9" s="737"/>
      <c r="UHU9" s="737"/>
      <c r="UHV9" s="737"/>
      <c r="UHW9" s="737"/>
      <c r="UHX9" s="737"/>
      <c r="UHY9" s="737"/>
      <c r="UHZ9" s="737"/>
      <c r="UIA9" s="737"/>
      <c r="UIB9" s="737"/>
      <c r="UIC9" s="737"/>
      <c r="UID9" s="737"/>
      <c r="UIE9" s="737"/>
      <c r="UIF9" s="737"/>
      <c r="UIG9" s="737"/>
      <c r="UIH9" s="737"/>
      <c r="UII9" s="737"/>
      <c r="UIJ9" s="737"/>
      <c r="UIK9" s="737"/>
      <c r="UIL9" s="737"/>
      <c r="UIM9" s="737"/>
      <c r="UIN9" s="737"/>
      <c r="UIO9" s="737"/>
      <c r="UIP9" s="737"/>
      <c r="UIQ9" s="737"/>
      <c r="UIR9" s="737"/>
      <c r="UIS9" s="737"/>
      <c r="UIT9" s="737"/>
      <c r="UIU9" s="737"/>
      <c r="UIV9" s="737"/>
      <c r="UIW9" s="737"/>
      <c r="UIX9" s="737"/>
      <c r="UIY9" s="737"/>
      <c r="UIZ9" s="737"/>
      <c r="UJA9" s="737"/>
      <c r="UJB9" s="737"/>
      <c r="UJC9" s="737"/>
      <c r="UJD9" s="737"/>
      <c r="UJE9" s="737"/>
      <c r="UJF9" s="737"/>
      <c r="UJG9" s="737"/>
      <c r="UJH9" s="737"/>
      <c r="UJI9" s="737"/>
      <c r="UJJ9" s="737"/>
      <c r="UJK9" s="737"/>
      <c r="UJL9" s="737"/>
      <c r="UJM9" s="737"/>
      <c r="UJN9" s="737"/>
      <c r="UJO9" s="737"/>
      <c r="UJP9" s="737"/>
      <c r="UJQ9" s="737"/>
      <c r="UJR9" s="737"/>
      <c r="UJS9" s="737"/>
      <c r="UJT9" s="737"/>
      <c r="UJU9" s="737"/>
      <c r="UJV9" s="737"/>
      <c r="UJW9" s="737"/>
      <c r="UJX9" s="737"/>
      <c r="UJY9" s="737"/>
      <c r="UJZ9" s="737"/>
      <c r="UKA9" s="737"/>
      <c r="UKB9" s="737"/>
      <c r="UKC9" s="737"/>
      <c r="UKD9" s="737"/>
      <c r="UKE9" s="737"/>
      <c r="UKF9" s="737"/>
      <c r="UKG9" s="737"/>
      <c r="UKH9" s="737"/>
      <c r="UKI9" s="737"/>
      <c r="UKJ9" s="737"/>
      <c r="UKK9" s="737"/>
      <c r="UKL9" s="737"/>
      <c r="UKM9" s="737"/>
      <c r="UKN9" s="737"/>
      <c r="UKO9" s="737"/>
      <c r="UKP9" s="737"/>
      <c r="UKQ9" s="737"/>
      <c r="UKR9" s="737"/>
      <c r="UKS9" s="737"/>
      <c r="UKT9" s="737"/>
      <c r="UKU9" s="737"/>
      <c r="UKV9" s="737"/>
      <c r="UKW9" s="737"/>
      <c r="UKX9" s="737"/>
      <c r="UKY9" s="737"/>
      <c r="UKZ9" s="737"/>
      <c r="ULA9" s="737"/>
      <c r="ULB9" s="737"/>
      <c r="ULC9" s="737"/>
      <c r="ULD9" s="737"/>
      <c r="ULE9" s="737"/>
      <c r="ULF9" s="737"/>
      <c r="ULG9" s="737"/>
      <c r="ULH9" s="737"/>
      <c r="ULI9" s="737"/>
      <c r="ULJ9" s="737"/>
      <c r="ULK9" s="737"/>
      <c r="ULL9" s="737"/>
      <c r="ULM9" s="737"/>
      <c r="ULN9" s="737"/>
      <c r="ULO9" s="737"/>
      <c r="ULP9" s="737"/>
      <c r="ULQ9" s="737"/>
      <c r="ULR9" s="737"/>
      <c r="ULS9" s="737"/>
      <c r="ULT9" s="737"/>
      <c r="ULU9" s="737"/>
      <c r="ULV9" s="737"/>
      <c r="ULW9" s="737"/>
      <c r="ULX9" s="737"/>
      <c r="ULY9" s="737"/>
      <c r="ULZ9" s="737"/>
      <c r="UMA9" s="737"/>
      <c r="UMB9" s="737"/>
      <c r="UMC9" s="737"/>
      <c r="UMD9" s="737"/>
      <c r="UME9" s="737"/>
      <c r="UMF9" s="737"/>
      <c r="UMG9" s="737"/>
      <c r="UMH9" s="737"/>
      <c r="UMI9" s="737"/>
      <c r="UMJ9" s="737"/>
      <c r="UMK9" s="737"/>
      <c r="UML9" s="737"/>
      <c r="UMM9" s="737"/>
      <c r="UMN9" s="737"/>
      <c r="UMO9" s="737"/>
      <c r="UMP9" s="737"/>
      <c r="UMQ9" s="737"/>
      <c r="UMR9" s="737"/>
      <c r="UMS9" s="737"/>
      <c r="UMT9" s="737"/>
      <c r="UMU9" s="737"/>
      <c r="UMV9" s="737"/>
      <c r="UMW9" s="737"/>
      <c r="UMX9" s="737"/>
      <c r="UMY9" s="737"/>
      <c r="UMZ9" s="737"/>
      <c r="UNA9" s="737"/>
      <c r="UNB9" s="737"/>
      <c r="UNC9" s="737"/>
      <c r="UND9" s="737"/>
      <c r="UNE9" s="737"/>
      <c r="UNF9" s="737"/>
      <c r="UNG9" s="737"/>
      <c r="UNH9" s="737"/>
      <c r="UNI9" s="737"/>
      <c r="UNJ9" s="737"/>
      <c r="UNK9" s="737"/>
      <c r="UNL9" s="737"/>
      <c r="UNM9" s="737"/>
      <c r="UNN9" s="737"/>
      <c r="UNO9" s="737"/>
      <c r="UNP9" s="737"/>
      <c r="UNQ9" s="737"/>
      <c r="UNR9" s="737"/>
      <c r="UNS9" s="737"/>
      <c r="UNT9" s="737"/>
      <c r="UNU9" s="737"/>
      <c r="UNV9" s="737"/>
      <c r="UNW9" s="737"/>
      <c r="UNX9" s="737"/>
      <c r="UNY9" s="737"/>
      <c r="UNZ9" s="737"/>
      <c r="UOA9" s="737"/>
      <c r="UOB9" s="737"/>
      <c r="UOC9" s="737"/>
      <c r="UOD9" s="737"/>
      <c r="UOE9" s="737"/>
      <c r="UOF9" s="737"/>
      <c r="UOG9" s="737"/>
      <c r="UOH9" s="737"/>
      <c r="UOI9" s="737"/>
      <c r="UOJ9" s="737"/>
      <c r="UOK9" s="737"/>
      <c r="UOL9" s="737"/>
      <c r="UOM9" s="737"/>
      <c r="UON9" s="737"/>
      <c r="UOO9" s="737"/>
      <c r="UOP9" s="737"/>
      <c r="UOQ9" s="737"/>
      <c r="UOR9" s="737"/>
      <c r="UOS9" s="737"/>
      <c r="UOT9" s="737"/>
      <c r="UOU9" s="737"/>
      <c r="UOV9" s="737"/>
      <c r="UOW9" s="737"/>
      <c r="UOX9" s="737"/>
      <c r="UOY9" s="737"/>
      <c r="UOZ9" s="737"/>
      <c r="UPA9" s="737"/>
      <c r="UPB9" s="737"/>
      <c r="UPC9" s="737"/>
      <c r="UPD9" s="737"/>
      <c r="UPE9" s="737"/>
      <c r="UPF9" s="737"/>
      <c r="UPG9" s="737"/>
      <c r="UPH9" s="737"/>
      <c r="UPI9" s="737"/>
      <c r="UPJ9" s="737"/>
      <c r="UPK9" s="737"/>
      <c r="UPL9" s="737"/>
      <c r="UPM9" s="737"/>
      <c r="UPN9" s="737"/>
      <c r="UPO9" s="737"/>
      <c r="UPP9" s="737"/>
      <c r="UPQ9" s="737"/>
      <c r="UPR9" s="737"/>
      <c r="UPS9" s="737"/>
      <c r="UPT9" s="737"/>
      <c r="UPU9" s="737"/>
      <c r="UPV9" s="737"/>
      <c r="UPW9" s="737"/>
      <c r="UPX9" s="737"/>
      <c r="UPY9" s="737"/>
      <c r="UPZ9" s="737"/>
      <c r="UQA9" s="737"/>
      <c r="UQB9" s="737"/>
      <c r="UQC9" s="737"/>
      <c r="UQD9" s="737"/>
      <c r="UQE9" s="737"/>
      <c r="UQF9" s="737"/>
      <c r="UQG9" s="737"/>
      <c r="UQH9" s="737"/>
      <c r="UQI9" s="737"/>
      <c r="UQJ9" s="737"/>
      <c r="UQK9" s="737"/>
      <c r="UQL9" s="737"/>
      <c r="UQM9" s="737"/>
      <c r="UQN9" s="737"/>
      <c r="UQO9" s="737"/>
      <c r="UQP9" s="737"/>
      <c r="UQQ9" s="737"/>
      <c r="UQR9" s="737"/>
      <c r="UQS9" s="737"/>
      <c r="UQT9" s="737"/>
      <c r="UQU9" s="737"/>
      <c r="UQV9" s="737"/>
      <c r="UQW9" s="737"/>
      <c r="UQX9" s="737"/>
      <c r="UQY9" s="737"/>
      <c r="UQZ9" s="737"/>
      <c r="URA9" s="737"/>
      <c r="URB9" s="737"/>
      <c r="URC9" s="737"/>
      <c r="URD9" s="737"/>
      <c r="URE9" s="737"/>
      <c r="URF9" s="737"/>
      <c r="URG9" s="737"/>
      <c r="URH9" s="737"/>
      <c r="URI9" s="737"/>
      <c r="URJ9" s="737"/>
      <c r="URK9" s="737"/>
      <c r="URL9" s="737"/>
      <c r="URM9" s="737"/>
      <c r="URN9" s="737"/>
      <c r="URO9" s="737"/>
      <c r="URP9" s="737"/>
      <c r="URQ9" s="737"/>
      <c r="URR9" s="737"/>
      <c r="URS9" s="737"/>
      <c r="URT9" s="737"/>
      <c r="URU9" s="737"/>
      <c r="URV9" s="737"/>
      <c r="URW9" s="737"/>
      <c r="URX9" s="737"/>
      <c r="URY9" s="737"/>
      <c r="URZ9" s="737"/>
      <c r="USA9" s="737"/>
      <c r="USB9" s="737"/>
      <c r="USC9" s="737"/>
      <c r="USD9" s="737"/>
      <c r="USE9" s="737"/>
      <c r="USF9" s="737"/>
      <c r="USG9" s="737"/>
      <c r="USH9" s="737"/>
      <c r="USI9" s="737"/>
      <c r="USJ9" s="737"/>
      <c r="USK9" s="737"/>
      <c r="USL9" s="737"/>
      <c r="USM9" s="737"/>
      <c r="USN9" s="737"/>
      <c r="USO9" s="737"/>
      <c r="USP9" s="737"/>
      <c r="USQ9" s="737"/>
      <c r="USR9" s="737"/>
      <c r="USS9" s="737"/>
      <c r="UST9" s="737"/>
      <c r="USU9" s="737"/>
      <c r="USV9" s="737"/>
      <c r="USW9" s="737"/>
      <c r="USX9" s="737"/>
      <c r="USY9" s="737"/>
      <c r="USZ9" s="737"/>
      <c r="UTA9" s="737"/>
      <c r="UTB9" s="737"/>
      <c r="UTC9" s="737"/>
      <c r="UTD9" s="737"/>
      <c r="UTE9" s="737"/>
      <c r="UTF9" s="737"/>
      <c r="UTG9" s="737"/>
      <c r="UTH9" s="737"/>
      <c r="UTI9" s="737"/>
      <c r="UTJ9" s="737"/>
      <c r="UTK9" s="737"/>
      <c r="UTL9" s="737"/>
      <c r="UTM9" s="737"/>
      <c r="UTN9" s="737"/>
      <c r="UTO9" s="737"/>
      <c r="UTP9" s="737"/>
      <c r="UTQ9" s="737"/>
      <c r="UTR9" s="737"/>
      <c r="UTS9" s="737"/>
      <c r="UTT9" s="737"/>
      <c r="UTU9" s="737"/>
      <c r="UTV9" s="737"/>
      <c r="UTW9" s="737"/>
      <c r="UTX9" s="737"/>
      <c r="UTY9" s="737"/>
      <c r="UTZ9" s="737"/>
      <c r="UUA9" s="737"/>
      <c r="UUB9" s="737"/>
      <c r="UUC9" s="737"/>
      <c r="UUD9" s="737"/>
      <c r="UUE9" s="737"/>
      <c r="UUF9" s="737"/>
      <c r="UUG9" s="737"/>
      <c r="UUH9" s="737"/>
      <c r="UUI9" s="737"/>
      <c r="UUJ9" s="737"/>
      <c r="UUK9" s="737"/>
      <c r="UUL9" s="737"/>
      <c r="UUM9" s="737"/>
      <c r="UUN9" s="737"/>
      <c r="UUO9" s="737"/>
      <c r="UUP9" s="737"/>
      <c r="UUQ9" s="737"/>
      <c r="UUR9" s="737"/>
      <c r="UUS9" s="737"/>
      <c r="UUT9" s="737"/>
      <c r="UUU9" s="737"/>
      <c r="UUV9" s="737"/>
      <c r="UUW9" s="737"/>
      <c r="UUX9" s="737"/>
      <c r="UUY9" s="737"/>
      <c r="UUZ9" s="737"/>
      <c r="UVA9" s="737"/>
      <c r="UVB9" s="737"/>
      <c r="UVC9" s="737"/>
      <c r="UVD9" s="737"/>
      <c r="UVE9" s="737"/>
      <c r="UVF9" s="737"/>
      <c r="UVG9" s="737"/>
      <c r="UVH9" s="737"/>
      <c r="UVI9" s="737"/>
      <c r="UVJ9" s="737"/>
      <c r="UVK9" s="737"/>
      <c r="UVL9" s="737"/>
      <c r="UVM9" s="737"/>
      <c r="UVN9" s="737"/>
      <c r="UVO9" s="737"/>
      <c r="UVP9" s="737"/>
      <c r="UVQ9" s="737"/>
      <c r="UVR9" s="737"/>
      <c r="UVS9" s="737"/>
      <c r="UVT9" s="737"/>
      <c r="UVU9" s="737"/>
      <c r="UVV9" s="737"/>
      <c r="UVW9" s="737"/>
      <c r="UVX9" s="737"/>
      <c r="UVY9" s="737"/>
      <c r="UVZ9" s="737"/>
      <c r="UWA9" s="737"/>
      <c r="UWB9" s="737"/>
      <c r="UWC9" s="737"/>
      <c r="UWD9" s="737"/>
      <c r="UWE9" s="737"/>
      <c r="UWF9" s="737"/>
      <c r="UWG9" s="737"/>
      <c r="UWH9" s="737"/>
      <c r="UWI9" s="737"/>
      <c r="UWJ9" s="737"/>
      <c r="UWK9" s="737"/>
      <c r="UWL9" s="737"/>
      <c r="UWM9" s="737"/>
      <c r="UWN9" s="737"/>
      <c r="UWO9" s="737"/>
      <c r="UWP9" s="737"/>
      <c r="UWQ9" s="737"/>
      <c r="UWR9" s="737"/>
      <c r="UWS9" s="737"/>
      <c r="UWT9" s="737"/>
      <c r="UWU9" s="737"/>
      <c r="UWV9" s="737"/>
      <c r="UWW9" s="737"/>
      <c r="UWX9" s="737"/>
      <c r="UWY9" s="737"/>
      <c r="UWZ9" s="737"/>
      <c r="UXA9" s="737"/>
      <c r="UXB9" s="737"/>
      <c r="UXC9" s="737"/>
      <c r="UXD9" s="737"/>
      <c r="UXE9" s="737"/>
      <c r="UXF9" s="737"/>
      <c r="UXG9" s="737"/>
      <c r="UXH9" s="737"/>
      <c r="UXI9" s="737"/>
      <c r="UXJ9" s="737"/>
      <c r="UXK9" s="737"/>
      <c r="UXL9" s="737"/>
      <c r="UXM9" s="737"/>
      <c r="UXN9" s="737"/>
      <c r="UXO9" s="737"/>
      <c r="UXP9" s="737"/>
      <c r="UXQ9" s="737"/>
      <c r="UXR9" s="737"/>
      <c r="UXS9" s="737"/>
      <c r="UXT9" s="737"/>
      <c r="UXU9" s="737"/>
      <c r="UXV9" s="737"/>
      <c r="UXW9" s="737"/>
      <c r="UXX9" s="737"/>
      <c r="UXY9" s="737"/>
      <c r="UXZ9" s="737"/>
      <c r="UYA9" s="737"/>
      <c r="UYB9" s="737"/>
      <c r="UYC9" s="737"/>
      <c r="UYD9" s="737"/>
      <c r="UYE9" s="737"/>
      <c r="UYF9" s="737"/>
      <c r="UYG9" s="737"/>
      <c r="UYH9" s="737"/>
      <c r="UYI9" s="737"/>
      <c r="UYJ9" s="737"/>
      <c r="UYK9" s="737"/>
      <c r="UYL9" s="737"/>
      <c r="UYM9" s="737"/>
      <c r="UYN9" s="737"/>
      <c r="UYO9" s="737"/>
      <c r="UYP9" s="737"/>
      <c r="UYQ9" s="737"/>
      <c r="UYR9" s="737"/>
      <c r="UYS9" s="737"/>
      <c r="UYT9" s="737"/>
      <c r="UYU9" s="737"/>
      <c r="UYV9" s="737"/>
      <c r="UYW9" s="737"/>
      <c r="UYX9" s="737"/>
      <c r="UYY9" s="737"/>
      <c r="UYZ9" s="737"/>
      <c r="UZA9" s="737"/>
      <c r="UZB9" s="737"/>
      <c r="UZC9" s="737"/>
      <c r="UZD9" s="737"/>
      <c r="UZE9" s="737"/>
      <c r="UZF9" s="737"/>
      <c r="UZG9" s="737"/>
      <c r="UZH9" s="737"/>
      <c r="UZI9" s="737"/>
      <c r="UZJ9" s="737"/>
      <c r="UZK9" s="737"/>
      <c r="UZL9" s="737"/>
      <c r="UZM9" s="737"/>
      <c r="UZN9" s="737"/>
      <c r="UZO9" s="737"/>
      <c r="UZP9" s="737"/>
      <c r="UZQ9" s="737"/>
      <c r="UZR9" s="737"/>
      <c r="UZS9" s="737"/>
      <c r="UZT9" s="737"/>
      <c r="UZU9" s="737"/>
      <c r="UZV9" s="737"/>
      <c r="UZW9" s="737"/>
      <c r="UZX9" s="737"/>
      <c r="UZY9" s="737"/>
      <c r="UZZ9" s="737"/>
      <c r="VAA9" s="737"/>
      <c r="VAB9" s="737"/>
      <c r="VAC9" s="737"/>
      <c r="VAD9" s="737"/>
      <c r="VAE9" s="737"/>
      <c r="VAF9" s="737"/>
      <c r="VAG9" s="737"/>
      <c r="VAH9" s="737"/>
      <c r="VAI9" s="737"/>
      <c r="VAJ9" s="737"/>
      <c r="VAK9" s="737"/>
      <c r="VAL9" s="737"/>
      <c r="VAM9" s="737"/>
      <c r="VAN9" s="737"/>
      <c r="VAO9" s="737"/>
      <c r="VAP9" s="737"/>
      <c r="VAQ9" s="737"/>
      <c r="VAR9" s="737"/>
      <c r="VAS9" s="737"/>
      <c r="VAT9" s="737"/>
      <c r="VAU9" s="737"/>
      <c r="VAV9" s="737"/>
      <c r="VAW9" s="737"/>
      <c r="VAX9" s="737"/>
      <c r="VAY9" s="737"/>
      <c r="VAZ9" s="737"/>
      <c r="VBA9" s="737"/>
      <c r="VBB9" s="737"/>
      <c r="VBC9" s="737"/>
      <c r="VBD9" s="737"/>
      <c r="VBE9" s="737"/>
      <c r="VBF9" s="737"/>
      <c r="VBG9" s="737"/>
      <c r="VBH9" s="737"/>
      <c r="VBI9" s="737"/>
      <c r="VBJ9" s="737"/>
      <c r="VBK9" s="737"/>
      <c r="VBL9" s="737"/>
      <c r="VBM9" s="737"/>
      <c r="VBN9" s="737"/>
      <c r="VBO9" s="737"/>
      <c r="VBP9" s="737"/>
      <c r="VBQ9" s="737"/>
      <c r="VBR9" s="737"/>
      <c r="VBS9" s="737"/>
      <c r="VBT9" s="737"/>
      <c r="VBU9" s="737"/>
      <c r="VBV9" s="737"/>
      <c r="VBW9" s="737"/>
      <c r="VBX9" s="737"/>
      <c r="VBY9" s="737"/>
      <c r="VBZ9" s="737"/>
      <c r="VCA9" s="737"/>
      <c r="VCB9" s="737"/>
      <c r="VCC9" s="737"/>
      <c r="VCD9" s="737"/>
      <c r="VCE9" s="737"/>
      <c r="VCF9" s="737"/>
      <c r="VCG9" s="737"/>
      <c r="VCH9" s="737"/>
      <c r="VCI9" s="737"/>
      <c r="VCJ9" s="737"/>
      <c r="VCK9" s="737"/>
      <c r="VCL9" s="737"/>
      <c r="VCM9" s="737"/>
      <c r="VCN9" s="737"/>
      <c r="VCO9" s="737"/>
      <c r="VCP9" s="737"/>
      <c r="VCQ9" s="737"/>
      <c r="VCR9" s="737"/>
      <c r="VCS9" s="737"/>
      <c r="VCT9" s="737"/>
      <c r="VCU9" s="737"/>
      <c r="VCV9" s="737"/>
      <c r="VCW9" s="737"/>
      <c r="VCX9" s="737"/>
      <c r="VCY9" s="737"/>
      <c r="VCZ9" s="737"/>
      <c r="VDA9" s="737"/>
      <c r="VDB9" s="737"/>
      <c r="VDC9" s="737"/>
      <c r="VDD9" s="737"/>
      <c r="VDE9" s="737"/>
      <c r="VDF9" s="737"/>
      <c r="VDG9" s="737"/>
      <c r="VDH9" s="737"/>
      <c r="VDI9" s="737"/>
      <c r="VDJ9" s="737"/>
      <c r="VDK9" s="737"/>
      <c r="VDL9" s="737"/>
      <c r="VDM9" s="737"/>
      <c r="VDN9" s="737"/>
      <c r="VDO9" s="737"/>
      <c r="VDP9" s="737"/>
      <c r="VDQ9" s="737"/>
      <c r="VDR9" s="737"/>
      <c r="VDS9" s="737"/>
      <c r="VDT9" s="737"/>
      <c r="VDU9" s="737"/>
      <c r="VDV9" s="737"/>
      <c r="VDW9" s="737"/>
      <c r="VDX9" s="737"/>
      <c r="VDY9" s="737"/>
      <c r="VDZ9" s="737"/>
      <c r="VEA9" s="737"/>
      <c r="VEB9" s="737"/>
      <c r="VEC9" s="737"/>
      <c r="VED9" s="737"/>
      <c r="VEE9" s="737"/>
      <c r="VEF9" s="737"/>
      <c r="VEG9" s="737"/>
      <c r="VEH9" s="737"/>
      <c r="VEI9" s="737"/>
      <c r="VEJ9" s="737"/>
      <c r="VEK9" s="737"/>
      <c r="VEL9" s="737"/>
      <c r="VEM9" s="737"/>
      <c r="VEN9" s="737"/>
      <c r="VEO9" s="737"/>
      <c r="VEP9" s="737"/>
      <c r="VEQ9" s="737"/>
      <c r="VER9" s="737"/>
      <c r="VES9" s="737"/>
      <c r="VET9" s="737"/>
      <c r="VEU9" s="737"/>
      <c r="VEV9" s="737"/>
      <c r="VEW9" s="737"/>
      <c r="VEX9" s="737"/>
      <c r="VEY9" s="737"/>
      <c r="VEZ9" s="737"/>
      <c r="VFA9" s="737"/>
      <c r="VFB9" s="737"/>
      <c r="VFC9" s="737"/>
      <c r="VFD9" s="737"/>
      <c r="VFE9" s="737"/>
      <c r="VFF9" s="737"/>
      <c r="VFG9" s="737"/>
      <c r="VFH9" s="737"/>
      <c r="VFI9" s="737"/>
      <c r="VFJ9" s="737"/>
      <c r="VFK9" s="737"/>
      <c r="VFL9" s="737"/>
      <c r="VFM9" s="737"/>
      <c r="VFN9" s="737"/>
      <c r="VFO9" s="737"/>
      <c r="VFP9" s="737"/>
      <c r="VFQ9" s="737"/>
      <c r="VFR9" s="737"/>
      <c r="VFS9" s="737"/>
      <c r="VFT9" s="737"/>
      <c r="VFU9" s="737"/>
      <c r="VFV9" s="737"/>
      <c r="VFW9" s="737"/>
      <c r="VFX9" s="737"/>
      <c r="VFY9" s="737"/>
      <c r="VFZ9" s="737"/>
      <c r="VGA9" s="737"/>
      <c r="VGB9" s="737"/>
      <c r="VGC9" s="737"/>
      <c r="VGD9" s="737"/>
      <c r="VGE9" s="737"/>
      <c r="VGF9" s="737"/>
      <c r="VGG9" s="737"/>
      <c r="VGH9" s="737"/>
      <c r="VGI9" s="737"/>
      <c r="VGJ9" s="737"/>
      <c r="VGK9" s="737"/>
      <c r="VGL9" s="737"/>
      <c r="VGM9" s="737"/>
      <c r="VGN9" s="737"/>
      <c r="VGO9" s="737"/>
      <c r="VGP9" s="737"/>
      <c r="VGQ9" s="737"/>
      <c r="VGR9" s="737"/>
      <c r="VGS9" s="737"/>
      <c r="VGT9" s="737"/>
      <c r="VGU9" s="737"/>
      <c r="VGV9" s="737"/>
      <c r="VGW9" s="737"/>
      <c r="VGX9" s="737"/>
      <c r="VGY9" s="737"/>
      <c r="VGZ9" s="737"/>
      <c r="VHA9" s="737"/>
      <c r="VHB9" s="737"/>
      <c r="VHC9" s="737"/>
      <c r="VHD9" s="737"/>
      <c r="VHE9" s="737"/>
      <c r="VHF9" s="737"/>
      <c r="VHG9" s="737"/>
      <c r="VHH9" s="737"/>
      <c r="VHI9" s="737"/>
      <c r="VHJ9" s="737"/>
      <c r="VHK9" s="737"/>
      <c r="VHL9" s="737"/>
      <c r="VHM9" s="737"/>
      <c r="VHN9" s="737"/>
      <c r="VHO9" s="737"/>
      <c r="VHP9" s="737"/>
      <c r="VHQ9" s="737"/>
      <c r="VHR9" s="737"/>
      <c r="VHS9" s="737"/>
      <c r="VHT9" s="737"/>
      <c r="VHU9" s="737"/>
      <c r="VHV9" s="737"/>
      <c r="VHW9" s="737"/>
      <c r="VHX9" s="737"/>
      <c r="VHY9" s="737"/>
      <c r="VHZ9" s="737"/>
      <c r="VIA9" s="737"/>
      <c r="VIB9" s="737"/>
      <c r="VIC9" s="737"/>
      <c r="VID9" s="737"/>
      <c r="VIE9" s="737"/>
      <c r="VIF9" s="737"/>
      <c r="VIG9" s="737"/>
      <c r="VIH9" s="737"/>
      <c r="VII9" s="737"/>
      <c r="VIJ9" s="737"/>
      <c r="VIK9" s="737"/>
      <c r="VIL9" s="737"/>
      <c r="VIM9" s="737"/>
      <c r="VIN9" s="737"/>
      <c r="VIO9" s="737"/>
      <c r="VIP9" s="737"/>
      <c r="VIQ9" s="737"/>
      <c r="VIR9" s="737"/>
      <c r="VIS9" s="737"/>
      <c r="VIT9" s="737"/>
      <c r="VIU9" s="737"/>
      <c r="VIV9" s="737"/>
      <c r="VIW9" s="737"/>
      <c r="VIX9" s="737"/>
      <c r="VIY9" s="737"/>
      <c r="VIZ9" s="737"/>
      <c r="VJA9" s="737"/>
      <c r="VJB9" s="737"/>
      <c r="VJC9" s="737"/>
      <c r="VJD9" s="737"/>
      <c r="VJE9" s="737"/>
      <c r="VJF9" s="737"/>
      <c r="VJG9" s="737"/>
      <c r="VJH9" s="737"/>
      <c r="VJI9" s="737"/>
      <c r="VJJ9" s="737"/>
      <c r="VJK9" s="737"/>
      <c r="VJL9" s="737"/>
      <c r="VJM9" s="737"/>
      <c r="VJN9" s="737"/>
      <c r="VJO9" s="737"/>
      <c r="VJP9" s="737"/>
      <c r="VJQ9" s="737"/>
      <c r="VJR9" s="737"/>
      <c r="VJS9" s="737"/>
      <c r="VJT9" s="737"/>
      <c r="VJU9" s="737"/>
      <c r="VJV9" s="737"/>
      <c r="VJW9" s="737"/>
      <c r="VJX9" s="737"/>
      <c r="VJY9" s="737"/>
      <c r="VJZ9" s="737"/>
      <c r="VKA9" s="737"/>
      <c r="VKB9" s="737"/>
      <c r="VKC9" s="737"/>
      <c r="VKD9" s="737"/>
      <c r="VKE9" s="737"/>
      <c r="VKF9" s="737"/>
      <c r="VKG9" s="737"/>
      <c r="VKH9" s="737"/>
      <c r="VKI9" s="737"/>
      <c r="VKJ9" s="737"/>
      <c r="VKK9" s="737"/>
      <c r="VKL9" s="737"/>
      <c r="VKM9" s="737"/>
      <c r="VKN9" s="737"/>
      <c r="VKO9" s="737"/>
      <c r="VKP9" s="737"/>
      <c r="VKQ9" s="737"/>
      <c r="VKR9" s="737"/>
      <c r="VKS9" s="737"/>
      <c r="VKT9" s="737"/>
      <c r="VKU9" s="737"/>
      <c r="VKV9" s="737"/>
      <c r="VKW9" s="737"/>
      <c r="VKX9" s="737"/>
      <c r="VKY9" s="737"/>
      <c r="VKZ9" s="737"/>
      <c r="VLA9" s="737"/>
      <c r="VLB9" s="737"/>
      <c r="VLC9" s="737"/>
      <c r="VLD9" s="737"/>
      <c r="VLE9" s="737"/>
      <c r="VLF9" s="737"/>
      <c r="VLG9" s="737"/>
      <c r="VLH9" s="737"/>
      <c r="VLI9" s="737"/>
      <c r="VLJ9" s="737"/>
      <c r="VLK9" s="737"/>
      <c r="VLL9" s="737"/>
      <c r="VLM9" s="737"/>
      <c r="VLN9" s="737"/>
      <c r="VLO9" s="737"/>
      <c r="VLP9" s="737"/>
      <c r="VLQ9" s="737"/>
      <c r="VLR9" s="737"/>
      <c r="VLS9" s="737"/>
      <c r="VLT9" s="737"/>
      <c r="VLU9" s="737"/>
      <c r="VLV9" s="737"/>
      <c r="VLW9" s="737"/>
      <c r="VLX9" s="737"/>
      <c r="VLY9" s="737"/>
      <c r="VLZ9" s="737"/>
      <c r="VMA9" s="737"/>
      <c r="VMB9" s="737"/>
      <c r="VMC9" s="737"/>
      <c r="VMD9" s="737"/>
      <c r="VME9" s="737"/>
      <c r="VMF9" s="737"/>
      <c r="VMG9" s="737"/>
      <c r="VMH9" s="737"/>
      <c r="VMI9" s="737"/>
      <c r="VMJ9" s="737"/>
      <c r="VMK9" s="737"/>
      <c r="VML9" s="737"/>
      <c r="VMM9" s="737"/>
      <c r="VMN9" s="737"/>
      <c r="VMO9" s="737"/>
      <c r="VMP9" s="737"/>
      <c r="VMQ9" s="737"/>
      <c r="VMR9" s="737"/>
      <c r="VMS9" s="737"/>
      <c r="VMT9" s="737"/>
      <c r="VMU9" s="737"/>
      <c r="VMV9" s="737"/>
      <c r="VMW9" s="737"/>
      <c r="VMX9" s="737"/>
      <c r="VMY9" s="737"/>
      <c r="VMZ9" s="737"/>
      <c r="VNA9" s="737"/>
      <c r="VNB9" s="737"/>
      <c r="VNC9" s="737"/>
      <c r="VND9" s="737"/>
      <c r="VNE9" s="737"/>
      <c r="VNF9" s="737"/>
      <c r="VNG9" s="737"/>
      <c r="VNH9" s="737"/>
      <c r="VNI9" s="737"/>
      <c r="VNJ9" s="737"/>
      <c r="VNK9" s="737"/>
      <c r="VNL9" s="737"/>
      <c r="VNM9" s="737"/>
      <c r="VNN9" s="737"/>
      <c r="VNO9" s="737"/>
      <c r="VNP9" s="737"/>
      <c r="VNQ9" s="737"/>
      <c r="VNR9" s="737"/>
      <c r="VNS9" s="737"/>
      <c r="VNT9" s="737"/>
      <c r="VNU9" s="737"/>
      <c r="VNV9" s="737"/>
      <c r="VNW9" s="737"/>
      <c r="VNX9" s="737"/>
      <c r="VNY9" s="737"/>
      <c r="VNZ9" s="737"/>
      <c r="VOA9" s="737"/>
      <c r="VOB9" s="737"/>
      <c r="VOC9" s="737"/>
      <c r="VOD9" s="737"/>
      <c r="VOE9" s="737"/>
      <c r="VOF9" s="737"/>
      <c r="VOG9" s="737"/>
      <c r="VOH9" s="737"/>
      <c r="VOI9" s="737"/>
      <c r="VOJ9" s="737"/>
      <c r="VOK9" s="737"/>
      <c r="VOL9" s="737"/>
      <c r="VOM9" s="737"/>
      <c r="VON9" s="737"/>
      <c r="VOO9" s="737"/>
      <c r="VOP9" s="737"/>
      <c r="VOQ9" s="737"/>
      <c r="VOR9" s="737"/>
      <c r="VOS9" s="737"/>
      <c r="VOT9" s="737"/>
      <c r="VOU9" s="737"/>
      <c r="VOV9" s="737"/>
      <c r="VOW9" s="737"/>
      <c r="VOX9" s="737"/>
      <c r="VOY9" s="737"/>
      <c r="VOZ9" s="737"/>
      <c r="VPA9" s="737"/>
      <c r="VPB9" s="737"/>
      <c r="VPC9" s="737"/>
      <c r="VPD9" s="737"/>
      <c r="VPE9" s="737"/>
      <c r="VPF9" s="737"/>
      <c r="VPG9" s="737"/>
      <c r="VPH9" s="737"/>
      <c r="VPI9" s="737"/>
      <c r="VPJ9" s="737"/>
      <c r="VPK9" s="737"/>
      <c r="VPL9" s="737"/>
      <c r="VPM9" s="737"/>
      <c r="VPN9" s="737"/>
      <c r="VPO9" s="737"/>
      <c r="VPP9" s="737"/>
      <c r="VPQ9" s="737"/>
      <c r="VPR9" s="737"/>
      <c r="VPS9" s="737"/>
      <c r="VPT9" s="737"/>
      <c r="VPU9" s="737"/>
      <c r="VPV9" s="737"/>
      <c r="VPW9" s="737"/>
      <c r="VPX9" s="737"/>
      <c r="VPY9" s="737"/>
      <c r="VPZ9" s="737"/>
      <c r="VQA9" s="737"/>
      <c r="VQB9" s="737"/>
      <c r="VQC9" s="737"/>
      <c r="VQD9" s="737"/>
      <c r="VQE9" s="737"/>
      <c r="VQF9" s="737"/>
      <c r="VQG9" s="737"/>
      <c r="VQH9" s="737"/>
      <c r="VQI9" s="737"/>
      <c r="VQJ9" s="737"/>
      <c r="VQK9" s="737"/>
      <c r="VQL9" s="737"/>
      <c r="VQM9" s="737"/>
      <c r="VQN9" s="737"/>
      <c r="VQO9" s="737"/>
      <c r="VQP9" s="737"/>
      <c r="VQQ9" s="737"/>
      <c r="VQR9" s="737"/>
      <c r="VQS9" s="737"/>
      <c r="VQT9" s="737"/>
      <c r="VQU9" s="737"/>
      <c r="VQV9" s="737"/>
      <c r="VQW9" s="737"/>
      <c r="VQX9" s="737"/>
      <c r="VQY9" s="737"/>
      <c r="VQZ9" s="737"/>
      <c r="VRA9" s="737"/>
      <c r="VRB9" s="737"/>
      <c r="VRC9" s="737"/>
      <c r="VRD9" s="737"/>
      <c r="VRE9" s="737"/>
      <c r="VRF9" s="737"/>
      <c r="VRG9" s="737"/>
      <c r="VRH9" s="737"/>
      <c r="VRI9" s="737"/>
      <c r="VRJ9" s="737"/>
      <c r="VRK9" s="737"/>
      <c r="VRL9" s="737"/>
      <c r="VRM9" s="737"/>
      <c r="VRN9" s="737"/>
      <c r="VRO9" s="737"/>
      <c r="VRP9" s="737"/>
      <c r="VRQ9" s="737"/>
      <c r="VRR9" s="737"/>
      <c r="VRS9" s="737"/>
      <c r="VRT9" s="737"/>
      <c r="VRU9" s="737"/>
      <c r="VRV9" s="737"/>
      <c r="VRW9" s="737"/>
      <c r="VRX9" s="737"/>
      <c r="VRY9" s="737"/>
      <c r="VRZ9" s="737"/>
      <c r="VSA9" s="737"/>
      <c r="VSB9" s="737"/>
      <c r="VSC9" s="737"/>
      <c r="VSD9" s="737"/>
      <c r="VSE9" s="737"/>
      <c r="VSF9" s="737"/>
      <c r="VSG9" s="737"/>
      <c r="VSH9" s="737"/>
      <c r="VSI9" s="737"/>
      <c r="VSJ9" s="737"/>
      <c r="VSK9" s="737"/>
      <c r="VSL9" s="737"/>
      <c r="VSM9" s="737"/>
      <c r="VSN9" s="737"/>
      <c r="VSO9" s="737"/>
      <c r="VSP9" s="737"/>
      <c r="VSQ9" s="737"/>
      <c r="VSR9" s="737"/>
      <c r="VSS9" s="737"/>
      <c r="VST9" s="737"/>
      <c r="VSU9" s="737"/>
      <c r="VSV9" s="737"/>
      <c r="VSW9" s="737"/>
      <c r="VSX9" s="737"/>
      <c r="VSY9" s="737"/>
      <c r="VSZ9" s="737"/>
      <c r="VTA9" s="737"/>
      <c r="VTB9" s="737"/>
      <c r="VTC9" s="737"/>
      <c r="VTD9" s="737"/>
      <c r="VTE9" s="737"/>
      <c r="VTF9" s="737"/>
      <c r="VTG9" s="737"/>
      <c r="VTH9" s="737"/>
      <c r="VTI9" s="737"/>
      <c r="VTJ9" s="737"/>
      <c r="VTK9" s="737"/>
      <c r="VTL9" s="737"/>
      <c r="VTM9" s="737"/>
      <c r="VTN9" s="737"/>
      <c r="VTO9" s="737"/>
      <c r="VTP9" s="737"/>
      <c r="VTQ9" s="737"/>
      <c r="VTR9" s="737"/>
      <c r="VTS9" s="737"/>
      <c r="VTT9" s="737"/>
      <c r="VTU9" s="737"/>
      <c r="VTV9" s="737"/>
      <c r="VTW9" s="737"/>
      <c r="VTX9" s="737"/>
      <c r="VTY9" s="737"/>
      <c r="VTZ9" s="737"/>
      <c r="VUA9" s="737"/>
      <c r="VUB9" s="737"/>
      <c r="VUC9" s="737"/>
      <c r="VUD9" s="737"/>
      <c r="VUE9" s="737"/>
      <c r="VUF9" s="737"/>
      <c r="VUG9" s="737"/>
      <c r="VUH9" s="737"/>
      <c r="VUI9" s="737"/>
      <c r="VUJ9" s="737"/>
      <c r="VUK9" s="737"/>
      <c r="VUL9" s="737"/>
      <c r="VUM9" s="737"/>
      <c r="VUN9" s="737"/>
      <c r="VUO9" s="737"/>
      <c r="VUP9" s="737"/>
      <c r="VUQ9" s="737"/>
      <c r="VUR9" s="737"/>
      <c r="VUS9" s="737"/>
      <c r="VUT9" s="737"/>
      <c r="VUU9" s="737"/>
      <c r="VUV9" s="737"/>
      <c r="VUW9" s="737"/>
      <c r="VUX9" s="737"/>
      <c r="VUY9" s="737"/>
      <c r="VUZ9" s="737"/>
      <c r="VVA9" s="737"/>
      <c r="VVB9" s="737"/>
      <c r="VVC9" s="737"/>
      <c r="VVD9" s="737"/>
      <c r="VVE9" s="737"/>
      <c r="VVF9" s="737"/>
      <c r="VVG9" s="737"/>
      <c r="VVH9" s="737"/>
      <c r="VVI9" s="737"/>
      <c r="VVJ9" s="737"/>
      <c r="VVK9" s="737"/>
      <c r="VVL9" s="737"/>
      <c r="VVM9" s="737"/>
      <c r="VVN9" s="737"/>
      <c r="VVO9" s="737"/>
      <c r="VVP9" s="737"/>
      <c r="VVQ9" s="737"/>
      <c r="VVR9" s="737"/>
      <c r="VVS9" s="737"/>
      <c r="VVT9" s="737"/>
      <c r="VVU9" s="737"/>
      <c r="VVV9" s="737"/>
      <c r="VVW9" s="737"/>
      <c r="VVX9" s="737"/>
      <c r="VVY9" s="737"/>
      <c r="VVZ9" s="737"/>
      <c r="VWA9" s="737"/>
      <c r="VWB9" s="737"/>
      <c r="VWC9" s="737"/>
      <c r="VWD9" s="737"/>
      <c r="VWE9" s="737"/>
      <c r="VWF9" s="737"/>
      <c r="VWG9" s="737"/>
      <c r="VWH9" s="737"/>
      <c r="VWI9" s="737"/>
      <c r="VWJ9" s="737"/>
      <c r="VWK9" s="737"/>
      <c r="VWL9" s="737"/>
      <c r="VWM9" s="737"/>
      <c r="VWN9" s="737"/>
      <c r="VWO9" s="737"/>
      <c r="VWP9" s="737"/>
      <c r="VWQ9" s="737"/>
      <c r="VWR9" s="737"/>
      <c r="VWS9" s="737"/>
      <c r="VWT9" s="737"/>
      <c r="VWU9" s="737"/>
      <c r="VWV9" s="737"/>
      <c r="VWW9" s="737"/>
      <c r="VWX9" s="737"/>
      <c r="VWY9" s="737"/>
      <c r="VWZ9" s="737"/>
      <c r="VXA9" s="737"/>
      <c r="VXB9" s="737"/>
      <c r="VXC9" s="737"/>
      <c r="VXD9" s="737"/>
      <c r="VXE9" s="737"/>
      <c r="VXF9" s="737"/>
      <c r="VXG9" s="737"/>
      <c r="VXH9" s="737"/>
      <c r="VXI9" s="737"/>
      <c r="VXJ9" s="737"/>
      <c r="VXK9" s="737"/>
      <c r="VXL9" s="737"/>
      <c r="VXM9" s="737"/>
      <c r="VXN9" s="737"/>
      <c r="VXO9" s="737"/>
      <c r="VXP9" s="737"/>
      <c r="VXQ9" s="737"/>
      <c r="VXR9" s="737"/>
      <c r="VXS9" s="737"/>
      <c r="VXT9" s="737"/>
      <c r="VXU9" s="737"/>
      <c r="VXV9" s="737"/>
      <c r="VXW9" s="737"/>
      <c r="VXX9" s="737"/>
      <c r="VXY9" s="737"/>
      <c r="VXZ9" s="737"/>
      <c r="VYA9" s="737"/>
      <c r="VYB9" s="737"/>
      <c r="VYC9" s="737"/>
      <c r="VYD9" s="737"/>
      <c r="VYE9" s="737"/>
      <c r="VYF9" s="737"/>
      <c r="VYG9" s="737"/>
      <c r="VYH9" s="737"/>
      <c r="VYI9" s="737"/>
      <c r="VYJ9" s="737"/>
      <c r="VYK9" s="737"/>
      <c r="VYL9" s="737"/>
      <c r="VYM9" s="737"/>
      <c r="VYN9" s="737"/>
      <c r="VYO9" s="737"/>
      <c r="VYP9" s="737"/>
      <c r="VYQ9" s="737"/>
      <c r="VYR9" s="737"/>
      <c r="VYS9" s="737"/>
      <c r="VYT9" s="737"/>
      <c r="VYU9" s="737"/>
      <c r="VYV9" s="737"/>
      <c r="VYW9" s="737"/>
      <c r="VYX9" s="737"/>
      <c r="VYY9" s="737"/>
      <c r="VYZ9" s="737"/>
      <c r="VZA9" s="737"/>
      <c r="VZB9" s="737"/>
      <c r="VZC9" s="737"/>
      <c r="VZD9" s="737"/>
      <c r="VZE9" s="737"/>
      <c r="VZF9" s="737"/>
      <c r="VZG9" s="737"/>
      <c r="VZH9" s="737"/>
      <c r="VZI9" s="737"/>
      <c r="VZJ9" s="737"/>
      <c r="VZK9" s="737"/>
      <c r="VZL9" s="737"/>
      <c r="VZM9" s="737"/>
      <c r="VZN9" s="737"/>
      <c r="VZO9" s="737"/>
      <c r="VZP9" s="737"/>
      <c r="VZQ9" s="737"/>
      <c r="VZR9" s="737"/>
      <c r="VZS9" s="737"/>
      <c r="VZT9" s="737"/>
      <c r="VZU9" s="737"/>
      <c r="VZV9" s="737"/>
      <c r="VZW9" s="737"/>
      <c r="VZX9" s="737"/>
      <c r="VZY9" s="737"/>
      <c r="VZZ9" s="737"/>
      <c r="WAA9" s="737"/>
      <c r="WAB9" s="737"/>
      <c r="WAC9" s="737"/>
      <c r="WAD9" s="737"/>
      <c r="WAE9" s="737"/>
      <c r="WAF9" s="737"/>
      <c r="WAG9" s="737"/>
      <c r="WAH9" s="737"/>
      <c r="WAI9" s="737"/>
      <c r="WAJ9" s="737"/>
      <c r="WAK9" s="737"/>
      <c r="WAL9" s="737"/>
      <c r="WAM9" s="737"/>
      <c r="WAN9" s="737"/>
      <c r="WAO9" s="737"/>
      <c r="WAP9" s="737"/>
      <c r="WAQ9" s="737"/>
      <c r="WAR9" s="737"/>
      <c r="WAS9" s="737"/>
      <c r="WAT9" s="737"/>
      <c r="WAU9" s="737"/>
      <c r="WAV9" s="737"/>
      <c r="WAW9" s="737"/>
      <c r="WAX9" s="737"/>
      <c r="WAY9" s="737"/>
      <c r="WAZ9" s="737"/>
      <c r="WBA9" s="737"/>
      <c r="WBB9" s="737"/>
      <c r="WBC9" s="737"/>
      <c r="WBD9" s="737"/>
      <c r="WBE9" s="737"/>
      <c r="WBF9" s="737"/>
      <c r="WBG9" s="737"/>
      <c r="WBH9" s="737"/>
      <c r="WBI9" s="737"/>
      <c r="WBJ9" s="737"/>
      <c r="WBK9" s="737"/>
      <c r="WBL9" s="737"/>
      <c r="WBM9" s="737"/>
      <c r="WBN9" s="737"/>
      <c r="WBO9" s="737"/>
      <c r="WBP9" s="737"/>
      <c r="WBQ9" s="737"/>
      <c r="WBR9" s="737"/>
      <c r="WBS9" s="737"/>
      <c r="WBT9" s="737"/>
      <c r="WBU9" s="737"/>
      <c r="WBV9" s="737"/>
      <c r="WBW9" s="737"/>
      <c r="WBX9" s="737"/>
      <c r="WBY9" s="737"/>
      <c r="WBZ9" s="737"/>
      <c r="WCA9" s="737"/>
      <c r="WCB9" s="737"/>
      <c r="WCC9" s="737"/>
      <c r="WCD9" s="737"/>
      <c r="WCE9" s="737"/>
      <c r="WCF9" s="737"/>
      <c r="WCG9" s="737"/>
      <c r="WCH9" s="737"/>
      <c r="WCI9" s="737"/>
      <c r="WCJ9" s="737"/>
      <c r="WCK9" s="737"/>
      <c r="WCL9" s="737"/>
      <c r="WCM9" s="737"/>
      <c r="WCN9" s="737"/>
      <c r="WCO9" s="737"/>
      <c r="WCP9" s="737"/>
      <c r="WCQ9" s="737"/>
      <c r="WCR9" s="737"/>
      <c r="WCS9" s="737"/>
      <c r="WCT9" s="737"/>
      <c r="WCU9" s="737"/>
      <c r="WCV9" s="737"/>
      <c r="WCW9" s="737"/>
      <c r="WCX9" s="737"/>
      <c r="WCY9" s="737"/>
      <c r="WCZ9" s="737"/>
      <c r="WDA9" s="737"/>
      <c r="WDB9" s="737"/>
      <c r="WDC9" s="737"/>
      <c r="WDD9" s="737"/>
      <c r="WDE9" s="737"/>
      <c r="WDF9" s="737"/>
      <c r="WDG9" s="737"/>
      <c r="WDH9" s="737"/>
      <c r="WDI9" s="737"/>
      <c r="WDJ9" s="737"/>
      <c r="WDK9" s="737"/>
      <c r="WDL9" s="737"/>
      <c r="WDM9" s="737"/>
      <c r="WDN9" s="737"/>
      <c r="WDO9" s="737"/>
      <c r="WDP9" s="737"/>
      <c r="WDQ9" s="737"/>
      <c r="WDR9" s="737"/>
      <c r="WDS9" s="737"/>
      <c r="WDT9" s="737"/>
      <c r="WDU9" s="737"/>
      <c r="WDV9" s="737"/>
      <c r="WDW9" s="737"/>
      <c r="WDX9" s="737"/>
      <c r="WDY9" s="737"/>
      <c r="WDZ9" s="737"/>
      <c r="WEA9" s="737"/>
      <c r="WEB9" s="737"/>
      <c r="WEC9" s="737"/>
      <c r="WED9" s="737"/>
      <c r="WEE9" s="737"/>
      <c r="WEF9" s="737"/>
      <c r="WEG9" s="737"/>
      <c r="WEH9" s="737"/>
      <c r="WEI9" s="737"/>
      <c r="WEJ9" s="737"/>
      <c r="WEK9" s="737"/>
      <c r="WEL9" s="737"/>
      <c r="WEM9" s="737"/>
      <c r="WEN9" s="737"/>
      <c r="WEO9" s="737"/>
      <c r="WEP9" s="737"/>
      <c r="WEQ9" s="737"/>
      <c r="WER9" s="737"/>
      <c r="WES9" s="737"/>
      <c r="WET9" s="737"/>
      <c r="WEU9" s="737"/>
      <c r="WEV9" s="737"/>
      <c r="WEW9" s="737"/>
      <c r="WEX9" s="737"/>
      <c r="WEY9" s="737"/>
      <c r="WEZ9" s="737"/>
      <c r="WFA9" s="737"/>
      <c r="WFB9" s="737"/>
      <c r="WFC9" s="737"/>
      <c r="WFD9" s="737"/>
      <c r="WFE9" s="737"/>
      <c r="WFF9" s="737"/>
      <c r="WFG9" s="737"/>
      <c r="WFH9" s="737"/>
      <c r="WFI9" s="737"/>
      <c r="WFJ9" s="737"/>
      <c r="WFK9" s="737"/>
      <c r="WFL9" s="737"/>
      <c r="WFM9" s="737"/>
      <c r="WFN9" s="737"/>
      <c r="WFO9" s="737"/>
      <c r="WFP9" s="737"/>
      <c r="WFQ9" s="737"/>
      <c r="WFR9" s="737"/>
      <c r="WFS9" s="737"/>
      <c r="WFT9" s="737"/>
      <c r="WFU9" s="737"/>
      <c r="WFV9" s="737"/>
      <c r="WFW9" s="737"/>
      <c r="WFX9" s="737"/>
      <c r="WFY9" s="737"/>
      <c r="WFZ9" s="737"/>
      <c r="WGA9" s="737"/>
      <c r="WGB9" s="737"/>
      <c r="WGC9" s="737"/>
      <c r="WGD9" s="737"/>
      <c r="WGE9" s="737"/>
      <c r="WGF9" s="737"/>
      <c r="WGG9" s="737"/>
      <c r="WGH9" s="737"/>
      <c r="WGI9" s="737"/>
      <c r="WGJ9" s="737"/>
      <c r="WGK9" s="737"/>
      <c r="WGL9" s="737"/>
      <c r="WGM9" s="737"/>
      <c r="WGN9" s="737"/>
      <c r="WGO9" s="737"/>
      <c r="WGP9" s="737"/>
      <c r="WGQ9" s="737"/>
      <c r="WGR9" s="737"/>
      <c r="WGS9" s="737"/>
      <c r="WGT9" s="737"/>
      <c r="WGU9" s="737"/>
      <c r="WGV9" s="737"/>
      <c r="WGW9" s="737"/>
      <c r="WGX9" s="737"/>
      <c r="WGY9" s="737"/>
      <c r="WGZ9" s="737"/>
      <c r="WHA9" s="737"/>
      <c r="WHB9" s="737"/>
      <c r="WHC9" s="737"/>
      <c r="WHD9" s="737"/>
      <c r="WHE9" s="737"/>
      <c r="WHF9" s="737"/>
      <c r="WHG9" s="737"/>
      <c r="WHH9" s="737"/>
      <c r="WHI9" s="737"/>
      <c r="WHJ9" s="737"/>
      <c r="WHK9" s="737"/>
      <c r="WHL9" s="737"/>
      <c r="WHM9" s="737"/>
      <c r="WHN9" s="737"/>
      <c r="WHO9" s="737"/>
      <c r="WHP9" s="737"/>
      <c r="WHQ9" s="737"/>
      <c r="WHR9" s="737"/>
      <c r="WHS9" s="737"/>
      <c r="WHT9" s="737"/>
      <c r="WHU9" s="737"/>
      <c r="WHV9" s="737"/>
      <c r="WHW9" s="737"/>
      <c r="WHX9" s="737"/>
      <c r="WHY9" s="737"/>
      <c r="WHZ9" s="737"/>
      <c r="WIA9" s="737"/>
      <c r="WIB9" s="737"/>
      <c r="WIC9" s="737"/>
      <c r="WID9" s="737"/>
      <c r="WIE9" s="737"/>
      <c r="WIF9" s="737"/>
      <c r="WIG9" s="737"/>
      <c r="WIH9" s="737"/>
      <c r="WII9" s="737"/>
      <c r="WIJ9" s="737"/>
      <c r="WIK9" s="737"/>
      <c r="WIL9" s="737"/>
      <c r="WIM9" s="737"/>
      <c r="WIN9" s="737"/>
      <c r="WIO9" s="737"/>
      <c r="WIP9" s="737"/>
      <c r="WIQ9" s="737"/>
      <c r="WIR9" s="737"/>
      <c r="WIS9" s="737"/>
      <c r="WIT9" s="737"/>
      <c r="WIU9" s="737"/>
      <c r="WIV9" s="737"/>
      <c r="WIW9" s="737"/>
      <c r="WIX9" s="737"/>
      <c r="WIY9" s="737"/>
      <c r="WIZ9" s="737"/>
      <c r="WJA9" s="737"/>
      <c r="WJB9" s="737"/>
      <c r="WJC9" s="737"/>
      <c r="WJD9" s="737"/>
      <c r="WJE9" s="737"/>
      <c r="WJF9" s="737"/>
      <c r="WJG9" s="737"/>
      <c r="WJH9" s="737"/>
      <c r="WJI9" s="737"/>
      <c r="WJJ9" s="737"/>
      <c r="WJK9" s="737"/>
      <c r="WJL9" s="737"/>
      <c r="WJM9" s="737"/>
      <c r="WJN9" s="737"/>
      <c r="WJO9" s="737"/>
      <c r="WJP9" s="737"/>
      <c r="WJQ9" s="737"/>
      <c r="WJR9" s="737"/>
      <c r="WJS9" s="737"/>
      <c r="WJT9" s="737"/>
      <c r="WJU9" s="737"/>
      <c r="WJV9" s="737"/>
      <c r="WJW9" s="737"/>
      <c r="WJX9" s="737"/>
      <c r="WJY9" s="737"/>
      <c r="WJZ9" s="737"/>
      <c r="WKA9" s="737"/>
      <c r="WKB9" s="737"/>
      <c r="WKC9" s="737"/>
      <c r="WKD9" s="737"/>
      <c r="WKE9" s="737"/>
      <c r="WKF9" s="737"/>
      <c r="WKG9" s="737"/>
      <c r="WKH9" s="737"/>
      <c r="WKI9" s="737"/>
      <c r="WKJ9" s="737"/>
      <c r="WKK9" s="737"/>
      <c r="WKL9" s="737"/>
      <c r="WKM9" s="737"/>
      <c r="WKN9" s="737"/>
      <c r="WKO9" s="737"/>
      <c r="WKP9" s="737"/>
      <c r="WKQ9" s="737"/>
      <c r="WKR9" s="737"/>
      <c r="WKS9" s="737"/>
      <c r="WKT9" s="737"/>
      <c r="WKU9" s="737"/>
      <c r="WKV9" s="737"/>
      <c r="WKW9" s="737"/>
      <c r="WKX9" s="737"/>
      <c r="WKY9" s="737"/>
      <c r="WKZ9" s="737"/>
      <c r="WLA9" s="737"/>
      <c r="WLB9" s="737"/>
      <c r="WLC9" s="737"/>
      <c r="WLD9" s="737"/>
      <c r="WLE9" s="737"/>
      <c r="WLF9" s="737"/>
      <c r="WLG9" s="737"/>
      <c r="WLH9" s="737"/>
      <c r="WLI9" s="737"/>
      <c r="WLJ9" s="737"/>
      <c r="WLK9" s="737"/>
      <c r="WLL9" s="737"/>
      <c r="WLM9" s="737"/>
      <c r="WLN9" s="737"/>
      <c r="WLO9" s="737"/>
      <c r="WLP9" s="737"/>
      <c r="WLQ9" s="737"/>
      <c r="WLR9" s="737"/>
      <c r="WLS9" s="737"/>
      <c r="WLT9" s="737"/>
      <c r="WLU9" s="737"/>
      <c r="WLV9" s="737"/>
      <c r="WLW9" s="737"/>
      <c r="WLX9" s="737"/>
      <c r="WLY9" s="737"/>
      <c r="WLZ9" s="737"/>
      <c r="WMA9" s="737"/>
      <c r="WMB9" s="737"/>
      <c r="WMC9" s="737"/>
      <c r="WMD9" s="737"/>
      <c r="WME9" s="737"/>
      <c r="WMF9" s="737"/>
      <c r="WMG9" s="737"/>
      <c r="WMH9" s="737"/>
      <c r="WMI9" s="737"/>
      <c r="WMJ9" s="737"/>
      <c r="WMK9" s="737"/>
      <c r="WML9" s="737"/>
      <c r="WMM9" s="737"/>
      <c r="WMN9" s="737"/>
      <c r="WMO9" s="737"/>
      <c r="WMP9" s="737"/>
      <c r="WMQ9" s="737"/>
      <c r="WMR9" s="737"/>
      <c r="WMS9" s="737"/>
      <c r="WMT9" s="737"/>
      <c r="WMU9" s="737"/>
      <c r="WMV9" s="737"/>
      <c r="WMW9" s="737"/>
      <c r="WMX9" s="737"/>
      <c r="WMY9" s="737"/>
      <c r="WMZ9" s="737"/>
      <c r="WNA9" s="737"/>
      <c r="WNB9" s="737"/>
      <c r="WNC9" s="737"/>
      <c r="WND9" s="737"/>
      <c r="WNE9" s="737"/>
      <c r="WNF9" s="737"/>
      <c r="WNG9" s="737"/>
      <c r="WNH9" s="737"/>
      <c r="WNI9" s="737"/>
      <c r="WNJ9" s="737"/>
      <c r="WNK9" s="737"/>
      <c r="WNL9" s="737"/>
      <c r="WNM9" s="737"/>
      <c r="WNN9" s="737"/>
      <c r="WNO9" s="737"/>
      <c r="WNP9" s="737"/>
      <c r="WNQ9" s="737"/>
      <c r="WNR9" s="737"/>
      <c r="WNS9" s="737"/>
      <c r="WNT9" s="737"/>
      <c r="WNU9" s="737"/>
      <c r="WNV9" s="737"/>
      <c r="WNW9" s="737"/>
      <c r="WNX9" s="737"/>
      <c r="WNY9" s="737"/>
      <c r="WNZ9" s="737"/>
      <c r="WOA9" s="737"/>
      <c r="WOB9" s="737"/>
      <c r="WOC9" s="737"/>
      <c r="WOD9" s="737"/>
      <c r="WOE9" s="737"/>
      <c r="WOF9" s="737"/>
      <c r="WOG9" s="737"/>
      <c r="WOH9" s="737"/>
      <c r="WOI9" s="737"/>
      <c r="WOJ9" s="737"/>
      <c r="WOK9" s="737"/>
      <c r="WOL9" s="737"/>
      <c r="WOM9" s="737"/>
      <c r="WON9" s="737"/>
      <c r="WOO9" s="737"/>
      <c r="WOP9" s="737"/>
      <c r="WOQ9" s="737"/>
      <c r="WOR9" s="737"/>
      <c r="WOS9" s="737"/>
      <c r="WOT9" s="737"/>
      <c r="WOU9" s="737"/>
      <c r="WOV9" s="737"/>
      <c r="WOW9" s="737"/>
      <c r="WOX9" s="737"/>
      <c r="WOY9" s="737"/>
      <c r="WOZ9" s="737"/>
      <c r="WPA9" s="737"/>
      <c r="WPB9" s="737"/>
      <c r="WPC9" s="737"/>
      <c r="WPD9" s="737"/>
      <c r="WPE9" s="737"/>
      <c r="WPF9" s="737"/>
      <c r="WPG9" s="737"/>
      <c r="WPH9" s="737"/>
      <c r="WPI9" s="737"/>
      <c r="WPJ9" s="737"/>
      <c r="WPK9" s="737"/>
      <c r="WPL9" s="737"/>
      <c r="WPM9" s="737"/>
      <c r="WPN9" s="737"/>
      <c r="WPO9" s="737"/>
      <c r="WPP9" s="737"/>
      <c r="WPQ9" s="737"/>
      <c r="WPR9" s="737"/>
      <c r="WPS9" s="737"/>
      <c r="WPT9" s="737"/>
      <c r="WPU9" s="737"/>
      <c r="WPV9" s="737"/>
      <c r="WPW9" s="737"/>
      <c r="WPX9" s="737"/>
      <c r="WPY9" s="737"/>
      <c r="WPZ9" s="737"/>
      <c r="WQA9" s="737"/>
      <c r="WQB9" s="737"/>
      <c r="WQC9" s="737"/>
      <c r="WQD9" s="737"/>
      <c r="WQE9" s="737"/>
      <c r="WQF9" s="737"/>
      <c r="WQG9" s="737"/>
      <c r="WQH9" s="737"/>
      <c r="WQI9" s="737"/>
      <c r="WQJ9" s="737"/>
      <c r="WQK9" s="737"/>
      <c r="WQL9" s="737"/>
      <c r="WQM9" s="737"/>
      <c r="WQN9" s="737"/>
      <c r="WQO9" s="737"/>
      <c r="WQP9" s="737"/>
      <c r="WQQ9" s="737"/>
      <c r="WQR9" s="737"/>
      <c r="WQS9" s="737"/>
      <c r="WQT9" s="737"/>
      <c r="WQU9" s="737"/>
      <c r="WQV9" s="737"/>
      <c r="WQW9" s="737"/>
      <c r="WQX9" s="737"/>
      <c r="WQY9" s="737"/>
      <c r="WQZ9" s="737"/>
      <c r="WRA9" s="737"/>
      <c r="WRB9" s="737"/>
      <c r="WRC9" s="737"/>
      <c r="WRD9" s="737"/>
      <c r="WRE9" s="737"/>
      <c r="WRF9" s="737"/>
      <c r="WRG9" s="737"/>
      <c r="WRH9" s="737"/>
      <c r="WRI9" s="737"/>
      <c r="WRJ9" s="737"/>
      <c r="WRK9" s="737"/>
      <c r="WRL9" s="737"/>
      <c r="WRM9" s="737"/>
      <c r="WRN9" s="737"/>
      <c r="WRO9" s="737"/>
      <c r="WRP9" s="737"/>
      <c r="WRQ9" s="737"/>
      <c r="WRR9" s="737"/>
      <c r="WRS9" s="737"/>
      <c r="WRT9" s="737"/>
      <c r="WRU9" s="737"/>
      <c r="WRV9" s="737"/>
      <c r="WRW9" s="737"/>
      <c r="WRX9" s="737"/>
      <c r="WRY9" s="737"/>
      <c r="WRZ9" s="737"/>
      <c r="WSA9" s="737"/>
      <c r="WSB9" s="737"/>
      <c r="WSC9" s="737"/>
      <c r="WSD9" s="737"/>
      <c r="WSE9" s="737"/>
      <c r="WSF9" s="737"/>
      <c r="WSG9" s="737"/>
      <c r="WSH9" s="737"/>
      <c r="WSI9" s="737"/>
      <c r="WSJ9" s="737"/>
      <c r="WSK9" s="737"/>
      <c r="WSL9" s="737"/>
      <c r="WSM9" s="737"/>
      <c r="WSN9" s="737"/>
      <c r="WSO9" s="737"/>
      <c r="WSP9" s="737"/>
      <c r="WSQ9" s="737"/>
      <c r="WSR9" s="737"/>
      <c r="WSS9" s="737"/>
      <c r="WST9" s="737"/>
      <c r="WSU9" s="737"/>
      <c r="WSV9" s="737"/>
      <c r="WSW9" s="737"/>
      <c r="WSX9" s="737"/>
      <c r="WSY9" s="737"/>
      <c r="WSZ9" s="737"/>
      <c r="WTA9" s="737"/>
      <c r="WTB9" s="737"/>
      <c r="WTC9" s="737"/>
      <c r="WTD9" s="737"/>
      <c r="WTE9" s="737"/>
      <c r="WTF9" s="737"/>
      <c r="WTG9" s="737"/>
      <c r="WTH9" s="737"/>
      <c r="WTI9" s="737"/>
      <c r="WTJ9" s="737"/>
      <c r="WTK9" s="737"/>
      <c r="WTL9" s="737"/>
      <c r="WTM9" s="737"/>
      <c r="WTN9" s="737"/>
      <c r="WTO9" s="737"/>
      <c r="WTP9" s="737"/>
      <c r="WTQ9" s="737"/>
      <c r="WTR9" s="737"/>
      <c r="WTS9" s="737"/>
      <c r="WTT9" s="737"/>
      <c r="WTU9" s="737"/>
      <c r="WTV9" s="737"/>
      <c r="WTW9" s="737"/>
      <c r="WTX9" s="737"/>
      <c r="WTY9" s="737"/>
      <c r="WTZ9" s="737"/>
      <c r="WUA9" s="737"/>
      <c r="WUB9" s="737"/>
      <c r="WUC9" s="737"/>
      <c r="WUD9" s="737"/>
      <c r="WUE9" s="737"/>
      <c r="WUF9" s="737"/>
      <c r="WUG9" s="737"/>
      <c r="WUH9" s="737"/>
      <c r="WUI9" s="737"/>
      <c r="WUJ9" s="737"/>
      <c r="WUK9" s="737"/>
      <c r="WUL9" s="737"/>
      <c r="WUM9" s="737"/>
      <c r="WUN9" s="737"/>
      <c r="WUO9" s="737"/>
      <c r="WUP9" s="737"/>
      <c r="WUQ9" s="737"/>
      <c r="WUR9" s="737"/>
      <c r="WUS9" s="737"/>
      <c r="WUT9" s="737"/>
      <c r="WUU9" s="737"/>
      <c r="WUV9" s="737"/>
      <c r="WUW9" s="737"/>
      <c r="WUX9" s="737"/>
      <c r="WUY9" s="737"/>
      <c r="WUZ9" s="737"/>
      <c r="WVA9" s="737"/>
      <c r="WVB9" s="737"/>
      <c r="WVC9" s="737"/>
      <c r="WVD9" s="737"/>
      <c r="WVE9" s="737"/>
      <c r="WVF9" s="737"/>
      <c r="WVG9" s="737"/>
      <c r="WVH9" s="737"/>
      <c r="WVI9" s="737"/>
      <c r="WVJ9" s="737"/>
      <c r="WVK9" s="737"/>
      <c r="WVL9" s="737"/>
      <c r="WVM9" s="737"/>
      <c r="WVN9" s="737"/>
      <c r="WVO9" s="737"/>
      <c r="WVP9" s="737"/>
      <c r="WVQ9" s="737"/>
      <c r="WVR9" s="737"/>
      <c r="WVS9" s="737"/>
      <c r="WVT9" s="737"/>
      <c r="WVU9" s="737"/>
      <c r="WVV9" s="737"/>
      <c r="WVW9" s="737"/>
      <c r="WVX9" s="737"/>
      <c r="WVY9" s="737"/>
      <c r="WVZ9" s="737"/>
      <c r="WWA9" s="737"/>
      <c r="WWB9" s="737"/>
      <c r="WWC9" s="737"/>
      <c r="WWD9" s="737"/>
      <c r="WWE9" s="737"/>
      <c r="WWF9" s="737"/>
      <c r="WWG9" s="737"/>
      <c r="WWH9" s="737"/>
      <c r="WWI9" s="737"/>
      <c r="WWJ9" s="737"/>
      <c r="WWK9" s="737"/>
      <c r="WWL9" s="737"/>
      <c r="WWM9" s="737"/>
      <c r="WWN9" s="737"/>
      <c r="WWO9" s="737"/>
      <c r="WWP9" s="737"/>
      <c r="WWQ9" s="737"/>
      <c r="WWR9" s="737"/>
      <c r="WWS9" s="737"/>
      <c r="WWT9" s="737"/>
      <c r="WWU9" s="737"/>
      <c r="WWV9" s="737"/>
      <c r="WWW9" s="737"/>
      <c r="WWX9" s="737"/>
      <c r="WWY9" s="737"/>
      <c r="WWZ9" s="737"/>
      <c r="WXA9" s="737"/>
      <c r="WXB9" s="737"/>
      <c r="WXC9" s="737"/>
      <c r="WXD9" s="737"/>
      <c r="WXE9" s="737"/>
      <c r="WXF9" s="737"/>
      <c r="WXG9" s="737"/>
      <c r="WXH9" s="737"/>
      <c r="WXI9" s="737"/>
      <c r="WXJ9" s="737"/>
      <c r="WXK9" s="737"/>
      <c r="WXL9" s="737"/>
      <c r="WXM9" s="737"/>
      <c r="WXN9" s="737"/>
      <c r="WXO9" s="737"/>
      <c r="WXP9" s="737"/>
      <c r="WXQ9" s="737"/>
      <c r="WXR9" s="737"/>
      <c r="WXS9" s="737"/>
      <c r="WXT9" s="737"/>
      <c r="WXU9" s="737"/>
      <c r="WXV9" s="737"/>
      <c r="WXW9" s="737"/>
      <c r="WXX9" s="737"/>
      <c r="WXY9" s="737"/>
      <c r="WXZ9" s="737"/>
      <c r="WYA9" s="737"/>
      <c r="WYB9" s="737"/>
      <c r="WYC9" s="737"/>
      <c r="WYD9" s="737"/>
      <c r="WYE9" s="737"/>
      <c r="WYF9" s="737"/>
      <c r="WYG9" s="737"/>
      <c r="WYH9" s="737"/>
      <c r="WYI9" s="737"/>
      <c r="WYJ9" s="737"/>
      <c r="WYK9" s="737"/>
      <c r="WYL9" s="737"/>
      <c r="WYM9" s="737"/>
      <c r="WYN9" s="737"/>
      <c r="WYO9" s="737"/>
      <c r="WYP9" s="737"/>
      <c r="WYQ9" s="737"/>
      <c r="WYR9" s="737"/>
      <c r="WYS9" s="737"/>
      <c r="WYT9" s="737"/>
      <c r="WYU9" s="737"/>
      <c r="WYV9" s="737"/>
      <c r="WYW9" s="737"/>
      <c r="WYX9" s="737"/>
      <c r="WYY9" s="737"/>
      <c r="WYZ9" s="737"/>
      <c r="WZA9" s="737"/>
      <c r="WZB9" s="737"/>
      <c r="WZC9" s="737"/>
      <c r="WZD9" s="737"/>
      <c r="WZE9" s="737"/>
      <c r="WZF9" s="737"/>
      <c r="WZG9" s="737"/>
      <c r="WZH9" s="737"/>
      <c r="WZI9" s="737"/>
      <c r="WZJ9" s="737"/>
      <c r="WZK9" s="737"/>
      <c r="WZL9" s="737"/>
      <c r="WZM9" s="737"/>
      <c r="WZN9" s="737"/>
      <c r="WZO9" s="737"/>
      <c r="WZP9" s="737"/>
      <c r="WZQ9" s="737"/>
      <c r="WZR9" s="737"/>
      <c r="WZS9" s="737"/>
      <c r="WZT9" s="737"/>
      <c r="WZU9" s="737"/>
      <c r="WZV9" s="737"/>
      <c r="WZW9" s="737"/>
      <c r="WZX9" s="737"/>
      <c r="WZY9" s="737"/>
      <c r="WZZ9" s="737"/>
      <c r="XAA9" s="737"/>
      <c r="XAB9" s="737"/>
      <c r="XAC9" s="737"/>
      <c r="XAD9" s="737"/>
      <c r="XAE9" s="737"/>
      <c r="XAF9" s="737"/>
      <c r="XAG9" s="737"/>
      <c r="XAH9" s="737"/>
      <c r="XAI9" s="737"/>
      <c r="XAJ9" s="737"/>
      <c r="XAK9" s="737"/>
      <c r="XAL9" s="737"/>
      <c r="XAM9" s="737"/>
      <c r="XAN9" s="737"/>
      <c r="XAO9" s="737"/>
      <c r="XAP9" s="737"/>
      <c r="XAQ9" s="737"/>
      <c r="XAR9" s="737"/>
      <c r="XAS9" s="737"/>
      <c r="XAT9" s="737"/>
      <c r="XAU9" s="737"/>
      <c r="XAV9" s="737"/>
      <c r="XAW9" s="737"/>
      <c r="XAX9" s="737"/>
      <c r="XAY9" s="737"/>
      <c r="XAZ9" s="737"/>
      <c r="XBA9" s="737"/>
      <c r="XBB9" s="737"/>
      <c r="XBC9" s="737"/>
      <c r="XBD9" s="737"/>
      <c r="XBE9" s="737"/>
      <c r="XBF9" s="737"/>
      <c r="XBG9" s="737"/>
      <c r="XBH9" s="737"/>
      <c r="XBI9" s="737"/>
      <c r="XBJ9" s="737"/>
      <c r="XBK9" s="737"/>
      <c r="XBL9" s="737"/>
      <c r="XBM9" s="737"/>
      <c r="XBN9" s="737"/>
      <c r="XBO9" s="737"/>
      <c r="XBP9" s="737"/>
      <c r="XBQ9" s="737"/>
      <c r="XBR9" s="737"/>
      <c r="XBS9" s="737"/>
      <c r="XBT9" s="737"/>
      <c r="XBU9" s="737"/>
      <c r="XBV9" s="737"/>
      <c r="XBW9" s="737"/>
      <c r="XBX9" s="737"/>
      <c r="XBY9" s="737"/>
      <c r="XBZ9" s="737"/>
      <c r="XCA9" s="737"/>
      <c r="XCB9" s="737"/>
      <c r="XCC9" s="737"/>
      <c r="XCD9" s="737"/>
      <c r="XCE9" s="737"/>
      <c r="XCF9" s="737"/>
      <c r="XCG9" s="737"/>
      <c r="XCH9" s="737"/>
      <c r="XCI9" s="737"/>
      <c r="XCJ9" s="737"/>
      <c r="XCK9" s="737"/>
      <c r="XCL9" s="737"/>
      <c r="XCM9" s="737"/>
      <c r="XCN9" s="737"/>
      <c r="XCO9" s="737"/>
      <c r="XCP9" s="737"/>
      <c r="XCQ9" s="737"/>
      <c r="XCR9" s="737"/>
      <c r="XCS9" s="737"/>
      <c r="XCT9" s="737"/>
      <c r="XCU9" s="737"/>
      <c r="XCV9" s="737"/>
      <c r="XCW9" s="737"/>
      <c r="XCX9" s="737"/>
      <c r="XCY9" s="737"/>
      <c r="XCZ9" s="737"/>
      <c r="XDA9" s="737"/>
      <c r="XDB9" s="737"/>
      <c r="XDC9" s="737"/>
      <c r="XDD9" s="737"/>
      <c r="XDE9" s="737"/>
      <c r="XDF9" s="737"/>
      <c r="XDG9" s="737"/>
      <c r="XDH9" s="737"/>
      <c r="XDI9" s="737"/>
      <c r="XDJ9" s="737"/>
      <c r="XDK9" s="737"/>
      <c r="XDL9" s="737"/>
      <c r="XDM9" s="737"/>
      <c r="XDN9" s="737"/>
      <c r="XDO9" s="737"/>
      <c r="XDP9" s="737"/>
      <c r="XDQ9" s="737"/>
      <c r="XDR9" s="737"/>
      <c r="XDS9" s="737"/>
      <c r="XDT9" s="737"/>
      <c r="XDU9" s="737"/>
      <c r="XDV9" s="737"/>
      <c r="XDW9" s="737"/>
      <c r="XDX9" s="737"/>
      <c r="XDY9" s="737"/>
      <c r="XDZ9" s="737"/>
      <c r="XEA9" s="737"/>
      <c r="XEB9" s="737"/>
      <c r="XEC9" s="737"/>
      <c r="XED9" s="737"/>
      <c r="XEE9" s="737"/>
      <c r="XEF9" s="737"/>
    </row>
    <row r="10" spans="1:16360" s="740" customFormat="1" ht="11.25" customHeight="1" x14ac:dyDescent="0.2">
      <c r="A10" s="2525" t="s">
        <v>741</v>
      </c>
      <c r="B10" s="2525"/>
      <c r="C10" s="2525"/>
      <c r="D10" s="2528">
        <v>2</v>
      </c>
      <c r="E10" s="2529" t="s">
        <v>742</v>
      </c>
      <c r="F10" s="2529"/>
      <c r="G10" s="2529"/>
      <c r="H10" s="2529"/>
      <c r="I10" s="2529"/>
      <c r="J10" s="2529"/>
      <c r="K10" s="2529"/>
      <c r="L10" s="2529"/>
      <c r="M10" s="2529"/>
      <c r="N10" s="2529"/>
      <c r="O10" s="2529"/>
      <c r="P10" s="2529"/>
      <c r="Q10" s="2529"/>
      <c r="R10" s="2529"/>
      <c r="S10" s="2529"/>
      <c r="T10" s="2529"/>
      <c r="U10" s="2529"/>
      <c r="V10" s="2529"/>
      <c r="W10" s="2529"/>
      <c r="X10" s="2529"/>
      <c r="Y10" s="2529"/>
      <c r="Z10" s="2529"/>
      <c r="AA10" s="2529"/>
      <c r="AB10" s="2529"/>
      <c r="AC10" s="2529"/>
      <c r="AD10" s="2529"/>
      <c r="AE10" s="2529"/>
      <c r="AF10" s="2529"/>
      <c r="AG10" s="2529"/>
      <c r="AH10" s="2529"/>
      <c r="AI10" s="2529"/>
      <c r="AJ10" s="2529"/>
      <c r="AK10" s="2529"/>
      <c r="AL10" s="2529"/>
      <c r="AM10" s="739"/>
    </row>
    <row r="11" spans="1:16360" s="740" customFormat="1" ht="9.75" customHeight="1" x14ac:dyDescent="0.2">
      <c r="A11" s="2525"/>
      <c r="B11" s="2525"/>
      <c r="C11" s="2525"/>
      <c r="D11" s="2528"/>
      <c r="E11" s="2529"/>
      <c r="F11" s="2529"/>
      <c r="G11" s="2529"/>
      <c r="H11" s="2529"/>
      <c r="I11" s="2529"/>
      <c r="J11" s="2529"/>
      <c r="K11" s="2529"/>
      <c r="L11" s="2529"/>
      <c r="M11" s="2529"/>
      <c r="N11" s="2529"/>
      <c r="O11" s="2529"/>
      <c r="P11" s="2529"/>
      <c r="Q11" s="2529"/>
      <c r="R11" s="2529"/>
      <c r="S11" s="2529"/>
      <c r="T11" s="2529"/>
      <c r="U11" s="2529"/>
      <c r="V11" s="2529"/>
      <c r="W11" s="2529"/>
      <c r="X11" s="2529"/>
      <c r="Y11" s="2529"/>
      <c r="Z11" s="2529"/>
      <c r="AA11" s="2529"/>
      <c r="AB11" s="2529"/>
      <c r="AC11" s="2529"/>
      <c r="AD11" s="2529"/>
      <c r="AE11" s="2529"/>
      <c r="AF11" s="2529"/>
      <c r="AG11" s="2529"/>
      <c r="AH11" s="2529"/>
      <c r="AI11" s="2529"/>
      <c r="AJ11" s="2529"/>
      <c r="AK11" s="2529"/>
      <c r="AL11" s="2529"/>
      <c r="AM11" s="741"/>
    </row>
    <row r="12" spans="1:16360" s="740" customFormat="1" ht="9.75" customHeight="1" x14ac:dyDescent="0.2">
      <c r="A12" s="2525"/>
      <c r="B12" s="2525"/>
      <c r="C12" s="2525"/>
      <c r="D12" s="2530"/>
      <c r="E12" s="2525"/>
      <c r="F12" s="2525"/>
      <c r="G12" s="2533">
        <v>8</v>
      </c>
      <c r="H12" s="2535" t="s">
        <v>743</v>
      </c>
      <c r="I12" s="2535"/>
      <c r="J12" s="2535"/>
      <c r="K12" s="2535"/>
      <c r="L12" s="2535"/>
      <c r="M12" s="2535"/>
      <c r="N12" s="2535"/>
      <c r="O12" s="2535"/>
      <c r="P12" s="2535"/>
      <c r="Q12" s="2535"/>
      <c r="R12" s="2535"/>
      <c r="S12" s="2535"/>
      <c r="T12" s="2535"/>
      <c r="U12" s="2535"/>
      <c r="V12" s="2535"/>
      <c r="W12" s="2535"/>
      <c r="X12" s="2535"/>
      <c r="Y12" s="2535"/>
      <c r="Z12" s="2535"/>
      <c r="AA12" s="2535"/>
      <c r="AB12" s="2535"/>
      <c r="AC12" s="2535"/>
      <c r="AD12" s="2535"/>
      <c r="AE12" s="2535"/>
      <c r="AF12" s="2535"/>
      <c r="AG12" s="2535"/>
      <c r="AH12" s="2535"/>
      <c r="AI12" s="2535"/>
      <c r="AJ12" s="2535"/>
      <c r="AK12" s="2535"/>
      <c r="AL12" s="2535"/>
      <c r="AM12" s="742"/>
    </row>
    <row r="13" spans="1:16360" s="740" customFormat="1" ht="9" customHeight="1" x14ac:dyDescent="0.2">
      <c r="A13" s="2525"/>
      <c r="B13" s="2525"/>
      <c r="C13" s="2525"/>
      <c r="D13" s="2530"/>
      <c r="E13" s="2525"/>
      <c r="F13" s="2525"/>
      <c r="G13" s="2534"/>
      <c r="H13" s="2535"/>
      <c r="I13" s="2535"/>
      <c r="J13" s="2535"/>
      <c r="K13" s="2535"/>
      <c r="L13" s="2535"/>
      <c r="M13" s="2535"/>
      <c r="N13" s="2535"/>
      <c r="O13" s="2535"/>
      <c r="P13" s="2535"/>
      <c r="Q13" s="2535"/>
      <c r="R13" s="2535"/>
      <c r="S13" s="2535"/>
      <c r="T13" s="2535"/>
      <c r="U13" s="2535"/>
      <c r="V13" s="2535"/>
      <c r="W13" s="2535"/>
      <c r="X13" s="2535"/>
      <c r="Y13" s="2535"/>
      <c r="Z13" s="2535"/>
      <c r="AA13" s="2535"/>
      <c r="AB13" s="2535"/>
      <c r="AC13" s="2535"/>
      <c r="AD13" s="2535"/>
      <c r="AE13" s="2535"/>
      <c r="AF13" s="2535"/>
      <c r="AG13" s="2535"/>
      <c r="AH13" s="2535"/>
      <c r="AI13" s="2535"/>
      <c r="AJ13" s="2535"/>
      <c r="AK13" s="2535"/>
      <c r="AL13" s="2535"/>
      <c r="AM13" s="743"/>
    </row>
    <row r="14" spans="1:16360" s="740" customFormat="1" ht="16.5" customHeight="1" x14ac:dyDescent="0.2">
      <c r="A14" s="2525"/>
      <c r="B14" s="2525"/>
      <c r="C14" s="2525"/>
      <c r="D14" s="2530"/>
      <c r="E14" s="2525"/>
      <c r="F14" s="2525"/>
      <c r="G14" s="2536"/>
      <c r="H14" s="2536"/>
      <c r="I14" s="2536"/>
      <c r="J14" s="2516">
        <v>38</v>
      </c>
      <c r="K14" s="2517" t="s">
        <v>744</v>
      </c>
      <c r="L14" s="2518" t="s">
        <v>16</v>
      </c>
      <c r="M14" s="2516">
        <v>4</v>
      </c>
      <c r="N14" s="744"/>
      <c r="O14" s="2520" t="s">
        <v>745</v>
      </c>
      <c r="P14" s="2517" t="s">
        <v>746</v>
      </c>
      <c r="Q14" s="2538">
        <f>R14/(V14+V19)</f>
        <v>0.49217907227615965</v>
      </c>
      <c r="R14" s="2539">
        <f>V14</f>
        <v>36500000</v>
      </c>
      <c r="S14" s="2542" t="s">
        <v>747</v>
      </c>
      <c r="T14" s="2542" t="s">
        <v>748</v>
      </c>
      <c r="U14" s="2561" t="s">
        <v>748</v>
      </c>
      <c r="V14" s="2550">
        <f>27500000+9000000</f>
        <v>36500000</v>
      </c>
      <c r="W14" s="2543">
        <v>20</v>
      </c>
      <c r="X14" s="2518" t="s">
        <v>412</v>
      </c>
      <c r="Y14" s="2547">
        <v>64149</v>
      </c>
      <c r="Z14" s="2547">
        <v>72224</v>
      </c>
      <c r="AA14" s="2547">
        <v>27477</v>
      </c>
      <c r="AB14" s="2547">
        <v>86843</v>
      </c>
      <c r="AC14" s="2547">
        <v>236429</v>
      </c>
      <c r="AD14" s="2547">
        <v>81384</v>
      </c>
      <c r="AE14" s="2547">
        <v>13208</v>
      </c>
      <c r="AF14" s="2547">
        <v>1827</v>
      </c>
      <c r="AG14" s="2547"/>
      <c r="AH14" s="2547"/>
      <c r="AI14" s="2547">
        <v>16897</v>
      </c>
      <c r="AJ14" s="2547">
        <v>81384</v>
      </c>
      <c r="AK14" s="2555">
        <v>42745</v>
      </c>
      <c r="AL14" s="2555">
        <v>43094</v>
      </c>
      <c r="AM14" s="2558" t="s">
        <v>749</v>
      </c>
    </row>
    <row r="15" spans="1:16360" s="740" customFormat="1" ht="16.5" customHeight="1" x14ac:dyDescent="0.2">
      <c r="A15" s="2525"/>
      <c r="B15" s="2525"/>
      <c r="C15" s="2525"/>
      <c r="D15" s="2530"/>
      <c r="E15" s="2525"/>
      <c r="F15" s="2525"/>
      <c r="G15" s="2536"/>
      <c r="H15" s="2536"/>
      <c r="I15" s="2536"/>
      <c r="J15" s="2516"/>
      <c r="K15" s="2517"/>
      <c r="L15" s="2519"/>
      <c r="M15" s="2516"/>
      <c r="N15" s="745"/>
      <c r="O15" s="2521"/>
      <c r="P15" s="2517"/>
      <c r="Q15" s="2538"/>
      <c r="R15" s="2540"/>
      <c r="S15" s="2542"/>
      <c r="T15" s="2542"/>
      <c r="U15" s="2562"/>
      <c r="V15" s="2551"/>
      <c r="W15" s="2544"/>
      <c r="X15" s="2519"/>
      <c r="Y15" s="2548"/>
      <c r="Z15" s="2548"/>
      <c r="AA15" s="2548"/>
      <c r="AB15" s="2548"/>
      <c r="AC15" s="2548"/>
      <c r="AD15" s="2548"/>
      <c r="AE15" s="2548"/>
      <c r="AF15" s="2548"/>
      <c r="AG15" s="2548"/>
      <c r="AH15" s="2548"/>
      <c r="AI15" s="2548"/>
      <c r="AJ15" s="2548"/>
      <c r="AK15" s="2556"/>
      <c r="AL15" s="2556"/>
      <c r="AM15" s="2559"/>
    </row>
    <row r="16" spans="1:16360" s="740" customFormat="1" ht="16.5" customHeight="1" x14ac:dyDescent="0.2">
      <c r="A16" s="2525"/>
      <c r="B16" s="2525"/>
      <c r="C16" s="2525"/>
      <c r="D16" s="2530"/>
      <c r="E16" s="2525"/>
      <c r="F16" s="2525"/>
      <c r="G16" s="2536"/>
      <c r="H16" s="2536"/>
      <c r="I16" s="2536"/>
      <c r="J16" s="2516"/>
      <c r="K16" s="2517"/>
      <c r="L16" s="2519"/>
      <c r="M16" s="2516"/>
      <c r="N16" s="745"/>
      <c r="O16" s="2521"/>
      <c r="P16" s="2517"/>
      <c r="Q16" s="2538"/>
      <c r="R16" s="2540"/>
      <c r="S16" s="2542"/>
      <c r="T16" s="2542"/>
      <c r="U16" s="2562"/>
      <c r="V16" s="2551"/>
      <c r="W16" s="2544"/>
      <c r="X16" s="2519"/>
      <c r="Y16" s="2548"/>
      <c r="Z16" s="2548"/>
      <c r="AA16" s="2548"/>
      <c r="AB16" s="2548"/>
      <c r="AC16" s="2548"/>
      <c r="AD16" s="2548"/>
      <c r="AE16" s="2548"/>
      <c r="AF16" s="2548"/>
      <c r="AG16" s="2548"/>
      <c r="AH16" s="2548"/>
      <c r="AI16" s="2548"/>
      <c r="AJ16" s="2548"/>
      <c r="AK16" s="2556"/>
      <c r="AL16" s="2556"/>
      <c r="AM16" s="2559"/>
    </row>
    <row r="17" spans="1:45" ht="13.5" customHeight="1" x14ac:dyDescent="0.2">
      <c r="A17" s="2525"/>
      <c r="B17" s="2525"/>
      <c r="C17" s="2525"/>
      <c r="D17" s="2530"/>
      <c r="E17" s="2525"/>
      <c r="F17" s="2525"/>
      <c r="G17" s="2536"/>
      <c r="H17" s="2536"/>
      <c r="I17" s="2536"/>
      <c r="J17" s="2516"/>
      <c r="K17" s="2517"/>
      <c r="L17" s="2519"/>
      <c r="M17" s="2516"/>
      <c r="N17" s="745"/>
      <c r="O17" s="2521"/>
      <c r="P17" s="2517"/>
      <c r="Q17" s="2538"/>
      <c r="R17" s="2540"/>
      <c r="S17" s="2542"/>
      <c r="T17" s="2542"/>
      <c r="U17" s="2562"/>
      <c r="V17" s="2551"/>
      <c r="W17" s="2544"/>
      <c r="X17" s="2519"/>
      <c r="Y17" s="2548"/>
      <c r="Z17" s="2548"/>
      <c r="AA17" s="2548"/>
      <c r="AB17" s="2548"/>
      <c r="AC17" s="2548"/>
      <c r="AD17" s="2548"/>
      <c r="AE17" s="2548"/>
      <c r="AF17" s="2548"/>
      <c r="AG17" s="2548"/>
      <c r="AH17" s="2548"/>
      <c r="AI17" s="2548"/>
      <c r="AJ17" s="2548"/>
      <c r="AK17" s="2556"/>
      <c r="AL17" s="2556"/>
      <c r="AM17" s="2559"/>
    </row>
    <row r="18" spans="1:45" ht="13.5" customHeight="1" x14ac:dyDescent="0.2">
      <c r="A18" s="2525"/>
      <c r="B18" s="2525"/>
      <c r="C18" s="2525"/>
      <c r="D18" s="2530"/>
      <c r="E18" s="2525"/>
      <c r="F18" s="2525"/>
      <c r="G18" s="2536"/>
      <c r="H18" s="2536"/>
      <c r="I18" s="2536"/>
      <c r="J18" s="2516"/>
      <c r="K18" s="2517"/>
      <c r="L18" s="2519"/>
      <c r="M18" s="2516"/>
      <c r="N18" s="745" t="s">
        <v>750</v>
      </c>
      <c r="O18" s="2521"/>
      <c r="P18" s="2517"/>
      <c r="Q18" s="2538"/>
      <c r="R18" s="2541"/>
      <c r="S18" s="2542"/>
      <c r="T18" s="2542"/>
      <c r="U18" s="2563"/>
      <c r="V18" s="2552"/>
      <c r="W18" s="2544"/>
      <c r="X18" s="2519"/>
      <c r="Y18" s="2548"/>
      <c r="Z18" s="2548"/>
      <c r="AA18" s="2548"/>
      <c r="AB18" s="2548"/>
      <c r="AC18" s="2548"/>
      <c r="AD18" s="2548"/>
      <c r="AE18" s="2548"/>
      <c r="AF18" s="2548"/>
      <c r="AG18" s="2548"/>
      <c r="AH18" s="2548"/>
      <c r="AI18" s="2548"/>
      <c r="AJ18" s="2548"/>
      <c r="AK18" s="2556"/>
      <c r="AL18" s="2556"/>
      <c r="AM18" s="2559"/>
    </row>
    <row r="19" spans="1:45" ht="15" customHeight="1" x14ac:dyDescent="0.2">
      <c r="A19" s="2525"/>
      <c r="B19" s="2525"/>
      <c r="C19" s="2525"/>
      <c r="D19" s="2530"/>
      <c r="E19" s="2525"/>
      <c r="F19" s="2525"/>
      <c r="G19" s="2536"/>
      <c r="H19" s="2536"/>
      <c r="I19" s="2536"/>
      <c r="J19" s="2516">
        <v>39</v>
      </c>
      <c r="K19" s="2517" t="s">
        <v>751</v>
      </c>
      <c r="L19" s="2518" t="s">
        <v>16</v>
      </c>
      <c r="M19" s="2516">
        <v>3</v>
      </c>
      <c r="N19" s="745" t="s">
        <v>752</v>
      </c>
      <c r="O19" s="2521"/>
      <c r="P19" s="2517"/>
      <c r="Q19" s="2538">
        <f>R19/(V14+V19)</f>
        <v>0.50782092772384035</v>
      </c>
      <c r="R19" s="2539">
        <f>V19</f>
        <v>37660000</v>
      </c>
      <c r="S19" s="2542"/>
      <c r="T19" s="2542" t="s">
        <v>753</v>
      </c>
      <c r="U19" s="2561" t="s">
        <v>753</v>
      </c>
      <c r="V19" s="2550">
        <f>27500000+10160000</f>
        <v>37660000</v>
      </c>
      <c r="W19" s="2544"/>
      <c r="X19" s="2519"/>
      <c r="Y19" s="2548"/>
      <c r="Z19" s="2548"/>
      <c r="AA19" s="2548"/>
      <c r="AB19" s="2548"/>
      <c r="AC19" s="2548"/>
      <c r="AD19" s="2548"/>
      <c r="AE19" s="2548"/>
      <c r="AF19" s="2548"/>
      <c r="AG19" s="2548"/>
      <c r="AH19" s="2548"/>
      <c r="AI19" s="2548"/>
      <c r="AJ19" s="2548"/>
      <c r="AK19" s="2556"/>
      <c r="AL19" s="2556"/>
      <c r="AM19" s="2559"/>
    </row>
    <row r="20" spans="1:45" ht="13.5" customHeight="1" x14ac:dyDescent="0.2">
      <c r="A20" s="2525"/>
      <c r="B20" s="2525"/>
      <c r="C20" s="2525"/>
      <c r="D20" s="2530"/>
      <c r="E20" s="2525"/>
      <c r="F20" s="2525"/>
      <c r="G20" s="2536"/>
      <c r="H20" s="2536"/>
      <c r="I20" s="2536"/>
      <c r="J20" s="2516"/>
      <c r="K20" s="2517"/>
      <c r="L20" s="2519"/>
      <c r="M20" s="2516"/>
      <c r="N20" s="745"/>
      <c r="O20" s="2521"/>
      <c r="P20" s="2517"/>
      <c r="Q20" s="2538"/>
      <c r="R20" s="2540"/>
      <c r="S20" s="2542"/>
      <c r="T20" s="2542"/>
      <c r="U20" s="2562"/>
      <c r="V20" s="2551"/>
      <c r="W20" s="2544"/>
      <c r="X20" s="2519"/>
      <c r="Y20" s="2548"/>
      <c r="Z20" s="2548"/>
      <c r="AA20" s="2548"/>
      <c r="AB20" s="2548"/>
      <c r="AC20" s="2548"/>
      <c r="AD20" s="2548"/>
      <c r="AE20" s="2548"/>
      <c r="AF20" s="2548"/>
      <c r="AG20" s="2548"/>
      <c r="AH20" s="2548"/>
      <c r="AI20" s="2548"/>
      <c r="AJ20" s="2548"/>
      <c r="AK20" s="2556"/>
      <c r="AL20" s="2556"/>
      <c r="AM20" s="2559"/>
    </row>
    <row r="21" spans="1:45" ht="16.5" customHeight="1" x14ac:dyDescent="0.2">
      <c r="A21" s="2525"/>
      <c r="B21" s="2525"/>
      <c r="C21" s="2525"/>
      <c r="D21" s="2530"/>
      <c r="E21" s="2525"/>
      <c r="F21" s="2525"/>
      <c r="G21" s="2536"/>
      <c r="H21" s="2536"/>
      <c r="I21" s="2536"/>
      <c r="J21" s="2516"/>
      <c r="K21" s="2517"/>
      <c r="L21" s="2519"/>
      <c r="M21" s="2516"/>
      <c r="N21" s="745"/>
      <c r="O21" s="2521"/>
      <c r="P21" s="2517"/>
      <c r="Q21" s="2538"/>
      <c r="R21" s="2540"/>
      <c r="S21" s="2542"/>
      <c r="T21" s="2542"/>
      <c r="U21" s="2562"/>
      <c r="V21" s="2551"/>
      <c r="W21" s="2544"/>
      <c r="X21" s="2519"/>
      <c r="Y21" s="2548"/>
      <c r="Z21" s="2548"/>
      <c r="AA21" s="2548"/>
      <c r="AB21" s="2548"/>
      <c r="AC21" s="2548"/>
      <c r="AD21" s="2548"/>
      <c r="AE21" s="2548"/>
      <c r="AF21" s="2548"/>
      <c r="AG21" s="2548"/>
      <c r="AH21" s="2548"/>
      <c r="AI21" s="2548"/>
      <c r="AJ21" s="2548"/>
      <c r="AK21" s="2556"/>
      <c r="AL21" s="2556"/>
      <c r="AM21" s="2559"/>
    </row>
    <row r="22" spans="1:45" ht="16.5" customHeight="1" x14ac:dyDescent="0.2">
      <c r="A22" s="2525"/>
      <c r="B22" s="2525"/>
      <c r="C22" s="2525"/>
      <c r="D22" s="2530"/>
      <c r="E22" s="2525"/>
      <c r="F22" s="2525"/>
      <c r="G22" s="2536"/>
      <c r="H22" s="2536"/>
      <c r="I22" s="2536"/>
      <c r="J22" s="2516"/>
      <c r="K22" s="2517"/>
      <c r="L22" s="2519"/>
      <c r="M22" s="2516"/>
      <c r="N22" s="745"/>
      <c r="O22" s="2521"/>
      <c r="P22" s="2517"/>
      <c r="Q22" s="2538"/>
      <c r="R22" s="2540"/>
      <c r="S22" s="2542"/>
      <c r="T22" s="2542"/>
      <c r="U22" s="2562"/>
      <c r="V22" s="2551"/>
      <c r="W22" s="2544"/>
      <c r="X22" s="2519"/>
      <c r="Y22" s="2548"/>
      <c r="Z22" s="2548"/>
      <c r="AA22" s="2548"/>
      <c r="AB22" s="2548"/>
      <c r="AC22" s="2548"/>
      <c r="AD22" s="2548"/>
      <c r="AE22" s="2548"/>
      <c r="AF22" s="2548"/>
      <c r="AG22" s="2548"/>
      <c r="AH22" s="2548"/>
      <c r="AI22" s="2548"/>
      <c r="AJ22" s="2548"/>
      <c r="AK22" s="2556"/>
      <c r="AL22" s="2556"/>
      <c r="AM22" s="2559"/>
      <c r="AS22" s="746" t="s">
        <v>72</v>
      </c>
    </row>
    <row r="23" spans="1:45" s="738" customFormat="1" ht="16.5" customHeight="1" x14ac:dyDescent="0.2">
      <c r="A23" s="2525"/>
      <c r="B23" s="2525"/>
      <c r="C23" s="2525"/>
      <c r="D23" s="2530"/>
      <c r="E23" s="2525"/>
      <c r="F23" s="2525"/>
      <c r="G23" s="2536"/>
      <c r="H23" s="2536"/>
      <c r="I23" s="2536"/>
      <c r="J23" s="2516"/>
      <c r="K23" s="2517"/>
      <c r="L23" s="2546"/>
      <c r="M23" s="2516"/>
      <c r="N23" s="747"/>
      <c r="O23" s="2522"/>
      <c r="P23" s="2517"/>
      <c r="Q23" s="2538"/>
      <c r="R23" s="2541"/>
      <c r="S23" s="2542"/>
      <c r="T23" s="2542"/>
      <c r="U23" s="2563"/>
      <c r="V23" s="2552"/>
      <c r="W23" s="2545"/>
      <c r="X23" s="2546"/>
      <c r="Y23" s="2549"/>
      <c r="Z23" s="2549"/>
      <c r="AA23" s="2549"/>
      <c r="AB23" s="2549"/>
      <c r="AC23" s="2549"/>
      <c r="AD23" s="2549"/>
      <c r="AE23" s="2549"/>
      <c r="AF23" s="2549"/>
      <c r="AG23" s="2549"/>
      <c r="AH23" s="2549"/>
      <c r="AI23" s="2549"/>
      <c r="AJ23" s="2549"/>
      <c r="AK23" s="2557"/>
      <c r="AL23" s="2557"/>
      <c r="AM23" s="2560"/>
    </row>
    <row r="24" spans="1:45" s="738" customFormat="1" ht="15.75" customHeight="1" x14ac:dyDescent="0.2">
      <c r="A24" s="2525"/>
      <c r="B24" s="2525"/>
      <c r="C24" s="2525"/>
      <c r="D24" s="2530"/>
      <c r="E24" s="2525"/>
      <c r="F24" s="2525"/>
      <c r="G24" s="2536"/>
      <c r="H24" s="2536"/>
      <c r="I24" s="2537"/>
      <c r="J24" s="2564">
        <v>40</v>
      </c>
      <c r="K24" s="2566" t="s">
        <v>754</v>
      </c>
      <c r="L24" s="2567" t="s">
        <v>16</v>
      </c>
      <c r="M24" s="2568">
        <v>0.35</v>
      </c>
      <c r="N24" s="748"/>
      <c r="O24" s="2520" t="s">
        <v>755</v>
      </c>
      <c r="P24" s="2566" t="s">
        <v>756</v>
      </c>
      <c r="Q24" s="2538">
        <f>(V24+V28)/R24</f>
        <v>0.32889874353288989</v>
      </c>
      <c r="R24" s="2572">
        <f>SUM(V24:V45)</f>
        <v>135300000</v>
      </c>
      <c r="S24" s="2575" t="s">
        <v>757</v>
      </c>
      <c r="T24" s="2575" t="s">
        <v>758</v>
      </c>
      <c r="U24" s="2563" t="s">
        <v>759</v>
      </c>
      <c r="V24" s="2587">
        <f>10000000+16700000</f>
        <v>26700000</v>
      </c>
      <c r="W24" s="2588">
        <v>20</v>
      </c>
      <c r="X24" s="2591" t="s">
        <v>412</v>
      </c>
      <c r="Y24" s="2547">
        <v>64149</v>
      </c>
      <c r="Z24" s="2547" t="s">
        <v>760</v>
      </c>
      <c r="AA24" s="2547" t="s">
        <v>761</v>
      </c>
      <c r="AB24" s="2547" t="s">
        <v>762</v>
      </c>
      <c r="AC24" s="2547" t="s">
        <v>763</v>
      </c>
      <c r="AD24" s="2547" t="s">
        <v>764</v>
      </c>
      <c r="AE24" s="2547">
        <v>13208</v>
      </c>
      <c r="AF24" s="2547">
        <v>1827</v>
      </c>
      <c r="AG24" s="2547"/>
      <c r="AH24" s="2547"/>
      <c r="AI24" s="2547">
        <v>16897</v>
      </c>
      <c r="AJ24" s="2547">
        <v>81384</v>
      </c>
      <c r="AK24" s="2555">
        <v>42745</v>
      </c>
      <c r="AL24" s="2555">
        <v>43094</v>
      </c>
      <c r="AM24" s="2582" t="s">
        <v>765</v>
      </c>
    </row>
    <row r="25" spans="1:45" s="738" customFormat="1" ht="6" customHeight="1" x14ac:dyDescent="0.2">
      <c r="A25" s="2525"/>
      <c r="B25" s="2525"/>
      <c r="C25" s="2525"/>
      <c r="D25" s="2530"/>
      <c r="E25" s="2525"/>
      <c r="F25" s="2525"/>
      <c r="G25" s="2536"/>
      <c r="H25" s="2536"/>
      <c r="I25" s="2537"/>
      <c r="J25" s="2565"/>
      <c r="K25" s="2517"/>
      <c r="L25" s="2567"/>
      <c r="M25" s="2569"/>
      <c r="N25" s="748"/>
      <c r="O25" s="2521"/>
      <c r="P25" s="2517"/>
      <c r="Q25" s="2538"/>
      <c r="R25" s="2573"/>
      <c r="S25" s="2542"/>
      <c r="T25" s="2542"/>
      <c r="U25" s="2577"/>
      <c r="V25" s="2584"/>
      <c r="W25" s="2589"/>
      <c r="X25" s="2567"/>
      <c r="Y25" s="2548"/>
      <c r="Z25" s="2548"/>
      <c r="AA25" s="2548"/>
      <c r="AB25" s="2548"/>
      <c r="AC25" s="2548"/>
      <c r="AD25" s="2548"/>
      <c r="AE25" s="2548"/>
      <c r="AF25" s="2548"/>
      <c r="AG25" s="2548"/>
      <c r="AH25" s="2548"/>
      <c r="AI25" s="2548"/>
      <c r="AJ25" s="2548"/>
      <c r="AK25" s="2556"/>
      <c r="AL25" s="2556"/>
      <c r="AM25" s="2582"/>
    </row>
    <row r="26" spans="1:45" s="738" customFormat="1" ht="9" customHeight="1" x14ac:dyDescent="0.2">
      <c r="A26" s="2525"/>
      <c r="B26" s="2525"/>
      <c r="C26" s="2525"/>
      <c r="D26" s="2530"/>
      <c r="E26" s="2525"/>
      <c r="F26" s="2525"/>
      <c r="G26" s="2536"/>
      <c r="H26" s="2536"/>
      <c r="I26" s="2537"/>
      <c r="J26" s="2565"/>
      <c r="K26" s="2517"/>
      <c r="L26" s="2567"/>
      <c r="M26" s="2569"/>
      <c r="N26" s="748"/>
      <c r="O26" s="2521"/>
      <c r="P26" s="2517"/>
      <c r="Q26" s="2538"/>
      <c r="R26" s="2573"/>
      <c r="S26" s="2542"/>
      <c r="T26" s="2542"/>
      <c r="U26" s="2577"/>
      <c r="V26" s="2584"/>
      <c r="W26" s="2589"/>
      <c r="X26" s="2567"/>
      <c r="Y26" s="2548"/>
      <c r="Z26" s="2548"/>
      <c r="AA26" s="2548"/>
      <c r="AB26" s="2548"/>
      <c r="AC26" s="2548"/>
      <c r="AD26" s="2548"/>
      <c r="AE26" s="2548"/>
      <c r="AF26" s="2548"/>
      <c r="AG26" s="2548"/>
      <c r="AH26" s="2548"/>
      <c r="AI26" s="2548"/>
      <c r="AJ26" s="2548"/>
      <c r="AK26" s="2556"/>
      <c r="AL26" s="2556"/>
      <c r="AM26" s="2582"/>
    </row>
    <row r="27" spans="1:45" s="738" customFormat="1" ht="13.5" customHeight="1" x14ac:dyDescent="0.2">
      <c r="A27" s="2525"/>
      <c r="B27" s="2525"/>
      <c r="C27" s="2525"/>
      <c r="D27" s="2530"/>
      <c r="E27" s="2525"/>
      <c r="F27" s="2525"/>
      <c r="G27" s="2536"/>
      <c r="H27" s="2536"/>
      <c r="I27" s="2537"/>
      <c r="J27" s="2565"/>
      <c r="K27" s="2517"/>
      <c r="L27" s="2567"/>
      <c r="M27" s="2569"/>
      <c r="N27" s="748"/>
      <c r="O27" s="2521"/>
      <c r="P27" s="2517"/>
      <c r="Q27" s="2538"/>
      <c r="R27" s="2573"/>
      <c r="S27" s="2542"/>
      <c r="T27" s="2542"/>
      <c r="U27" s="2577"/>
      <c r="V27" s="2584"/>
      <c r="W27" s="2589"/>
      <c r="X27" s="2567"/>
      <c r="Y27" s="2548"/>
      <c r="Z27" s="2548"/>
      <c r="AA27" s="2548"/>
      <c r="AB27" s="2548"/>
      <c r="AC27" s="2548"/>
      <c r="AD27" s="2548"/>
      <c r="AE27" s="2548"/>
      <c r="AF27" s="2548"/>
      <c r="AG27" s="2548"/>
      <c r="AH27" s="2548"/>
      <c r="AI27" s="2548"/>
      <c r="AJ27" s="2548"/>
      <c r="AK27" s="2556"/>
      <c r="AL27" s="2556"/>
      <c r="AM27" s="2582"/>
    </row>
    <row r="28" spans="1:45" s="738" customFormat="1" ht="13.5" customHeight="1" x14ac:dyDescent="0.2">
      <c r="A28" s="2525"/>
      <c r="B28" s="2525"/>
      <c r="C28" s="2525"/>
      <c r="D28" s="2530"/>
      <c r="E28" s="2525"/>
      <c r="F28" s="2525"/>
      <c r="G28" s="2536"/>
      <c r="H28" s="2536"/>
      <c r="I28" s="2537"/>
      <c r="J28" s="2565"/>
      <c r="K28" s="2517"/>
      <c r="L28" s="2567"/>
      <c r="M28" s="2569"/>
      <c r="N28" s="748"/>
      <c r="O28" s="2521"/>
      <c r="P28" s="2517"/>
      <c r="Q28" s="2538"/>
      <c r="R28" s="2573"/>
      <c r="S28" s="2542"/>
      <c r="T28" s="2542"/>
      <c r="U28" s="2561" t="s">
        <v>766</v>
      </c>
      <c r="V28" s="2584">
        <f>12000000+5800000</f>
        <v>17800000</v>
      </c>
      <c r="W28" s="2589"/>
      <c r="X28" s="2567"/>
      <c r="Y28" s="2548"/>
      <c r="Z28" s="2548"/>
      <c r="AA28" s="2548"/>
      <c r="AB28" s="2548"/>
      <c r="AC28" s="2548"/>
      <c r="AD28" s="2548"/>
      <c r="AE28" s="2548"/>
      <c r="AF28" s="2548"/>
      <c r="AG28" s="2548"/>
      <c r="AH28" s="2548"/>
      <c r="AI28" s="2548"/>
      <c r="AJ28" s="2548"/>
      <c r="AK28" s="2556"/>
      <c r="AL28" s="2556"/>
      <c r="AM28" s="2582"/>
    </row>
    <row r="29" spans="1:45" s="738" customFormat="1" ht="13.5" customHeight="1" x14ac:dyDescent="0.2">
      <c r="A29" s="2525"/>
      <c r="B29" s="2525"/>
      <c r="C29" s="2525"/>
      <c r="D29" s="2530"/>
      <c r="E29" s="2525"/>
      <c r="F29" s="2525"/>
      <c r="G29" s="2536"/>
      <c r="H29" s="2536"/>
      <c r="I29" s="2537"/>
      <c r="J29" s="2565"/>
      <c r="K29" s="2517"/>
      <c r="L29" s="2567"/>
      <c r="M29" s="2569"/>
      <c r="N29" s="748"/>
      <c r="O29" s="2521"/>
      <c r="P29" s="2517"/>
      <c r="Q29" s="2538"/>
      <c r="R29" s="2573"/>
      <c r="S29" s="2542"/>
      <c r="T29" s="2542"/>
      <c r="U29" s="2562"/>
      <c r="V29" s="2584"/>
      <c r="W29" s="2589"/>
      <c r="X29" s="2567"/>
      <c r="Y29" s="2548"/>
      <c r="Z29" s="2548"/>
      <c r="AA29" s="2548"/>
      <c r="AB29" s="2548"/>
      <c r="AC29" s="2548"/>
      <c r="AD29" s="2548"/>
      <c r="AE29" s="2548"/>
      <c r="AF29" s="2548"/>
      <c r="AG29" s="2548"/>
      <c r="AH29" s="2548"/>
      <c r="AI29" s="2548"/>
      <c r="AJ29" s="2548"/>
      <c r="AK29" s="2556"/>
      <c r="AL29" s="2556"/>
      <c r="AM29" s="2582"/>
    </row>
    <row r="30" spans="1:45" s="738" customFormat="1" ht="13.5" customHeight="1" x14ac:dyDescent="0.2">
      <c r="A30" s="2525"/>
      <c r="B30" s="2525"/>
      <c r="C30" s="2525"/>
      <c r="D30" s="2530"/>
      <c r="E30" s="2525"/>
      <c r="F30" s="2525"/>
      <c r="G30" s="2536"/>
      <c r="H30" s="2536"/>
      <c r="I30" s="2537"/>
      <c r="J30" s="2565"/>
      <c r="K30" s="2517"/>
      <c r="L30" s="2567"/>
      <c r="M30" s="2569"/>
      <c r="N30" s="748"/>
      <c r="O30" s="2521"/>
      <c r="P30" s="2517"/>
      <c r="Q30" s="2538"/>
      <c r="R30" s="2573"/>
      <c r="S30" s="2542"/>
      <c r="T30" s="2542"/>
      <c r="U30" s="2562"/>
      <c r="V30" s="2584"/>
      <c r="W30" s="2589"/>
      <c r="X30" s="2567"/>
      <c r="Y30" s="2548"/>
      <c r="Z30" s="2548"/>
      <c r="AA30" s="2548"/>
      <c r="AB30" s="2548"/>
      <c r="AC30" s="2548"/>
      <c r="AD30" s="2548"/>
      <c r="AE30" s="2548"/>
      <c r="AF30" s="2548"/>
      <c r="AG30" s="2548"/>
      <c r="AH30" s="2548"/>
      <c r="AI30" s="2548"/>
      <c r="AJ30" s="2548"/>
      <c r="AK30" s="2556"/>
      <c r="AL30" s="2556"/>
      <c r="AM30" s="2582"/>
    </row>
    <row r="31" spans="1:45" s="738" customFormat="1" ht="13.5" customHeight="1" x14ac:dyDescent="0.2">
      <c r="A31" s="2525"/>
      <c r="B31" s="2525"/>
      <c r="C31" s="2525"/>
      <c r="D31" s="2530"/>
      <c r="E31" s="2525"/>
      <c r="F31" s="2525"/>
      <c r="G31" s="2536"/>
      <c r="H31" s="2536"/>
      <c r="I31" s="2537"/>
      <c r="J31" s="2565"/>
      <c r="K31" s="2517"/>
      <c r="L31" s="2567"/>
      <c r="M31" s="2569"/>
      <c r="N31" s="748"/>
      <c r="O31" s="2521"/>
      <c r="P31" s="2517"/>
      <c r="Q31" s="2538"/>
      <c r="R31" s="2573"/>
      <c r="S31" s="2542"/>
      <c r="T31" s="2542"/>
      <c r="U31" s="2563"/>
      <c r="V31" s="2584"/>
      <c r="W31" s="2589"/>
      <c r="X31" s="2567"/>
      <c r="Y31" s="2548"/>
      <c r="Z31" s="2548"/>
      <c r="AA31" s="2548"/>
      <c r="AB31" s="2548"/>
      <c r="AC31" s="2548"/>
      <c r="AD31" s="2548"/>
      <c r="AE31" s="2548"/>
      <c r="AF31" s="2548"/>
      <c r="AG31" s="2548"/>
      <c r="AH31" s="2548"/>
      <c r="AI31" s="2548"/>
      <c r="AJ31" s="2548"/>
      <c r="AK31" s="2556"/>
      <c r="AL31" s="2556"/>
      <c r="AM31" s="2582"/>
    </row>
    <row r="32" spans="1:45" s="738" customFormat="1" ht="13.5" customHeight="1" x14ac:dyDescent="0.2">
      <c r="A32" s="2525"/>
      <c r="B32" s="2525"/>
      <c r="C32" s="2525"/>
      <c r="D32" s="2530"/>
      <c r="E32" s="2525"/>
      <c r="F32" s="2525"/>
      <c r="G32" s="2536"/>
      <c r="H32" s="2536"/>
      <c r="I32" s="2537"/>
      <c r="J32" s="2565">
        <v>41</v>
      </c>
      <c r="K32" s="2517" t="s">
        <v>767</v>
      </c>
      <c r="L32" s="2567"/>
      <c r="M32" s="2565">
        <v>1</v>
      </c>
      <c r="N32" s="748" t="s">
        <v>768</v>
      </c>
      <c r="O32" s="2521"/>
      <c r="P32" s="2517"/>
      <c r="Q32" s="2578">
        <f>V32/R24</f>
        <v>0.11086474501108648</v>
      </c>
      <c r="R32" s="2573"/>
      <c r="S32" s="2542"/>
      <c r="T32" s="2576" t="s">
        <v>769</v>
      </c>
      <c r="U32" s="2561" t="s">
        <v>770</v>
      </c>
      <c r="V32" s="2585">
        <f>27500000-22500000+10000000</f>
        <v>15000000</v>
      </c>
      <c r="W32" s="2589"/>
      <c r="X32" s="2567"/>
      <c r="Y32" s="2548"/>
      <c r="Z32" s="2548"/>
      <c r="AA32" s="2548"/>
      <c r="AB32" s="2548"/>
      <c r="AC32" s="2548"/>
      <c r="AD32" s="2548"/>
      <c r="AE32" s="2548"/>
      <c r="AF32" s="2548"/>
      <c r="AG32" s="2548"/>
      <c r="AH32" s="2548"/>
      <c r="AI32" s="2548"/>
      <c r="AJ32" s="2548"/>
      <c r="AK32" s="2556"/>
      <c r="AL32" s="2556"/>
      <c r="AM32" s="2582"/>
    </row>
    <row r="33" spans="1:39" s="738" customFormat="1" ht="17.25" customHeight="1" x14ac:dyDescent="0.2">
      <c r="A33" s="2525"/>
      <c r="B33" s="2525"/>
      <c r="C33" s="2525"/>
      <c r="D33" s="2530"/>
      <c r="E33" s="2525"/>
      <c r="F33" s="2525"/>
      <c r="G33" s="2536"/>
      <c r="H33" s="2536"/>
      <c r="I33" s="2537"/>
      <c r="J33" s="2565"/>
      <c r="K33" s="2517"/>
      <c r="L33" s="2567"/>
      <c r="M33" s="2565"/>
      <c r="N33" s="748" t="s">
        <v>771</v>
      </c>
      <c r="O33" s="2521"/>
      <c r="P33" s="2517"/>
      <c r="Q33" s="2579"/>
      <c r="R33" s="2573"/>
      <c r="S33" s="2542"/>
      <c r="T33" s="2581"/>
      <c r="U33" s="2562"/>
      <c r="V33" s="2586"/>
      <c r="W33" s="2589"/>
      <c r="X33" s="2567"/>
      <c r="Y33" s="2548"/>
      <c r="Z33" s="2548"/>
      <c r="AA33" s="2548"/>
      <c r="AB33" s="2548"/>
      <c r="AC33" s="2548"/>
      <c r="AD33" s="2548"/>
      <c r="AE33" s="2548"/>
      <c r="AF33" s="2548"/>
      <c r="AG33" s="2548"/>
      <c r="AH33" s="2548"/>
      <c r="AI33" s="2548"/>
      <c r="AJ33" s="2548"/>
      <c r="AK33" s="2556"/>
      <c r="AL33" s="2556"/>
      <c r="AM33" s="2582"/>
    </row>
    <row r="34" spans="1:39" s="738" customFormat="1" ht="14.25" customHeight="1" x14ac:dyDescent="0.2">
      <c r="A34" s="2525"/>
      <c r="B34" s="2525"/>
      <c r="C34" s="2525"/>
      <c r="D34" s="2530"/>
      <c r="E34" s="2525"/>
      <c r="F34" s="2525"/>
      <c r="G34" s="2536"/>
      <c r="H34" s="2536"/>
      <c r="I34" s="2537"/>
      <c r="J34" s="2565"/>
      <c r="K34" s="2517"/>
      <c r="L34" s="2567"/>
      <c r="M34" s="2565"/>
      <c r="N34" s="748"/>
      <c r="O34" s="2521"/>
      <c r="P34" s="2517"/>
      <c r="Q34" s="2579"/>
      <c r="R34" s="2573"/>
      <c r="S34" s="2542"/>
      <c r="T34" s="2581"/>
      <c r="U34" s="2562"/>
      <c r="V34" s="2586"/>
      <c r="W34" s="2589"/>
      <c r="X34" s="2567"/>
      <c r="Y34" s="2548"/>
      <c r="Z34" s="2548"/>
      <c r="AA34" s="2548"/>
      <c r="AB34" s="2548"/>
      <c r="AC34" s="2548"/>
      <c r="AD34" s="2548"/>
      <c r="AE34" s="2548"/>
      <c r="AF34" s="2548"/>
      <c r="AG34" s="2548"/>
      <c r="AH34" s="2548"/>
      <c r="AI34" s="2548"/>
      <c r="AJ34" s="2548"/>
      <c r="AK34" s="2556"/>
      <c r="AL34" s="2556"/>
      <c r="AM34" s="2582"/>
    </row>
    <row r="35" spans="1:39" s="738" customFormat="1" ht="13.5" customHeight="1" x14ac:dyDescent="0.2">
      <c r="A35" s="2525"/>
      <c r="B35" s="2525"/>
      <c r="C35" s="2525"/>
      <c r="D35" s="2530"/>
      <c r="E35" s="2525"/>
      <c r="F35" s="2525"/>
      <c r="G35" s="2536"/>
      <c r="H35" s="2536"/>
      <c r="I35" s="2537"/>
      <c r="J35" s="2565"/>
      <c r="K35" s="2517"/>
      <c r="L35" s="2567"/>
      <c r="M35" s="2565"/>
      <c r="N35" s="748"/>
      <c r="O35" s="2521"/>
      <c r="P35" s="2517"/>
      <c r="Q35" s="2579"/>
      <c r="R35" s="2573"/>
      <c r="S35" s="2542"/>
      <c r="T35" s="2581"/>
      <c r="U35" s="2562"/>
      <c r="V35" s="2586"/>
      <c r="W35" s="2589"/>
      <c r="X35" s="2567"/>
      <c r="Y35" s="2548"/>
      <c r="Z35" s="2548"/>
      <c r="AA35" s="2548"/>
      <c r="AB35" s="2548"/>
      <c r="AC35" s="2548"/>
      <c r="AD35" s="2548"/>
      <c r="AE35" s="2548"/>
      <c r="AF35" s="2548"/>
      <c r="AG35" s="2548"/>
      <c r="AH35" s="2548"/>
      <c r="AI35" s="2548"/>
      <c r="AJ35" s="2548"/>
      <c r="AK35" s="2556"/>
      <c r="AL35" s="2556"/>
      <c r="AM35" s="2582"/>
    </row>
    <row r="36" spans="1:39" s="738" customFormat="1" ht="0.75" customHeight="1" x14ac:dyDescent="0.2">
      <c r="A36" s="2525"/>
      <c r="B36" s="2525"/>
      <c r="C36" s="2525"/>
      <c r="D36" s="2530"/>
      <c r="E36" s="2525"/>
      <c r="F36" s="2525"/>
      <c r="G36" s="2536"/>
      <c r="H36" s="2536"/>
      <c r="I36" s="2537"/>
      <c r="J36" s="2565"/>
      <c r="K36" s="2517"/>
      <c r="L36" s="2567"/>
      <c r="M36" s="2565"/>
      <c r="N36" s="748"/>
      <c r="O36" s="2521"/>
      <c r="P36" s="2517"/>
      <c r="Q36" s="2579"/>
      <c r="R36" s="2573"/>
      <c r="S36" s="2542"/>
      <c r="T36" s="2581"/>
      <c r="U36" s="2562"/>
      <c r="V36" s="2586"/>
      <c r="W36" s="2589"/>
      <c r="X36" s="2567"/>
      <c r="Y36" s="2548"/>
      <c r="Z36" s="2548"/>
      <c r="AA36" s="2548"/>
      <c r="AB36" s="2548"/>
      <c r="AC36" s="2548"/>
      <c r="AD36" s="2548"/>
      <c r="AE36" s="2548"/>
      <c r="AF36" s="2548"/>
      <c r="AG36" s="2548"/>
      <c r="AH36" s="2548"/>
      <c r="AI36" s="2548"/>
      <c r="AJ36" s="2548"/>
      <c r="AK36" s="2556"/>
      <c r="AL36" s="2556"/>
      <c r="AM36" s="2582"/>
    </row>
    <row r="37" spans="1:39" s="738" customFormat="1" ht="3.75" customHeight="1" x14ac:dyDescent="0.2">
      <c r="A37" s="2525"/>
      <c r="B37" s="2525"/>
      <c r="C37" s="2525"/>
      <c r="D37" s="2530"/>
      <c r="E37" s="2525"/>
      <c r="F37" s="2525"/>
      <c r="G37" s="2536"/>
      <c r="H37" s="2536"/>
      <c r="I37" s="2537"/>
      <c r="J37" s="2565"/>
      <c r="K37" s="2517"/>
      <c r="L37" s="2567"/>
      <c r="M37" s="2565"/>
      <c r="N37" s="748"/>
      <c r="O37" s="2521"/>
      <c r="P37" s="2517"/>
      <c r="Q37" s="2579"/>
      <c r="R37" s="2573"/>
      <c r="S37" s="2542"/>
      <c r="T37" s="2581"/>
      <c r="U37" s="2562"/>
      <c r="V37" s="2586"/>
      <c r="W37" s="2589"/>
      <c r="X37" s="2567"/>
      <c r="Y37" s="2548"/>
      <c r="Z37" s="2548"/>
      <c r="AA37" s="2548"/>
      <c r="AB37" s="2548"/>
      <c r="AC37" s="2548"/>
      <c r="AD37" s="2548"/>
      <c r="AE37" s="2548"/>
      <c r="AF37" s="2548"/>
      <c r="AG37" s="2548"/>
      <c r="AH37" s="2548"/>
      <c r="AI37" s="2548"/>
      <c r="AJ37" s="2548"/>
      <c r="AK37" s="2556"/>
      <c r="AL37" s="2556"/>
      <c r="AM37" s="2582"/>
    </row>
    <row r="38" spans="1:39" s="738" customFormat="1" ht="13.5" customHeight="1" x14ac:dyDescent="0.2">
      <c r="A38" s="2525"/>
      <c r="B38" s="2525"/>
      <c r="C38" s="2525"/>
      <c r="D38" s="2530"/>
      <c r="E38" s="2525"/>
      <c r="F38" s="2525"/>
      <c r="G38" s="2536"/>
      <c r="H38" s="2536"/>
      <c r="I38" s="2537"/>
      <c r="J38" s="2565"/>
      <c r="K38" s="2517"/>
      <c r="L38" s="2567"/>
      <c r="M38" s="2565"/>
      <c r="N38" s="748"/>
      <c r="O38" s="2521"/>
      <c r="P38" s="2517"/>
      <c r="Q38" s="2579"/>
      <c r="R38" s="2573"/>
      <c r="S38" s="2542"/>
      <c r="T38" s="2581"/>
      <c r="U38" s="2562"/>
      <c r="V38" s="2586"/>
      <c r="W38" s="2589"/>
      <c r="X38" s="2567"/>
      <c r="Y38" s="2548"/>
      <c r="Z38" s="2548"/>
      <c r="AA38" s="2548"/>
      <c r="AB38" s="2548"/>
      <c r="AC38" s="2548"/>
      <c r="AD38" s="2548"/>
      <c r="AE38" s="2548"/>
      <c r="AF38" s="2548"/>
      <c r="AG38" s="2548"/>
      <c r="AH38" s="2548"/>
      <c r="AI38" s="2548"/>
      <c r="AJ38" s="2548"/>
      <c r="AK38" s="2556"/>
      <c r="AL38" s="2556"/>
      <c r="AM38" s="2582"/>
    </row>
    <row r="39" spans="1:39" s="738" customFormat="1" ht="8.25" customHeight="1" x14ac:dyDescent="0.2">
      <c r="A39" s="2525"/>
      <c r="B39" s="2525"/>
      <c r="C39" s="2525"/>
      <c r="D39" s="2530"/>
      <c r="E39" s="2525"/>
      <c r="F39" s="2525"/>
      <c r="G39" s="2536"/>
      <c r="H39" s="2536"/>
      <c r="I39" s="2537"/>
      <c r="J39" s="2565"/>
      <c r="K39" s="2517"/>
      <c r="L39" s="2567"/>
      <c r="M39" s="2565"/>
      <c r="N39" s="748"/>
      <c r="O39" s="2521"/>
      <c r="P39" s="2517"/>
      <c r="Q39" s="2579"/>
      <c r="R39" s="2573"/>
      <c r="S39" s="2542"/>
      <c r="T39" s="2581"/>
      <c r="U39" s="2563"/>
      <c r="V39" s="2587"/>
      <c r="W39" s="2589"/>
      <c r="X39" s="2567"/>
      <c r="Y39" s="2548"/>
      <c r="Z39" s="2548"/>
      <c r="AA39" s="2548"/>
      <c r="AB39" s="2548"/>
      <c r="AC39" s="2548"/>
      <c r="AD39" s="2548"/>
      <c r="AE39" s="2548"/>
      <c r="AF39" s="2548"/>
      <c r="AG39" s="2548"/>
      <c r="AH39" s="2548"/>
      <c r="AI39" s="2548"/>
      <c r="AJ39" s="2548"/>
      <c r="AK39" s="2556"/>
      <c r="AL39" s="2556"/>
      <c r="AM39" s="2582"/>
    </row>
    <row r="40" spans="1:39" s="738" customFormat="1" ht="8.25" customHeight="1" x14ac:dyDescent="0.2">
      <c r="A40" s="2525"/>
      <c r="B40" s="2525"/>
      <c r="C40" s="2525"/>
      <c r="D40" s="2530"/>
      <c r="E40" s="2525"/>
      <c r="F40" s="2525"/>
      <c r="G40" s="2536"/>
      <c r="H40" s="2536"/>
      <c r="I40" s="2537"/>
      <c r="J40" s="2565">
        <v>42</v>
      </c>
      <c r="K40" s="2517" t="s">
        <v>772</v>
      </c>
      <c r="L40" s="2567"/>
      <c r="M40" s="2565">
        <v>1</v>
      </c>
      <c r="N40" s="748"/>
      <c r="O40" s="2521"/>
      <c r="P40" s="2517"/>
      <c r="Q40" s="2580"/>
      <c r="R40" s="2573"/>
      <c r="S40" s="2542"/>
      <c r="T40" s="2581"/>
      <c r="U40" s="2561" t="s">
        <v>773</v>
      </c>
      <c r="V40" s="2585">
        <f>27500000+48300000</f>
        <v>75800000</v>
      </c>
      <c r="W40" s="2589"/>
      <c r="X40" s="2567"/>
      <c r="Y40" s="2548"/>
      <c r="Z40" s="2548"/>
      <c r="AA40" s="2548"/>
      <c r="AB40" s="2548"/>
      <c r="AC40" s="2548"/>
      <c r="AD40" s="2548"/>
      <c r="AE40" s="2548"/>
      <c r="AF40" s="2548"/>
      <c r="AG40" s="2548"/>
      <c r="AH40" s="2548"/>
      <c r="AI40" s="2548"/>
      <c r="AJ40" s="2548"/>
      <c r="AK40" s="2556"/>
      <c r="AL40" s="2556"/>
      <c r="AM40" s="2582"/>
    </row>
    <row r="41" spans="1:39" s="738" customFormat="1" ht="13.5" customHeight="1" x14ac:dyDescent="0.2">
      <c r="A41" s="2525"/>
      <c r="B41" s="2525"/>
      <c r="C41" s="2525"/>
      <c r="D41" s="2530"/>
      <c r="E41" s="2525"/>
      <c r="F41" s="2525"/>
      <c r="G41" s="2536"/>
      <c r="H41" s="2536"/>
      <c r="I41" s="2537"/>
      <c r="J41" s="2565"/>
      <c r="K41" s="2517"/>
      <c r="L41" s="2567"/>
      <c r="M41" s="2565"/>
      <c r="N41" s="748"/>
      <c r="O41" s="2521"/>
      <c r="P41" s="2517"/>
      <c r="Q41" s="2538">
        <f>V40/R24</f>
        <v>0.5602365114560236</v>
      </c>
      <c r="R41" s="2573"/>
      <c r="S41" s="2542"/>
      <c r="T41" s="2581"/>
      <c r="U41" s="2562"/>
      <c r="V41" s="2586"/>
      <c r="W41" s="2589"/>
      <c r="X41" s="2567"/>
      <c r="Y41" s="2548"/>
      <c r="Z41" s="2548"/>
      <c r="AA41" s="2548"/>
      <c r="AB41" s="2548"/>
      <c r="AC41" s="2548"/>
      <c r="AD41" s="2548"/>
      <c r="AE41" s="2548"/>
      <c r="AF41" s="2548"/>
      <c r="AG41" s="2548"/>
      <c r="AH41" s="2548"/>
      <c r="AI41" s="2548"/>
      <c r="AJ41" s="2548"/>
      <c r="AK41" s="2556"/>
      <c r="AL41" s="2556"/>
      <c r="AM41" s="2582"/>
    </row>
    <row r="42" spans="1:39" s="738" customFormat="1" ht="13.5" customHeight="1" x14ac:dyDescent="0.2">
      <c r="A42" s="2525"/>
      <c r="B42" s="2525"/>
      <c r="C42" s="2525"/>
      <c r="D42" s="2530"/>
      <c r="E42" s="2525"/>
      <c r="F42" s="2525"/>
      <c r="G42" s="2536"/>
      <c r="H42" s="2536"/>
      <c r="I42" s="2537"/>
      <c r="J42" s="2565"/>
      <c r="K42" s="2517"/>
      <c r="L42" s="2567"/>
      <c r="M42" s="2565"/>
      <c r="N42" s="748"/>
      <c r="O42" s="2521"/>
      <c r="P42" s="2517"/>
      <c r="Q42" s="2538"/>
      <c r="R42" s="2573"/>
      <c r="S42" s="2542"/>
      <c r="T42" s="2581"/>
      <c r="U42" s="2562"/>
      <c r="V42" s="2586"/>
      <c r="W42" s="2589"/>
      <c r="X42" s="2567"/>
      <c r="Y42" s="2548"/>
      <c r="Z42" s="2548"/>
      <c r="AA42" s="2548"/>
      <c r="AB42" s="2548"/>
      <c r="AC42" s="2548"/>
      <c r="AD42" s="2548"/>
      <c r="AE42" s="2548"/>
      <c r="AF42" s="2548"/>
      <c r="AG42" s="2548"/>
      <c r="AH42" s="2548"/>
      <c r="AI42" s="2548"/>
      <c r="AJ42" s="2548"/>
      <c r="AK42" s="2556"/>
      <c r="AL42" s="2556"/>
      <c r="AM42" s="2582"/>
    </row>
    <row r="43" spans="1:39" s="738" customFormat="1" ht="13.5" customHeight="1" x14ac:dyDescent="0.2">
      <c r="A43" s="2525"/>
      <c r="B43" s="2525"/>
      <c r="C43" s="2525"/>
      <c r="D43" s="2530"/>
      <c r="E43" s="2525"/>
      <c r="F43" s="2525"/>
      <c r="G43" s="2536"/>
      <c r="H43" s="2536"/>
      <c r="I43" s="2537"/>
      <c r="J43" s="2565"/>
      <c r="K43" s="2517"/>
      <c r="L43" s="2567"/>
      <c r="M43" s="2565"/>
      <c r="N43" s="748"/>
      <c r="O43" s="2521"/>
      <c r="P43" s="2517"/>
      <c r="Q43" s="2538"/>
      <c r="R43" s="2573"/>
      <c r="S43" s="2542"/>
      <c r="T43" s="2581"/>
      <c r="U43" s="2562"/>
      <c r="V43" s="2586"/>
      <c r="W43" s="2589"/>
      <c r="X43" s="2567"/>
      <c r="Y43" s="2548"/>
      <c r="Z43" s="2548"/>
      <c r="AA43" s="2548"/>
      <c r="AB43" s="2548"/>
      <c r="AC43" s="2548"/>
      <c r="AD43" s="2548"/>
      <c r="AE43" s="2548"/>
      <c r="AF43" s="2548"/>
      <c r="AG43" s="2548"/>
      <c r="AH43" s="2548"/>
      <c r="AI43" s="2548"/>
      <c r="AJ43" s="2548"/>
      <c r="AK43" s="2556"/>
      <c r="AL43" s="2556"/>
      <c r="AM43" s="2582"/>
    </row>
    <row r="44" spans="1:39" s="738" customFormat="1" ht="13.5" customHeight="1" x14ac:dyDescent="0.2">
      <c r="A44" s="2525"/>
      <c r="B44" s="2525"/>
      <c r="C44" s="2525"/>
      <c r="D44" s="2530"/>
      <c r="E44" s="2525"/>
      <c r="F44" s="2525"/>
      <c r="G44" s="2536"/>
      <c r="H44" s="2536"/>
      <c r="I44" s="2537"/>
      <c r="J44" s="2565"/>
      <c r="K44" s="2517"/>
      <c r="L44" s="2567"/>
      <c r="M44" s="2565"/>
      <c r="N44" s="748"/>
      <c r="O44" s="2521"/>
      <c r="P44" s="2517"/>
      <c r="Q44" s="2538"/>
      <c r="R44" s="2573"/>
      <c r="S44" s="2542"/>
      <c r="T44" s="2581"/>
      <c r="U44" s="2562"/>
      <c r="V44" s="2586"/>
      <c r="W44" s="2589"/>
      <c r="X44" s="2567"/>
      <c r="Y44" s="2548"/>
      <c r="Z44" s="2548"/>
      <c r="AA44" s="2548"/>
      <c r="AB44" s="2548"/>
      <c r="AC44" s="2548"/>
      <c r="AD44" s="2548"/>
      <c r="AE44" s="2548"/>
      <c r="AF44" s="2548"/>
      <c r="AG44" s="2548"/>
      <c r="AH44" s="2548"/>
      <c r="AI44" s="2548"/>
      <c r="AJ44" s="2548"/>
      <c r="AK44" s="2556"/>
      <c r="AL44" s="2556"/>
      <c r="AM44" s="2582"/>
    </row>
    <row r="45" spans="1:39" s="738" customFormat="1" ht="21.75" customHeight="1" x14ac:dyDescent="0.2">
      <c r="A45" s="2525"/>
      <c r="B45" s="2525"/>
      <c r="C45" s="2525"/>
      <c r="D45" s="2530"/>
      <c r="E45" s="2525"/>
      <c r="F45" s="2525"/>
      <c r="G45" s="2536"/>
      <c r="H45" s="2536"/>
      <c r="I45" s="2537"/>
      <c r="J45" s="2570"/>
      <c r="K45" s="2571"/>
      <c r="L45" s="2567"/>
      <c r="M45" s="2570"/>
      <c r="N45" s="749"/>
      <c r="O45" s="2522"/>
      <c r="P45" s="2571"/>
      <c r="Q45" s="2538"/>
      <c r="R45" s="2574"/>
      <c r="S45" s="2576"/>
      <c r="T45" s="2575"/>
      <c r="U45" s="2562"/>
      <c r="V45" s="2586"/>
      <c r="W45" s="2590"/>
      <c r="X45" s="2592"/>
      <c r="Y45" s="2549"/>
      <c r="Z45" s="2549"/>
      <c r="AA45" s="2549"/>
      <c r="AB45" s="2549"/>
      <c r="AC45" s="2549"/>
      <c r="AD45" s="2549"/>
      <c r="AE45" s="2549"/>
      <c r="AF45" s="2549"/>
      <c r="AG45" s="2549"/>
      <c r="AH45" s="2549"/>
      <c r="AI45" s="2549"/>
      <c r="AJ45" s="2549"/>
      <c r="AK45" s="2557"/>
      <c r="AL45" s="2557"/>
      <c r="AM45" s="2583"/>
    </row>
    <row r="46" spans="1:39" s="738" customFormat="1" ht="12.75" customHeight="1" x14ac:dyDescent="0.2">
      <c r="A46" s="2525"/>
      <c r="B46" s="2525"/>
      <c r="C46" s="2525"/>
      <c r="D46" s="2530"/>
      <c r="E46" s="2525"/>
      <c r="F46" s="2525"/>
      <c r="G46" s="2533">
        <v>9</v>
      </c>
      <c r="H46" s="2535" t="s">
        <v>774</v>
      </c>
      <c r="I46" s="2535"/>
      <c r="J46" s="2535"/>
      <c r="K46" s="2535"/>
      <c r="L46" s="2535"/>
      <c r="M46" s="2535"/>
      <c r="N46" s="2535"/>
      <c r="O46" s="2535"/>
      <c r="P46" s="2535"/>
      <c r="Q46" s="2535"/>
      <c r="R46" s="2535"/>
      <c r="S46" s="2535"/>
      <c r="T46" s="2535"/>
      <c r="U46" s="2535"/>
      <c r="V46" s="2535"/>
      <c r="W46" s="2535"/>
      <c r="X46" s="2535"/>
      <c r="Y46" s="2535"/>
      <c r="Z46" s="2535"/>
      <c r="AA46" s="2535"/>
      <c r="AB46" s="2535"/>
      <c r="AC46" s="2535"/>
      <c r="AD46" s="2535"/>
      <c r="AE46" s="2535"/>
      <c r="AF46" s="2535"/>
      <c r="AG46" s="2535"/>
      <c r="AH46" s="2535"/>
      <c r="AI46" s="2535"/>
      <c r="AJ46" s="2535"/>
      <c r="AK46" s="2535"/>
      <c r="AL46" s="2535"/>
      <c r="AM46" s="2595"/>
    </row>
    <row r="47" spans="1:39" s="738" customFormat="1" x14ac:dyDescent="0.2">
      <c r="A47" s="2525"/>
      <c r="B47" s="2525"/>
      <c r="C47" s="2525"/>
      <c r="D47" s="2530"/>
      <c r="E47" s="2525"/>
      <c r="F47" s="2525"/>
      <c r="G47" s="2534"/>
      <c r="H47" s="2535"/>
      <c r="I47" s="2535"/>
      <c r="J47" s="2535"/>
      <c r="K47" s="2535"/>
      <c r="L47" s="2535"/>
      <c r="M47" s="2535"/>
      <c r="N47" s="2535"/>
      <c r="O47" s="2535"/>
      <c r="P47" s="2535"/>
      <c r="Q47" s="2535"/>
      <c r="R47" s="2535"/>
      <c r="S47" s="2535"/>
      <c r="T47" s="2535"/>
      <c r="U47" s="2535"/>
      <c r="V47" s="2535"/>
      <c r="W47" s="2535"/>
      <c r="X47" s="2535"/>
      <c r="Y47" s="2535"/>
      <c r="Z47" s="2535"/>
      <c r="AA47" s="2535"/>
      <c r="AB47" s="2535"/>
      <c r="AC47" s="2535"/>
      <c r="AD47" s="2535"/>
      <c r="AE47" s="2535"/>
      <c r="AF47" s="2535"/>
      <c r="AG47" s="2535"/>
      <c r="AH47" s="2535"/>
      <c r="AI47" s="2535"/>
      <c r="AJ47" s="2535"/>
      <c r="AK47" s="2535"/>
      <c r="AL47" s="2535"/>
      <c r="AM47" s="2596"/>
    </row>
    <row r="48" spans="1:39" s="738" customFormat="1" ht="13.5" customHeight="1" x14ac:dyDescent="0.2">
      <c r="A48" s="2525"/>
      <c r="B48" s="2525"/>
      <c r="C48" s="2525"/>
      <c r="D48" s="2530"/>
      <c r="E48" s="2525"/>
      <c r="F48" s="2525"/>
      <c r="G48" s="2597"/>
      <c r="H48" s="2597"/>
      <c r="I48" s="2598"/>
      <c r="J48" s="2564">
        <v>43</v>
      </c>
      <c r="K48" s="2566" t="s">
        <v>775</v>
      </c>
      <c r="L48" s="2567" t="s">
        <v>16</v>
      </c>
      <c r="M48" s="2600">
        <v>3</v>
      </c>
      <c r="N48" s="748"/>
      <c r="O48" s="2521" t="s">
        <v>776</v>
      </c>
      <c r="P48" s="2602" t="s">
        <v>777</v>
      </c>
      <c r="Q48" s="2580">
        <f>+(V48+V52)/R48</f>
        <v>0.18578998073217726</v>
      </c>
      <c r="R48" s="2603">
        <f>SUM(V48:V72)</f>
        <v>415200000</v>
      </c>
      <c r="S48" s="2581" t="s">
        <v>778</v>
      </c>
      <c r="T48" s="2575" t="s">
        <v>779</v>
      </c>
      <c r="U48" s="2545" t="s">
        <v>780</v>
      </c>
      <c r="V48" s="2586">
        <f>40000000-10000000+46140000</f>
        <v>76140000</v>
      </c>
      <c r="W48" s="2567">
        <v>20</v>
      </c>
      <c r="X48" s="2567" t="s">
        <v>412</v>
      </c>
      <c r="Y48" s="2593">
        <v>64.149000000000001</v>
      </c>
      <c r="Z48" s="2593" t="s">
        <v>760</v>
      </c>
      <c r="AA48" s="2593" t="s">
        <v>761</v>
      </c>
      <c r="AB48" s="2593" t="s">
        <v>762</v>
      </c>
      <c r="AC48" s="2593" t="s">
        <v>763</v>
      </c>
      <c r="AD48" s="2593" t="s">
        <v>764</v>
      </c>
      <c r="AE48" s="2593">
        <v>13.208</v>
      </c>
      <c r="AF48" s="2593">
        <v>1827</v>
      </c>
      <c r="AG48" s="2593"/>
      <c r="AH48" s="2593"/>
      <c r="AI48" s="2593">
        <v>16.896999999999998</v>
      </c>
      <c r="AJ48" s="2593">
        <v>81.384</v>
      </c>
      <c r="AK48" s="2555">
        <v>42745</v>
      </c>
      <c r="AL48" s="2555">
        <v>43094</v>
      </c>
      <c r="AM48" s="2606" t="s">
        <v>781</v>
      </c>
    </row>
    <row r="49" spans="1:39" s="738" customFormat="1" ht="13.5" customHeight="1" x14ac:dyDescent="0.2">
      <c r="A49" s="2525"/>
      <c r="B49" s="2525"/>
      <c r="C49" s="2525"/>
      <c r="D49" s="2530"/>
      <c r="E49" s="2525"/>
      <c r="F49" s="2525"/>
      <c r="G49" s="2597"/>
      <c r="H49" s="2597"/>
      <c r="I49" s="2598"/>
      <c r="J49" s="2564"/>
      <c r="K49" s="2566"/>
      <c r="L49" s="2567"/>
      <c r="M49" s="2600"/>
      <c r="N49" s="748"/>
      <c r="O49" s="2521"/>
      <c r="P49" s="2602"/>
      <c r="Q49" s="2538"/>
      <c r="R49" s="2603"/>
      <c r="S49" s="2581"/>
      <c r="T49" s="2575"/>
      <c r="U49" s="2605"/>
      <c r="V49" s="2586"/>
      <c r="W49" s="2567"/>
      <c r="X49" s="2567"/>
      <c r="Y49" s="2593"/>
      <c r="Z49" s="2593"/>
      <c r="AA49" s="2593"/>
      <c r="AB49" s="2593"/>
      <c r="AC49" s="2593"/>
      <c r="AD49" s="2593"/>
      <c r="AE49" s="2593"/>
      <c r="AF49" s="2593"/>
      <c r="AG49" s="2593"/>
      <c r="AH49" s="2593"/>
      <c r="AI49" s="2593"/>
      <c r="AJ49" s="2593"/>
      <c r="AK49" s="2556"/>
      <c r="AL49" s="2556"/>
      <c r="AM49" s="2607"/>
    </row>
    <row r="50" spans="1:39" s="738" customFormat="1" ht="13.5" customHeight="1" x14ac:dyDescent="0.2">
      <c r="A50" s="2525"/>
      <c r="B50" s="2525"/>
      <c r="C50" s="2525"/>
      <c r="D50" s="2530"/>
      <c r="E50" s="2525"/>
      <c r="F50" s="2525"/>
      <c r="G50" s="2597"/>
      <c r="H50" s="2597"/>
      <c r="I50" s="2598"/>
      <c r="J50" s="2565"/>
      <c r="K50" s="2517"/>
      <c r="L50" s="2567"/>
      <c r="M50" s="2601"/>
      <c r="N50" s="748"/>
      <c r="O50" s="2521"/>
      <c r="P50" s="2602"/>
      <c r="Q50" s="2538"/>
      <c r="R50" s="2603"/>
      <c r="S50" s="2581"/>
      <c r="T50" s="2542"/>
      <c r="U50" s="2605"/>
      <c r="V50" s="2586"/>
      <c r="W50" s="2567"/>
      <c r="X50" s="2567"/>
      <c r="Y50" s="2593"/>
      <c r="Z50" s="2593"/>
      <c r="AA50" s="2593"/>
      <c r="AB50" s="2593"/>
      <c r="AC50" s="2593"/>
      <c r="AD50" s="2593"/>
      <c r="AE50" s="2593"/>
      <c r="AF50" s="2593"/>
      <c r="AG50" s="2593"/>
      <c r="AH50" s="2593"/>
      <c r="AI50" s="2593"/>
      <c r="AJ50" s="2593"/>
      <c r="AK50" s="2556"/>
      <c r="AL50" s="2556"/>
      <c r="AM50" s="2607"/>
    </row>
    <row r="51" spans="1:39" s="738" customFormat="1" ht="18" customHeight="1" x14ac:dyDescent="0.2">
      <c r="A51" s="2525"/>
      <c r="B51" s="2525"/>
      <c r="C51" s="2525"/>
      <c r="D51" s="2530"/>
      <c r="E51" s="2525"/>
      <c r="F51" s="2525"/>
      <c r="G51" s="2597"/>
      <c r="H51" s="2597"/>
      <c r="I51" s="2598"/>
      <c r="J51" s="2565"/>
      <c r="K51" s="2517"/>
      <c r="L51" s="2567"/>
      <c r="M51" s="2601"/>
      <c r="N51" s="748"/>
      <c r="O51" s="2521"/>
      <c r="P51" s="2602"/>
      <c r="Q51" s="2538"/>
      <c r="R51" s="2603"/>
      <c r="S51" s="2581"/>
      <c r="T51" s="2542"/>
      <c r="U51" s="2605"/>
      <c r="V51" s="2587"/>
      <c r="W51" s="2567"/>
      <c r="X51" s="2567"/>
      <c r="Y51" s="2593"/>
      <c r="Z51" s="2593"/>
      <c r="AA51" s="2593"/>
      <c r="AB51" s="2593"/>
      <c r="AC51" s="2593"/>
      <c r="AD51" s="2593"/>
      <c r="AE51" s="2593"/>
      <c r="AF51" s="2593"/>
      <c r="AG51" s="2593"/>
      <c r="AH51" s="2593"/>
      <c r="AI51" s="2593"/>
      <c r="AJ51" s="2593"/>
      <c r="AK51" s="2556"/>
      <c r="AL51" s="2556"/>
      <c r="AM51" s="2607"/>
    </row>
    <row r="52" spans="1:39" s="738" customFormat="1" ht="35.25" customHeight="1" x14ac:dyDescent="0.2">
      <c r="A52" s="2525"/>
      <c r="B52" s="2525"/>
      <c r="C52" s="2525"/>
      <c r="D52" s="2530"/>
      <c r="E52" s="2525"/>
      <c r="F52" s="2525"/>
      <c r="G52" s="2597"/>
      <c r="H52" s="2597"/>
      <c r="I52" s="2598"/>
      <c r="J52" s="2565"/>
      <c r="K52" s="2517"/>
      <c r="L52" s="2567"/>
      <c r="M52" s="2601"/>
      <c r="N52" s="748"/>
      <c r="O52" s="2521"/>
      <c r="P52" s="2602"/>
      <c r="Q52" s="2538"/>
      <c r="R52" s="2603"/>
      <c r="S52" s="2581"/>
      <c r="T52" s="2542"/>
      <c r="U52" s="2605" t="s">
        <v>782</v>
      </c>
      <c r="V52" s="2585">
        <v>1000000</v>
      </c>
      <c r="W52" s="2567"/>
      <c r="X52" s="2567"/>
      <c r="Y52" s="2593"/>
      <c r="Z52" s="2593"/>
      <c r="AA52" s="2593"/>
      <c r="AB52" s="2593"/>
      <c r="AC52" s="2593"/>
      <c r="AD52" s="2593"/>
      <c r="AE52" s="2593"/>
      <c r="AF52" s="2593"/>
      <c r="AG52" s="2593"/>
      <c r="AH52" s="2593"/>
      <c r="AI52" s="2593"/>
      <c r="AJ52" s="2593"/>
      <c r="AK52" s="2556"/>
      <c r="AL52" s="2556"/>
      <c r="AM52" s="2607"/>
    </row>
    <row r="53" spans="1:39" s="738" customFormat="1" ht="29.25" customHeight="1" x14ac:dyDescent="0.2">
      <c r="A53" s="2525"/>
      <c r="B53" s="2525"/>
      <c r="C53" s="2525"/>
      <c r="D53" s="2530"/>
      <c r="E53" s="2525"/>
      <c r="F53" s="2525"/>
      <c r="G53" s="2597"/>
      <c r="H53" s="2597"/>
      <c r="I53" s="2598"/>
      <c r="J53" s="2565"/>
      <c r="K53" s="2517"/>
      <c r="L53" s="2567"/>
      <c r="M53" s="2601"/>
      <c r="N53" s="748"/>
      <c r="O53" s="2521"/>
      <c r="P53" s="2602"/>
      <c r="Q53" s="2538"/>
      <c r="R53" s="2603"/>
      <c r="S53" s="2581"/>
      <c r="T53" s="2542"/>
      <c r="U53" s="2605"/>
      <c r="V53" s="2587"/>
      <c r="W53" s="2567"/>
      <c r="X53" s="2567"/>
      <c r="Y53" s="2593"/>
      <c r="Z53" s="2593"/>
      <c r="AA53" s="2593"/>
      <c r="AB53" s="2593"/>
      <c r="AC53" s="2593"/>
      <c r="AD53" s="2593"/>
      <c r="AE53" s="2593"/>
      <c r="AF53" s="2593"/>
      <c r="AG53" s="2593"/>
      <c r="AH53" s="2593"/>
      <c r="AI53" s="2593"/>
      <c r="AJ53" s="2593"/>
      <c r="AK53" s="2556"/>
      <c r="AL53" s="2556"/>
      <c r="AM53" s="2607"/>
    </row>
    <row r="54" spans="1:39" s="738" customFormat="1" ht="11.25" customHeight="1" x14ac:dyDescent="0.2">
      <c r="A54" s="2525"/>
      <c r="B54" s="2525"/>
      <c r="C54" s="2525"/>
      <c r="D54" s="2530"/>
      <c r="E54" s="2525"/>
      <c r="F54" s="2525"/>
      <c r="G54" s="2597"/>
      <c r="H54" s="2597"/>
      <c r="I54" s="2598"/>
      <c r="J54" s="2564">
        <v>44</v>
      </c>
      <c r="K54" s="2566" t="s">
        <v>783</v>
      </c>
      <c r="L54" s="2591" t="s">
        <v>16</v>
      </c>
      <c r="M54" s="2612">
        <v>1</v>
      </c>
      <c r="N54" s="748"/>
      <c r="O54" s="2521"/>
      <c r="P54" s="2602"/>
      <c r="Q54" s="2538">
        <f>+V54/R48</f>
        <v>0.12798651252408477</v>
      </c>
      <c r="R54" s="2603"/>
      <c r="S54" s="2581"/>
      <c r="T54" s="2575" t="s">
        <v>784</v>
      </c>
      <c r="U54" s="2543" t="s">
        <v>785</v>
      </c>
      <c r="V54" s="2587">
        <f>40000000-7000000+20140000</f>
        <v>53140000</v>
      </c>
      <c r="W54" s="2567"/>
      <c r="X54" s="2567"/>
      <c r="Y54" s="2593"/>
      <c r="Z54" s="2593"/>
      <c r="AA54" s="2593"/>
      <c r="AB54" s="2593"/>
      <c r="AC54" s="2593"/>
      <c r="AD54" s="2593"/>
      <c r="AE54" s="2593"/>
      <c r="AF54" s="2593"/>
      <c r="AG54" s="2593"/>
      <c r="AH54" s="2593"/>
      <c r="AI54" s="2593"/>
      <c r="AJ54" s="2593"/>
      <c r="AK54" s="2556"/>
      <c r="AL54" s="2556"/>
      <c r="AM54" s="2607"/>
    </row>
    <row r="55" spans="1:39" s="738" customFormat="1" ht="13.5" customHeight="1" x14ac:dyDescent="0.2">
      <c r="A55" s="2525"/>
      <c r="B55" s="2525"/>
      <c r="C55" s="2525"/>
      <c r="D55" s="2530"/>
      <c r="E55" s="2525"/>
      <c r="F55" s="2525"/>
      <c r="G55" s="2597"/>
      <c r="H55" s="2597"/>
      <c r="I55" s="2598"/>
      <c r="J55" s="2564"/>
      <c r="K55" s="2566"/>
      <c r="L55" s="2567"/>
      <c r="M55" s="2612"/>
      <c r="N55" s="748"/>
      <c r="O55" s="2521"/>
      <c r="P55" s="2602"/>
      <c r="Q55" s="2538"/>
      <c r="R55" s="2603"/>
      <c r="S55" s="2581"/>
      <c r="T55" s="2575"/>
      <c r="U55" s="2544"/>
      <c r="V55" s="2587"/>
      <c r="W55" s="2567"/>
      <c r="X55" s="2567"/>
      <c r="Y55" s="2593"/>
      <c r="Z55" s="2593"/>
      <c r="AA55" s="2593"/>
      <c r="AB55" s="2593"/>
      <c r="AC55" s="2593"/>
      <c r="AD55" s="2593"/>
      <c r="AE55" s="2593"/>
      <c r="AF55" s="2593"/>
      <c r="AG55" s="2593"/>
      <c r="AH55" s="2593"/>
      <c r="AI55" s="2593"/>
      <c r="AJ55" s="2593"/>
      <c r="AK55" s="2556"/>
      <c r="AL55" s="2556"/>
      <c r="AM55" s="2607"/>
    </row>
    <row r="56" spans="1:39" s="738" customFormat="1" ht="3.75" customHeight="1" x14ac:dyDescent="0.2">
      <c r="A56" s="2525"/>
      <c r="B56" s="2525"/>
      <c r="C56" s="2525"/>
      <c r="D56" s="2530"/>
      <c r="E56" s="2525"/>
      <c r="F56" s="2525"/>
      <c r="G56" s="2597"/>
      <c r="H56" s="2597"/>
      <c r="I56" s="2598"/>
      <c r="J56" s="2565"/>
      <c r="K56" s="2517"/>
      <c r="L56" s="2567"/>
      <c r="M56" s="2609"/>
      <c r="N56" s="748"/>
      <c r="O56" s="2521"/>
      <c r="P56" s="2602"/>
      <c r="Q56" s="2538"/>
      <c r="R56" s="2603"/>
      <c r="S56" s="2581"/>
      <c r="T56" s="2542"/>
      <c r="U56" s="2544"/>
      <c r="V56" s="2584"/>
      <c r="W56" s="2567"/>
      <c r="X56" s="2567"/>
      <c r="Y56" s="2593"/>
      <c r="Z56" s="2593"/>
      <c r="AA56" s="2593"/>
      <c r="AB56" s="2593"/>
      <c r="AC56" s="2593"/>
      <c r="AD56" s="2593"/>
      <c r="AE56" s="2593"/>
      <c r="AF56" s="2593"/>
      <c r="AG56" s="2593"/>
      <c r="AH56" s="2593"/>
      <c r="AI56" s="2593"/>
      <c r="AJ56" s="2593"/>
      <c r="AK56" s="2556"/>
      <c r="AL56" s="2556"/>
      <c r="AM56" s="2607"/>
    </row>
    <row r="57" spans="1:39" s="738" customFormat="1" ht="13.5" customHeight="1" x14ac:dyDescent="0.2">
      <c r="A57" s="2525"/>
      <c r="B57" s="2525"/>
      <c r="C57" s="2525"/>
      <c r="D57" s="2530"/>
      <c r="E57" s="2525"/>
      <c r="F57" s="2525"/>
      <c r="G57" s="2597"/>
      <c r="H57" s="2597"/>
      <c r="I57" s="2598"/>
      <c r="J57" s="2565"/>
      <c r="K57" s="2517"/>
      <c r="L57" s="2567"/>
      <c r="M57" s="2609"/>
      <c r="N57" s="748"/>
      <c r="O57" s="2521"/>
      <c r="P57" s="2602"/>
      <c r="Q57" s="2538"/>
      <c r="R57" s="2603"/>
      <c r="S57" s="2581"/>
      <c r="T57" s="2542"/>
      <c r="U57" s="2544"/>
      <c r="V57" s="2584"/>
      <c r="W57" s="2567"/>
      <c r="X57" s="2567"/>
      <c r="Y57" s="2593"/>
      <c r="Z57" s="2593"/>
      <c r="AA57" s="2593"/>
      <c r="AB57" s="2593"/>
      <c r="AC57" s="2593"/>
      <c r="AD57" s="2593"/>
      <c r="AE57" s="2593"/>
      <c r="AF57" s="2593"/>
      <c r="AG57" s="2593"/>
      <c r="AH57" s="2593"/>
      <c r="AI57" s="2593"/>
      <c r="AJ57" s="2593"/>
      <c r="AK57" s="2556"/>
      <c r="AL57" s="2556"/>
      <c r="AM57" s="2607"/>
    </row>
    <row r="58" spans="1:39" s="738" customFormat="1" ht="5.25" customHeight="1" x14ac:dyDescent="0.2">
      <c r="A58" s="2525"/>
      <c r="B58" s="2525"/>
      <c r="C58" s="2525"/>
      <c r="D58" s="2530"/>
      <c r="E58" s="2525"/>
      <c r="F58" s="2525"/>
      <c r="G58" s="2597"/>
      <c r="H58" s="2597"/>
      <c r="I58" s="2598"/>
      <c r="J58" s="2565"/>
      <c r="K58" s="2517"/>
      <c r="L58" s="2567"/>
      <c r="M58" s="2609"/>
      <c r="N58" s="748"/>
      <c r="O58" s="2521"/>
      <c r="P58" s="2602"/>
      <c r="Q58" s="2538"/>
      <c r="R58" s="2603"/>
      <c r="S58" s="2581"/>
      <c r="T58" s="2542"/>
      <c r="U58" s="2544"/>
      <c r="V58" s="2584"/>
      <c r="W58" s="2567"/>
      <c r="X58" s="2567"/>
      <c r="Y58" s="2593"/>
      <c r="Z58" s="2593"/>
      <c r="AA58" s="2593"/>
      <c r="AB58" s="2593"/>
      <c r="AC58" s="2593"/>
      <c r="AD58" s="2593"/>
      <c r="AE58" s="2593"/>
      <c r="AF58" s="2593"/>
      <c r="AG58" s="2593"/>
      <c r="AH58" s="2593"/>
      <c r="AI58" s="2593"/>
      <c r="AJ58" s="2593"/>
      <c r="AK58" s="2556"/>
      <c r="AL58" s="2556"/>
      <c r="AM58" s="2607"/>
    </row>
    <row r="59" spans="1:39" s="738" customFormat="1" ht="13.5" customHeight="1" x14ac:dyDescent="0.2">
      <c r="A59" s="2525"/>
      <c r="B59" s="2525"/>
      <c r="C59" s="2525"/>
      <c r="D59" s="2530"/>
      <c r="E59" s="2525"/>
      <c r="F59" s="2525"/>
      <c r="G59" s="2597"/>
      <c r="H59" s="2597"/>
      <c r="I59" s="2598"/>
      <c r="J59" s="2565"/>
      <c r="K59" s="2517"/>
      <c r="L59" s="2567"/>
      <c r="M59" s="2609"/>
      <c r="N59" s="748"/>
      <c r="O59" s="2521"/>
      <c r="P59" s="2602"/>
      <c r="Q59" s="2538"/>
      <c r="R59" s="2603"/>
      <c r="S59" s="2581"/>
      <c r="T59" s="2542"/>
      <c r="U59" s="2544"/>
      <c r="V59" s="2584"/>
      <c r="W59" s="2567"/>
      <c r="X59" s="2567"/>
      <c r="Y59" s="2593"/>
      <c r="Z59" s="2593"/>
      <c r="AA59" s="2593"/>
      <c r="AB59" s="2593"/>
      <c r="AC59" s="2593"/>
      <c r="AD59" s="2593"/>
      <c r="AE59" s="2593"/>
      <c r="AF59" s="2593"/>
      <c r="AG59" s="2593"/>
      <c r="AH59" s="2593"/>
      <c r="AI59" s="2593"/>
      <c r="AJ59" s="2593"/>
      <c r="AK59" s="2556"/>
      <c r="AL59" s="2556"/>
      <c r="AM59" s="2607"/>
    </row>
    <row r="60" spans="1:39" s="738" customFormat="1" ht="13.5" customHeight="1" x14ac:dyDescent="0.2">
      <c r="A60" s="2525"/>
      <c r="B60" s="2525"/>
      <c r="C60" s="2525"/>
      <c r="D60" s="2530"/>
      <c r="E60" s="2525"/>
      <c r="F60" s="2525"/>
      <c r="G60" s="2597"/>
      <c r="H60" s="2597"/>
      <c r="I60" s="2598"/>
      <c r="J60" s="2565"/>
      <c r="K60" s="2517"/>
      <c r="L60" s="2567"/>
      <c r="M60" s="2609"/>
      <c r="N60" s="748" t="s">
        <v>786</v>
      </c>
      <c r="O60" s="2521"/>
      <c r="P60" s="2602"/>
      <c r="Q60" s="2538"/>
      <c r="R60" s="2603"/>
      <c r="S60" s="2581"/>
      <c r="T60" s="2542"/>
      <c r="U60" s="2545"/>
      <c r="V60" s="2584"/>
      <c r="W60" s="2567"/>
      <c r="X60" s="2567"/>
      <c r="Y60" s="2593"/>
      <c r="Z60" s="2593"/>
      <c r="AA60" s="2593"/>
      <c r="AB60" s="2593"/>
      <c r="AC60" s="2593"/>
      <c r="AD60" s="2593"/>
      <c r="AE60" s="2593"/>
      <c r="AF60" s="2593"/>
      <c r="AG60" s="2593"/>
      <c r="AH60" s="2593"/>
      <c r="AI60" s="2593"/>
      <c r="AJ60" s="2593"/>
      <c r="AK60" s="2556"/>
      <c r="AL60" s="2556"/>
      <c r="AM60" s="2607"/>
    </row>
    <row r="61" spans="1:39" s="738" customFormat="1" ht="27.75" customHeight="1" x14ac:dyDescent="0.2">
      <c r="A61" s="2525"/>
      <c r="B61" s="2525"/>
      <c r="C61" s="2525"/>
      <c r="D61" s="2530"/>
      <c r="E61" s="2525"/>
      <c r="F61" s="2525"/>
      <c r="G61" s="2597"/>
      <c r="H61" s="2597"/>
      <c r="I61" s="2598"/>
      <c r="J61" s="2570">
        <v>45</v>
      </c>
      <c r="K61" s="2571" t="s">
        <v>787</v>
      </c>
      <c r="L61" s="2591" t="s">
        <v>16</v>
      </c>
      <c r="M61" s="2600">
        <v>3</v>
      </c>
      <c r="N61" s="748" t="s">
        <v>788</v>
      </c>
      <c r="O61" s="2521"/>
      <c r="P61" s="2602"/>
      <c r="Q61" s="2538">
        <f>+(V61+V64)/R48</f>
        <v>0.16840077071290943</v>
      </c>
      <c r="R61" s="2603"/>
      <c r="S61" s="2581"/>
      <c r="T61" s="2576" t="s">
        <v>779</v>
      </c>
      <c r="U61" s="2605" t="s">
        <v>789</v>
      </c>
      <c r="V61" s="2584">
        <f>40000000+17000000+11920000</f>
        <v>68920000</v>
      </c>
      <c r="W61" s="2567"/>
      <c r="X61" s="2567"/>
      <c r="Y61" s="2593"/>
      <c r="Z61" s="2593"/>
      <c r="AA61" s="2593"/>
      <c r="AB61" s="2593"/>
      <c r="AC61" s="2593"/>
      <c r="AD61" s="2593"/>
      <c r="AE61" s="2593"/>
      <c r="AF61" s="2593"/>
      <c r="AG61" s="2593"/>
      <c r="AH61" s="2593"/>
      <c r="AI61" s="2593"/>
      <c r="AJ61" s="2593"/>
      <c r="AK61" s="2556"/>
      <c r="AL61" s="2556"/>
      <c r="AM61" s="2607"/>
    </row>
    <row r="62" spans="1:39" s="738" customFormat="1" ht="13.5" customHeight="1" x14ac:dyDescent="0.2">
      <c r="A62" s="2525"/>
      <c r="B62" s="2525"/>
      <c r="C62" s="2525"/>
      <c r="D62" s="2530"/>
      <c r="E62" s="2525"/>
      <c r="F62" s="2525"/>
      <c r="G62" s="2597"/>
      <c r="H62" s="2597"/>
      <c r="I62" s="2598"/>
      <c r="J62" s="2611"/>
      <c r="K62" s="2602"/>
      <c r="L62" s="2567"/>
      <c r="M62" s="2600"/>
      <c r="N62" s="748"/>
      <c r="O62" s="2521"/>
      <c r="P62" s="2602"/>
      <c r="Q62" s="2538"/>
      <c r="R62" s="2603"/>
      <c r="S62" s="2581"/>
      <c r="T62" s="2581"/>
      <c r="U62" s="2605"/>
      <c r="V62" s="2584"/>
      <c r="W62" s="2567"/>
      <c r="X62" s="2567"/>
      <c r="Y62" s="2593"/>
      <c r="Z62" s="2593"/>
      <c r="AA62" s="2593"/>
      <c r="AB62" s="2593"/>
      <c r="AC62" s="2593"/>
      <c r="AD62" s="2593"/>
      <c r="AE62" s="2593"/>
      <c r="AF62" s="2593"/>
      <c r="AG62" s="2593"/>
      <c r="AH62" s="2593"/>
      <c r="AI62" s="2593"/>
      <c r="AJ62" s="2593"/>
      <c r="AK62" s="2556"/>
      <c r="AL62" s="2556"/>
      <c r="AM62" s="2607"/>
    </row>
    <row r="63" spans="1:39" s="738" customFormat="1" ht="13.5" customHeight="1" x14ac:dyDescent="0.2">
      <c r="A63" s="2525"/>
      <c r="B63" s="2525"/>
      <c r="C63" s="2525"/>
      <c r="D63" s="2530"/>
      <c r="E63" s="2525"/>
      <c r="F63" s="2525"/>
      <c r="G63" s="2597"/>
      <c r="H63" s="2597"/>
      <c r="I63" s="2598"/>
      <c r="J63" s="2611"/>
      <c r="K63" s="2602"/>
      <c r="L63" s="2567"/>
      <c r="M63" s="2601"/>
      <c r="N63" s="748"/>
      <c r="O63" s="2521"/>
      <c r="P63" s="2602"/>
      <c r="Q63" s="2538"/>
      <c r="R63" s="2603"/>
      <c r="S63" s="2581"/>
      <c r="T63" s="2581"/>
      <c r="U63" s="2605"/>
      <c r="V63" s="2584"/>
      <c r="W63" s="2567"/>
      <c r="X63" s="2567"/>
      <c r="Y63" s="2593"/>
      <c r="Z63" s="2593"/>
      <c r="AA63" s="2593"/>
      <c r="AB63" s="2593"/>
      <c r="AC63" s="2593"/>
      <c r="AD63" s="2593"/>
      <c r="AE63" s="2593"/>
      <c r="AF63" s="2593"/>
      <c r="AG63" s="2593"/>
      <c r="AH63" s="2593"/>
      <c r="AI63" s="2593"/>
      <c r="AJ63" s="2593"/>
      <c r="AK63" s="2556"/>
      <c r="AL63" s="2556"/>
      <c r="AM63" s="2607"/>
    </row>
    <row r="64" spans="1:39" s="738" customFormat="1" ht="13.5" customHeight="1" x14ac:dyDescent="0.2">
      <c r="A64" s="2525"/>
      <c r="B64" s="2525"/>
      <c r="C64" s="2525"/>
      <c r="D64" s="2530"/>
      <c r="E64" s="2525"/>
      <c r="F64" s="2525"/>
      <c r="G64" s="2597"/>
      <c r="H64" s="2597"/>
      <c r="I64" s="2598"/>
      <c r="J64" s="2611"/>
      <c r="K64" s="2602"/>
      <c r="L64" s="2567"/>
      <c r="M64" s="2601"/>
      <c r="N64" s="748"/>
      <c r="O64" s="2521"/>
      <c r="P64" s="2602"/>
      <c r="Q64" s="2538"/>
      <c r="R64" s="2603"/>
      <c r="S64" s="2581"/>
      <c r="T64" s="2581"/>
      <c r="U64" s="2605" t="s">
        <v>782</v>
      </c>
      <c r="V64" s="2584">
        <v>1000000</v>
      </c>
      <c r="W64" s="2567"/>
      <c r="X64" s="2567"/>
      <c r="Y64" s="2593"/>
      <c r="Z64" s="2593"/>
      <c r="AA64" s="2593"/>
      <c r="AB64" s="2593"/>
      <c r="AC64" s="2593"/>
      <c r="AD64" s="2593"/>
      <c r="AE64" s="2593"/>
      <c r="AF64" s="2593"/>
      <c r="AG64" s="2593"/>
      <c r="AH64" s="2593"/>
      <c r="AI64" s="2593"/>
      <c r="AJ64" s="2593"/>
      <c r="AK64" s="2556"/>
      <c r="AL64" s="2556"/>
      <c r="AM64" s="2607"/>
    </row>
    <row r="65" spans="1:39" s="738" customFormat="1" ht="30.75" customHeight="1" x14ac:dyDescent="0.2">
      <c r="A65" s="2525"/>
      <c r="B65" s="2525"/>
      <c r="C65" s="2525"/>
      <c r="D65" s="2530"/>
      <c r="E65" s="2525"/>
      <c r="F65" s="2525"/>
      <c r="G65" s="2597"/>
      <c r="H65" s="2597"/>
      <c r="I65" s="2598"/>
      <c r="J65" s="2611"/>
      <c r="K65" s="2602"/>
      <c r="L65" s="2567"/>
      <c r="M65" s="2601"/>
      <c r="N65" s="748"/>
      <c r="O65" s="2521"/>
      <c r="P65" s="2602"/>
      <c r="Q65" s="2538"/>
      <c r="R65" s="2603"/>
      <c r="S65" s="2581"/>
      <c r="T65" s="2581"/>
      <c r="U65" s="2605"/>
      <c r="V65" s="2584"/>
      <c r="W65" s="2567"/>
      <c r="X65" s="2567"/>
      <c r="Y65" s="2593"/>
      <c r="Z65" s="2593"/>
      <c r="AA65" s="2593"/>
      <c r="AB65" s="2593"/>
      <c r="AC65" s="2593"/>
      <c r="AD65" s="2593"/>
      <c r="AE65" s="2593"/>
      <c r="AF65" s="2593"/>
      <c r="AG65" s="2593"/>
      <c r="AH65" s="2593"/>
      <c r="AI65" s="2593"/>
      <c r="AJ65" s="2593"/>
      <c r="AK65" s="2556"/>
      <c r="AL65" s="2556"/>
      <c r="AM65" s="2607"/>
    </row>
    <row r="66" spans="1:39" s="738" customFormat="1" ht="27.75" customHeight="1" x14ac:dyDescent="0.2">
      <c r="A66" s="2525"/>
      <c r="B66" s="2525"/>
      <c r="C66" s="2525"/>
      <c r="D66" s="2530"/>
      <c r="E66" s="2525"/>
      <c r="F66" s="2525"/>
      <c r="G66" s="2597"/>
      <c r="H66" s="2597"/>
      <c r="I66" s="2598"/>
      <c r="J66" s="2564"/>
      <c r="K66" s="2566"/>
      <c r="L66" s="2567"/>
      <c r="M66" s="2601"/>
      <c r="N66" s="748"/>
      <c r="O66" s="2521"/>
      <c r="P66" s="2602"/>
      <c r="Q66" s="2538"/>
      <c r="R66" s="2603"/>
      <c r="S66" s="2581"/>
      <c r="T66" s="2581"/>
      <c r="U66" s="2605"/>
      <c r="V66" s="2584"/>
      <c r="W66" s="2567"/>
      <c r="X66" s="2567"/>
      <c r="Y66" s="2593"/>
      <c r="Z66" s="2593"/>
      <c r="AA66" s="2593"/>
      <c r="AB66" s="2593"/>
      <c r="AC66" s="2593"/>
      <c r="AD66" s="2593"/>
      <c r="AE66" s="2593"/>
      <c r="AF66" s="2593"/>
      <c r="AG66" s="2593"/>
      <c r="AH66" s="2593"/>
      <c r="AI66" s="2593"/>
      <c r="AJ66" s="2593"/>
      <c r="AK66" s="2556"/>
      <c r="AL66" s="2556"/>
      <c r="AM66" s="2607"/>
    </row>
    <row r="67" spans="1:39" s="738" customFormat="1" ht="13.5" customHeight="1" x14ac:dyDescent="0.2">
      <c r="A67" s="2525"/>
      <c r="B67" s="2525"/>
      <c r="C67" s="2525"/>
      <c r="D67" s="2530"/>
      <c r="E67" s="2525"/>
      <c r="F67" s="2525"/>
      <c r="G67" s="2597"/>
      <c r="H67" s="2597"/>
      <c r="I67" s="2598"/>
      <c r="J67" s="2565">
        <v>46</v>
      </c>
      <c r="K67" s="2517" t="s">
        <v>790</v>
      </c>
      <c r="L67" s="2591" t="s">
        <v>16</v>
      </c>
      <c r="M67" s="2609">
        <v>1</v>
      </c>
      <c r="N67" s="748"/>
      <c r="O67" s="2521"/>
      <c r="P67" s="2602"/>
      <c r="Q67" s="2538">
        <f>+V67/R48</f>
        <v>0.51782273603082851</v>
      </c>
      <c r="R67" s="2603"/>
      <c r="S67" s="2581"/>
      <c r="T67" s="2581"/>
      <c r="U67" s="2561" t="s">
        <v>791</v>
      </c>
      <c r="V67" s="2584">
        <f>50000000+165000000</f>
        <v>215000000</v>
      </c>
      <c r="W67" s="2567"/>
      <c r="X67" s="2567"/>
      <c r="Y67" s="2593"/>
      <c r="Z67" s="2593"/>
      <c r="AA67" s="2593"/>
      <c r="AB67" s="2593"/>
      <c r="AC67" s="2593"/>
      <c r="AD67" s="2593"/>
      <c r="AE67" s="2593"/>
      <c r="AF67" s="2593"/>
      <c r="AG67" s="2593"/>
      <c r="AH67" s="2593"/>
      <c r="AI67" s="2593"/>
      <c r="AJ67" s="2593"/>
      <c r="AK67" s="2556"/>
      <c r="AL67" s="2556"/>
      <c r="AM67" s="2607"/>
    </row>
    <row r="68" spans="1:39" s="738" customFormat="1" ht="13.5" customHeight="1" x14ac:dyDescent="0.2">
      <c r="A68" s="2525"/>
      <c r="B68" s="2525"/>
      <c r="C68" s="2525"/>
      <c r="D68" s="2530"/>
      <c r="E68" s="2525"/>
      <c r="F68" s="2525"/>
      <c r="G68" s="2597"/>
      <c r="H68" s="2597"/>
      <c r="I68" s="2598"/>
      <c r="J68" s="2565"/>
      <c r="K68" s="2517"/>
      <c r="L68" s="2567"/>
      <c r="M68" s="2609"/>
      <c r="N68" s="748"/>
      <c r="O68" s="2521"/>
      <c r="P68" s="2602"/>
      <c r="Q68" s="2538"/>
      <c r="R68" s="2603"/>
      <c r="S68" s="2581"/>
      <c r="T68" s="2581"/>
      <c r="U68" s="2562"/>
      <c r="V68" s="2584"/>
      <c r="W68" s="2567"/>
      <c r="X68" s="2567"/>
      <c r="Y68" s="2593"/>
      <c r="Z68" s="2593"/>
      <c r="AA68" s="2593"/>
      <c r="AB68" s="2593"/>
      <c r="AC68" s="2593"/>
      <c r="AD68" s="2593"/>
      <c r="AE68" s="2593"/>
      <c r="AF68" s="2593"/>
      <c r="AG68" s="2593"/>
      <c r="AH68" s="2593"/>
      <c r="AI68" s="2593"/>
      <c r="AJ68" s="2593"/>
      <c r="AK68" s="2556"/>
      <c r="AL68" s="2556"/>
      <c r="AM68" s="2607"/>
    </row>
    <row r="69" spans="1:39" s="738" customFormat="1" ht="13.5" customHeight="1" x14ac:dyDescent="0.2">
      <c r="A69" s="2525"/>
      <c r="B69" s="2525"/>
      <c r="C69" s="2525"/>
      <c r="D69" s="2530"/>
      <c r="E69" s="2525"/>
      <c r="F69" s="2525"/>
      <c r="G69" s="2597"/>
      <c r="H69" s="2597"/>
      <c r="I69" s="2598"/>
      <c r="J69" s="2565"/>
      <c r="K69" s="2517"/>
      <c r="L69" s="2567"/>
      <c r="M69" s="2609"/>
      <c r="N69" s="748"/>
      <c r="O69" s="2521"/>
      <c r="P69" s="2602"/>
      <c r="Q69" s="2538"/>
      <c r="R69" s="2603"/>
      <c r="S69" s="2581"/>
      <c r="T69" s="2581"/>
      <c r="U69" s="2562"/>
      <c r="V69" s="2584"/>
      <c r="W69" s="2567"/>
      <c r="X69" s="2567"/>
      <c r="Y69" s="2593"/>
      <c r="Z69" s="2593"/>
      <c r="AA69" s="2593"/>
      <c r="AB69" s="2593"/>
      <c r="AC69" s="2593"/>
      <c r="AD69" s="2593"/>
      <c r="AE69" s="2593"/>
      <c r="AF69" s="2593"/>
      <c r="AG69" s="2593"/>
      <c r="AH69" s="2593"/>
      <c r="AI69" s="2593"/>
      <c r="AJ69" s="2593"/>
      <c r="AK69" s="2556"/>
      <c r="AL69" s="2556"/>
      <c r="AM69" s="2607"/>
    </row>
    <row r="70" spans="1:39" s="738" customFormat="1" ht="13.5" customHeight="1" x14ac:dyDescent="0.2">
      <c r="A70" s="2525"/>
      <c r="B70" s="2525"/>
      <c r="C70" s="2525"/>
      <c r="D70" s="2530"/>
      <c r="E70" s="2525"/>
      <c r="F70" s="2525"/>
      <c r="G70" s="2597"/>
      <c r="H70" s="2597"/>
      <c r="I70" s="2598"/>
      <c r="J70" s="2565"/>
      <c r="K70" s="2517"/>
      <c r="L70" s="2567"/>
      <c r="M70" s="2609"/>
      <c r="N70" s="748"/>
      <c r="O70" s="2521"/>
      <c r="P70" s="2602"/>
      <c r="Q70" s="2538"/>
      <c r="R70" s="2603"/>
      <c r="S70" s="2581"/>
      <c r="T70" s="2581"/>
      <c r="U70" s="2562"/>
      <c r="V70" s="2584"/>
      <c r="W70" s="2567"/>
      <c r="X70" s="2567"/>
      <c r="Y70" s="2593"/>
      <c r="Z70" s="2593"/>
      <c r="AA70" s="2593"/>
      <c r="AB70" s="2593"/>
      <c r="AC70" s="2593"/>
      <c r="AD70" s="2593"/>
      <c r="AE70" s="2593"/>
      <c r="AF70" s="2593"/>
      <c r="AG70" s="2593"/>
      <c r="AH70" s="2593"/>
      <c r="AI70" s="2593"/>
      <c r="AJ70" s="2593"/>
      <c r="AK70" s="2556"/>
      <c r="AL70" s="2556"/>
      <c r="AM70" s="2607"/>
    </row>
    <row r="71" spans="1:39" s="738" customFormat="1" ht="13.5" customHeight="1" x14ac:dyDescent="0.2">
      <c r="A71" s="2525"/>
      <c r="B71" s="2525"/>
      <c r="C71" s="2525"/>
      <c r="D71" s="2530"/>
      <c r="E71" s="2525"/>
      <c r="F71" s="2525"/>
      <c r="G71" s="2597"/>
      <c r="H71" s="2597"/>
      <c r="I71" s="2598"/>
      <c r="J71" s="2565"/>
      <c r="K71" s="2517"/>
      <c r="L71" s="2567"/>
      <c r="M71" s="2609"/>
      <c r="N71" s="748"/>
      <c r="O71" s="2521"/>
      <c r="P71" s="2602"/>
      <c r="Q71" s="2538"/>
      <c r="R71" s="2603"/>
      <c r="S71" s="2581"/>
      <c r="T71" s="2581"/>
      <c r="U71" s="2562"/>
      <c r="V71" s="2584"/>
      <c r="W71" s="2567"/>
      <c r="X71" s="2567"/>
      <c r="Y71" s="2593"/>
      <c r="Z71" s="2593"/>
      <c r="AA71" s="2593"/>
      <c r="AB71" s="2593"/>
      <c r="AC71" s="2593"/>
      <c r="AD71" s="2593"/>
      <c r="AE71" s="2593"/>
      <c r="AF71" s="2593"/>
      <c r="AG71" s="2593"/>
      <c r="AH71" s="2593"/>
      <c r="AI71" s="2593"/>
      <c r="AJ71" s="2593"/>
      <c r="AK71" s="2556"/>
      <c r="AL71" s="2556"/>
      <c r="AM71" s="2607"/>
    </row>
    <row r="72" spans="1:39" s="738" customFormat="1" ht="13.5" customHeight="1" x14ac:dyDescent="0.2">
      <c r="A72" s="2525"/>
      <c r="B72" s="2525"/>
      <c r="C72" s="2525"/>
      <c r="D72" s="2530"/>
      <c r="E72" s="2525"/>
      <c r="F72" s="2525"/>
      <c r="G72" s="2599"/>
      <c r="H72" s="2597"/>
      <c r="I72" s="2598"/>
      <c r="J72" s="2570"/>
      <c r="K72" s="2571"/>
      <c r="L72" s="2567"/>
      <c r="M72" s="2610"/>
      <c r="N72" s="748"/>
      <c r="O72" s="2522"/>
      <c r="P72" s="2602"/>
      <c r="Q72" s="2538"/>
      <c r="R72" s="2604"/>
      <c r="S72" s="2581"/>
      <c r="T72" s="2575"/>
      <c r="U72" s="2562"/>
      <c r="V72" s="2585"/>
      <c r="W72" s="2592"/>
      <c r="X72" s="2592"/>
      <c r="Y72" s="2594"/>
      <c r="Z72" s="2594"/>
      <c r="AA72" s="2594"/>
      <c r="AB72" s="2594"/>
      <c r="AC72" s="2594"/>
      <c r="AD72" s="2594"/>
      <c r="AE72" s="2594"/>
      <c r="AF72" s="2594"/>
      <c r="AG72" s="2594"/>
      <c r="AH72" s="2594"/>
      <c r="AI72" s="2594"/>
      <c r="AJ72" s="2594"/>
      <c r="AK72" s="2557"/>
      <c r="AL72" s="2557"/>
      <c r="AM72" s="2608"/>
    </row>
    <row r="73" spans="1:39" s="738" customFormat="1" ht="13.5" customHeight="1" x14ac:dyDescent="0.2">
      <c r="A73" s="2525"/>
      <c r="B73" s="2525"/>
      <c r="C73" s="2525"/>
      <c r="D73" s="2530"/>
      <c r="E73" s="2525"/>
      <c r="F73" s="2525"/>
      <c r="G73" s="2533">
        <v>10</v>
      </c>
      <c r="H73" s="2535" t="s">
        <v>792</v>
      </c>
      <c r="I73" s="2535"/>
      <c r="J73" s="2535"/>
      <c r="K73" s="2535"/>
      <c r="L73" s="2535"/>
      <c r="M73" s="2535"/>
      <c r="N73" s="2535"/>
      <c r="O73" s="2535"/>
      <c r="P73" s="2535"/>
      <c r="Q73" s="2535"/>
      <c r="R73" s="2535"/>
      <c r="S73" s="2535"/>
      <c r="T73" s="2535"/>
      <c r="U73" s="2535"/>
      <c r="V73" s="2535"/>
      <c r="W73" s="2535"/>
      <c r="X73" s="2535"/>
      <c r="Y73" s="2535"/>
      <c r="Z73" s="2535"/>
      <c r="AA73" s="2535"/>
      <c r="AB73" s="2535"/>
      <c r="AC73" s="2535"/>
      <c r="AD73" s="2535"/>
      <c r="AE73" s="2535"/>
      <c r="AF73" s="2535"/>
      <c r="AG73" s="2535"/>
      <c r="AH73" s="2535"/>
      <c r="AI73" s="2535"/>
      <c r="AJ73" s="2535"/>
      <c r="AK73" s="2535"/>
      <c r="AL73" s="2535"/>
      <c r="AM73" s="2595"/>
    </row>
    <row r="74" spans="1:39" s="738" customFormat="1" ht="13.5" customHeight="1" x14ac:dyDescent="0.2">
      <c r="A74" s="2525"/>
      <c r="B74" s="2525"/>
      <c r="C74" s="2525"/>
      <c r="D74" s="2530"/>
      <c r="E74" s="2525"/>
      <c r="F74" s="2525"/>
      <c r="G74" s="2534"/>
      <c r="H74" s="2535"/>
      <c r="I74" s="2535"/>
      <c r="J74" s="2535"/>
      <c r="K74" s="2535"/>
      <c r="L74" s="2535"/>
      <c r="M74" s="2535"/>
      <c r="N74" s="2535"/>
      <c r="O74" s="2535"/>
      <c r="P74" s="2535"/>
      <c r="Q74" s="2535"/>
      <c r="R74" s="2535"/>
      <c r="S74" s="2535"/>
      <c r="T74" s="2535"/>
      <c r="U74" s="2535"/>
      <c r="V74" s="2535"/>
      <c r="W74" s="2535"/>
      <c r="X74" s="2535"/>
      <c r="Y74" s="2535"/>
      <c r="Z74" s="2535"/>
      <c r="AA74" s="2535"/>
      <c r="AB74" s="2535"/>
      <c r="AC74" s="2535"/>
      <c r="AD74" s="2535"/>
      <c r="AE74" s="2535"/>
      <c r="AF74" s="2535"/>
      <c r="AG74" s="2535"/>
      <c r="AH74" s="2535"/>
      <c r="AI74" s="2535"/>
      <c r="AJ74" s="2535"/>
      <c r="AK74" s="2535"/>
      <c r="AL74" s="2535"/>
      <c r="AM74" s="2596"/>
    </row>
    <row r="75" spans="1:39" s="738" customFormat="1" ht="13.5" customHeight="1" x14ac:dyDescent="0.2">
      <c r="A75" s="2525"/>
      <c r="B75" s="2525"/>
      <c r="C75" s="2525"/>
      <c r="D75" s="2530"/>
      <c r="E75" s="2525"/>
      <c r="F75" s="2525"/>
      <c r="G75" s="2613"/>
      <c r="H75" s="2613"/>
      <c r="I75" s="2613"/>
      <c r="J75" s="2570">
        <v>47</v>
      </c>
      <c r="K75" s="2571" t="s">
        <v>793</v>
      </c>
      <c r="L75" s="2591"/>
      <c r="M75" s="2570">
        <v>24</v>
      </c>
      <c r="N75" s="750"/>
      <c r="O75" s="2520" t="s">
        <v>794</v>
      </c>
      <c r="P75" s="2602" t="s">
        <v>795</v>
      </c>
      <c r="Q75" s="2615">
        <f>+V75/R75</f>
        <v>0.39699707491979619</v>
      </c>
      <c r="R75" s="2572">
        <f>SUM(V75:V89)</f>
        <v>423920000</v>
      </c>
      <c r="S75" s="2576" t="s">
        <v>796</v>
      </c>
      <c r="T75" s="2576" t="s">
        <v>797</v>
      </c>
      <c r="U75" s="2581" t="s">
        <v>798</v>
      </c>
      <c r="V75" s="2585">
        <f>78750000+5625000+83920000</f>
        <v>168295000</v>
      </c>
      <c r="W75" s="2588">
        <v>20</v>
      </c>
      <c r="X75" s="2567" t="s">
        <v>412</v>
      </c>
      <c r="Y75" s="2618">
        <v>64149</v>
      </c>
      <c r="Z75" s="2618">
        <v>72224</v>
      </c>
      <c r="AA75" s="2618">
        <v>27477</v>
      </c>
      <c r="AB75" s="2618">
        <v>86843</v>
      </c>
      <c r="AC75" s="2618">
        <v>236429</v>
      </c>
      <c r="AD75" s="2618">
        <v>81384</v>
      </c>
      <c r="AE75" s="2618"/>
      <c r="AF75" s="2618"/>
      <c r="AG75" s="2618"/>
      <c r="AH75" s="2618"/>
      <c r="AI75" s="2618"/>
      <c r="AJ75" s="2618"/>
      <c r="AK75" s="2623">
        <v>42745</v>
      </c>
      <c r="AL75" s="2623">
        <v>43094</v>
      </c>
      <c r="AM75" s="2606" t="s">
        <v>799</v>
      </c>
    </row>
    <row r="76" spans="1:39" s="738" customFormat="1" ht="13.5" customHeight="1" x14ac:dyDescent="0.2">
      <c r="A76" s="2525"/>
      <c r="B76" s="2525"/>
      <c r="C76" s="2525"/>
      <c r="D76" s="2530"/>
      <c r="E76" s="2525"/>
      <c r="F76" s="2525"/>
      <c r="G76" s="2613"/>
      <c r="H76" s="2613"/>
      <c r="I76" s="2613"/>
      <c r="J76" s="2611"/>
      <c r="K76" s="2602"/>
      <c r="L76" s="2567"/>
      <c r="M76" s="2611"/>
      <c r="N76" s="748"/>
      <c r="O76" s="2521"/>
      <c r="P76" s="2602"/>
      <c r="Q76" s="2616"/>
      <c r="R76" s="2573"/>
      <c r="S76" s="2581"/>
      <c r="T76" s="2581"/>
      <c r="U76" s="2581"/>
      <c r="V76" s="2586"/>
      <c r="W76" s="2589"/>
      <c r="X76" s="2567"/>
      <c r="Y76" s="2619"/>
      <c r="Z76" s="2619"/>
      <c r="AA76" s="2619"/>
      <c r="AB76" s="2619"/>
      <c r="AC76" s="2619"/>
      <c r="AD76" s="2619"/>
      <c r="AE76" s="2619"/>
      <c r="AF76" s="2619"/>
      <c r="AG76" s="2619"/>
      <c r="AH76" s="2619"/>
      <c r="AI76" s="2619"/>
      <c r="AJ76" s="2619"/>
      <c r="AK76" s="2624"/>
      <c r="AL76" s="2624"/>
      <c r="AM76" s="2607"/>
    </row>
    <row r="77" spans="1:39" s="738" customFormat="1" ht="13.5" customHeight="1" x14ac:dyDescent="0.2">
      <c r="A77" s="2525"/>
      <c r="B77" s="2525"/>
      <c r="C77" s="2525"/>
      <c r="D77" s="2530"/>
      <c r="E77" s="2525"/>
      <c r="F77" s="2525"/>
      <c r="G77" s="2613"/>
      <c r="H77" s="2613"/>
      <c r="I77" s="2613"/>
      <c r="J77" s="2611"/>
      <c r="K77" s="2602"/>
      <c r="L77" s="2567"/>
      <c r="M77" s="2611"/>
      <c r="N77" s="748"/>
      <c r="O77" s="2521"/>
      <c r="P77" s="2602"/>
      <c r="Q77" s="2616"/>
      <c r="R77" s="2573"/>
      <c r="S77" s="2581"/>
      <c r="T77" s="2581"/>
      <c r="U77" s="2581"/>
      <c r="V77" s="2586"/>
      <c r="W77" s="2589"/>
      <c r="X77" s="2567"/>
      <c r="Y77" s="2619"/>
      <c r="Z77" s="2619"/>
      <c r="AA77" s="2619"/>
      <c r="AB77" s="2619"/>
      <c r="AC77" s="2619"/>
      <c r="AD77" s="2619"/>
      <c r="AE77" s="2619"/>
      <c r="AF77" s="2619"/>
      <c r="AG77" s="2619"/>
      <c r="AH77" s="2619"/>
      <c r="AI77" s="2619"/>
      <c r="AJ77" s="2619"/>
      <c r="AK77" s="2624"/>
      <c r="AL77" s="2624"/>
      <c r="AM77" s="2607"/>
    </row>
    <row r="78" spans="1:39" s="738" customFormat="1" ht="13.5" customHeight="1" x14ac:dyDescent="0.2">
      <c r="A78" s="2525"/>
      <c r="B78" s="2525"/>
      <c r="C78" s="2525"/>
      <c r="D78" s="2530"/>
      <c r="E78" s="2525"/>
      <c r="F78" s="2525"/>
      <c r="G78" s="2613"/>
      <c r="H78" s="2613"/>
      <c r="I78" s="2613"/>
      <c r="J78" s="2611"/>
      <c r="K78" s="2602"/>
      <c r="L78" s="2567"/>
      <c r="M78" s="2611"/>
      <c r="N78" s="748"/>
      <c r="O78" s="2521"/>
      <c r="P78" s="2602"/>
      <c r="Q78" s="2616"/>
      <c r="R78" s="2573"/>
      <c r="S78" s="2581"/>
      <c r="T78" s="2581"/>
      <c r="U78" s="2581"/>
      <c r="V78" s="2586"/>
      <c r="W78" s="2589"/>
      <c r="X78" s="2567"/>
      <c r="Y78" s="2619"/>
      <c r="Z78" s="2619"/>
      <c r="AA78" s="2619"/>
      <c r="AB78" s="2619"/>
      <c r="AC78" s="2619"/>
      <c r="AD78" s="2619"/>
      <c r="AE78" s="2619"/>
      <c r="AF78" s="2619"/>
      <c r="AG78" s="2619"/>
      <c r="AH78" s="2619"/>
      <c r="AI78" s="2619"/>
      <c r="AJ78" s="2619"/>
      <c r="AK78" s="2624"/>
      <c r="AL78" s="2624"/>
      <c r="AM78" s="2607"/>
    </row>
    <row r="79" spans="1:39" s="738" customFormat="1" ht="13.5" customHeight="1" x14ac:dyDescent="0.2">
      <c r="A79" s="2525"/>
      <c r="B79" s="2525"/>
      <c r="C79" s="2525"/>
      <c r="D79" s="2530"/>
      <c r="E79" s="2525"/>
      <c r="F79" s="2525"/>
      <c r="G79" s="2613"/>
      <c r="H79" s="2613"/>
      <c r="I79" s="2613"/>
      <c r="J79" s="2611"/>
      <c r="K79" s="2602"/>
      <c r="L79" s="2567"/>
      <c r="M79" s="2611"/>
      <c r="N79" s="748"/>
      <c r="O79" s="2521"/>
      <c r="P79" s="2602"/>
      <c r="Q79" s="2616"/>
      <c r="R79" s="2573"/>
      <c r="S79" s="2581"/>
      <c r="T79" s="2581"/>
      <c r="U79" s="2581"/>
      <c r="V79" s="2586"/>
      <c r="W79" s="2589"/>
      <c r="X79" s="2567"/>
      <c r="Y79" s="2619"/>
      <c r="Z79" s="2619"/>
      <c r="AA79" s="2619"/>
      <c r="AB79" s="2619"/>
      <c r="AC79" s="2619"/>
      <c r="AD79" s="2619"/>
      <c r="AE79" s="2619"/>
      <c r="AF79" s="2619"/>
      <c r="AG79" s="2619"/>
      <c r="AH79" s="2619"/>
      <c r="AI79" s="2619"/>
      <c r="AJ79" s="2619"/>
      <c r="AK79" s="2624"/>
      <c r="AL79" s="2624"/>
      <c r="AM79" s="2607"/>
    </row>
    <row r="80" spans="1:39" s="738" customFormat="1" ht="51" customHeight="1" x14ac:dyDescent="0.2">
      <c r="A80" s="2525"/>
      <c r="B80" s="2525"/>
      <c r="C80" s="2525"/>
      <c r="D80" s="2530"/>
      <c r="E80" s="2525"/>
      <c r="F80" s="2525"/>
      <c r="G80" s="2613"/>
      <c r="H80" s="2613"/>
      <c r="I80" s="2613"/>
      <c r="J80" s="2564"/>
      <c r="K80" s="2566"/>
      <c r="L80" s="2567"/>
      <c r="M80" s="2564"/>
      <c r="N80" s="748"/>
      <c r="O80" s="2521"/>
      <c r="P80" s="2602"/>
      <c r="Q80" s="2617"/>
      <c r="R80" s="2573"/>
      <c r="S80" s="2581"/>
      <c r="T80" s="2575"/>
      <c r="U80" s="2575"/>
      <c r="V80" s="2587"/>
      <c r="W80" s="2589"/>
      <c r="X80" s="2567"/>
      <c r="Y80" s="2619"/>
      <c r="Z80" s="2619"/>
      <c r="AA80" s="2619"/>
      <c r="AB80" s="2619"/>
      <c r="AC80" s="2619"/>
      <c r="AD80" s="2619"/>
      <c r="AE80" s="2619"/>
      <c r="AF80" s="2619"/>
      <c r="AG80" s="2619"/>
      <c r="AH80" s="2619"/>
      <c r="AI80" s="2619"/>
      <c r="AJ80" s="2619"/>
      <c r="AK80" s="2624"/>
      <c r="AL80" s="2624"/>
      <c r="AM80" s="2607"/>
    </row>
    <row r="81" spans="1:857" s="738" customFormat="1" ht="13.5" customHeight="1" x14ac:dyDescent="0.2">
      <c r="A81" s="2525"/>
      <c r="B81" s="2525"/>
      <c r="C81" s="2525"/>
      <c r="D81" s="2530"/>
      <c r="E81" s="2525"/>
      <c r="F81" s="2525"/>
      <c r="G81" s="2613"/>
      <c r="H81" s="2613"/>
      <c r="I81" s="2613"/>
      <c r="J81" s="2565">
        <v>48</v>
      </c>
      <c r="K81" s="2517" t="s">
        <v>800</v>
      </c>
      <c r="L81" s="2567"/>
      <c r="M81" s="2565">
        <v>1</v>
      </c>
      <c r="N81" s="748" t="s">
        <v>801</v>
      </c>
      <c r="O81" s="2521"/>
      <c r="P81" s="2602"/>
      <c r="Q81" s="2615">
        <f>+V81/R75</f>
        <v>0.47178712964710323</v>
      </c>
      <c r="R81" s="2573"/>
      <c r="S81" s="2581"/>
      <c r="T81" s="2542" t="s">
        <v>802</v>
      </c>
      <c r="U81" s="2620" t="s">
        <v>803</v>
      </c>
      <c r="V81" s="2584">
        <f>205625000-5625000</f>
        <v>200000000</v>
      </c>
      <c r="W81" s="2589"/>
      <c r="X81" s="2567"/>
      <c r="Y81" s="2619"/>
      <c r="Z81" s="2619"/>
      <c r="AA81" s="2619"/>
      <c r="AB81" s="2619"/>
      <c r="AC81" s="2619"/>
      <c r="AD81" s="2619"/>
      <c r="AE81" s="2619"/>
      <c r="AF81" s="2619"/>
      <c r="AG81" s="2619"/>
      <c r="AH81" s="2619"/>
      <c r="AI81" s="2619"/>
      <c r="AJ81" s="2619"/>
      <c r="AK81" s="2624"/>
      <c r="AL81" s="2624"/>
      <c r="AM81" s="2607"/>
    </row>
    <row r="82" spans="1:857" s="738" customFormat="1" ht="13.5" customHeight="1" x14ac:dyDescent="0.2">
      <c r="A82" s="2525"/>
      <c r="B82" s="2525"/>
      <c r="C82" s="2525"/>
      <c r="D82" s="2530"/>
      <c r="E82" s="2525"/>
      <c r="F82" s="2525"/>
      <c r="G82" s="2613"/>
      <c r="H82" s="2613"/>
      <c r="I82" s="2613"/>
      <c r="J82" s="2565"/>
      <c r="K82" s="2517"/>
      <c r="L82" s="2567"/>
      <c r="M82" s="2565"/>
      <c r="N82" s="748"/>
      <c r="O82" s="2521"/>
      <c r="P82" s="2602"/>
      <c r="Q82" s="2616"/>
      <c r="R82" s="2573"/>
      <c r="S82" s="2581"/>
      <c r="T82" s="2542"/>
      <c r="U82" s="2621"/>
      <c r="V82" s="2584"/>
      <c r="W82" s="2589"/>
      <c r="X82" s="2567"/>
      <c r="Y82" s="2619"/>
      <c r="Z82" s="2619"/>
      <c r="AA82" s="2619"/>
      <c r="AB82" s="2619"/>
      <c r="AC82" s="2619"/>
      <c r="AD82" s="2619"/>
      <c r="AE82" s="2619"/>
      <c r="AF82" s="2619"/>
      <c r="AG82" s="2619"/>
      <c r="AH82" s="2619"/>
      <c r="AI82" s="2619"/>
      <c r="AJ82" s="2619"/>
      <c r="AK82" s="2624"/>
      <c r="AL82" s="2624"/>
      <c r="AM82" s="2607"/>
    </row>
    <row r="83" spans="1:857" s="738" customFormat="1" ht="13.5" customHeight="1" x14ac:dyDescent="0.2">
      <c r="A83" s="2525"/>
      <c r="B83" s="2525"/>
      <c r="C83" s="2525"/>
      <c r="D83" s="2530"/>
      <c r="E83" s="2525"/>
      <c r="F83" s="2525"/>
      <c r="G83" s="2613"/>
      <c r="H83" s="2613"/>
      <c r="I83" s="2613"/>
      <c r="J83" s="2565"/>
      <c r="K83" s="2517"/>
      <c r="L83" s="2567"/>
      <c r="M83" s="2565"/>
      <c r="N83" s="748" t="s">
        <v>804</v>
      </c>
      <c r="O83" s="2521"/>
      <c r="P83" s="2602"/>
      <c r="Q83" s="2616"/>
      <c r="R83" s="2573"/>
      <c r="S83" s="2581"/>
      <c r="T83" s="2542"/>
      <c r="U83" s="2621"/>
      <c r="V83" s="2584"/>
      <c r="W83" s="2589"/>
      <c r="X83" s="2567"/>
      <c r="Y83" s="2619"/>
      <c r="Z83" s="2619"/>
      <c r="AA83" s="2619"/>
      <c r="AB83" s="2619"/>
      <c r="AC83" s="2619"/>
      <c r="AD83" s="2619"/>
      <c r="AE83" s="2619"/>
      <c r="AF83" s="2619"/>
      <c r="AG83" s="2619"/>
      <c r="AH83" s="2619"/>
      <c r="AI83" s="2619"/>
      <c r="AJ83" s="2619"/>
      <c r="AK83" s="2624"/>
      <c r="AL83" s="2624"/>
      <c r="AM83" s="2607"/>
    </row>
    <row r="84" spans="1:857" s="738" customFormat="1" ht="13.5" customHeight="1" x14ac:dyDescent="0.2">
      <c r="A84" s="2525"/>
      <c r="B84" s="2525"/>
      <c r="C84" s="2525"/>
      <c r="D84" s="2530"/>
      <c r="E84" s="2525"/>
      <c r="F84" s="2525"/>
      <c r="G84" s="2613"/>
      <c r="H84" s="2613"/>
      <c r="I84" s="2613"/>
      <c r="J84" s="2565"/>
      <c r="K84" s="2517"/>
      <c r="L84" s="2567"/>
      <c r="M84" s="2565"/>
      <c r="N84" s="748"/>
      <c r="O84" s="2521"/>
      <c r="P84" s="2602"/>
      <c r="Q84" s="2616"/>
      <c r="R84" s="2573"/>
      <c r="S84" s="2581"/>
      <c r="T84" s="2542"/>
      <c r="U84" s="2622"/>
      <c r="V84" s="2584"/>
      <c r="W84" s="2589"/>
      <c r="X84" s="2567"/>
      <c r="Y84" s="2619"/>
      <c r="Z84" s="2619"/>
      <c r="AA84" s="2619"/>
      <c r="AB84" s="2619"/>
      <c r="AC84" s="2619"/>
      <c r="AD84" s="2619"/>
      <c r="AE84" s="2619"/>
      <c r="AF84" s="2619"/>
      <c r="AG84" s="2619"/>
      <c r="AH84" s="2619"/>
      <c r="AI84" s="2619"/>
      <c r="AJ84" s="2619"/>
      <c r="AK84" s="2624"/>
      <c r="AL84" s="2624"/>
      <c r="AM84" s="2607"/>
    </row>
    <row r="85" spans="1:857" s="738" customFormat="1" ht="13.5" customHeight="1" x14ac:dyDescent="0.2">
      <c r="A85" s="2525"/>
      <c r="B85" s="2525"/>
      <c r="C85" s="2525"/>
      <c r="D85" s="2530"/>
      <c r="E85" s="2525"/>
      <c r="F85" s="2525"/>
      <c r="G85" s="2613"/>
      <c r="H85" s="2613"/>
      <c r="I85" s="2613"/>
      <c r="J85" s="2565">
        <v>49</v>
      </c>
      <c r="K85" s="2517" t="s">
        <v>805</v>
      </c>
      <c r="L85" s="2567"/>
      <c r="M85" s="2565">
        <v>1</v>
      </c>
      <c r="N85" s="748"/>
      <c r="O85" s="2521"/>
      <c r="P85" s="2602"/>
      <c r="Q85" s="2615">
        <f>+V85/R75</f>
        <v>0.13121579543310058</v>
      </c>
      <c r="R85" s="2573"/>
      <c r="S85" s="2581"/>
      <c r="T85" s="2542"/>
      <c r="U85" s="2576" t="s">
        <v>806</v>
      </c>
      <c r="V85" s="2584">
        <f>25625000+30000000</f>
        <v>55625000</v>
      </c>
      <c r="W85" s="2589"/>
      <c r="X85" s="2567"/>
      <c r="Y85" s="2619"/>
      <c r="Z85" s="2619"/>
      <c r="AA85" s="2619"/>
      <c r="AB85" s="2619"/>
      <c r="AC85" s="2619"/>
      <c r="AD85" s="2619"/>
      <c r="AE85" s="2619"/>
      <c r="AF85" s="2619"/>
      <c r="AG85" s="2619"/>
      <c r="AH85" s="2619"/>
      <c r="AI85" s="2619"/>
      <c r="AJ85" s="2619"/>
      <c r="AK85" s="2624"/>
      <c r="AL85" s="2624"/>
      <c r="AM85" s="2607"/>
    </row>
    <row r="86" spans="1:857" s="738" customFormat="1" ht="13.5" customHeight="1" x14ac:dyDescent="0.2">
      <c r="A86" s="2525"/>
      <c r="B86" s="2525"/>
      <c r="C86" s="2525"/>
      <c r="D86" s="2530"/>
      <c r="E86" s="2525"/>
      <c r="F86" s="2525"/>
      <c r="G86" s="2613"/>
      <c r="H86" s="2613"/>
      <c r="I86" s="2613"/>
      <c r="J86" s="2565"/>
      <c r="K86" s="2517"/>
      <c r="L86" s="2567"/>
      <c r="M86" s="2565"/>
      <c r="N86" s="748"/>
      <c r="O86" s="2521"/>
      <c r="P86" s="2602"/>
      <c r="Q86" s="2616"/>
      <c r="R86" s="2573"/>
      <c r="S86" s="2581"/>
      <c r="T86" s="2542"/>
      <c r="U86" s="2581"/>
      <c r="V86" s="2584"/>
      <c r="W86" s="2589"/>
      <c r="X86" s="2567"/>
      <c r="Y86" s="2619"/>
      <c r="Z86" s="2619"/>
      <c r="AA86" s="2619"/>
      <c r="AB86" s="2619"/>
      <c r="AC86" s="2619"/>
      <c r="AD86" s="2619"/>
      <c r="AE86" s="2619"/>
      <c r="AF86" s="2619"/>
      <c r="AG86" s="2619"/>
      <c r="AH86" s="2619"/>
      <c r="AI86" s="2619"/>
      <c r="AJ86" s="2619"/>
      <c r="AK86" s="2624"/>
      <c r="AL86" s="2624"/>
      <c r="AM86" s="2607"/>
    </row>
    <row r="87" spans="1:857" s="738" customFormat="1" ht="13.5" customHeight="1" x14ac:dyDescent="0.2">
      <c r="A87" s="2525"/>
      <c r="B87" s="2525"/>
      <c r="C87" s="2525"/>
      <c r="D87" s="2530"/>
      <c r="E87" s="2525"/>
      <c r="F87" s="2525"/>
      <c r="G87" s="2613"/>
      <c r="H87" s="2613"/>
      <c r="I87" s="2613"/>
      <c r="J87" s="2565"/>
      <c r="K87" s="2517"/>
      <c r="L87" s="2567"/>
      <c r="M87" s="2565"/>
      <c r="N87" s="748"/>
      <c r="O87" s="2521"/>
      <c r="P87" s="2602"/>
      <c r="Q87" s="2616"/>
      <c r="R87" s="2573"/>
      <c r="S87" s="2581"/>
      <c r="T87" s="2542"/>
      <c r="U87" s="2581"/>
      <c r="V87" s="2584"/>
      <c r="W87" s="2589"/>
      <c r="X87" s="2567"/>
      <c r="Y87" s="2619"/>
      <c r="Z87" s="2619"/>
      <c r="AA87" s="2619"/>
      <c r="AB87" s="2619"/>
      <c r="AC87" s="2619"/>
      <c r="AD87" s="2619"/>
      <c r="AE87" s="2619"/>
      <c r="AF87" s="2619"/>
      <c r="AG87" s="2619"/>
      <c r="AH87" s="2619"/>
      <c r="AI87" s="2619"/>
      <c r="AJ87" s="2619"/>
      <c r="AK87" s="2624"/>
      <c r="AL87" s="2624"/>
      <c r="AM87" s="2607"/>
    </row>
    <row r="88" spans="1:857" s="738" customFormat="1" ht="13.5" customHeight="1" x14ac:dyDescent="0.2">
      <c r="A88" s="2525"/>
      <c r="B88" s="2525"/>
      <c r="C88" s="2525"/>
      <c r="D88" s="2530"/>
      <c r="E88" s="2525"/>
      <c r="F88" s="2525"/>
      <c r="G88" s="2613"/>
      <c r="H88" s="2613"/>
      <c r="I88" s="2613"/>
      <c r="J88" s="2565"/>
      <c r="K88" s="2517"/>
      <c r="L88" s="2567"/>
      <c r="M88" s="2565"/>
      <c r="N88" s="748"/>
      <c r="O88" s="2521"/>
      <c r="P88" s="2602"/>
      <c r="Q88" s="2616"/>
      <c r="R88" s="2573"/>
      <c r="S88" s="2581"/>
      <c r="T88" s="2542"/>
      <c r="U88" s="2581"/>
      <c r="V88" s="2584"/>
      <c r="W88" s="2589"/>
      <c r="X88" s="2567"/>
      <c r="Y88" s="2619"/>
      <c r="Z88" s="2619"/>
      <c r="AA88" s="2619"/>
      <c r="AB88" s="2619"/>
      <c r="AC88" s="2619"/>
      <c r="AD88" s="2619"/>
      <c r="AE88" s="2619"/>
      <c r="AF88" s="2619"/>
      <c r="AG88" s="2619"/>
      <c r="AH88" s="2619"/>
      <c r="AI88" s="2619"/>
      <c r="AJ88" s="2619"/>
      <c r="AK88" s="2624"/>
      <c r="AL88" s="2624"/>
      <c r="AM88" s="2607"/>
    </row>
    <row r="89" spans="1:857" s="738" customFormat="1" ht="27" customHeight="1" x14ac:dyDescent="0.2">
      <c r="A89" s="2525"/>
      <c r="B89" s="2525"/>
      <c r="C89" s="2525"/>
      <c r="D89" s="2531"/>
      <c r="E89" s="2532"/>
      <c r="F89" s="2532"/>
      <c r="G89" s="2614"/>
      <c r="H89" s="2614"/>
      <c r="I89" s="2614"/>
      <c r="J89" s="2570"/>
      <c r="K89" s="2571"/>
      <c r="L89" s="2567"/>
      <c r="M89" s="2570"/>
      <c r="N89" s="748"/>
      <c r="O89" s="2521"/>
      <c r="P89" s="2602"/>
      <c r="Q89" s="2616"/>
      <c r="R89" s="2573"/>
      <c r="S89" s="2581"/>
      <c r="T89" s="2576"/>
      <c r="U89" s="2581"/>
      <c r="V89" s="2585"/>
      <c r="W89" s="2589"/>
      <c r="X89" s="2567"/>
      <c r="Y89" s="2619"/>
      <c r="Z89" s="2619"/>
      <c r="AA89" s="2619"/>
      <c r="AB89" s="2619"/>
      <c r="AC89" s="2619"/>
      <c r="AD89" s="2619"/>
      <c r="AE89" s="2619"/>
      <c r="AF89" s="2619"/>
      <c r="AG89" s="2619"/>
      <c r="AH89" s="2619"/>
      <c r="AI89" s="2619"/>
      <c r="AJ89" s="2619"/>
      <c r="AK89" s="2624"/>
      <c r="AL89" s="2624"/>
      <c r="AM89" s="2607"/>
    </row>
    <row r="90" spans="1:857" s="738" customFormat="1" ht="13.5" customHeight="1" x14ac:dyDescent="0.2">
      <c r="A90" s="2525"/>
      <c r="B90" s="2525"/>
      <c r="C90" s="2525"/>
      <c r="D90" s="2528">
        <v>3</v>
      </c>
      <c r="E90" s="2529" t="s">
        <v>807</v>
      </c>
      <c r="F90" s="2529"/>
      <c r="G90" s="2529"/>
      <c r="H90" s="2529"/>
      <c r="I90" s="2529"/>
      <c r="J90" s="2529"/>
      <c r="K90" s="2529"/>
      <c r="L90" s="2529"/>
      <c r="M90" s="2529"/>
      <c r="N90" s="2529"/>
      <c r="O90" s="2529"/>
      <c r="P90" s="2529"/>
      <c r="Q90" s="2529"/>
      <c r="R90" s="2529"/>
      <c r="S90" s="2529"/>
      <c r="T90" s="2529"/>
      <c r="U90" s="2529"/>
      <c r="V90" s="2529"/>
      <c r="W90" s="2529"/>
      <c r="X90" s="2529"/>
      <c r="Y90" s="2529"/>
      <c r="Z90" s="2529"/>
      <c r="AA90" s="2529"/>
      <c r="AB90" s="2529"/>
      <c r="AC90" s="2529"/>
      <c r="AD90" s="2529"/>
      <c r="AE90" s="2529"/>
      <c r="AF90" s="2529"/>
      <c r="AG90" s="2529"/>
      <c r="AH90" s="2529"/>
      <c r="AI90" s="2529"/>
      <c r="AJ90" s="2529"/>
      <c r="AK90" s="2529"/>
      <c r="AL90" s="2529"/>
      <c r="AM90" s="2625"/>
    </row>
    <row r="91" spans="1:857" s="738" customFormat="1" ht="21" customHeight="1" x14ac:dyDescent="0.2">
      <c r="A91" s="2525"/>
      <c r="B91" s="2525"/>
      <c r="C91" s="2525"/>
      <c r="D91" s="2528"/>
      <c r="E91" s="2529"/>
      <c r="F91" s="2529"/>
      <c r="G91" s="2529"/>
      <c r="H91" s="2529"/>
      <c r="I91" s="2529"/>
      <c r="J91" s="2529"/>
      <c r="K91" s="2529"/>
      <c r="L91" s="2529"/>
      <c r="M91" s="2529"/>
      <c r="N91" s="2529"/>
      <c r="O91" s="2529"/>
      <c r="P91" s="2529"/>
      <c r="Q91" s="2529"/>
      <c r="R91" s="2529"/>
      <c r="S91" s="2529"/>
      <c r="T91" s="2529"/>
      <c r="U91" s="2529"/>
      <c r="V91" s="2529"/>
      <c r="W91" s="2529"/>
      <c r="X91" s="2529"/>
      <c r="Y91" s="2529"/>
      <c r="Z91" s="2529"/>
      <c r="AA91" s="2529"/>
      <c r="AB91" s="2529"/>
      <c r="AC91" s="2529"/>
      <c r="AD91" s="2529"/>
      <c r="AE91" s="2529"/>
      <c r="AF91" s="2529"/>
      <c r="AG91" s="2529"/>
      <c r="AH91" s="2529"/>
      <c r="AI91" s="2529"/>
      <c r="AJ91" s="2529"/>
      <c r="AK91" s="2529"/>
      <c r="AL91" s="2529"/>
      <c r="AM91" s="2626"/>
    </row>
    <row r="92" spans="1:857" s="756" customFormat="1" ht="31.5" customHeight="1" x14ac:dyDescent="0.2">
      <c r="A92" s="2525"/>
      <c r="B92" s="2525"/>
      <c r="C92" s="2526"/>
      <c r="D92" s="751"/>
      <c r="E92" s="752"/>
      <c r="F92" s="753"/>
      <c r="G92" s="754">
        <v>11</v>
      </c>
      <c r="H92" s="2535" t="s">
        <v>808</v>
      </c>
      <c r="I92" s="2535"/>
      <c r="J92" s="2535"/>
      <c r="K92" s="2535"/>
      <c r="L92" s="2535"/>
      <c r="M92" s="2535"/>
      <c r="N92" s="2535"/>
      <c r="O92" s="2535"/>
      <c r="P92" s="2535"/>
      <c r="Q92" s="2535"/>
      <c r="R92" s="2535"/>
      <c r="S92" s="2535"/>
      <c r="T92" s="2535"/>
      <c r="U92" s="2535"/>
      <c r="V92" s="2535"/>
      <c r="W92" s="2535"/>
      <c r="X92" s="2535"/>
      <c r="Y92" s="2535"/>
      <c r="Z92" s="2535"/>
      <c r="AA92" s="2535"/>
      <c r="AB92" s="2535"/>
      <c r="AC92" s="2535"/>
      <c r="AD92" s="2535"/>
      <c r="AE92" s="2535"/>
      <c r="AF92" s="2535"/>
      <c r="AG92" s="2535"/>
      <c r="AH92" s="2535"/>
      <c r="AI92" s="2535"/>
      <c r="AJ92" s="2535"/>
      <c r="AK92" s="2535"/>
      <c r="AL92" s="2535"/>
      <c r="AM92" s="1788"/>
      <c r="AN92" s="755"/>
      <c r="AO92" s="755"/>
      <c r="AP92" s="755"/>
      <c r="AQ92" s="755"/>
      <c r="AR92" s="755"/>
      <c r="AS92" s="755"/>
      <c r="AT92" s="755"/>
      <c r="AU92" s="755"/>
      <c r="AV92" s="755"/>
      <c r="AW92" s="755"/>
      <c r="AX92" s="755"/>
      <c r="AY92" s="755"/>
      <c r="AZ92" s="755"/>
      <c r="BA92" s="755"/>
      <c r="BB92" s="755"/>
      <c r="BC92" s="755"/>
      <c r="BD92" s="755"/>
      <c r="BE92" s="755"/>
      <c r="BF92" s="755"/>
      <c r="BG92" s="755"/>
      <c r="BH92" s="755"/>
      <c r="BI92" s="755"/>
      <c r="BJ92" s="755"/>
      <c r="BK92" s="755"/>
      <c r="BL92" s="755"/>
      <c r="BM92" s="755"/>
      <c r="BN92" s="755"/>
      <c r="BO92" s="755"/>
      <c r="BP92" s="755"/>
      <c r="BQ92" s="755"/>
      <c r="BR92" s="755"/>
      <c r="BS92" s="755"/>
      <c r="BT92" s="755"/>
      <c r="BU92" s="755"/>
      <c r="BV92" s="755"/>
      <c r="BW92" s="755"/>
      <c r="BX92" s="755"/>
      <c r="BY92" s="755"/>
      <c r="BZ92" s="755"/>
      <c r="CA92" s="755"/>
      <c r="CB92" s="755"/>
      <c r="CC92" s="755"/>
      <c r="CD92" s="755"/>
      <c r="CE92" s="755"/>
      <c r="CF92" s="755"/>
      <c r="CG92" s="755"/>
      <c r="CH92" s="755"/>
      <c r="CI92" s="755"/>
      <c r="CJ92" s="755"/>
      <c r="CK92" s="755"/>
      <c r="CL92" s="755"/>
      <c r="CM92" s="755"/>
      <c r="CN92" s="755"/>
      <c r="CO92" s="755"/>
      <c r="CP92" s="755"/>
      <c r="CQ92" s="755"/>
      <c r="CR92" s="755"/>
      <c r="CS92" s="755"/>
      <c r="CT92" s="755"/>
      <c r="CU92" s="755"/>
      <c r="CV92" s="755"/>
      <c r="CW92" s="755"/>
      <c r="CX92" s="755"/>
      <c r="CY92" s="755"/>
      <c r="CZ92" s="755"/>
      <c r="DA92" s="755"/>
      <c r="DB92" s="755"/>
      <c r="DC92" s="755"/>
      <c r="DD92" s="755"/>
      <c r="DE92" s="755"/>
      <c r="DF92" s="755"/>
      <c r="DG92" s="755"/>
      <c r="DH92" s="755"/>
      <c r="DI92" s="755"/>
      <c r="DJ92" s="755"/>
      <c r="DK92" s="755"/>
      <c r="DL92" s="755"/>
      <c r="DM92" s="755"/>
      <c r="DN92" s="755"/>
      <c r="DO92" s="755"/>
      <c r="DP92" s="755"/>
      <c r="DQ92" s="755"/>
      <c r="DR92" s="755"/>
      <c r="DS92" s="755"/>
      <c r="DT92" s="755"/>
      <c r="DU92" s="755"/>
      <c r="DV92" s="755"/>
      <c r="DW92" s="755"/>
      <c r="DX92" s="755"/>
      <c r="DY92" s="755"/>
      <c r="DZ92" s="755"/>
      <c r="EA92" s="755"/>
      <c r="EB92" s="755"/>
      <c r="EC92" s="755"/>
      <c r="ED92" s="755"/>
      <c r="EE92" s="755"/>
      <c r="EF92" s="755"/>
      <c r="EG92" s="755"/>
      <c r="EH92" s="755"/>
      <c r="EI92" s="755"/>
      <c r="EJ92" s="755"/>
      <c r="EK92" s="755"/>
      <c r="EL92" s="755"/>
      <c r="EM92" s="755"/>
      <c r="EN92" s="755"/>
      <c r="EO92" s="755"/>
      <c r="EP92" s="755"/>
      <c r="EQ92" s="755"/>
      <c r="ER92" s="755"/>
      <c r="ES92" s="755"/>
      <c r="ET92" s="755"/>
      <c r="EU92" s="755"/>
      <c r="EV92" s="755"/>
      <c r="EW92" s="755"/>
      <c r="EX92" s="755"/>
      <c r="EY92" s="755"/>
      <c r="EZ92" s="755"/>
      <c r="FA92" s="755"/>
      <c r="FB92" s="755"/>
      <c r="FC92" s="755"/>
      <c r="FD92" s="755"/>
      <c r="FE92" s="755"/>
      <c r="FF92" s="755"/>
      <c r="FG92" s="755"/>
      <c r="FH92" s="755"/>
      <c r="FI92" s="755"/>
      <c r="FJ92" s="755"/>
      <c r="FK92" s="755"/>
      <c r="FL92" s="755"/>
      <c r="FM92" s="755"/>
      <c r="FN92" s="755"/>
      <c r="FO92" s="755"/>
      <c r="FP92" s="755"/>
      <c r="FQ92" s="755"/>
      <c r="FR92" s="755"/>
      <c r="FS92" s="755"/>
      <c r="FT92" s="755"/>
      <c r="FU92" s="755"/>
      <c r="FV92" s="755"/>
      <c r="FW92" s="755"/>
      <c r="FX92" s="755"/>
      <c r="FY92" s="755"/>
      <c r="FZ92" s="755"/>
      <c r="GA92" s="755"/>
      <c r="GB92" s="755"/>
      <c r="GC92" s="755"/>
      <c r="GD92" s="755"/>
      <c r="GE92" s="755"/>
      <c r="GF92" s="755"/>
      <c r="GG92" s="755"/>
      <c r="GH92" s="755"/>
      <c r="GI92" s="755"/>
      <c r="GJ92" s="755"/>
      <c r="GK92" s="755"/>
      <c r="GL92" s="755"/>
      <c r="GM92" s="755"/>
      <c r="GN92" s="755"/>
      <c r="GO92" s="755"/>
      <c r="GP92" s="755"/>
      <c r="GQ92" s="755"/>
      <c r="GR92" s="755"/>
      <c r="GS92" s="755"/>
      <c r="GT92" s="755"/>
      <c r="GU92" s="755"/>
      <c r="GV92" s="755"/>
      <c r="GW92" s="755"/>
      <c r="GX92" s="755"/>
      <c r="GY92" s="755"/>
      <c r="GZ92" s="755"/>
      <c r="HA92" s="755"/>
      <c r="HB92" s="755"/>
      <c r="HC92" s="755"/>
      <c r="HD92" s="755"/>
      <c r="HE92" s="755"/>
      <c r="HF92" s="755"/>
      <c r="HG92" s="755"/>
      <c r="HH92" s="755"/>
      <c r="HI92" s="755"/>
      <c r="HJ92" s="755"/>
      <c r="HK92" s="755"/>
      <c r="HL92" s="755"/>
      <c r="HM92" s="755"/>
      <c r="HN92" s="755"/>
      <c r="HO92" s="755"/>
      <c r="HP92" s="755"/>
      <c r="HQ92" s="755"/>
      <c r="HR92" s="755"/>
      <c r="HS92" s="755"/>
      <c r="HT92" s="755"/>
      <c r="HU92" s="755"/>
      <c r="HV92" s="755"/>
      <c r="HW92" s="755"/>
      <c r="HX92" s="755"/>
      <c r="HY92" s="755"/>
      <c r="HZ92" s="755"/>
      <c r="IA92" s="755"/>
      <c r="IB92" s="755"/>
      <c r="IC92" s="755"/>
      <c r="ID92" s="755"/>
      <c r="IE92" s="755"/>
      <c r="IF92" s="755"/>
      <c r="IG92" s="755"/>
      <c r="IH92" s="755"/>
      <c r="II92" s="755"/>
      <c r="IJ92" s="755"/>
      <c r="IK92" s="755"/>
      <c r="IL92" s="755"/>
      <c r="IM92" s="755"/>
      <c r="IN92" s="755"/>
      <c r="IO92" s="755"/>
      <c r="IP92" s="755"/>
      <c r="IQ92" s="755"/>
      <c r="IR92" s="755"/>
      <c r="IS92" s="755"/>
      <c r="IT92" s="755"/>
      <c r="IU92" s="755"/>
      <c r="IV92" s="755"/>
      <c r="IW92" s="755"/>
      <c r="IX92" s="755"/>
      <c r="IY92" s="755"/>
      <c r="IZ92" s="755"/>
      <c r="JA92" s="755"/>
      <c r="JB92" s="755"/>
      <c r="JC92" s="755"/>
      <c r="JD92" s="755"/>
      <c r="JE92" s="755"/>
      <c r="JF92" s="755"/>
      <c r="JG92" s="755"/>
      <c r="JH92" s="755"/>
      <c r="JI92" s="755"/>
      <c r="JJ92" s="755"/>
      <c r="JK92" s="755"/>
      <c r="JL92" s="755"/>
      <c r="JM92" s="755"/>
      <c r="JN92" s="755"/>
      <c r="JO92" s="755"/>
      <c r="JP92" s="755"/>
      <c r="JQ92" s="755"/>
      <c r="JR92" s="755"/>
      <c r="JS92" s="755"/>
      <c r="JT92" s="755"/>
      <c r="JU92" s="755"/>
      <c r="JV92" s="755"/>
      <c r="JW92" s="755"/>
      <c r="JX92" s="755"/>
      <c r="JY92" s="755"/>
      <c r="JZ92" s="755"/>
      <c r="KA92" s="755"/>
      <c r="KB92" s="755"/>
      <c r="KC92" s="755"/>
      <c r="KD92" s="755"/>
      <c r="KE92" s="755"/>
      <c r="KF92" s="755"/>
      <c r="KG92" s="755"/>
      <c r="KH92" s="755"/>
      <c r="KI92" s="755"/>
      <c r="KJ92" s="755"/>
      <c r="KK92" s="755"/>
      <c r="KL92" s="755"/>
      <c r="KM92" s="755"/>
      <c r="KN92" s="755"/>
      <c r="KO92" s="755"/>
      <c r="KP92" s="755"/>
      <c r="KQ92" s="755"/>
      <c r="KR92" s="755"/>
      <c r="KS92" s="755"/>
      <c r="KT92" s="755"/>
      <c r="KU92" s="755"/>
      <c r="KV92" s="755"/>
      <c r="KW92" s="755"/>
      <c r="KX92" s="755"/>
      <c r="KY92" s="755"/>
      <c r="KZ92" s="755"/>
      <c r="LA92" s="755"/>
      <c r="LB92" s="755"/>
      <c r="LC92" s="755"/>
      <c r="LD92" s="755"/>
      <c r="LE92" s="755"/>
      <c r="LF92" s="755"/>
      <c r="LG92" s="755"/>
      <c r="LH92" s="755"/>
      <c r="LI92" s="755"/>
      <c r="LJ92" s="755"/>
      <c r="LK92" s="755"/>
      <c r="LL92" s="755"/>
      <c r="LM92" s="755"/>
      <c r="LN92" s="755"/>
      <c r="LO92" s="755"/>
      <c r="LP92" s="755"/>
      <c r="LQ92" s="755"/>
      <c r="LR92" s="755"/>
      <c r="LS92" s="755"/>
      <c r="LT92" s="755"/>
      <c r="LU92" s="755"/>
      <c r="LV92" s="755"/>
      <c r="LW92" s="755"/>
      <c r="LX92" s="755"/>
      <c r="LY92" s="755"/>
      <c r="LZ92" s="755"/>
      <c r="MA92" s="755"/>
      <c r="MB92" s="755"/>
      <c r="MC92" s="755"/>
      <c r="MD92" s="755"/>
      <c r="ME92" s="755"/>
      <c r="MF92" s="755"/>
      <c r="MG92" s="755"/>
      <c r="MH92" s="755"/>
      <c r="MI92" s="755"/>
      <c r="MJ92" s="755"/>
      <c r="MK92" s="755"/>
      <c r="ML92" s="755"/>
      <c r="MM92" s="755"/>
      <c r="MN92" s="755"/>
      <c r="MO92" s="755"/>
      <c r="MP92" s="755"/>
      <c r="MQ92" s="755"/>
      <c r="MR92" s="755"/>
      <c r="MS92" s="755"/>
      <c r="MT92" s="755"/>
      <c r="MU92" s="755"/>
      <c r="MV92" s="755"/>
      <c r="MW92" s="755"/>
      <c r="MX92" s="755"/>
      <c r="MY92" s="755"/>
      <c r="MZ92" s="755"/>
      <c r="NA92" s="755"/>
      <c r="NB92" s="755"/>
      <c r="NC92" s="755"/>
      <c r="ND92" s="755"/>
      <c r="NE92" s="755"/>
      <c r="NF92" s="755"/>
      <c r="NG92" s="755"/>
      <c r="NH92" s="755"/>
      <c r="NI92" s="755"/>
      <c r="NJ92" s="755"/>
      <c r="NK92" s="755"/>
      <c r="NL92" s="755"/>
      <c r="NM92" s="755"/>
      <c r="NN92" s="755"/>
      <c r="NO92" s="755"/>
      <c r="NP92" s="755"/>
      <c r="NQ92" s="755"/>
      <c r="NR92" s="755"/>
      <c r="NS92" s="755"/>
      <c r="NT92" s="755"/>
      <c r="NU92" s="755"/>
      <c r="NV92" s="755"/>
      <c r="NW92" s="755"/>
      <c r="NX92" s="755"/>
      <c r="NY92" s="755"/>
      <c r="NZ92" s="755"/>
      <c r="OA92" s="755"/>
      <c r="OB92" s="755"/>
      <c r="OC92" s="755"/>
      <c r="OD92" s="755"/>
      <c r="OE92" s="755"/>
      <c r="OF92" s="755"/>
      <c r="OG92" s="755"/>
      <c r="OH92" s="755"/>
      <c r="OI92" s="755"/>
      <c r="OJ92" s="755"/>
      <c r="OK92" s="755"/>
      <c r="OL92" s="755"/>
      <c r="OM92" s="755"/>
      <c r="ON92" s="755"/>
      <c r="OO92" s="755"/>
      <c r="OP92" s="755"/>
      <c r="OQ92" s="755"/>
      <c r="OR92" s="755"/>
      <c r="OS92" s="755"/>
      <c r="OT92" s="755"/>
      <c r="OU92" s="755"/>
      <c r="OV92" s="755"/>
      <c r="OW92" s="755"/>
      <c r="OX92" s="755"/>
      <c r="OY92" s="755"/>
      <c r="OZ92" s="755"/>
      <c r="PA92" s="755"/>
      <c r="PB92" s="755"/>
      <c r="PC92" s="755"/>
      <c r="PD92" s="755"/>
      <c r="PE92" s="755"/>
      <c r="PF92" s="755"/>
      <c r="PG92" s="755"/>
      <c r="PH92" s="755"/>
      <c r="PI92" s="755"/>
      <c r="PJ92" s="755"/>
      <c r="PK92" s="755"/>
      <c r="PL92" s="755"/>
      <c r="PM92" s="755"/>
      <c r="PN92" s="755"/>
      <c r="PO92" s="755"/>
      <c r="PP92" s="755"/>
      <c r="PQ92" s="755"/>
      <c r="PR92" s="755"/>
      <c r="PS92" s="755"/>
      <c r="PT92" s="755"/>
      <c r="PU92" s="755"/>
      <c r="PV92" s="755"/>
      <c r="PW92" s="755"/>
      <c r="PX92" s="755"/>
      <c r="PY92" s="755"/>
      <c r="PZ92" s="755"/>
      <c r="QA92" s="755"/>
      <c r="QB92" s="755"/>
      <c r="QC92" s="755"/>
      <c r="QD92" s="755"/>
      <c r="QE92" s="755"/>
      <c r="QF92" s="755"/>
      <c r="QG92" s="755"/>
      <c r="QH92" s="755"/>
      <c r="QI92" s="755"/>
      <c r="QJ92" s="755"/>
      <c r="QK92" s="755"/>
      <c r="QL92" s="755"/>
      <c r="QM92" s="755"/>
      <c r="QN92" s="755"/>
      <c r="QO92" s="755"/>
      <c r="QP92" s="755"/>
      <c r="QQ92" s="755"/>
      <c r="QR92" s="755"/>
      <c r="QS92" s="755"/>
      <c r="QT92" s="755"/>
      <c r="QU92" s="755"/>
      <c r="QV92" s="755"/>
      <c r="QW92" s="755"/>
      <c r="QX92" s="755"/>
      <c r="QY92" s="755"/>
      <c r="QZ92" s="755"/>
      <c r="RA92" s="755"/>
      <c r="RB92" s="755"/>
      <c r="RC92" s="755"/>
      <c r="RD92" s="755"/>
      <c r="RE92" s="755"/>
      <c r="RF92" s="755"/>
      <c r="RG92" s="755"/>
      <c r="RH92" s="755"/>
      <c r="RI92" s="755"/>
      <c r="RJ92" s="755"/>
      <c r="RK92" s="755"/>
      <c r="RL92" s="755"/>
      <c r="RM92" s="755"/>
      <c r="RN92" s="755"/>
      <c r="RO92" s="755"/>
      <c r="RP92" s="755"/>
      <c r="RQ92" s="755"/>
      <c r="RR92" s="755"/>
      <c r="RS92" s="755"/>
      <c r="RT92" s="755"/>
      <c r="RU92" s="755"/>
      <c r="RV92" s="755"/>
      <c r="RW92" s="755"/>
      <c r="RX92" s="755"/>
      <c r="RY92" s="755"/>
      <c r="RZ92" s="755"/>
      <c r="SA92" s="755"/>
      <c r="SB92" s="755"/>
      <c r="SC92" s="755"/>
      <c r="SD92" s="755"/>
      <c r="SE92" s="755"/>
      <c r="SF92" s="755"/>
      <c r="SG92" s="755"/>
      <c r="SH92" s="755"/>
      <c r="SI92" s="755"/>
      <c r="SJ92" s="755"/>
      <c r="SK92" s="755"/>
      <c r="SL92" s="755"/>
      <c r="SM92" s="755"/>
      <c r="SN92" s="755"/>
      <c r="SO92" s="755"/>
      <c r="SP92" s="755"/>
      <c r="SQ92" s="755"/>
      <c r="SR92" s="755"/>
      <c r="SS92" s="755"/>
      <c r="ST92" s="755"/>
      <c r="SU92" s="755"/>
      <c r="SV92" s="755"/>
      <c r="SW92" s="755"/>
      <c r="SX92" s="755"/>
      <c r="SY92" s="755"/>
      <c r="SZ92" s="755"/>
      <c r="TA92" s="755"/>
      <c r="TB92" s="755"/>
      <c r="TC92" s="755"/>
      <c r="TD92" s="755"/>
      <c r="TE92" s="755"/>
      <c r="TF92" s="755"/>
      <c r="TG92" s="755"/>
      <c r="TH92" s="755"/>
      <c r="TI92" s="755"/>
      <c r="TJ92" s="755"/>
      <c r="TK92" s="755"/>
      <c r="TL92" s="755"/>
      <c r="TM92" s="755"/>
      <c r="TN92" s="755"/>
      <c r="TO92" s="755"/>
      <c r="TP92" s="755"/>
      <c r="TQ92" s="755"/>
      <c r="TR92" s="755"/>
      <c r="TS92" s="755"/>
      <c r="TT92" s="755"/>
      <c r="TU92" s="755"/>
      <c r="TV92" s="755"/>
      <c r="TW92" s="755"/>
      <c r="TX92" s="755"/>
      <c r="TY92" s="755"/>
      <c r="TZ92" s="755"/>
      <c r="UA92" s="755"/>
      <c r="UB92" s="755"/>
      <c r="UC92" s="755"/>
      <c r="UD92" s="755"/>
      <c r="UE92" s="755"/>
      <c r="UF92" s="755"/>
      <c r="UG92" s="755"/>
      <c r="UH92" s="755"/>
      <c r="UI92" s="755"/>
      <c r="UJ92" s="755"/>
      <c r="UK92" s="755"/>
      <c r="UL92" s="755"/>
      <c r="UM92" s="755"/>
      <c r="UN92" s="755"/>
      <c r="UO92" s="755"/>
      <c r="UP92" s="755"/>
      <c r="UQ92" s="755"/>
      <c r="UR92" s="755"/>
      <c r="US92" s="755"/>
      <c r="UT92" s="755"/>
      <c r="UU92" s="755"/>
      <c r="UV92" s="755"/>
      <c r="UW92" s="755"/>
      <c r="UX92" s="755"/>
      <c r="UY92" s="755"/>
      <c r="UZ92" s="755"/>
      <c r="VA92" s="755"/>
      <c r="VB92" s="755"/>
      <c r="VC92" s="755"/>
      <c r="VD92" s="755"/>
      <c r="VE92" s="755"/>
      <c r="VF92" s="755"/>
      <c r="VG92" s="755"/>
      <c r="VH92" s="755"/>
      <c r="VI92" s="755"/>
      <c r="VJ92" s="755"/>
      <c r="VK92" s="755"/>
      <c r="VL92" s="755"/>
      <c r="VM92" s="755"/>
      <c r="VN92" s="755"/>
      <c r="VO92" s="755"/>
      <c r="VP92" s="755"/>
      <c r="VQ92" s="755"/>
      <c r="VR92" s="755"/>
      <c r="VS92" s="755"/>
      <c r="VT92" s="755"/>
      <c r="VU92" s="755"/>
      <c r="VV92" s="755"/>
      <c r="VW92" s="755"/>
      <c r="VX92" s="755"/>
      <c r="VY92" s="755"/>
      <c r="VZ92" s="755"/>
      <c r="WA92" s="755"/>
      <c r="WB92" s="755"/>
      <c r="WC92" s="755"/>
      <c r="WD92" s="755"/>
      <c r="WE92" s="755"/>
      <c r="WF92" s="755"/>
      <c r="WG92" s="755"/>
      <c r="WH92" s="755"/>
      <c r="WI92" s="755"/>
      <c r="WJ92" s="755"/>
      <c r="WK92" s="755"/>
      <c r="WL92" s="755"/>
      <c r="WM92" s="755"/>
      <c r="WN92" s="755"/>
      <c r="WO92" s="755"/>
      <c r="WP92" s="755"/>
      <c r="WQ92" s="755"/>
      <c r="WR92" s="755"/>
      <c r="WS92" s="755"/>
      <c r="WT92" s="755"/>
      <c r="WU92" s="755"/>
      <c r="WV92" s="755"/>
      <c r="WW92" s="755"/>
      <c r="WX92" s="755"/>
      <c r="WY92" s="755"/>
      <c r="WZ92" s="755"/>
      <c r="XA92" s="755"/>
      <c r="XB92" s="755"/>
      <c r="XC92" s="755"/>
      <c r="XD92" s="755"/>
      <c r="XE92" s="755"/>
      <c r="XF92" s="755"/>
      <c r="XG92" s="755"/>
      <c r="XH92" s="755"/>
      <c r="XI92" s="755"/>
      <c r="XJ92" s="755"/>
      <c r="XK92" s="755"/>
      <c r="XL92" s="755"/>
      <c r="XM92" s="755"/>
      <c r="XN92" s="755"/>
      <c r="XO92" s="755"/>
      <c r="XP92" s="755"/>
      <c r="XQ92" s="755"/>
      <c r="XR92" s="755"/>
      <c r="XS92" s="755"/>
      <c r="XT92" s="755"/>
      <c r="XU92" s="755"/>
      <c r="XV92" s="755"/>
      <c r="XW92" s="755"/>
      <c r="XX92" s="755"/>
      <c r="XY92" s="755"/>
      <c r="XZ92" s="755"/>
      <c r="YA92" s="755"/>
      <c r="YB92" s="755"/>
      <c r="YC92" s="755"/>
      <c r="YD92" s="755"/>
      <c r="YE92" s="755"/>
      <c r="YF92" s="755"/>
      <c r="YG92" s="755"/>
      <c r="YH92" s="755"/>
      <c r="YI92" s="755"/>
      <c r="YJ92" s="755"/>
      <c r="YK92" s="755"/>
      <c r="YL92" s="755"/>
      <c r="YM92" s="755"/>
      <c r="YN92" s="755"/>
      <c r="YO92" s="755"/>
      <c r="YP92" s="755"/>
      <c r="YQ92" s="755"/>
      <c r="YR92" s="755"/>
      <c r="YS92" s="755"/>
      <c r="YT92" s="755"/>
      <c r="YU92" s="755"/>
      <c r="YV92" s="755"/>
      <c r="YW92" s="755"/>
      <c r="YX92" s="755"/>
      <c r="YY92" s="755"/>
      <c r="YZ92" s="755"/>
      <c r="ZA92" s="755"/>
      <c r="ZB92" s="755"/>
      <c r="ZC92" s="755"/>
      <c r="ZD92" s="755"/>
      <c r="ZE92" s="755"/>
      <c r="ZF92" s="755"/>
      <c r="ZG92" s="755"/>
      <c r="ZH92" s="755"/>
      <c r="ZI92" s="755"/>
      <c r="ZJ92" s="755"/>
      <c r="ZK92" s="755"/>
      <c r="ZL92" s="755"/>
      <c r="ZM92" s="755"/>
      <c r="ZN92" s="755"/>
      <c r="ZO92" s="755"/>
      <c r="ZP92" s="755"/>
      <c r="ZQ92" s="755"/>
      <c r="ZR92" s="755"/>
      <c r="ZS92" s="755"/>
      <c r="ZT92" s="755"/>
      <c r="ZU92" s="755"/>
      <c r="ZV92" s="755"/>
      <c r="ZW92" s="755"/>
      <c r="ZX92" s="755"/>
      <c r="ZY92" s="755"/>
      <c r="ZZ92" s="755"/>
      <c r="AAA92" s="755"/>
      <c r="AAB92" s="755"/>
      <c r="AAC92" s="755"/>
      <c r="AAD92" s="755"/>
      <c r="AAE92" s="755"/>
      <c r="AAF92" s="755"/>
      <c r="AAG92" s="755"/>
      <c r="AAH92" s="755"/>
      <c r="AAI92" s="755"/>
      <c r="AAJ92" s="755"/>
      <c r="AAK92" s="755"/>
      <c r="AAL92" s="755"/>
      <c r="AAM92" s="755"/>
      <c r="AAN92" s="755"/>
      <c r="AAO92" s="755"/>
      <c r="AAP92" s="755"/>
      <c r="AAQ92" s="755"/>
      <c r="AAR92" s="755"/>
      <c r="AAS92" s="755"/>
      <c r="AAT92" s="755"/>
      <c r="AAU92" s="755"/>
      <c r="AAV92" s="755"/>
      <c r="AAW92" s="755"/>
      <c r="AAX92" s="755"/>
      <c r="AAY92" s="755"/>
      <c r="AAZ92" s="755"/>
      <c r="ABA92" s="755"/>
      <c r="ABB92" s="755"/>
      <c r="ABC92" s="755"/>
      <c r="ABD92" s="755"/>
      <c r="ABE92" s="755"/>
      <c r="ABF92" s="755"/>
      <c r="ABG92" s="755"/>
      <c r="ABH92" s="755"/>
      <c r="ABI92" s="755"/>
      <c r="ABJ92" s="755"/>
      <c r="ABK92" s="755"/>
      <c r="ABL92" s="755"/>
      <c r="ABM92" s="755"/>
      <c r="ABN92" s="755"/>
      <c r="ABO92" s="755"/>
      <c r="ABP92" s="755"/>
      <c r="ABQ92" s="755"/>
      <c r="ABR92" s="755"/>
      <c r="ABS92" s="755"/>
      <c r="ABT92" s="755"/>
      <c r="ABU92" s="755"/>
      <c r="ABV92" s="755"/>
      <c r="ABW92" s="755"/>
      <c r="ABX92" s="755"/>
      <c r="ABY92" s="755"/>
      <c r="ABZ92" s="755"/>
      <c r="ACA92" s="755"/>
      <c r="ACB92" s="755"/>
      <c r="ACC92" s="755"/>
      <c r="ACD92" s="755"/>
      <c r="ACE92" s="755"/>
      <c r="ACF92" s="755"/>
      <c r="ACG92" s="755"/>
      <c r="ACH92" s="755"/>
      <c r="ACI92" s="755"/>
      <c r="ACJ92" s="755"/>
      <c r="ACK92" s="755"/>
      <c r="ACL92" s="755"/>
      <c r="ACM92" s="755"/>
      <c r="ACN92" s="755"/>
      <c r="ACO92" s="755"/>
      <c r="ACP92" s="755"/>
      <c r="ACQ92" s="755"/>
      <c r="ACR92" s="755"/>
      <c r="ACS92" s="755"/>
      <c r="ACT92" s="755"/>
      <c r="ACU92" s="755"/>
      <c r="ACV92" s="755"/>
      <c r="ACW92" s="755"/>
      <c r="ACX92" s="755"/>
      <c r="ACY92" s="755"/>
      <c r="ACZ92" s="755"/>
      <c r="ADA92" s="755"/>
      <c r="ADB92" s="755"/>
      <c r="ADC92" s="755"/>
      <c r="ADD92" s="755"/>
      <c r="ADE92" s="755"/>
      <c r="ADF92" s="755"/>
      <c r="ADG92" s="755"/>
      <c r="ADH92" s="755"/>
      <c r="ADI92" s="755"/>
      <c r="ADJ92" s="755"/>
      <c r="ADK92" s="755"/>
      <c r="ADL92" s="755"/>
      <c r="ADM92" s="755"/>
      <c r="ADN92" s="755"/>
      <c r="ADO92" s="755"/>
      <c r="ADP92" s="755"/>
      <c r="ADQ92" s="755"/>
      <c r="ADR92" s="755"/>
      <c r="ADS92" s="755"/>
      <c r="ADT92" s="755"/>
      <c r="ADU92" s="755"/>
      <c r="ADV92" s="755"/>
      <c r="ADW92" s="755"/>
      <c r="ADX92" s="755"/>
      <c r="ADY92" s="755"/>
      <c r="ADZ92" s="755"/>
      <c r="AEA92" s="755"/>
      <c r="AEB92" s="755"/>
      <c r="AEC92" s="755"/>
      <c r="AED92" s="755"/>
      <c r="AEE92" s="755"/>
      <c r="AEF92" s="755"/>
      <c r="AEG92" s="755"/>
      <c r="AEH92" s="755"/>
      <c r="AEI92" s="755"/>
      <c r="AEJ92" s="755"/>
      <c r="AEK92" s="755"/>
      <c r="AEL92" s="755"/>
      <c r="AEM92" s="755"/>
      <c r="AEN92" s="755"/>
      <c r="AEO92" s="755"/>
      <c r="AEP92" s="755"/>
      <c r="AEQ92" s="755"/>
      <c r="AER92" s="755"/>
      <c r="AES92" s="755"/>
      <c r="AET92" s="755"/>
      <c r="AEU92" s="755"/>
      <c r="AEV92" s="755"/>
      <c r="AEW92" s="755"/>
      <c r="AEX92" s="755"/>
      <c r="AEY92" s="755"/>
      <c r="AEZ92" s="755"/>
      <c r="AFA92" s="755"/>
      <c r="AFB92" s="755"/>
      <c r="AFC92" s="755"/>
      <c r="AFD92" s="755"/>
      <c r="AFE92" s="755"/>
      <c r="AFF92" s="755"/>
      <c r="AFG92" s="755"/>
      <c r="AFH92" s="755"/>
      <c r="AFI92" s="755"/>
      <c r="AFJ92" s="755"/>
      <c r="AFK92" s="755"/>
      <c r="AFL92" s="755"/>
      <c r="AFM92" s="755"/>
      <c r="AFN92" s="755"/>
      <c r="AFO92" s="755"/>
      <c r="AFP92" s="755"/>
      <c r="AFQ92" s="755"/>
      <c r="AFR92" s="755"/>
      <c r="AFS92" s="755"/>
      <c r="AFT92" s="755"/>
      <c r="AFU92" s="755"/>
      <c r="AFV92" s="755"/>
      <c r="AFW92" s="755"/>
      <c r="AFX92" s="755"/>
      <c r="AFY92" s="755"/>
    </row>
    <row r="93" spans="1:857" s="738" customFormat="1" ht="13.5" customHeight="1" x14ac:dyDescent="0.2">
      <c r="A93" s="2525"/>
      <c r="B93" s="2525"/>
      <c r="C93" s="2526"/>
      <c r="D93" s="757"/>
      <c r="E93" s="758"/>
      <c r="F93" s="758"/>
      <c r="G93" s="2627"/>
      <c r="H93" s="2628"/>
      <c r="I93" s="2629"/>
      <c r="J93" s="2564">
        <v>50</v>
      </c>
      <c r="K93" s="2566" t="s">
        <v>809</v>
      </c>
      <c r="L93" s="2592" t="s">
        <v>16</v>
      </c>
      <c r="M93" s="2564">
        <v>5</v>
      </c>
      <c r="N93" s="748"/>
      <c r="O93" s="2521" t="s">
        <v>810</v>
      </c>
      <c r="P93" s="2602" t="s">
        <v>811</v>
      </c>
      <c r="Q93" s="2643">
        <f>+V93/R93</f>
        <v>0.69822961373390557</v>
      </c>
      <c r="R93" s="2573">
        <f>+V93+V99</f>
        <v>298240000</v>
      </c>
      <c r="S93" s="2581" t="s">
        <v>812</v>
      </c>
      <c r="T93" s="2581" t="s">
        <v>813</v>
      </c>
      <c r="U93" s="2563" t="s">
        <v>814</v>
      </c>
      <c r="V93" s="2586">
        <f>90000000-30000000+148240000</f>
        <v>208240000</v>
      </c>
      <c r="W93" s="2544">
        <v>20</v>
      </c>
      <c r="X93" s="2546" t="s">
        <v>815</v>
      </c>
      <c r="Y93" s="2635">
        <v>64149</v>
      </c>
      <c r="Z93" s="2635">
        <v>72224</v>
      </c>
      <c r="AA93" s="2635">
        <v>27477</v>
      </c>
      <c r="AB93" s="2635">
        <v>86843</v>
      </c>
      <c r="AC93" s="2635">
        <v>236429</v>
      </c>
      <c r="AD93" s="2635">
        <v>81384</v>
      </c>
      <c r="AE93" s="2635">
        <v>13208</v>
      </c>
      <c r="AF93" s="2635">
        <v>1827</v>
      </c>
      <c r="AG93" s="2635"/>
      <c r="AH93" s="2635"/>
      <c r="AI93" s="2635">
        <v>16897</v>
      </c>
      <c r="AJ93" s="2635">
        <v>81384</v>
      </c>
      <c r="AK93" s="2639">
        <v>42745</v>
      </c>
      <c r="AL93" s="2639">
        <v>43094</v>
      </c>
      <c r="AM93" s="2640" t="s">
        <v>799</v>
      </c>
    </row>
    <row r="94" spans="1:857" s="738" customFormat="1" ht="13.5" customHeight="1" x14ac:dyDescent="0.2">
      <c r="A94" s="2525"/>
      <c r="B94" s="2525"/>
      <c r="C94" s="2526"/>
      <c r="D94" s="757"/>
      <c r="E94" s="758"/>
      <c r="F94" s="758"/>
      <c r="G94" s="2630"/>
      <c r="H94" s="2628"/>
      <c r="I94" s="2629"/>
      <c r="J94" s="2565"/>
      <c r="K94" s="2517"/>
      <c r="L94" s="2634"/>
      <c r="M94" s="2565"/>
      <c r="N94" s="748"/>
      <c r="O94" s="2521"/>
      <c r="P94" s="2602"/>
      <c r="Q94" s="2643"/>
      <c r="R94" s="2573"/>
      <c r="S94" s="2581"/>
      <c r="T94" s="2581"/>
      <c r="U94" s="2577"/>
      <c r="V94" s="2586"/>
      <c r="W94" s="2544"/>
      <c r="X94" s="2637"/>
      <c r="Y94" s="2636"/>
      <c r="Z94" s="2636"/>
      <c r="AA94" s="2636"/>
      <c r="AB94" s="2636"/>
      <c r="AC94" s="2636"/>
      <c r="AD94" s="2636"/>
      <c r="AE94" s="2636"/>
      <c r="AF94" s="2636"/>
      <c r="AG94" s="2636"/>
      <c r="AH94" s="2636"/>
      <c r="AI94" s="2636"/>
      <c r="AJ94" s="2636"/>
      <c r="AK94" s="2639"/>
      <c r="AL94" s="2639"/>
      <c r="AM94" s="2640"/>
    </row>
    <row r="95" spans="1:857" s="738" customFormat="1" ht="13.5" customHeight="1" x14ac:dyDescent="0.2">
      <c r="A95" s="2525"/>
      <c r="B95" s="2525"/>
      <c r="C95" s="2526"/>
      <c r="D95" s="757"/>
      <c r="E95" s="758"/>
      <c r="F95" s="758"/>
      <c r="G95" s="2630"/>
      <c r="H95" s="2628"/>
      <c r="I95" s="2629"/>
      <c r="J95" s="2565"/>
      <c r="K95" s="2517"/>
      <c r="L95" s="2634"/>
      <c r="M95" s="2565"/>
      <c r="N95" s="748"/>
      <c r="O95" s="2521"/>
      <c r="P95" s="2602"/>
      <c r="Q95" s="2643"/>
      <c r="R95" s="2573"/>
      <c r="S95" s="2581"/>
      <c r="T95" s="2581"/>
      <c r="U95" s="2577"/>
      <c r="V95" s="2586"/>
      <c r="W95" s="2544"/>
      <c r="X95" s="2637"/>
      <c r="Y95" s="2636"/>
      <c r="Z95" s="2636"/>
      <c r="AA95" s="2636"/>
      <c r="AB95" s="2636"/>
      <c r="AC95" s="2636"/>
      <c r="AD95" s="2636"/>
      <c r="AE95" s="2636"/>
      <c r="AF95" s="2636"/>
      <c r="AG95" s="2636"/>
      <c r="AH95" s="2636"/>
      <c r="AI95" s="2636"/>
      <c r="AJ95" s="2636"/>
      <c r="AK95" s="2639"/>
      <c r="AL95" s="2639"/>
      <c r="AM95" s="2640"/>
    </row>
    <row r="96" spans="1:857" s="738" customFormat="1" ht="13.5" customHeight="1" x14ac:dyDescent="0.2">
      <c r="A96" s="2525"/>
      <c r="B96" s="2525"/>
      <c r="C96" s="2526"/>
      <c r="D96" s="757"/>
      <c r="E96" s="758"/>
      <c r="F96" s="758"/>
      <c r="G96" s="2630"/>
      <c r="H96" s="2628"/>
      <c r="I96" s="2629"/>
      <c r="J96" s="2565"/>
      <c r="K96" s="2517"/>
      <c r="L96" s="2634"/>
      <c r="M96" s="2565"/>
      <c r="N96" s="748"/>
      <c r="O96" s="2521"/>
      <c r="P96" s="2602"/>
      <c r="Q96" s="2643"/>
      <c r="R96" s="2573"/>
      <c r="S96" s="2581"/>
      <c r="T96" s="2581"/>
      <c r="U96" s="2577"/>
      <c r="V96" s="2586"/>
      <c r="W96" s="2544"/>
      <c r="X96" s="2637"/>
      <c r="Y96" s="2636"/>
      <c r="Z96" s="2636"/>
      <c r="AA96" s="2636"/>
      <c r="AB96" s="2636"/>
      <c r="AC96" s="2636"/>
      <c r="AD96" s="2636"/>
      <c r="AE96" s="2636"/>
      <c r="AF96" s="2636"/>
      <c r="AG96" s="2636"/>
      <c r="AH96" s="2636"/>
      <c r="AI96" s="2636"/>
      <c r="AJ96" s="2636"/>
      <c r="AK96" s="2639"/>
      <c r="AL96" s="2639"/>
      <c r="AM96" s="2640"/>
    </row>
    <row r="97" spans="1:484" s="738" customFormat="1" ht="13.5" customHeight="1" x14ac:dyDescent="0.2">
      <c r="A97" s="2525"/>
      <c r="B97" s="2525"/>
      <c r="C97" s="2526"/>
      <c r="D97" s="757"/>
      <c r="E97" s="758"/>
      <c r="F97" s="758"/>
      <c r="G97" s="2630"/>
      <c r="H97" s="2628"/>
      <c r="I97" s="2629"/>
      <c r="J97" s="2565"/>
      <c r="K97" s="2517"/>
      <c r="L97" s="2634"/>
      <c r="M97" s="2565"/>
      <c r="N97" s="748"/>
      <c r="O97" s="2521"/>
      <c r="P97" s="2602"/>
      <c r="Q97" s="2643"/>
      <c r="R97" s="2573"/>
      <c r="S97" s="2581"/>
      <c r="T97" s="2581"/>
      <c r="U97" s="2577"/>
      <c r="V97" s="2586"/>
      <c r="W97" s="2544"/>
      <c r="X97" s="2637"/>
      <c r="Y97" s="2636"/>
      <c r="Z97" s="2636"/>
      <c r="AA97" s="2636"/>
      <c r="AB97" s="2636"/>
      <c r="AC97" s="2636"/>
      <c r="AD97" s="2636"/>
      <c r="AE97" s="2636"/>
      <c r="AF97" s="2636"/>
      <c r="AG97" s="2636"/>
      <c r="AH97" s="2636"/>
      <c r="AI97" s="2636"/>
      <c r="AJ97" s="2636"/>
      <c r="AK97" s="2639"/>
      <c r="AL97" s="2639"/>
      <c r="AM97" s="2640"/>
    </row>
    <row r="98" spans="1:484" s="738" customFormat="1" ht="27.75" customHeight="1" x14ac:dyDescent="0.2">
      <c r="A98" s="2525"/>
      <c r="B98" s="2525"/>
      <c r="C98" s="2526"/>
      <c r="D98" s="757"/>
      <c r="E98" s="758"/>
      <c r="F98" s="758"/>
      <c r="G98" s="2630"/>
      <c r="H98" s="2628"/>
      <c r="I98" s="2629"/>
      <c r="J98" s="2565"/>
      <c r="K98" s="2571"/>
      <c r="L98" s="2591"/>
      <c r="M98" s="2570"/>
      <c r="N98" s="748" t="s">
        <v>816</v>
      </c>
      <c r="O98" s="2521"/>
      <c r="P98" s="2602"/>
      <c r="Q98" s="2642"/>
      <c r="R98" s="2573"/>
      <c r="S98" s="2581"/>
      <c r="T98" s="2581"/>
      <c r="U98" s="2561"/>
      <c r="V98" s="2587"/>
      <c r="W98" s="2544"/>
      <c r="X98" s="2637"/>
      <c r="Y98" s="2636"/>
      <c r="Z98" s="2636"/>
      <c r="AA98" s="2636"/>
      <c r="AB98" s="2636"/>
      <c r="AC98" s="2636"/>
      <c r="AD98" s="2636"/>
      <c r="AE98" s="2636"/>
      <c r="AF98" s="2636"/>
      <c r="AG98" s="2636"/>
      <c r="AH98" s="2636"/>
      <c r="AI98" s="2636"/>
      <c r="AJ98" s="2636"/>
      <c r="AK98" s="2639"/>
      <c r="AL98" s="2639"/>
      <c r="AM98" s="2640"/>
      <c r="PO98" s="755"/>
      <c r="PP98" s="755"/>
      <c r="PQ98" s="755"/>
      <c r="PR98" s="755"/>
      <c r="PS98" s="755"/>
      <c r="PT98" s="755"/>
      <c r="PU98" s="755"/>
      <c r="PV98" s="755"/>
      <c r="PW98" s="755"/>
      <c r="PX98" s="755"/>
      <c r="PY98" s="755"/>
      <c r="PZ98" s="755"/>
      <c r="QA98" s="755"/>
      <c r="QB98" s="755"/>
      <c r="QC98" s="755"/>
      <c r="QD98" s="755"/>
      <c r="QE98" s="755"/>
      <c r="QF98" s="755"/>
      <c r="QG98" s="755"/>
      <c r="QH98" s="755"/>
      <c r="QI98" s="755"/>
      <c r="QJ98" s="755"/>
      <c r="QK98" s="755"/>
      <c r="QL98" s="755"/>
      <c r="QM98" s="755"/>
      <c r="QN98" s="755"/>
      <c r="QO98" s="755"/>
      <c r="QP98" s="755"/>
      <c r="QQ98" s="755"/>
      <c r="QR98" s="755"/>
      <c r="QS98" s="755"/>
      <c r="QT98" s="755"/>
      <c r="QU98" s="755"/>
      <c r="QV98" s="755"/>
      <c r="QW98" s="755"/>
      <c r="QX98" s="755"/>
      <c r="QY98" s="755"/>
      <c r="QZ98" s="755"/>
      <c r="RA98" s="755"/>
      <c r="RB98" s="755"/>
      <c r="RC98" s="755"/>
      <c r="RD98" s="755"/>
      <c r="RE98" s="755"/>
      <c r="RF98" s="755"/>
      <c r="RG98" s="755"/>
      <c r="RH98" s="755"/>
      <c r="RI98" s="755"/>
      <c r="RJ98" s="755"/>
      <c r="RK98" s="755"/>
      <c r="RL98" s="755"/>
      <c r="RM98" s="755"/>
      <c r="RN98" s="755"/>
      <c r="RO98" s="755"/>
      <c r="RP98" s="755"/>
    </row>
    <row r="99" spans="1:484" s="738" customFormat="1" ht="24.75" customHeight="1" x14ac:dyDescent="0.2">
      <c r="A99" s="2525"/>
      <c r="B99" s="2525"/>
      <c r="C99" s="2526"/>
      <c r="D99" s="757"/>
      <c r="E99" s="758"/>
      <c r="F99" s="758"/>
      <c r="G99" s="2630"/>
      <c r="H99" s="2628"/>
      <c r="I99" s="2629"/>
      <c r="J99" s="2565">
        <v>51</v>
      </c>
      <c r="K99" s="2517" t="s">
        <v>817</v>
      </c>
      <c r="L99" s="2634" t="s">
        <v>16</v>
      </c>
      <c r="M99" s="2565">
        <v>1</v>
      </c>
      <c r="N99" s="748" t="s">
        <v>818</v>
      </c>
      <c r="O99" s="2521"/>
      <c r="P99" s="2602"/>
      <c r="Q99" s="2641">
        <f>+V99/R93</f>
        <v>0.30177038626609443</v>
      </c>
      <c r="R99" s="2573"/>
      <c r="S99" s="2581"/>
      <c r="T99" s="2581"/>
      <c r="U99" s="2577" t="s">
        <v>819</v>
      </c>
      <c r="V99" s="2585">
        <f>60000000+30000000</f>
        <v>90000000</v>
      </c>
      <c r="W99" s="2544"/>
      <c r="X99" s="2637"/>
      <c r="Y99" s="2636"/>
      <c r="Z99" s="2636"/>
      <c r="AA99" s="2636"/>
      <c r="AB99" s="2636"/>
      <c r="AC99" s="2636"/>
      <c r="AD99" s="2636"/>
      <c r="AE99" s="2636"/>
      <c r="AF99" s="2636"/>
      <c r="AG99" s="2636"/>
      <c r="AH99" s="2636"/>
      <c r="AI99" s="2636"/>
      <c r="AJ99" s="2636"/>
      <c r="AK99" s="2639"/>
      <c r="AL99" s="2639"/>
      <c r="AM99" s="2640"/>
      <c r="PO99" s="755"/>
      <c r="PP99" s="755"/>
      <c r="PQ99" s="755"/>
      <c r="PR99" s="755"/>
      <c r="PS99" s="755"/>
      <c r="PT99" s="755"/>
      <c r="PU99" s="755"/>
      <c r="PV99" s="755"/>
      <c r="PW99" s="755"/>
      <c r="PX99" s="755"/>
      <c r="PY99" s="755"/>
      <c r="PZ99" s="755"/>
      <c r="QA99" s="755"/>
      <c r="QB99" s="755"/>
      <c r="QC99" s="755"/>
      <c r="QD99" s="755"/>
      <c r="QE99" s="755"/>
      <c r="QF99" s="755"/>
      <c r="QG99" s="755"/>
      <c r="QH99" s="755"/>
      <c r="QI99" s="755"/>
      <c r="QJ99" s="755"/>
      <c r="QK99" s="755"/>
      <c r="QL99" s="755"/>
      <c r="QM99" s="755"/>
      <c r="QN99" s="755"/>
      <c r="QO99" s="755"/>
      <c r="QP99" s="755"/>
      <c r="QQ99" s="755"/>
      <c r="QR99" s="755"/>
      <c r="QS99" s="755"/>
      <c r="QT99" s="755"/>
      <c r="QU99" s="755"/>
      <c r="QV99" s="755"/>
      <c r="QW99" s="755"/>
      <c r="QX99" s="755"/>
      <c r="QY99" s="755"/>
      <c r="QZ99" s="755"/>
      <c r="RA99" s="755"/>
      <c r="RB99" s="755"/>
      <c r="RC99" s="755"/>
      <c r="RD99" s="755"/>
      <c r="RE99" s="755"/>
      <c r="RF99" s="755"/>
      <c r="RG99" s="755"/>
      <c r="RH99" s="755"/>
      <c r="RI99" s="755"/>
      <c r="RJ99" s="755"/>
      <c r="RK99" s="755"/>
      <c r="RL99" s="755"/>
      <c r="RM99" s="755"/>
      <c r="RN99" s="755"/>
      <c r="RO99" s="755"/>
      <c r="RP99" s="755"/>
    </row>
    <row r="100" spans="1:484" s="738" customFormat="1" ht="70.5" customHeight="1" x14ac:dyDescent="0.2">
      <c r="A100" s="2525"/>
      <c r="B100" s="2525"/>
      <c r="C100" s="2526"/>
      <c r="D100" s="757"/>
      <c r="E100" s="758"/>
      <c r="F100" s="758"/>
      <c r="G100" s="2631"/>
      <c r="H100" s="2632"/>
      <c r="I100" s="2633"/>
      <c r="J100" s="2565"/>
      <c r="K100" s="2517"/>
      <c r="L100" s="2634"/>
      <c r="M100" s="2565"/>
      <c r="N100" s="749"/>
      <c r="O100" s="2521"/>
      <c r="P100" s="2566"/>
      <c r="Q100" s="2642"/>
      <c r="R100" s="2574"/>
      <c r="S100" s="2575"/>
      <c r="T100" s="2575"/>
      <c r="U100" s="2577"/>
      <c r="V100" s="2587"/>
      <c r="W100" s="2545"/>
      <c r="X100" s="2637"/>
      <c r="Y100" s="2636"/>
      <c r="Z100" s="2636"/>
      <c r="AA100" s="2636"/>
      <c r="AB100" s="2636"/>
      <c r="AC100" s="2636"/>
      <c r="AD100" s="2636"/>
      <c r="AE100" s="2636"/>
      <c r="AF100" s="2636"/>
      <c r="AG100" s="2636"/>
      <c r="AH100" s="2636"/>
      <c r="AI100" s="2636"/>
      <c r="AJ100" s="2636"/>
      <c r="AK100" s="2639"/>
      <c r="AL100" s="2639"/>
      <c r="AM100" s="2640"/>
      <c r="PO100" s="755"/>
      <c r="PP100" s="755"/>
      <c r="PQ100" s="755"/>
      <c r="PR100" s="755"/>
      <c r="PS100" s="755"/>
      <c r="PT100" s="755"/>
      <c r="PU100" s="755"/>
      <c r="PV100" s="755"/>
      <c r="PW100" s="755"/>
      <c r="PX100" s="755"/>
      <c r="PY100" s="755"/>
      <c r="PZ100" s="755"/>
      <c r="QA100" s="755"/>
      <c r="QB100" s="755"/>
      <c r="QC100" s="755"/>
      <c r="QD100" s="755"/>
      <c r="QE100" s="755"/>
      <c r="QF100" s="755"/>
      <c r="QG100" s="755"/>
      <c r="QH100" s="755"/>
      <c r="QI100" s="755"/>
      <c r="QJ100" s="755"/>
      <c r="QK100" s="755"/>
      <c r="QL100" s="755"/>
      <c r="QM100" s="755"/>
      <c r="QN100" s="755"/>
      <c r="QO100" s="755"/>
      <c r="QP100" s="755"/>
      <c r="QQ100" s="755"/>
      <c r="QR100" s="755"/>
      <c r="QS100" s="755"/>
      <c r="QT100" s="755"/>
      <c r="QU100" s="755"/>
      <c r="QV100" s="755"/>
      <c r="QW100" s="755"/>
      <c r="QX100" s="755"/>
      <c r="QY100" s="755"/>
      <c r="QZ100" s="755"/>
      <c r="RA100" s="755"/>
      <c r="RB100" s="755"/>
      <c r="RC100" s="755"/>
      <c r="RD100" s="755"/>
      <c r="RE100" s="755"/>
      <c r="RF100" s="755"/>
      <c r="RG100" s="755"/>
      <c r="RH100" s="755"/>
      <c r="RI100" s="755"/>
      <c r="RJ100" s="755"/>
      <c r="RK100" s="755"/>
      <c r="RL100" s="755"/>
      <c r="RM100" s="755"/>
      <c r="RN100" s="755"/>
      <c r="RO100" s="755"/>
      <c r="RP100" s="755"/>
    </row>
    <row r="101" spans="1:484" s="738" customFormat="1" ht="13.5" customHeight="1" x14ac:dyDescent="0.2">
      <c r="A101" s="2525"/>
      <c r="B101" s="2525"/>
      <c r="C101" s="2526"/>
      <c r="D101" s="757"/>
      <c r="E101" s="758"/>
      <c r="F101" s="758"/>
      <c r="G101" s="2644">
        <v>12</v>
      </c>
      <c r="H101" s="2535" t="s">
        <v>820</v>
      </c>
      <c r="I101" s="2535"/>
      <c r="J101" s="2535"/>
      <c r="K101" s="2535"/>
      <c r="L101" s="2535"/>
      <c r="M101" s="2535"/>
      <c r="N101" s="2535"/>
      <c r="O101" s="2535"/>
      <c r="P101" s="2535"/>
      <c r="Q101" s="2535"/>
      <c r="R101" s="2535"/>
      <c r="S101" s="2535"/>
      <c r="T101" s="2535"/>
      <c r="U101" s="2535"/>
      <c r="V101" s="2535"/>
      <c r="W101" s="2535"/>
      <c r="X101" s="2535"/>
      <c r="Y101" s="2535"/>
      <c r="Z101" s="2535"/>
      <c r="AA101" s="2535"/>
      <c r="AB101" s="2535"/>
      <c r="AC101" s="2535"/>
      <c r="AD101" s="2535"/>
      <c r="AE101" s="2535"/>
      <c r="AF101" s="2535"/>
      <c r="AG101" s="2535"/>
      <c r="AH101" s="2535"/>
      <c r="AI101" s="2535"/>
      <c r="AJ101" s="2535"/>
      <c r="AK101" s="2535"/>
      <c r="AL101" s="2535"/>
      <c r="AM101" s="759"/>
      <c r="PO101" s="755"/>
      <c r="PP101" s="755"/>
      <c r="PQ101" s="755"/>
      <c r="PR101" s="755"/>
      <c r="PS101" s="755"/>
      <c r="PT101" s="755"/>
      <c r="PU101" s="755"/>
      <c r="PV101" s="755"/>
      <c r="PW101" s="755"/>
      <c r="PX101" s="755"/>
      <c r="PY101" s="755"/>
      <c r="PZ101" s="755"/>
      <c r="QA101" s="755"/>
      <c r="QB101" s="755"/>
      <c r="QC101" s="755"/>
      <c r="QD101" s="755"/>
      <c r="QE101" s="755"/>
      <c r="QF101" s="755"/>
      <c r="QG101" s="755"/>
      <c r="QH101" s="755"/>
      <c r="QI101" s="755"/>
      <c r="QJ101" s="755"/>
      <c r="QK101" s="755"/>
      <c r="QL101" s="755"/>
      <c r="QM101" s="755"/>
      <c r="QN101" s="755"/>
      <c r="QO101" s="755"/>
      <c r="QP101" s="755"/>
      <c r="QQ101" s="755"/>
      <c r="QR101" s="755"/>
      <c r="QS101" s="755"/>
      <c r="QT101" s="755"/>
      <c r="QU101" s="755"/>
      <c r="QV101" s="755"/>
      <c r="QW101" s="755"/>
      <c r="QX101" s="755"/>
      <c r="QY101" s="755"/>
      <c r="QZ101" s="755"/>
      <c r="RA101" s="755"/>
      <c r="RB101" s="755"/>
      <c r="RC101" s="755"/>
      <c r="RD101" s="755"/>
      <c r="RE101" s="755"/>
      <c r="RF101" s="755"/>
      <c r="RG101" s="755"/>
      <c r="RH101" s="755"/>
      <c r="RI101" s="755"/>
      <c r="RJ101" s="755"/>
      <c r="RK101" s="755"/>
      <c r="RL101" s="755"/>
      <c r="RM101" s="755"/>
      <c r="RN101" s="755"/>
      <c r="RO101" s="755"/>
      <c r="RP101" s="755"/>
    </row>
    <row r="102" spans="1:484" s="738" customFormat="1" ht="13.5" customHeight="1" x14ac:dyDescent="0.2">
      <c r="A102" s="2525"/>
      <c r="B102" s="2525"/>
      <c r="C102" s="2526"/>
      <c r="D102" s="757"/>
      <c r="E102" s="758"/>
      <c r="F102" s="758"/>
      <c r="G102" s="2644"/>
      <c r="H102" s="2535"/>
      <c r="I102" s="2535"/>
      <c r="J102" s="2535"/>
      <c r="K102" s="2535"/>
      <c r="L102" s="2535"/>
      <c r="M102" s="2535"/>
      <c r="N102" s="2535"/>
      <c r="O102" s="2535"/>
      <c r="P102" s="2535"/>
      <c r="Q102" s="2535"/>
      <c r="R102" s="2535"/>
      <c r="S102" s="2535"/>
      <c r="T102" s="2535"/>
      <c r="U102" s="2535"/>
      <c r="V102" s="2535"/>
      <c r="W102" s="2535"/>
      <c r="X102" s="2535"/>
      <c r="Y102" s="2535"/>
      <c r="Z102" s="2535"/>
      <c r="AA102" s="2535"/>
      <c r="AB102" s="2535"/>
      <c r="AC102" s="2535"/>
      <c r="AD102" s="2535"/>
      <c r="AE102" s="2535"/>
      <c r="AF102" s="2535"/>
      <c r="AG102" s="2535"/>
      <c r="AH102" s="2535"/>
      <c r="AI102" s="2535"/>
      <c r="AJ102" s="2535"/>
      <c r="AK102" s="2535"/>
      <c r="AL102" s="2535"/>
      <c r="AM102" s="760"/>
      <c r="PO102" s="755"/>
      <c r="PP102" s="755"/>
      <c r="PQ102" s="755"/>
      <c r="PR102" s="755"/>
      <c r="PS102" s="755"/>
      <c r="PT102" s="755"/>
      <c r="PU102" s="755"/>
      <c r="PV102" s="755"/>
      <c r="PW102" s="755"/>
      <c r="PX102" s="755"/>
      <c r="PY102" s="755"/>
      <c r="PZ102" s="755"/>
      <c r="QA102" s="755"/>
      <c r="QB102" s="755"/>
      <c r="QC102" s="755"/>
      <c r="QD102" s="755"/>
      <c r="QE102" s="755"/>
      <c r="QF102" s="755"/>
      <c r="QG102" s="755"/>
      <c r="QH102" s="755"/>
      <c r="QI102" s="755"/>
      <c r="QJ102" s="755"/>
      <c r="QK102" s="755"/>
      <c r="QL102" s="755"/>
      <c r="QM102" s="755"/>
      <c r="QN102" s="755"/>
      <c r="QO102" s="755"/>
      <c r="QP102" s="755"/>
      <c r="QQ102" s="755"/>
      <c r="QR102" s="755"/>
      <c r="QS102" s="755"/>
      <c r="QT102" s="755"/>
      <c r="QU102" s="755"/>
      <c r="QV102" s="755"/>
      <c r="QW102" s="755"/>
      <c r="QX102" s="755"/>
      <c r="QY102" s="755"/>
      <c r="QZ102" s="755"/>
      <c r="RA102" s="755"/>
      <c r="RB102" s="755"/>
      <c r="RC102" s="755"/>
      <c r="RD102" s="755"/>
      <c r="RE102" s="755"/>
      <c r="RF102" s="755"/>
      <c r="RG102" s="755"/>
      <c r="RH102" s="755"/>
      <c r="RI102" s="755"/>
      <c r="RJ102" s="755"/>
      <c r="RK102" s="755"/>
      <c r="RL102" s="755"/>
      <c r="RM102" s="755"/>
      <c r="RN102" s="755"/>
      <c r="RO102" s="755"/>
      <c r="RP102" s="755"/>
    </row>
    <row r="103" spans="1:484" s="738" customFormat="1" ht="13.5" customHeight="1" x14ac:dyDescent="0.2">
      <c r="A103" s="2525"/>
      <c r="B103" s="2525"/>
      <c r="C103" s="2526"/>
      <c r="D103" s="757"/>
      <c r="E103" s="758"/>
      <c r="F103" s="758"/>
      <c r="G103" s="2645"/>
      <c r="H103" s="2645"/>
      <c r="I103" s="2645"/>
      <c r="J103" s="2564">
        <v>52</v>
      </c>
      <c r="K103" s="2602" t="s">
        <v>821</v>
      </c>
      <c r="L103" s="2567" t="s">
        <v>16</v>
      </c>
      <c r="M103" s="2611">
        <v>3</v>
      </c>
      <c r="N103" s="748"/>
      <c r="O103" s="2521" t="s">
        <v>822</v>
      </c>
      <c r="P103" s="2602" t="s">
        <v>823</v>
      </c>
      <c r="Q103" s="2643">
        <f>SUM(V103:V115)/R103</f>
        <v>1</v>
      </c>
      <c r="R103" s="2573">
        <f>SUM(V103:V115)</f>
        <v>245080000</v>
      </c>
      <c r="S103" s="2581" t="s">
        <v>824</v>
      </c>
      <c r="T103" s="2581" t="s">
        <v>825</v>
      </c>
      <c r="U103" s="2562" t="s">
        <v>826</v>
      </c>
      <c r="V103" s="2586">
        <f>30000000+79400000</f>
        <v>109400000</v>
      </c>
      <c r="W103" s="2544">
        <v>20</v>
      </c>
      <c r="X103" s="2519" t="s">
        <v>815</v>
      </c>
      <c r="Y103" s="2638">
        <v>64149</v>
      </c>
      <c r="Z103" s="2638">
        <v>72224</v>
      </c>
      <c r="AA103" s="2638">
        <v>27477</v>
      </c>
      <c r="AB103" s="2638">
        <v>86843</v>
      </c>
      <c r="AC103" s="2638">
        <v>236429</v>
      </c>
      <c r="AD103" s="2638">
        <v>81384</v>
      </c>
      <c r="AE103" s="2638">
        <v>13208</v>
      </c>
      <c r="AF103" s="2638">
        <v>1827</v>
      </c>
      <c r="AG103" s="2638"/>
      <c r="AH103" s="2638"/>
      <c r="AI103" s="2638">
        <v>16897</v>
      </c>
      <c r="AJ103" s="2638">
        <v>81384</v>
      </c>
      <c r="AK103" s="2657">
        <v>42745</v>
      </c>
      <c r="AL103" s="2657">
        <v>43094</v>
      </c>
      <c r="AM103" s="2659" t="s">
        <v>827</v>
      </c>
      <c r="PO103" s="755"/>
      <c r="PP103" s="755"/>
      <c r="PQ103" s="755"/>
      <c r="PR103" s="755"/>
      <c r="PS103" s="755"/>
      <c r="PT103" s="755"/>
      <c r="PU103" s="755"/>
      <c r="PV103" s="755"/>
      <c r="PW103" s="755"/>
      <c r="PX103" s="755"/>
      <c r="PY103" s="755"/>
      <c r="PZ103" s="755"/>
      <c r="QA103" s="755"/>
      <c r="QB103" s="755"/>
      <c r="QC103" s="755"/>
      <c r="QD103" s="755"/>
      <c r="QE103" s="755"/>
      <c r="QF103" s="755"/>
      <c r="QG103" s="755"/>
      <c r="QH103" s="755"/>
      <c r="QI103" s="755"/>
      <c r="QJ103" s="755"/>
      <c r="QK103" s="755"/>
      <c r="QL103" s="755"/>
      <c r="QM103" s="755"/>
      <c r="QN103" s="755"/>
      <c r="QO103" s="755"/>
      <c r="QP103" s="755"/>
      <c r="QQ103" s="755"/>
      <c r="QR103" s="755"/>
      <c r="QS103" s="755"/>
      <c r="QT103" s="755"/>
      <c r="QU103" s="755"/>
      <c r="QV103" s="755"/>
      <c r="QW103" s="755"/>
      <c r="QX103" s="755"/>
      <c r="QY103" s="755"/>
      <c r="QZ103" s="755"/>
      <c r="RA103" s="755"/>
      <c r="RB103" s="755"/>
      <c r="RC103" s="755"/>
      <c r="RD103" s="755"/>
      <c r="RE103" s="755"/>
      <c r="RF103" s="755"/>
      <c r="RG103" s="755"/>
      <c r="RH103" s="755"/>
      <c r="RI103" s="755"/>
      <c r="RJ103" s="755"/>
      <c r="RK103" s="755"/>
      <c r="RL103" s="755"/>
      <c r="RM103" s="755"/>
      <c r="RN103" s="755"/>
      <c r="RO103" s="755"/>
      <c r="RP103" s="755"/>
    </row>
    <row r="104" spans="1:484" s="738" customFormat="1" ht="13.5" customHeight="1" x14ac:dyDescent="0.2">
      <c r="A104" s="2525"/>
      <c r="B104" s="2525"/>
      <c r="C104" s="2526"/>
      <c r="D104" s="757"/>
      <c r="E104" s="758"/>
      <c r="F104" s="758"/>
      <c r="G104" s="2645"/>
      <c r="H104" s="2645"/>
      <c r="I104" s="2645"/>
      <c r="J104" s="2565"/>
      <c r="K104" s="2602"/>
      <c r="L104" s="2567"/>
      <c r="M104" s="2611"/>
      <c r="N104" s="748"/>
      <c r="O104" s="2521"/>
      <c r="P104" s="2602"/>
      <c r="Q104" s="2643"/>
      <c r="R104" s="2573"/>
      <c r="S104" s="2581"/>
      <c r="T104" s="2581"/>
      <c r="U104" s="2562"/>
      <c r="V104" s="2586"/>
      <c r="W104" s="2589"/>
      <c r="X104" s="2567"/>
      <c r="Y104" s="2638"/>
      <c r="Z104" s="2638"/>
      <c r="AA104" s="2638"/>
      <c r="AB104" s="2638"/>
      <c r="AC104" s="2638"/>
      <c r="AD104" s="2638"/>
      <c r="AE104" s="2638"/>
      <c r="AF104" s="2638"/>
      <c r="AG104" s="2638"/>
      <c r="AH104" s="2638"/>
      <c r="AI104" s="2638"/>
      <c r="AJ104" s="2638"/>
      <c r="AK104" s="2658"/>
      <c r="AL104" s="2658"/>
      <c r="AM104" s="2659"/>
      <c r="PO104" s="755"/>
      <c r="PP104" s="755"/>
      <c r="PQ104" s="755"/>
      <c r="PR104" s="755"/>
      <c r="PS104" s="755"/>
      <c r="PT104" s="755"/>
      <c r="PU104" s="755"/>
      <c r="PV104" s="755"/>
      <c r="PW104" s="755"/>
      <c r="PX104" s="755"/>
      <c r="PY104" s="755"/>
      <c r="PZ104" s="755"/>
      <c r="QA104" s="755"/>
      <c r="QB104" s="755"/>
      <c r="QC104" s="755"/>
      <c r="QD104" s="755"/>
      <c r="QE104" s="755"/>
      <c r="QF104" s="755"/>
      <c r="QG104" s="755"/>
      <c r="QH104" s="755"/>
      <c r="QI104" s="755"/>
      <c r="QJ104" s="755"/>
      <c r="QK104" s="755"/>
      <c r="QL104" s="755"/>
      <c r="QM104" s="755"/>
      <c r="QN104" s="755"/>
      <c r="QO104" s="755"/>
      <c r="QP104" s="755"/>
      <c r="QQ104" s="755"/>
      <c r="QR104" s="755"/>
      <c r="QS104" s="755"/>
      <c r="QT104" s="755"/>
      <c r="QU104" s="755"/>
      <c r="QV104" s="755"/>
      <c r="QW104" s="755"/>
      <c r="QX104" s="755"/>
      <c r="QY104" s="755"/>
      <c r="QZ104" s="755"/>
      <c r="RA104" s="755"/>
      <c r="RB104" s="755"/>
      <c r="RC104" s="755"/>
      <c r="RD104" s="755"/>
      <c r="RE104" s="755"/>
      <c r="RF104" s="755"/>
      <c r="RG104" s="755"/>
      <c r="RH104" s="755"/>
      <c r="RI104" s="755"/>
      <c r="RJ104" s="755"/>
      <c r="RK104" s="755"/>
      <c r="RL104" s="755"/>
      <c r="RM104" s="755"/>
      <c r="RN104" s="755"/>
      <c r="RO104" s="755"/>
      <c r="RP104" s="755"/>
    </row>
    <row r="105" spans="1:484" s="738" customFormat="1" ht="14.25" customHeight="1" x14ac:dyDescent="0.2">
      <c r="A105" s="2525"/>
      <c r="B105" s="2525"/>
      <c r="C105" s="2526"/>
      <c r="D105" s="757"/>
      <c r="E105" s="758"/>
      <c r="F105" s="758"/>
      <c r="G105" s="2645"/>
      <c r="H105" s="2645"/>
      <c r="I105" s="2645"/>
      <c r="J105" s="2565"/>
      <c r="K105" s="2602"/>
      <c r="L105" s="2567"/>
      <c r="M105" s="2611"/>
      <c r="N105" s="748"/>
      <c r="O105" s="2521"/>
      <c r="P105" s="2602"/>
      <c r="Q105" s="2643"/>
      <c r="R105" s="2573"/>
      <c r="S105" s="2581"/>
      <c r="T105" s="2581"/>
      <c r="U105" s="2563"/>
      <c r="V105" s="2587"/>
      <c r="W105" s="2589"/>
      <c r="X105" s="2567"/>
      <c r="Y105" s="2638"/>
      <c r="Z105" s="2638"/>
      <c r="AA105" s="2638"/>
      <c r="AB105" s="2638"/>
      <c r="AC105" s="2638"/>
      <c r="AD105" s="2638"/>
      <c r="AE105" s="2638"/>
      <c r="AF105" s="2638"/>
      <c r="AG105" s="2638"/>
      <c r="AH105" s="2638"/>
      <c r="AI105" s="2638"/>
      <c r="AJ105" s="2638"/>
      <c r="AK105" s="2658"/>
      <c r="AL105" s="2658"/>
      <c r="AM105" s="2659"/>
      <c r="PO105" s="755"/>
      <c r="PP105" s="755"/>
      <c r="PQ105" s="755"/>
      <c r="PR105" s="755"/>
      <c r="PS105" s="755"/>
      <c r="PT105" s="755"/>
      <c r="PU105" s="755"/>
      <c r="PV105" s="755"/>
      <c r="PW105" s="755"/>
      <c r="PX105" s="755"/>
      <c r="PY105" s="755"/>
      <c r="PZ105" s="755"/>
      <c r="QA105" s="755"/>
      <c r="QB105" s="755"/>
      <c r="QC105" s="755"/>
      <c r="QD105" s="755"/>
      <c r="QE105" s="755"/>
      <c r="QF105" s="755"/>
      <c r="QG105" s="755"/>
      <c r="QH105" s="755"/>
      <c r="QI105" s="755"/>
      <c r="QJ105" s="755"/>
      <c r="QK105" s="755"/>
      <c r="QL105" s="755"/>
      <c r="QM105" s="755"/>
      <c r="QN105" s="755"/>
      <c r="QO105" s="755"/>
      <c r="QP105" s="755"/>
      <c r="QQ105" s="755"/>
      <c r="QR105" s="755"/>
      <c r="QS105" s="755"/>
      <c r="QT105" s="755"/>
      <c r="QU105" s="755"/>
      <c r="QV105" s="755"/>
      <c r="QW105" s="755"/>
      <c r="QX105" s="755"/>
      <c r="QY105" s="755"/>
      <c r="QZ105" s="755"/>
      <c r="RA105" s="755"/>
      <c r="RB105" s="755"/>
      <c r="RC105" s="755"/>
      <c r="RD105" s="755"/>
      <c r="RE105" s="755"/>
      <c r="RF105" s="755"/>
      <c r="RG105" s="755"/>
      <c r="RH105" s="755"/>
      <c r="RI105" s="755"/>
      <c r="RJ105" s="755"/>
      <c r="RK105" s="755"/>
      <c r="RL105" s="755"/>
      <c r="RM105" s="755"/>
      <c r="RN105" s="755"/>
      <c r="RO105" s="755"/>
      <c r="RP105" s="755"/>
    </row>
    <row r="106" spans="1:484" s="738" customFormat="1" ht="20.25" customHeight="1" x14ac:dyDescent="0.2">
      <c r="A106" s="2525"/>
      <c r="B106" s="2525"/>
      <c r="C106" s="2526"/>
      <c r="D106" s="757"/>
      <c r="E106" s="758"/>
      <c r="F106" s="758"/>
      <c r="G106" s="2645"/>
      <c r="H106" s="2645"/>
      <c r="I106" s="2645"/>
      <c r="J106" s="2565"/>
      <c r="K106" s="2602"/>
      <c r="L106" s="2567"/>
      <c r="M106" s="2611"/>
      <c r="N106" s="748"/>
      <c r="O106" s="2521"/>
      <c r="P106" s="2602"/>
      <c r="Q106" s="2643"/>
      <c r="R106" s="2573"/>
      <c r="S106" s="2581"/>
      <c r="T106" s="2581"/>
      <c r="U106" s="2561" t="s">
        <v>828</v>
      </c>
      <c r="V106" s="2585">
        <f>20000000+33200000</f>
        <v>53200000</v>
      </c>
      <c r="W106" s="2589"/>
      <c r="X106" s="2567"/>
      <c r="Y106" s="2638"/>
      <c r="Z106" s="2638"/>
      <c r="AA106" s="2638"/>
      <c r="AB106" s="2638"/>
      <c r="AC106" s="2638"/>
      <c r="AD106" s="2638"/>
      <c r="AE106" s="2638"/>
      <c r="AF106" s="2638"/>
      <c r="AG106" s="2638"/>
      <c r="AH106" s="2638"/>
      <c r="AI106" s="2638"/>
      <c r="AJ106" s="2638"/>
      <c r="AK106" s="2658"/>
      <c r="AL106" s="2658"/>
      <c r="AM106" s="2659"/>
      <c r="PO106" s="755"/>
      <c r="PP106" s="755"/>
      <c r="PQ106" s="755"/>
      <c r="PR106" s="755"/>
      <c r="PS106" s="755"/>
      <c r="PT106" s="755"/>
      <c r="PU106" s="755"/>
      <c r="PV106" s="755"/>
      <c r="PW106" s="755"/>
      <c r="PX106" s="755"/>
      <c r="PY106" s="755"/>
      <c r="PZ106" s="755"/>
      <c r="QA106" s="755"/>
      <c r="QB106" s="755"/>
      <c r="QC106" s="755"/>
      <c r="QD106" s="755"/>
      <c r="QE106" s="755"/>
      <c r="QF106" s="755"/>
      <c r="QG106" s="755"/>
      <c r="QH106" s="755"/>
      <c r="QI106" s="755"/>
      <c r="QJ106" s="755"/>
      <c r="QK106" s="755"/>
      <c r="QL106" s="755"/>
      <c r="QM106" s="755"/>
      <c r="QN106" s="755"/>
      <c r="QO106" s="755"/>
      <c r="QP106" s="755"/>
      <c r="QQ106" s="755"/>
      <c r="QR106" s="755"/>
      <c r="QS106" s="755"/>
      <c r="QT106" s="755"/>
      <c r="QU106" s="755"/>
      <c r="QV106" s="755"/>
      <c r="QW106" s="755"/>
      <c r="QX106" s="755"/>
      <c r="QY106" s="755"/>
      <c r="QZ106" s="755"/>
      <c r="RA106" s="755"/>
      <c r="RB106" s="755"/>
      <c r="RC106" s="755"/>
      <c r="RD106" s="755"/>
      <c r="RE106" s="755"/>
      <c r="RF106" s="755"/>
      <c r="RG106" s="755"/>
      <c r="RH106" s="755"/>
      <c r="RI106" s="755"/>
      <c r="RJ106" s="755"/>
      <c r="RK106" s="755"/>
      <c r="RL106" s="755"/>
      <c r="RM106" s="755"/>
      <c r="RN106" s="755"/>
      <c r="RO106" s="755"/>
      <c r="RP106" s="755"/>
    </row>
    <row r="107" spans="1:484" s="738" customFormat="1" ht="14.25" customHeight="1" x14ac:dyDescent="0.2">
      <c r="A107" s="2525"/>
      <c r="B107" s="2525"/>
      <c r="C107" s="2526"/>
      <c r="D107" s="757"/>
      <c r="E107" s="758"/>
      <c r="F107" s="758"/>
      <c r="G107" s="2645"/>
      <c r="H107" s="2645"/>
      <c r="I107" s="2645"/>
      <c r="J107" s="2565"/>
      <c r="K107" s="2602"/>
      <c r="L107" s="2567"/>
      <c r="M107" s="2611"/>
      <c r="N107" s="748"/>
      <c r="O107" s="2521"/>
      <c r="P107" s="2602"/>
      <c r="Q107" s="2643"/>
      <c r="R107" s="2573"/>
      <c r="S107" s="2581"/>
      <c r="T107" s="2581"/>
      <c r="U107" s="2563"/>
      <c r="V107" s="2587"/>
      <c r="W107" s="2589"/>
      <c r="X107" s="2567"/>
      <c r="Y107" s="2638"/>
      <c r="Z107" s="2638"/>
      <c r="AA107" s="2638"/>
      <c r="AB107" s="2638"/>
      <c r="AC107" s="2638"/>
      <c r="AD107" s="2638"/>
      <c r="AE107" s="2638"/>
      <c r="AF107" s="2638"/>
      <c r="AG107" s="2638"/>
      <c r="AH107" s="2638"/>
      <c r="AI107" s="2638"/>
      <c r="AJ107" s="2638"/>
      <c r="AK107" s="2658"/>
      <c r="AL107" s="2658"/>
      <c r="AM107" s="2659"/>
      <c r="PO107" s="755"/>
      <c r="PP107" s="755"/>
      <c r="PQ107" s="755"/>
      <c r="PR107" s="755"/>
      <c r="PS107" s="755"/>
      <c r="PT107" s="755"/>
      <c r="PU107" s="755"/>
      <c r="PV107" s="755"/>
      <c r="PW107" s="755"/>
      <c r="PX107" s="755"/>
      <c r="PY107" s="755"/>
      <c r="PZ107" s="755"/>
      <c r="QA107" s="755"/>
      <c r="QB107" s="755"/>
      <c r="QC107" s="755"/>
      <c r="QD107" s="755"/>
      <c r="QE107" s="755"/>
      <c r="QF107" s="755"/>
      <c r="QG107" s="755"/>
      <c r="QH107" s="755"/>
      <c r="QI107" s="755"/>
      <c r="QJ107" s="755"/>
      <c r="QK107" s="755"/>
      <c r="QL107" s="755"/>
      <c r="QM107" s="755"/>
      <c r="QN107" s="755"/>
      <c r="QO107" s="755"/>
      <c r="QP107" s="755"/>
      <c r="QQ107" s="755"/>
      <c r="QR107" s="755"/>
      <c r="QS107" s="755"/>
      <c r="QT107" s="755"/>
      <c r="QU107" s="755"/>
      <c r="QV107" s="755"/>
      <c r="QW107" s="755"/>
      <c r="QX107" s="755"/>
      <c r="QY107" s="755"/>
      <c r="QZ107" s="755"/>
      <c r="RA107" s="755"/>
      <c r="RB107" s="755"/>
      <c r="RC107" s="755"/>
      <c r="RD107" s="755"/>
      <c r="RE107" s="755"/>
      <c r="RF107" s="755"/>
      <c r="RG107" s="755"/>
      <c r="RH107" s="755"/>
      <c r="RI107" s="755"/>
      <c r="RJ107" s="755"/>
      <c r="RK107" s="755"/>
      <c r="RL107" s="755"/>
      <c r="RM107" s="755"/>
      <c r="RN107" s="755"/>
      <c r="RO107" s="755"/>
      <c r="RP107" s="755"/>
    </row>
    <row r="108" spans="1:484" s="738" customFormat="1" ht="13.5" customHeight="1" x14ac:dyDescent="0.2">
      <c r="A108" s="2525"/>
      <c r="B108" s="2525"/>
      <c r="C108" s="2526"/>
      <c r="D108" s="757"/>
      <c r="E108" s="758"/>
      <c r="F108" s="758"/>
      <c r="G108" s="2645"/>
      <c r="H108" s="2645"/>
      <c r="I108" s="2645"/>
      <c r="J108" s="2565"/>
      <c r="K108" s="2602"/>
      <c r="L108" s="2567"/>
      <c r="M108" s="2611"/>
      <c r="N108" s="748"/>
      <c r="O108" s="2521"/>
      <c r="P108" s="2602"/>
      <c r="Q108" s="2643"/>
      <c r="R108" s="2573"/>
      <c r="S108" s="2581"/>
      <c r="T108" s="2581"/>
      <c r="U108" s="2577" t="s">
        <v>829</v>
      </c>
      <c r="V108" s="2584">
        <f>25000000+10000000</f>
        <v>35000000</v>
      </c>
      <c r="W108" s="2589"/>
      <c r="X108" s="2567"/>
      <c r="Y108" s="2638"/>
      <c r="Z108" s="2638"/>
      <c r="AA108" s="2638"/>
      <c r="AB108" s="2638"/>
      <c r="AC108" s="2638"/>
      <c r="AD108" s="2638"/>
      <c r="AE108" s="2638"/>
      <c r="AF108" s="2638"/>
      <c r="AG108" s="2638"/>
      <c r="AH108" s="2638"/>
      <c r="AI108" s="2638"/>
      <c r="AJ108" s="2638"/>
      <c r="AK108" s="2658"/>
      <c r="AL108" s="2658"/>
      <c r="AM108" s="2659"/>
      <c r="PO108" s="755"/>
      <c r="PP108" s="755"/>
      <c r="PQ108" s="755"/>
      <c r="PR108" s="755"/>
      <c r="PS108" s="755"/>
      <c r="PT108" s="755"/>
      <c r="PU108" s="755"/>
      <c r="PV108" s="755"/>
      <c r="PW108" s="755"/>
      <c r="PX108" s="755"/>
      <c r="PY108" s="755"/>
      <c r="PZ108" s="755"/>
      <c r="QA108" s="755"/>
      <c r="QB108" s="755"/>
      <c r="QC108" s="755"/>
      <c r="QD108" s="755"/>
      <c r="QE108" s="755"/>
      <c r="QF108" s="755"/>
      <c r="QG108" s="755"/>
      <c r="QH108" s="755"/>
      <c r="QI108" s="755"/>
      <c r="QJ108" s="755"/>
      <c r="QK108" s="755"/>
      <c r="QL108" s="755"/>
      <c r="QM108" s="755"/>
      <c r="QN108" s="755"/>
      <c r="QO108" s="755"/>
      <c r="QP108" s="755"/>
      <c r="QQ108" s="755"/>
      <c r="QR108" s="755"/>
      <c r="QS108" s="755"/>
      <c r="QT108" s="755"/>
      <c r="QU108" s="755"/>
      <c r="QV108" s="755"/>
      <c r="QW108" s="755"/>
      <c r="QX108" s="755"/>
      <c r="QY108" s="755"/>
      <c r="QZ108" s="755"/>
      <c r="RA108" s="755"/>
      <c r="RB108" s="755"/>
      <c r="RC108" s="755"/>
      <c r="RD108" s="755"/>
      <c r="RE108" s="755"/>
      <c r="RF108" s="755"/>
      <c r="RG108" s="755"/>
      <c r="RH108" s="755"/>
      <c r="RI108" s="755"/>
      <c r="RJ108" s="755"/>
      <c r="RK108" s="755"/>
      <c r="RL108" s="755"/>
      <c r="RM108" s="755"/>
      <c r="RN108" s="755"/>
      <c r="RO108" s="755"/>
      <c r="RP108" s="755"/>
    </row>
    <row r="109" spans="1:484" s="738" customFormat="1" ht="22.5" customHeight="1" x14ac:dyDescent="0.2">
      <c r="A109" s="2525"/>
      <c r="B109" s="2525"/>
      <c r="C109" s="2526"/>
      <c r="D109" s="757"/>
      <c r="E109" s="758"/>
      <c r="F109" s="758"/>
      <c r="G109" s="2645"/>
      <c r="H109" s="2645"/>
      <c r="I109" s="2645"/>
      <c r="J109" s="2565"/>
      <c r="K109" s="2602"/>
      <c r="L109" s="2567"/>
      <c r="M109" s="2611"/>
      <c r="N109" s="748" t="s">
        <v>830</v>
      </c>
      <c r="O109" s="2521"/>
      <c r="P109" s="2602"/>
      <c r="Q109" s="2643"/>
      <c r="R109" s="2573"/>
      <c r="S109" s="2581"/>
      <c r="T109" s="2581"/>
      <c r="U109" s="2577"/>
      <c r="V109" s="2584"/>
      <c r="W109" s="2589"/>
      <c r="X109" s="2567"/>
      <c r="Y109" s="2638"/>
      <c r="Z109" s="2638"/>
      <c r="AA109" s="2638"/>
      <c r="AB109" s="2638"/>
      <c r="AC109" s="2638"/>
      <c r="AD109" s="2638"/>
      <c r="AE109" s="2638"/>
      <c r="AF109" s="2638"/>
      <c r="AG109" s="2638"/>
      <c r="AH109" s="2638"/>
      <c r="AI109" s="2638"/>
      <c r="AJ109" s="2638"/>
      <c r="AK109" s="2658"/>
      <c r="AL109" s="2658"/>
      <c r="AM109" s="2659"/>
      <c r="PO109" s="755"/>
      <c r="PP109" s="755"/>
      <c r="PQ109" s="755"/>
      <c r="PR109" s="755"/>
      <c r="PS109" s="755"/>
      <c r="PT109" s="755"/>
      <c r="PU109" s="755"/>
      <c r="PV109" s="755"/>
      <c r="PW109" s="755"/>
      <c r="PX109" s="755"/>
      <c r="PY109" s="755"/>
      <c r="PZ109" s="755"/>
      <c r="QA109" s="755"/>
      <c r="QB109" s="755"/>
      <c r="QC109" s="755"/>
      <c r="QD109" s="755"/>
      <c r="QE109" s="755"/>
      <c r="QF109" s="755"/>
      <c r="QG109" s="755"/>
      <c r="QH109" s="755"/>
      <c r="QI109" s="755"/>
      <c r="QJ109" s="755"/>
      <c r="QK109" s="755"/>
      <c r="QL109" s="755"/>
      <c r="QM109" s="755"/>
      <c r="QN109" s="755"/>
      <c r="QO109" s="755"/>
      <c r="QP109" s="755"/>
      <c r="QQ109" s="755"/>
      <c r="QR109" s="755"/>
      <c r="QS109" s="755"/>
      <c r="QT109" s="755"/>
      <c r="QU109" s="755"/>
      <c r="QV109" s="755"/>
      <c r="QW109" s="755"/>
      <c r="QX109" s="755"/>
      <c r="QY109" s="755"/>
      <c r="QZ109" s="755"/>
      <c r="RA109" s="755"/>
      <c r="RB109" s="755"/>
      <c r="RC109" s="755"/>
      <c r="RD109" s="755"/>
      <c r="RE109" s="755"/>
      <c r="RF109" s="755"/>
      <c r="RG109" s="755"/>
      <c r="RH109" s="755"/>
      <c r="RI109" s="755"/>
      <c r="RJ109" s="755"/>
      <c r="RK109" s="755"/>
      <c r="RL109" s="755"/>
      <c r="RM109" s="755"/>
      <c r="RN109" s="755"/>
      <c r="RO109" s="755"/>
      <c r="RP109" s="755"/>
    </row>
    <row r="110" spans="1:484" s="738" customFormat="1" ht="13.5" customHeight="1" x14ac:dyDescent="0.2">
      <c r="A110" s="2525"/>
      <c r="B110" s="2525"/>
      <c r="C110" s="2526"/>
      <c r="D110" s="757"/>
      <c r="E110" s="758"/>
      <c r="F110" s="758"/>
      <c r="G110" s="2645"/>
      <c r="H110" s="2645"/>
      <c r="I110" s="2645"/>
      <c r="J110" s="2565"/>
      <c r="K110" s="2602"/>
      <c r="L110" s="2567"/>
      <c r="M110" s="2611"/>
      <c r="N110" s="748" t="s">
        <v>831</v>
      </c>
      <c r="O110" s="2521"/>
      <c r="P110" s="2602"/>
      <c r="Q110" s="2643"/>
      <c r="R110" s="2573"/>
      <c r="S110" s="2581"/>
      <c r="T110" s="2581"/>
      <c r="U110" s="2561" t="s">
        <v>832</v>
      </c>
      <c r="V110" s="2585">
        <f>4200000+10800000</f>
        <v>15000000</v>
      </c>
      <c r="W110" s="2589"/>
      <c r="X110" s="2567"/>
      <c r="Y110" s="2638"/>
      <c r="Z110" s="2638"/>
      <c r="AA110" s="2638"/>
      <c r="AB110" s="2638"/>
      <c r="AC110" s="2638"/>
      <c r="AD110" s="2638"/>
      <c r="AE110" s="2638"/>
      <c r="AF110" s="2638"/>
      <c r="AG110" s="2638"/>
      <c r="AH110" s="2638"/>
      <c r="AI110" s="2638"/>
      <c r="AJ110" s="2638"/>
      <c r="AK110" s="2658"/>
      <c r="AL110" s="2658"/>
      <c r="AM110" s="2659"/>
      <c r="PO110" s="755"/>
      <c r="PP110" s="755"/>
      <c r="PQ110" s="755"/>
      <c r="PR110" s="755"/>
      <c r="PS110" s="755"/>
      <c r="PT110" s="755"/>
      <c r="PU110" s="755"/>
      <c r="PV110" s="755"/>
      <c r="PW110" s="755"/>
      <c r="PX110" s="755"/>
      <c r="PY110" s="755"/>
      <c r="PZ110" s="755"/>
      <c r="QA110" s="755"/>
      <c r="QB110" s="755"/>
      <c r="QC110" s="755"/>
      <c r="QD110" s="755"/>
      <c r="QE110" s="755"/>
      <c r="QF110" s="755"/>
      <c r="QG110" s="755"/>
      <c r="QH110" s="755"/>
      <c r="QI110" s="755"/>
      <c r="QJ110" s="755"/>
      <c r="QK110" s="755"/>
      <c r="QL110" s="755"/>
      <c r="QM110" s="755"/>
      <c r="QN110" s="755"/>
      <c r="QO110" s="755"/>
      <c r="QP110" s="755"/>
      <c r="QQ110" s="755"/>
      <c r="QR110" s="755"/>
      <c r="QS110" s="755"/>
      <c r="QT110" s="755"/>
      <c r="QU110" s="755"/>
      <c r="QV110" s="755"/>
      <c r="QW110" s="755"/>
      <c r="QX110" s="755"/>
      <c r="QY110" s="755"/>
      <c r="QZ110" s="755"/>
      <c r="RA110" s="755"/>
      <c r="RB110" s="755"/>
      <c r="RC110" s="755"/>
      <c r="RD110" s="755"/>
      <c r="RE110" s="755"/>
      <c r="RF110" s="755"/>
      <c r="RG110" s="755"/>
      <c r="RH110" s="755"/>
      <c r="RI110" s="755"/>
      <c r="RJ110" s="755"/>
      <c r="RK110" s="755"/>
      <c r="RL110" s="755"/>
      <c r="RM110" s="755"/>
      <c r="RN110" s="755"/>
      <c r="RO110" s="755"/>
      <c r="RP110" s="755"/>
    </row>
    <row r="111" spans="1:484" s="738" customFormat="1" ht="13.5" customHeight="1" x14ac:dyDescent="0.2">
      <c r="A111" s="2525"/>
      <c r="B111" s="2525"/>
      <c r="C111" s="2526"/>
      <c r="D111" s="757"/>
      <c r="E111" s="758"/>
      <c r="F111" s="758"/>
      <c r="G111" s="2645"/>
      <c r="H111" s="2645"/>
      <c r="I111" s="2645"/>
      <c r="J111" s="2565"/>
      <c r="K111" s="2602"/>
      <c r="L111" s="2567"/>
      <c r="M111" s="2611"/>
      <c r="N111" s="748"/>
      <c r="O111" s="2521"/>
      <c r="P111" s="2602"/>
      <c r="Q111" s="2643"/>
      <c r="R111" s="2573"/>
      <c r="S111" s="2581"/>
      <c r="T111" s="2581"/>
      <c r="U111" s="2562"/>
      <c r="V111" s="2586"/>
      <c r="W111" s="2589"/>
      <c r="X111" s="2567"/>
      <c r="Y111" s="2638"/>
      <c r="Z111" s="2638"/>
      <c r="AA111" s="2638"/>
      <c r="AB111" s="2638"/>
      <c r="AC111" s="2638"/>
      <c r="AD111" s="2638"/>
      <c r="AE111" s="2638"/>
      <c r="AF111" s="2638"/>
      <c r="AG111" s="2638"/>
      <c r="AH111" s="2638"/>
      <c r="AI111" s="2638"/>
      <c r="AJ111" s="2638"/>
      <c r="AK111" s="2658"/>
      <c r="AL111" s="2658"/>
      <c r="AM111" s="2659"/>
      <c r="PO111" s="755"/>
      <c r="PP111" s="755"/>
      <c r="PQ111" s="755"/>
      <c r="PR111" s="755"/>
      <c r="PS111" s="755"/>
      <c r="PT111" s="755"/>
      <c r="PU111" s="755"/>
      <c r="PV111" s="755"/>
      <c r="PW111" s="755"/>
      <c r="PX111" s="755"/>
      <c r="PY111" s="755"/>
      <c r="PZ111" s="755"/>
      <c r="QA111" s="755"/>
      <c r="QB111" s="755"/>
      <c r="QC111" s="755"/>
      <c r="QD111" s="755"/>
      <c r="QE111" s="755"/>
      <c r="QF111" s="755"/>
      <c r="QG111" s="755"/>
      <c r="QH111" s="755"/>
      <c r="QI111" s="755"/>
      <c r="QJ111" s="755"/>
      <c r="QK111" s="755"/>
      <c r="QL111" s="755"/>
      <c r="QM111" s="755"/>
      <c r="QN111" s="755"/>
      <c r="QO111" s="755"/>
      <c r="QP111" s="755"/>
      <c r="QQ111" s="755"/>
      <c r="QR111" s="755"/>
      <c r="QS111" s="755"/>
      <c r="QT111" s="755"/>
      <c r="QU111" s="755"/>
      <c r="QV111" s="755"/>
      <c r="QW111" s="755"/>
      <c r="QX111" s="755"/>
      <c r="QY111" s="755"/>
      <c r="QZ111" s="755"/>
      <c r="RA111" s="755"/>
      <c r="RB111" s="755"/>
      <c r="RC111" s="755"/>
      <c r="RD111" s="755"/>
      <c r="RE111" s="755"/>
      <c r="RF111" s="755"/>
      <c r="RG111" s="755"/>
      <c r="RH111" s="755"/>
      <c r="RI111" s="755"/>
      <c r="RJ111" s="755"/>
      <c r="RK111" s="755"/>
      <c r="RL111" s="755"/>
      <c r="RM111" s="755"/>
      <c r="RN111" s="755"/>
      <c r="RO111" s="755"/>
      <c r="RP111" s="755"/>
    </row>
    <row r="112" spans="1:484" s="738" customFormat="1" ht="17.25" customHeight="1" x14ac:dyDescent="0.2">
      <c r="A112" s="2525"/>
      <c r="B112" s="2525"/>
      <c r="C112" s="2526"/>
      <c r="D112" s="757"/>
      <c r="E112" s="758"/>
      <c r="F112" s="758"/>
      <c r="G112" s="2645"/>
      <c r="H112" s="2645"/>
      <c r="I112" s="2645"/>
      <c r="J112" s="2565"/>
      <c r="K112" s="2602"/>
      <c r="L112" s="2567"/>
      <c r="M112" s="2611"/>
      <c r="N112" s="748"/>
      <c r="O112" s="2521"/>
      <c r="P112" s="2602"/>
      <c r="Q112" s="2643"/>
      <c r="R112" s="2573"/>
      <c r="S112" s="2581"/>
      <c r="T112" s="2581"/>
      <c r="U112" s="2563"/>
      <c r="V112" s="2587"/>
      <c r="W112" s="2589"/>
      <c r="X112" s="2567"/>
      <c r="Y112" s="2638"/>
      <c r="Z112" s="2638"/>
      <c r="AA112" s="2638"/>
      <c r="AB112" s="2638"/>
      <c r="AC112" s="2638"/>
      <c r="AD112" s="2638"/>
      <c r="AE112" s="2638"/>
      <c r="AF112" s="2638"/>
      <c r="AG112" s="2638"/>
      <c r="AH112" s="2638"/>
      <c r="AI112" s="2638"/>
      <c r="AJ112" s="2638"/>
      <c r="AK112" s="2658"/>
      <c r="AL112" s="2658"/>
      <c r="AM112" s="2659"/>
      <c r="PO112" s="755"/>
      <c r="PP112" s="755"/>
      <c r="PQ112" s="755"/>
      <c r="PR112" s="755"/>
      <c r="PS112" s="755"/>
      <c r="PT112" s="755"/>
      <c r="PU112" s="755"/>
      <c r="PV112" s="755"/>
      <c r="PW112" s="755"/>
      <c r="PX112" s="755"/>
      <c r="PY112" s="755"/>
      <c r="PZ112" s="755"/>
      <c r="QA112" s="755"/>
      <c r="QB112" s="755"/>
      <c r="QC112" s="755"/>
      <c r="QD112" s="755"/>
      <c r="QE112" s="755"/>
      <c r="QF112" s="755"/>
      <c r="QG112" s="755"/>
      <c r="QH112" s="755"/>
      <c r="QI112" s="755"/>
      <c r="QJ112" s="755"/>
      <c r="QK112" s="755"/>
      <c r="QL112" s="755"/>
      <c r="QM112" s="755"/>
      <c r="QN112" s="755"/>
      <c r="QO112" s="755"/>
      <c r="QP112" s="755"/>
      <c r="QQ112" s="755"/>
      <c r="QR112" s="755"/>
      <c r="QS112" s="755"/>
      <c r="QT112" s="755"/>
      <c r="QU112" s="755"/>
      <c r="QV112" s="755"/>
      <c r="QW112" s="755"/>
      <c r="QX112" s="755"/>
      <c r="QY112" s="755"/>
      <c r="QZ112" s="755"/>
      <c r="RA112" s="755"/>
      <c r="RB112" s="755"/>
      <c r="RC112" s="755"/>
      <c r="RD112" s="755"/>
      <c r="RE112" s="755"/>
      <c r="RF112" s="755"/>
      <c r="RG112" s="755"/>
      <c r="RH112" s="755"/>
      <c r="RI112" s="755"/>
      <c r="RJ112" s="755"/>
      <c r="RK112" s="755"/>
      <c r="RL112" s="755"/>
      <c r="RM112" s="755"/>
      <c r="RN112" s="755"/>
      <c r="RO112" s="755"/>
      <c r="RP112" s="755"/>
    </row>
    <row r="113" spans="1:484" s="738" customFormat="1" ht="13.5" customHeight="1" x14ac:dyDescent="0.2">
      <c r="A113" s="2525"/>
      <c r="B113" s="2525"/>
      <c r="C113" s="2526"/>
      <c r="D113" s="757"/>
      <c r="E113" s="758"/>
      <c r="F113" s="758"/>
      <c r="G113" s="2645"/>
      <c r="H113" s="2645"/>
      <c r="I113" s="2645"/>
      <c r="J113" s="2565"/>
      <c r="K113" s="2602"/>
      <c r="L113" s="2567"/>
      <c r="M113" s="2611"/>
      <c r="N113" s="748"/>
      <c r="O113" s="2521"/>
      <c r="P113" s="2602"/>
      <c r="Q113" s="2643"/>
      <c r="R113" s="2573"/>
      <c r="S113" s="2581"/>
      <c r="T113" s="2581"/>
      <c r="U113" s="2561" t="s">
        <v>833</v>
      </c>
      <c r="V113" s="2585">
        <f>10800000+21680000</f>
        <v>32480000</v>
      </c>
      <c r="W113" s="2589"/>
      <c r="X113" s="2567"/>
      <c r="Y113" s="2638"/>
      <c r="Z113" s="2638"/>
      <c r="AA113" s="2638"/>
      <c r="AB113" s="2638"/>
      <c r="AC113" s="2638"/>
      <c r="AD113" s="2638"/>
      <c r="AE113" s="2638"/>
      <c r="AF113" s="2638"/>
      <c r="AG113" s="2638"/>
      <c r="AH113" s="2638"/>
      <c r="AI113" s="2638"/>
      <c r="AJ113" s="2638"/>
      <c r="AK113" s="2658"/>
      <c r="AL113" s="2658"/>
      <c r="AM113" s="2659"/>
      <c r="PO113" s="755"/>
      <c r="PP113" s="755"/>
      <c r="PQ113" s="755"/>
      <c r="PR113" s="755"/>
      <c r="PS113" s="755"/>
      <c r="PT113" s="755"/>
      <c r="PU113" s="755"/>
      <c r="PV113" s="755"/>
      <c r="PW113" s="755"/>
      <c r="PX113" s="755"/>
      <c r="PY113" s="755"/>
      <c r="PZ113" s="755"/>
      <c r="QA113" s="755"/>
      <c r="QB113" s="755"/>
      <c r="QC113" s="755"/>
      <c r="QD113" s="755"/>
      <c r="QE113" s="755"/>
      <c r="QF113" s="755"/>
      <c r="QG113" s="755"/>
      <c r="QH113" s="755"/>
      <c r="QI113" s="755"/>
      <c r="QJ113" s="755"/>
      <c r="QK113" s="755"/>
      <c r="QL113" s="755"/>
      <c r="QM113" s="755"/>
      <c r="QN113" s="755"/>
      <c r="QO113" s="755"/>
      <c r="QP113" s="755"/>
      <c r="QQ113" s="755"/>
      <c r="QR113" s="755"/>
      <c r="QS113" s="755"/>
      <c r="QT113" s="755"/>
      <c r="QU113" s="755"/>
      <c r="QV113" s="755"/>
      <c r="QW113" s="755"/>
      <c r="QX113" s="755"/>
      <c r="QY113" s="755"/>
      <c r="QZ113" s="755"/>
      <c r="RA113" s="755"/>
      <c r="RB113" s="755"/>
      <c r="RC113" s="755"/>
      <c r="RD113" s="755"/>
      <c r="RE113" s="755"/>
      <c r="RF113" s="755"/>
      <c r="RG113" s="755"/>
      <c r="RH113" s="755"/>
      <c r="RI113" s="755"/>
      <c r="RJ113" s="755"/>
      <c r="RK113" s="755"/>
      <c r="RL113" s="755"/>
      <c r="RM113" s="755"/>
      <c r="RN113" s="755"/>
      <c r="RO113" s="755"/>
      <c r="RP113" s="755"/>
    </row>
    <row r="114" spans="1:484" s="738" customFormat="1" ht="13.5" customHeight="1" x14ac:dyDescent="0.2">
      <c r="A114" s="2525"/>
      <c r="B114" s="2525"/>
      <c r="C114" s="2526"/>
      <c r="D114" s="757"/>
      <c r="E114" s="758"/>
      <c r="F114" s="758"/>
      <c r="G114" s="2645"/>
      <c r="H114" s="2645"/>
      <c r="I114" s="2645"/>
      <c r="J114" s="2565"/>
      <c r="K114" s="2602"/>
      <c r="L114" s="2567"/>
      <c r="M114" s="2611"/>
      <c r="N114" s="748"/>
      <c r="O114" s="2521"/>
      <c r="P114" s="2602"/>
      <c r="Q114" s="2643"/>
      <c r="R114" s="2573"/>
      <c r="S114" s="2581"/>
      <c r="T114" s="2581"/>
      <c r="U114" s="2562"/>
      <c r="V114" s="2586"/>
      <c r="W114" s="2589"/>
      <c r="X114" s="2567"/>
      <c r="Y114" s="2638"/>
      <c r="Z114" s="2638"/>
      <c r="AA114" s="2638"/>
      <c r="AB114" s="2638"/>
      <c r="AC114" s="2638"/>
      <c r="AD114" s="2638"/>
      <c r="AE114" s="2638"/>
      <c r="AF114" s="2638"/>
      <c r="AG114" s="2638"/>
      <c r="AH114" s="2638"/>
      <c r="AI114" s="2638"/>
      <c r="AJ114" s="2638"/>
      <c r="AK114" s="2658"/>
      <c r="AL114" s="2658"/>
      <c r="AM114" s="2659"/>
      <c r="PO114" s="755"/>
      <c r="PP114" s="755"/>
      <c r="PQ114" s="755"/>
      <c r="PR114" s="755"/>
      <c r="PS114" s="755"/>
      <c r="PT114" s="755"/>
      <c r="PU114" s="755"/>
      <c r="PV114" s="755"/>
      <c r="PW114" s="755"/>
      <c r="PX114" s="755"/>
      <c r="PY114" s="755"/>
      <c r="PZ114" s="755"/>
      <c r="QA114" s="755"/>
      <c r="QB114" s="755"/>
      <c r="QC114" s="755"/>
      <c r="QD114" s="755"/>
      <c r="QE114" s="755"/>
      <c r="QF114" s="755"/>
      <c r="QG114" s="755"/>
      <c r="QH114" s="755"/>
      <c r="QI114" s="755"/>
      <c r="QJ114" s="755"/>
      <c r="QK114" s="755"/>
      <c r="QL114" s="755"/>
      <c r="QM114" s="755"/>
      <c r="QN114" s="755"/>
      <c r="QO114" s="755"/>
      <c r="QP114" s="755"/>
      <c r="QQ114" s="755"/>
      <c r="QR114" s="755"/>
      <c r="QS114" s="755"/>
      <c r="QT114" s="755"/>
      <c r="QU114" s="755"/>
      <c r="QV114" s="755"/>
      <c r="QW114" s="755"/>
      <c r="QX114" s="755"/>
      <c r="QY114" s="755"/>
      <c r="QZ114" s="755"/>
      <c r="RA114" s="755"/>
      <c r="RB114" s="755"/>
      <c r="RC114" s="755"/>
      <c r="RD114" s="755"/>
      <c r="RE114" s="755"/>
      <c r="RF114" s="755"/>
      <c r="RG114" s="755"/>
      <c r="RH114" s="755"/>
      <c r="RI114" s="755"/>
      <c r="RJ114" s="755"/>
      <c r="RK114" s="755"/>
      <c r="RL114" s="755"/>
      <c r="RM114" s="755"/>
      <c r="RN114" s="755"/>
      <c r="RO114" s="755"/>
      <c r="RP114" s="755"/>
    </row>
    <row r="115" spans="1:484" s="738" customFormat="1" ht="13.5" customHeight="1" x14ac:dyDescent="0.2">
      <c r="A115" s="2525"/>
      <c r="B115" s="2525"/>
      <c r="C115" s="2526"/>
      <c r="D115" s="757"/>
      <c r="E115" s="758"/>
      <c r="F115" s="758"/>
      <c r="G115" s="2645"/>
      <c r="H115" s="2646"/>
      <c r="I115" s="2646"/>
      <c r="J115" s="2570"/>
      <c r="K115" s="2602"/>
      <c r="L115" s="2567"/>
      <c r="M115" s="2611"/>
      <c r="N115" s="748"/>
      <c r="O115" s="2521"/>
      <c r="P115" s="2602"/>
      <c r="Q115" s="2643"/>
      <c r="R115" s="2573"/>
      <c r="S115" s="2581"/>
      <c r="T115" s="2581"/>
      <c r="U115" s="2562"/>
      <c r="V115" s="2586"/>
      <c r="W115" s="2589"/>
      <c r="X115" s="2567"/>
      <c r="Y115" s="2638"/>
      <c r="Z115" s="2638"/>
      <c r="AA115" s="2638"/>
      <c r="AB115" s="2638"/>
      <c r="AC115" s="2638"/>
      <c r="AD115" s="2638"/>
      <c r="AE115" s="2638"/>
      <c r="AF115" s="2638"/>
      <c r="AG115" s="2638"/>
      <c r="AH115" s="2638"/>
      <c r="AI115" s="2638"/>
      <c r="AJ115" s="2638"/>
      <c r="AK115" s="2658"/>
      <c r="AL115" s="2658"/>
      <c r="AM115" s="2659"/>
      <c r="PO115" s="755"/>
      <c r="PP115" s="755"/>
      <c r="PQ115" s="755"/>
      <c r="PR115" s="755"/>
      <c r="PS115" s="755"/>
      <c r="PT115" s="755"/>
      <c r="PU115" s="755"/>
      <c r="PV115" s="755"/>
      <c r="PW115" s="755"/>
      <c r="PX115" s="755"/>
      <c r="PY115" s="755"/>
      <c r="PZ115" s="755"/>
      <c r="QA115" s="755"/>
      <c r="QB115" s="755"/>
      <c r="QC115" s="755"/>
      <c r="QD115" s="755"/>
      <c r="QE115" s="755"/>
      <c r="QF115" s="755"/>
      <c r="QG115" s="755"/>
      <c r="QH115" s="755"/>
      <c r="QI115" s="755"/>
      <c r="QJ115" s="755"/>
      <c r="QK115" s="755"/>
      <c r="QL115" s="755"/>
      <c r="QM115" s="755"/>
      <c r="QN115" s="755"/>
      <c r="QO115" s="755"/>
      <c r="QP115" s="755"/>
      <c r="QQ115" s="755"/>
      <c r="QR115" s="755"/>
      <c r="QS115" s="755"/>
      <c r="QT115" s="755"/>
      <c r="QU115" s="755"/>
      <c r="QV115" s="755"/>
      <c r="QW115" s="755"/>
      <c r="QX115" s="755"/>
      <c r="QY115" s="755"/>
      <c r="QZ115" s="755"/>
      <c r="RA115" s="755"/>
      <c r="RB115" s="755"/>
      <c r="RC115" s="755"/>
      <c r="RD115" s="755"/>
      <c r="RE115" s="755"/>
      <c r="RF115" s="755"/>
      <c r="RG115" s="755"/>
      <c r="RH115" s="755"/>
      <c r="RI115" s="755"/>
      <c r="RJ115" s="755"/>
      <c r="RK115" s="755"/>
      <c r="RL115" s="755"/>
      <c r="RM115" s="755"/>
      <c r="RN115" s="755"/>
      <c r="RO115" s="755"/>
      <c r="RP115" s="755"/>
    </row>
    <row r="116" spans="1:484" s="738" customFormat="1" ht="13.5" customHeight="1" x14ac:dyDescent="0.2">
      <c r="A116" s="2525"/>
      <c r="B116" s="2525"/>
      <c r="C116" s="2526"/>
      <c r="D116" s="757"/>
      <c r="E116" s="758"/>
      <c r="F116" s="758"/>
      <c r="G116" s="2649">
        <v>13</v>
      </c>
      <c r="H116" s="2651" t="s">
        <v>834</v>
      </c>
      <c r="I116" s="2651"/>
      <c r="J116" s="2651"/>
      <c r="K116" s="2651"/>
      <c r="L116" s="2651"/>
      <c r="M116" s="2651"/>
      <c r="N116" s="2651"/>
      <c r="O116" s="2651"/>
      <c r="P116" s="2651"/>
      <c r="Q116" s="2651"/>
      <c r="R116" s="2651"/>
      <c r="S116" s="2651"/>
      <c r="T116" s="2651"/>
      <c r="U116" s="2651"/>
      <c r="V116" s="2651"/>
      <c r="W116" s="2651"/>
      <c r="X116" s="2651"/>
      <c r="Y116" s="2651"/>
      <c r="Z116" s="2651"/>
      <c r="AA116" s="2651"/>
      <c r="AB116" s="2651"/>
      <c r="AC116" s="2651"/>
      <c r="AD116" s="2651"/>
      <c r="AE116" s="2651"/>
      <c r="AF116" s="2651"/>
      <c r="AG116" s="2651"/>
      <c r="AH116" s="2651"/>
      <c r="AI116" s="2651"/>
      <c r="AJ116" s="2651"/>
      <c r="AK116" s="2651"/>
      <c r="AL116" s="2651"/>
      <c r="AM116" s="2651"/>
    </row>
    <row r="117" spans="1:484" s="738" customFormat="1" ht="13.5" customHeight="1" x14ac:dyDescent="0.2">
      <c r="A117" s="2525"/>
      <c r="B117" s="2525"/>
      <c r="C117" s="2526"/>
      <c r="D117" s="757"/>
      <c r="E117" s="758"/>
      <c r="F117" s="758"/>
      <c r="G117" s="2650"/>
      <c r="H117" s="2651"/>
      <c r="I117" s="2651"/>
      <c r="J117" s="2651"/>
      <c r="K117" s="2651"/>
      <c r="L117" s="2651"/>
      <c r="M117" s="2651"/>
      <c r="N117" s="2651"/>
      <c r="O117" s="2651"/>
      <c r="P117" s="2651"/>
      <c r="Q117" s="2651"/>
      <c r="R117" s="2651"/>
      <c r="S117" s="2651"/>
      <c r="T117" s="2651"/>
      <c r="U117" s="2651"/>
      <c r="V117" s="2651"/>
      <c r="W117" s="2651"/>
      <c r="X117" s="2651"/>
      <c r="Y117" s="2651"/>
      <c r="Z117" s="2651"/>
      <c r="AA117" s="2651"/>
      <c r="AB117" s="2651"/>
      <c r="AC117" s="2651"/>
      <c r="AD117" s="2651"/>
      <c r="AE117" s="2651"/>
      <c r="AF117" s="2651"/>
      <c r="AG117" s="2651"/>
      <c r="AH117" s="2651"/>
      <c r="AI117" s="2651"/>
      <c r="AJ117" s="2651"/>
      <c r="AK117" s="2651"/>
      <c r="AL117" s="2651"/>
      <c r="AM117" s="2651"/>
    </row>
    <row r="118" spans="1:484" s="738" customFormat="1" ht="13.5" customHeight="1" x14ac:dyDescent="0.2">
      <c r="A118" s="2525"/>
      <c r="B118" s="2525"/>
      <c r="C118" s="2526"/>
      <c r="D118" s="757"/>
      <c r="E118" s="758"/>
      <c r="F118" s="758"/>
      <c r="G118" s="2645"/>
      <c r="H118" s="2645"/>
      <c r="I118" s="2645"/>
      <c r="J118" s="2565">
        <v>53</v>
      </c>
      <c r="K118" s="2517" t="s">
        <v>835</v>
      </c>
      <c r="L118" s="2634" t="s">
        <v>16</v>
      </c>
      <c r="M118" s="2652">
        <v>1</v>
      </c>
      <c r="N118" s="750"/>
      <c r="O118" s="2520" t="s">
        <v>836</v>
      </c>
      <c r="P118" s="2517" t="s">
        <v>837</v>
      </c>
      <c r="Q118" s="2654">
        <f>+V118/R118</f>
        <v>1</v>
      </c>
      <c r="R118" s="2656">
        <f>+V118</f>
        <v>868209563</v>
      </c>
      <c r="S118" s="2542" t="s">
        <v>838</v>
      </c>
      <c r="T118" s="2542" t="s">
        <v>839</v>
      </c>
      <c r="U118" s="2577" t="s">
        <v>840</v>
      </c>
      <c r="V118" s="2584">
        <f>729502600+138706963</f>
        <v>868209563</v>
      </c>
      <c r="W118" s="2543">
        <v>20</v>
      </c>
      <c r="X118" s="2518" t="s">
        <v>412</v>
      </c>
      <c r="Y118" s="2647">
        <v>64149</v>
      </c>
      <c r="Z118" s="2647">
        <v>72224</v>
      </c>
      <c r="AA118" s="2647">
        <v>27477</v>
      </c>
      <c r="AB118" s="2647">
        <v>86843</v>
      </c>
      <c r="AC118" s="2647">
        <v>236429</v>
      </c>
      <c r="AD118" s="2647">
        <v>81384</v>
      </c>
      <c r="AE118" s="2647">
        <v>13208</v>
      </c>
      <c r="AF118" s="2647">
        <v>1827</v>
      </c>
      <c r="AG118" s="2647"/>
      <c r="AH118" s="2647"/>
      <c r="AI118" s="2647">
        <v>16897</v>
      </c>
      <c r="AJ118" s="2647">
        <v>81384</v>
      </c>
      <c r="AK118" s="2660">
        <v>42745</v>
      </c>
      <c r="AL118" s="2660">
        <v>43094</v>
      </c>
      <c r="AM118" s="2640" t="s">
        <v>827</v>
      </c>
    </row>
    <row r="119" spans="1:484" s="738" customFormat="1" ht="17.25" customHeight="1" x14ac:dyDescent="0.2">
      <c r="A119" s="2525"/>
      <c r="B119" s="2525"/>
      <c r="C119" s="2526"/>
      <c r="D119" s="757"/>
      <c r="E119" s="758"/>
      <c r="F119" s="758"/>
      <c r="G119" s="2645"/>
      <c r="H119" s="2645"/>
      <c r="I119" s="2645"/>
      <c r="J119" s="2565"/>
      <c r="K119" s="2517"/>
      <c r="L119" s="2634"/>
      <c r="M119" s="2652"/>
      <c r="N119" s="748"/>
      <c r="O119" s="2521"/>
      <c r="P119" s="2517"/>
      <c r="Q119" s="2654"/>
      <c r="R119" s="2656"/>
      <c r="S119" s="2542"/>
      <c r="T119" s="2542"/>
      <c r="U119" s="2577"/>
      <c r="V119" s="2584"/>
      <c r="W119" s="2544"/>
      <c r="X119" s="2519"/>
      <c r="Y119" s="2647"/>
      <c r="Z119" s="2647"/>
      <c r="AA119" s="2647"/>
      <c r="AB119" s="2647"/>
      <c r="AC119" s="2647"/>
      <c r="AD119" s="2647"/>
      <c r="AE119" s="2647"/>
      <c r="AF119" s="2647"/>
      <c r="AG119" s="2647"/>
      <c r="AH119" s="2647"/>
      <c r="AI119" s="2647"/>
      <c r="AJ119" s="2647"/>
      <c r="AK119" s="2660"/>
      <c r="AL119" s="2660"/>
      <c r="AM119" s="2640"/>
    </row>
    <row r="120" spans="1:484" s="738" customFormat="1" ht="13.5" customHeight="1" x14ac:dyDescent="0.2">
      <c r="A120" s="2525"/>
      <c r="B120" s="2525"/>
      <c r="C120" s="2526"/>
      <c r="D120" s="757"/>
      <c r="E120" s="758"/>
      <c r="F120" s="758"/>
      <c r="G120" s="2645"/>
      <c r="H120" s="2645"/>
      <c r="I120" s="2645"/>
      <c r="J120" s="2565"/>
      <c r="K120" s="2517"/>
      <c r="L120" s="2634"/>
      <c r="M120" s="2652"/>
      <c r="N120" s="748" t="s">
        <v>841</v>
      </c>
      <c r="O120" s="2521"/>
      <c r="P120" s="2517"/>
      <c r="Q120" s="2654"/>
      <c r="R120" s="2656"/>
      <c r="S120" s="2542"/>
      <c r="T120" s="2542"/>
      <c r="U120" s="2577"/>
      <c r="V120" s="2584"/>
      <c r="W120" s="2544"/>
      <c r="X120" s="2519"/>
      <c r="Y120" s="2647"/>
      <c r="Z120" s="2647"/>
      <c r="AA120" s="2647"/>
      <c r="AB120" s="2647"/>
      <c r="AC120" s="2647"/>
      <c r="AD120" s="2647"/>
      <c r="AE120" s="2647"/>
      <c r="AF120" s="2647"/>
      <c r="AG120" s="2647"/>
      <c r="AH120" s="2647"/>
      <c r="AI120" s="2647"/>
      <c r="AJ120" s="2647"/>
      <c r="AK120" s="2660"/>
      <c r="AL120" s="2660"/>
      <c r="AM120" s="2640"/>
    </row>
    <row r="121" spans="1:484" s="738" customFormat="1" ht="13.5" customHeight="1" x14ac:dyDescent="0.2">
      <c r="A121" s="2525"/>
      <c r="B121" s="2525"/>
      <c r="C121" s="2526"/>
      <c r="D121" s="757"/>
      <c r="E121" s="758"/>
      <c r="F121" s="758"/>
      <c r="G121" s="2645"/>
      <c r="H121" s="2645"/>
      <c r="I121" s="2645"/>
      <c r="J121" s="2565"/>
      <c r="K121" s="2517"/>
      <c r="L121" s="2634"/>
      <c r="M121" s="2652"/>
      <c r="N121" s="748" t="s">
        <v>842</v>
      </c>
      <c r="O121" s="2521"/>
      <c r="P121" s="2517"/>
      <c r="Q121" s="2654"/>
      <c r="R121" s="2656"/>
      <c r="S121" s="2542"/>
      <c r="T121" s="2542"/>
      <c r="U121" s="2577"/>
      <c r="V121" s="2584"/>
      <c r="W121" s="2545"/>
      <c r="X121" s="2546"/>
      <c r="Y121" s="2647"/>
      <c r="Z121" s="2647"/>
      <c r="AA121" s="2647"/>
      <c r="AB121" s="2647"/>
      <c r="AC121" s="2647"/>
      <c r="AD121" s="2647"/>
      <c r="AE121" s="2647"/>
      <c r="AF121" s="2647"/>
      <c r="AG121" s="2647"/>
      <c r="AH121" s="2647"/>
      <c r="AI121" s="2647"/>
      <c r="AJ121" s="2647"/>
      <c r="AK121" s="2660"/>
      <c r="AL121" s="2660"/>
      <c r="AM121" s="2640"/>
    </row>
    <row r="122" spans="1:484" s="738" customFormat="1" ht="22.5" customHeight="1" x14ac:dyDescent="0.2">
      <c r="A122" s="2525"/>
      <c r="B122" s="2525"/>
      <c r="C122" s="2526"/>
      <c r="D122" s="757"/>
      <c r="E122" s="758"/>
      <c r="F122" s="758"/>
      <c r="G122" s="2645"/>
      <c r="H122" s="2645"/>
      <c r="I122" s="2645"/>
      <c r="J122" s="2565"/>
      <c r="K122" s="2517"/>
      <c r="L122" s="2634"/>
      <c r="M122" s="2652"/>
      <c r="N122" s="748" t="s">
        <v>843</v>
      </c>
      <c r="O122" s="2521"/>
      <c r="P122" s="2517"/>
      <c r="Q122" s="2654"/>
      <c r="R122" s="2656"/>
      <c r="S122" s="2542"/>
      <c r="T122" s="2542"/>
      <c r="U122" s="2577"/>
      <c r="V122" s="2584"/>
      <c r="W122" s="2543">
        <v>52</v>
      </c>
      <c r="X122" s="2518" t="s">
        <v>844</v>
      </c>
      <c r="Y122" s="2647"/>
      <c r="Z122" s="2647"/>
      <c r="AA122" s="2647"/>
      <c r="AB122" s="2647"/>
      <c r="AC122" s="2647"/>
      <c r="AD122" s="2647"/>
      <c r="AE122" s="2647"/>
      <c r="AF122" s="2647"/>
      <c r="AG122" s="2647"/>
      <c r="AH122" s="2647"/>
      <c r="AI122" s="2647"/>
      <c r="AJ122" s="2647"/>
      <c r="AK122" s="2660"/>
      <c r="AL122" s="2660"/>
      <c r="AM122" s="2640"/>
    </row>
    <row r="123" spans="1:484" s="738" customFormat="1" ht="16.5" customHeight="1" x14ac:dyDescent="0.2">
      <c r="A123" s="2525"/>
      <c r="B123" s="2525"/>
      <c r="C123" s="2526"/>
      <c r="D123" s="757"/>
      <c r="E123" s="758"/>
      <c r="F123" s="758"/>
      <c r="G123" s="2645"/>
      <c r="H123" s="2645"/>
      <c r="I123" s="2645"/>
      <c r="J123" s="2565"/>
      <c r="K123" s="2517"/>
      <c r="L123" s="2634"/>
      <c r="M123" s="2652"/>
      <c r="N123" s="748" t="s">
        <v>845</v>
      </c>
      <c r="O123" s="2521"/>
      <c r="P123" s="2517"/>
      <c r="Q123" s="2654"/>
      <c r="R123" s="2656"/>
      <c r="S123" s="2542"/>
      <c r="T123" s="2542"/>
      <c r="U123" s="2577"/>
      <c r="V123" s="2584"/>
      <c r="W123" s="2544"/>
      <c r="X123" s="2519"/>
      <c r="Y123" s="2647"/>
      <c r="Z123" s="2647"/>
      <c r="AA123" s="2647"/>
      <c r="AB123" s="2647"/>
      <c r="AC123" s="2647"/>
      <c r="AD123" s="2647"/>
      <c r="AE123" s="2647"/>
      <c r="AF123" s="2647"/>
      <c r="AG123" s="2647"/>
      <c r="AH123" s="2647"/>
      <c r="AI123" s="2647"/>
      <c r="AJ123" s="2647"/>
      <c r="AK123" s="2660"/>
      <c r="AL123" s="2660"/>
      <c r="AM123" s="2640"/>
    </row>
    <row r="124" spans="1:484" s="738" customFormat="1" ht="13.5" customHeight="1" x14ac:dyDescent="0.2">
      <c r="A124" s="2525"/>
      <c r="B124" s="2525"/>
      <c r="C124" s="2526"/>
      <c r="D124" s="757"/>
      <c r="E124" s="758"/>
      <c r="F124" s="758"/>
      <c r="G124" s="2645"/>
      <c r="H124" s="2645"/>
      <c r="I124" s="2645"/>
      <c r="J124" s="2565"/>
      <c r="K124" s="2517"/>
      <c r="L124" s="2634"/>
      <c r="M124" s="2652"/>
      <c r="N124" s="748"/>
      <c r="O124" s="2521"/>
      <c r="P124" s="2517"/>
      <c r="Q124" s="2654"/>
      <c r="R124" s="2656"/>
      <c r="S124" s="2542"/>
      <c r="T124" s="2542"/>
      <c r="U124" s="2577"/>
      <c r="V124" s="2584"/>
      <c r="W124" s="2544"/>
      <c r="X124" s="2519"/>
      <c r="Y124" s="2647"/>
      <c r="Z124" s="2647"/>
      <c r="AA124" s="2647"/>
      <c r="AB124" s="2647"/>
      <c r="AC124" s="2647"/>
      <c r="AD124" s="2647"/>
      <c r="AE124" s="2647"/>
      <c r="AF124" s="2647"/>
      <c r="AG124" s="2647"/>
      <c r="AH124" s="2647"/>
      <c r="AI124" s="2647"/>
      <c r="AJ124" s="2647"/>
      <c r="AK124" s="2660"/>
      <c r="AL124" s="2660"/>
      <c r="AM124" s="2640"/>
    </row>
    <row r="125" spans="1:484" s="738" customFormat="1" ht="13.5" customHeight="1" thickBot="1" x14ac:dyDescent="0.25">
      <c r="A125" s="2525"/>
      <c r="B125" s="2525"/>
      <c r="C125" s="2527"/>
      <c r="D125" s="757"/>
      <c r="E125" s="758"/>
      <c r="F125" s="758"/>
      <c r="G125" s="2646"/>
      <c r="H125" s="2646"/>
      <c r="I125" s="2646"/>
      <c r="J125" s="2570"/>
      <c r="K125" s="2571"/>
      <c r="L125" s="2591"/>
      <c r="M125" s="2653"/>
      <c r="N125" s="748"/>
      <c r="O125" s="2521"/>
      <c r="P125" s="2571"/>
      <c r="Q125" s="2655"/>
      <c r="R125" s="2572"/>
      <c r="S125" s="2576"/>
      <c r="T125" s="2576"/>
      <c r="U125" s="2561"/>
      <c r="V125" s="2585"/>
      <c r="W125" s="2544"/>
      <c r="X125" s="2519"/>
      <c r="Y125" s="2648"/>
      <c r="Z125" s="2648"/>
      <c r="AA125" s="2648"/>
      <c r="AB125" s="2648"/>
      <c r="AC125" s="2648"/>
      <c r="AD125" s="2648"/>
      <c r="AE125" s="2648"/>
      <c r="AF125" s="2648"/>
      <c r="AG125" s="2648"/>
      <c r="AH125" s="2648"/>
      <c r="AI125" s="2648"/>
      <c r="AJ125" s="2648"/>
      <c r="AK125" s="2661"/>
      <c r="AL125" s="2661"/>
      <c r="AM125" s="2662"/>
    </row>
    <row r="126" spans="1:484" ht="13.5" thickBot="1" x14ac:dyDescent="0.25">
      <c r="C126" s="761"/>
      <c r="D126" s="762"/>
      <c r="E126" s="762"/>
      <c r="F126" s="762"/>
      <c r="G126" s="762"/>
      <c r="H126" s="762"/>
      <c r="I126" s="762"/>
      <c r="J126" s="762"/>
      <c r="K126" s="763"/>
      <c r="L126" s="764"/>
      <c r="M126" s="764"/>
      <c r="N126" s="765"/>
      <c r="O126" s="766"/>
      <c r="P126" s="767"/>
      <c r="Q126" s="768"/>
      <c r="R126" s="769">
        <f>+R14+R19+R24+R32+R41+R48+R55+R62+R68+R75+R81+R85+R93+R99+R103+R118</f>
        <v>2460109563</v>
      </c>
      <c r="S126" s="770"/>
      <c r="T126" s="767"/>
      <c r="U126" s="771"/>
      <c r="V126" s="772">
        <f>SUM(V14:V125)</f>
        <v>2460109563</v>
      </c>
      <c r="W126" s="773"/>
      <c r="X126" s="762"/>
      <c r="Y126" s="762"/>
      <c r="Z126" s="762"/>
      <c r="AA126" s="762"/>
      <c r="AB126" s="762"/>
      <c r="AC126" s="762"/>
      <c r="AD126" s="762"/>
      <c r="AE126" s="762"/>
      <c r="AF126" s="762"/>
      <c r="AG126" s="762"/>
      <c r="AH126" s="762"/>
      <c r="AI126" s="762"/>
      <c r="AJ126" s="774"/>
      <c r="AK126" s="775"/>
      <c r="AL126" s="776"/>
      <c r="AM126" s="777"/>
    </row>
    <row r="127" spans="1:484" x14ac:dyDescent="0.2">
      <c r="N127" s="779"/>
      <c r="O127" s="780"/>
      <c r="P127" s="781"/>
      <c r="Q127" s="782"/>
      <c r="R127" s="783"/>
      <c r="S127" s="781"/>
      <c r="T127" s="781"/>
      <c r="U127" s="784"/>
      <c r="V127" s="785"/>
      <c r="AK127" s="789"/>
      <c r="AL127" s="790"/>
    </row>
    <row r="128" spans="1:484" s="793" customFormat="1" x14ac:dyDescent="0.2">
      <c r="E128" s="792" t="s">
        <v>846</v>
      </c>
      <c r="F128" s="792"/>
      <c r="G128" s="792"/>
      <c r="H128" s="792"/>
      <c r="I128" s="792"/>
      <c r="N128" s="794"/>
      <c r="P128" s="795"/>
      <c r="Q128" s="796"/>
      <c r="R128" s="797"/>
      <c r="S128" s="798"/>
      <c r="V128" s="799"/>
      <c r="W128" s="800"/>
      <c r="X128" s="800"/>
      <c r="Y128" s="800"/>
      <c r="Z128" s="801"/>
      <c r="AK128" s="802"/>
      <c r="AL128" s="802"/>
      <c r="AM128" s="803"/>
      <c r="AW128" s="804"/>
      <c r="AX128" s="804"/>
      <c r="AY128" s="804"/>
      <c r="AZ128" s="805"/>
      <c r="BA128" s="804"/>
      <c r="BB128" s="804"/>
      <c r="BC128" s="797"/>
      <c r="BD128" s="797"/>
      <c r="BE128" s="806"/>
      <c r="BF128" s="806"/>
      <c r="BG128" s="807"/>
      <c r="BH128" s="807"/>
    </row>
    <row r="129" spans="5:60" s="793" customFormat="1" x14ac:dyDescent="0.2">
      <c r="E129" s="792" t="s">
        <v>847</v>
      </c>
      <c r="F129" s="792"/>
      <c r="G129" s="792"/>
      <c r="H129" s="792"/>
      <c r="I129" s="792"/>
      <c r="N129" s="794"/>
      <c r="P129" s="795"/>
      <c r="Q129" s="796"/>
      <c r="R129" s="797"/>
      <c r="S129" s="798"/>
      <c r="V129" s="808"/>
      <c r="W129" s="800"/>
      <c r="X129" s="800"/>
      <c r="Y129" s="800"/>
      <c r="Z129" s="801"/>
      <c r="AK129" s="802"/>
      <c r="AL129" s="802"/>
      <c r="AM129" s="803"/>
      <c r="AW129" s="804"/>
      <c r="AX129" s="804"/>
      <c r="AY129" s="804"/>
      <c r="AZ129" s="805"/>
      <c r="BA129" s="804"/>
      <c r="BB129" s="804"/>
      <c r="BC129" s="797"/>
      <c r="BD129" s="797"/>
      <c r="BE129" s="806"/>
      <c r="BF129" s="806"/>
      <c r="BG129" s="807"/>
      <c r="BH129" s="807"/>
    </row>
    <row r="130" spans="5:60" ht="15.75" x14ac:dyDescent="0.2">
      <c r="R130" s="811"/>
      <c r="V130" s="812"/>
      <c r="AK130" s="789"/>
      <c r="AL130" s="790"/>
    </row>
    <row r="131" spans="5:60" x14ac:dyDescent="0.2">
      <c r="R131" s="811"/>
      <c r="AK131" s="789"/>
      <c r="AL131" s="790"/>
    </row>
    <row r="132" spans="5:60" x14ac:dyDescent="0.2">
      <c r="R132" s="811"/>
      <c r="V132" s="813"/>
      <c r="AK132" s="789"/>
      <c r="AL132" s="790"/>
    </row>
    <row r="133" spans="5:60" x14ac:dyDescent="0.2">
      <c r="R133" s="811"/>
      <c r="AK133" s="789"/>
      <c r="AL133" s="790"/>
    </row>
    <row r="134" spans="5:60" x14ac:dyDescent="0.2">
      <c r="R134" s="811"/>
      <c r="AK134" s="789"/>
      <c r="AL134" s="790"/>
    </row>
    <row r="135" spans="5:60" x14ac:dyDescent="0.2">
      <c r="AK135" s="789"/>
      <c r="AL135" s="790"/>
    </row>
    <row r="136" spans="5:60" x14ac:dyDescent="0.2">
      <c r="AK136" s="789"/>
      <c r="AL136" s="790"/>
    </row>
    <row r="137" spans="5:60" x14ac:dyDescent="0.2">
      <c r="AK137" s="789"/>
      <c r="AL137" s="790"/>
    </row>
    <row r="138" spans="5:60" x14ac:dyDescent="0.2">
      <c r="AK138" s="789"/>
      <c r="AL138" s="790"/>
    </row>
    <row r="139" spans="5:60" x14ac:dyDescent="0.2">
      <c r="AK139" s="789"/>
      <c r="AL139" s="790"/>
    </row>
    <row r="140" spans="5:60" x14ac:dyDescent="0.2">
      <c r="AK140" s="789"/>
      <c r="AL140" s="790"/>
    </row>
  </sheetData>
  <mergeCells count="341">
    <mergeCell ref="AG118:AG125"/>
    <mergeCell ref="AH118:AH125"/>
    <mergeCell ref="AC118:AC125"/>
    <mergeCell ref="AL103:AL115"/>
    <mergeCell ref="AM103:AM115"/>
    <mergeCell ref="U106:U107"/>
    <mergeCell ref="V106:V107"/>
    <mergeCell ref="U108:U109"/>
    <mergeCell ref="V108:V109"/>
    <mergeCell ref="AK103:AK115"/>
    <mergeCell ref="AI103:AI115"/>
    <mergeCell ref="AJ103:AJ115"/>
    <mergeCell ref="AF103:AF115"/>
    <mergeCell ref="AD118:AD125"/>
    <mergeCell ref="AE118:AE125"/>
    <mergeCell ref="Z118:Z125"/>
    <mergeCell ref="AA118:AA125"/>
    <mergeCell ref="AB118:AB125"/>
    <mergeCell ref="AL118:AL125"/>
    <mergeCell ref="AM118:AM125"/>
    <mergeCell ref="W122:W125"/>
    <mergeCell ref="X122:X125"/>
    <mergeCell ref="AK118:AK125"/>
    <mergeCell ref="AI118:AI125"/>
    <mergeCell ref="AJ118:AJ125"/>
    <mergeCell ref="AF118:AF125"/>
    <mergeCell ref="AG103:AG115"/>
    <mergeCell ref="AH103:AH115"/>
    <mergeCell ref="AE103:AE115"/>
    <mergeCell ref="Z103:Z115"/>
    <mergeCell ref="AA103:AA115"/>
    <mergeCell ref="AB103:AB115"/>
    <mergeCell ref="G116:G117"/>
    <mergeCell ref="H116:AM117"/>
    <mergeCell ref="G118:I125"/>
    <mergeCell ref="J118:J125"/>
    <mergeCell ref="K118:K125"/>
    <mergeCell ref="L118:L125"/>
    <mergeCell ref="M118:M125"/>
    <mergeCell ref="O118:O125"/>
    <mergeCell ref="V118:V125"/>
    <mergeCell ref="W118:W121"/>
    <mergeCell ref="X118:X121"/>
    <mergeCell ref="Y118:Y125"/>
    <mergeCell ref="P118:P125"/>
    <mergeCell ref="Q118:Q125"/>
    <mergeCell ref="R118:R125"/>
    <mergeCell ref="S118:S125"/>
    <mergeCell ref="T118:T125"/>
    <mergeCell ref="U118:U125"/>
    <mergeCell ref="G101:G102"/>
    <mergeCell ref="H101:AL102"/>
    <mergeCell ref="G103:I115"/>
    <mergeCell ref="J103:J115"/>
    <mergeCell ref="K103:K115"/>
    <mergeCell ref="L103:L115"/>
    <mergeCell ref="M103:M115"/>
    <mergeCell ref="O103:O115"/>
    <mergeCell ref="P103:P115"/>
    <mergeCell ref="Q103:Q115"/>
    <mergeCell ref="R103:R115"/>
    <mergeCell ref="S103:S115"/>
    <mergeCell ref="T103:T115"/>
    <mergeCell ref="U103:U105"/>
    <mergeCell ref="V103:V105"/>
    <mergeCell ref="U110:U112"/>
    <mergeCell ref="V110:V112"/>
    <mergeCell ref="U113:U115"/>
    <mergeCell ref="V113:V115"/>
    <mergeCell ref="W103:W115"/>
    <mergeCell ref="X103:X115"/>
    <mergeCell ref="Y103:Y115"/>
    <mergeCell ref="AC103:AC115"/>
    <mergeCell ref="AD103:AD115"/>
    <mergeCell ref="Z93:Z100"/>
    <mergeCell ref="AA93:AA100"/>
    <mergeCell ref="AL93:AL100"/>
    <mergeCell ref="AM93:AM100"/>
    <mergeCell ref="J99:J100"/>
    <mergeCell ref="K99:K100"/>
    <mergeCell ref="L99:L100"/>
    <mergeCell ref="M99:M100"/>
    <mergeCell ref="Q99:Q100"/>
    <mergeCell ref="AK93:AK100"/>
    <mergeCell ref="AH93:AH100"/>
    <mergeCell ref="AI93:AI100"/>
    <mergeCell ref="AJ93:AJ100"/>
    <mergeCell ref="AE93:AE100"/>
    <mergeCell ref="AF93:AF100"/>
    <mergeCell ref="AG93:AG100"/>
    <mergeCell ref="AB93:AB100"/>
    <mergeCell ref="O93:O100"/>
    <mergeCell ref="P93:P100"/>
    <mergeCell ref="Q93:Q98"/>
    <mergeCell ref="R93:R100"/>
    <mergeCell ref="S93:S100"/>
    <mergeCell ref="D90:D91"/>
    <mergeCell ref="E90:AL91"/>
    <mergeCell ref="AM90:AM91"/>
    <mergeCell ref="H92:AL92"/>
    <mergeCell ref="G93:I100"/>
    <mergeCell ref="J93:J98"/>
    <mergeCell ref="K93:K98"/>
    <mergeCell ref="L93:L98"/>
    <mergeCell ref="M93:M98"/>
    <mergeCell ref="T93:T100"/>
    <mergeCell ref="U93:U98"/>
    <mergeCell ref="V93:V98"/>
    <mergeCell ref="W93:W100"/>
    <mergeCell ref="U99:U100"/>
    <mergeCell ref="V99:V100"/>
    <mergeCell ref="AC93:AC100"/>
    <mergeCell ref="AD93:AD100"/>
    <mergeCell ref="X93:X100"/>
    <mergeCell ref="Y93:Y100"/>
    <mergeCell ref="AM75:AM89"/>
    <mergeCell ref="J81:J84"/>
    <mergeCell ref="K81:K84"/>
    <mergeCell ref="M81:M84"/>
    <mergeCell ref="Q81:Q84"/>
    <mergeCell ref="T81:T89"/>
    <mergeCell ref="U81:U84"/>
    <mergeCell ref="V81:V84"/>
    <mergeCell ref="AK75:AK89"/>
    <mergeCell ref="AL75:AL89"/>
    <mergeCell ref="AJ75:AJ89"/>
    <mergeCell ref="AC75:AC89"/>
    <mergeCell ref="AG75:AG89"/>
    <mergeCell ref="AH75:AH89"/>
    <mergeCell ref="AI75:AI89"/>
    <mergeCell ref="J85:J89"/>
    <mergeCell ref="K85:K89"/>
    <mergeCell ref="M85:M89"/>
    <mergeCell ref="Q85:Q89"/>
    <mergeCell ref="U85:U89"/>
    <mergeCell ref="AM73:AM74"/>
    <mergeCell ref="G75:I89"/>
    <mergeCell ref="J75:J80"/>
    <mergeCell ref="K75:K80"/>
    <mergeCell ref="L75:L89"/>
    <mergeCell ref="M75:M80"/>
    <mergeCell ref="O75:O89"/>
    <mergeCell ref="P75:P89"/>
    <mergeCell ref="Q75:Q80"/>
    <mergeCell ref="W75:W89"/>
    <mergeCell ref="X75:X89"/>
    <mergeCell ref="Y75:Y89"/>
    <mergeCell ref="Z75:Z89"/>
    <mergeCell ref="R75:R89"/>
    <mergeCell ref="S75:S89"/>
    <mergeCell ref="T75:T80"/>
    <mergeCell ref="U75:U80"/>
    <mergeCell ref="V75:V80"/>
    <mergeCell ref="V85:V89"/>
    <mergeCell ref="AD75:AD89"/>
    <mergeCell ref="AE75:AE89"/>
    <mergeCell ref="AF75:AF89"/>
    <mergeCell ref="AA75:AA89"/>
    <mergeCell ref="AB75:AB89"/>
    <mergeCell ref="G73:G74"/>
    <mergeCell ref="H73:AL74"/>
    <mergeCell ref="U64:U66"/>
    <mergeCell ref="V64:V66"/>
    <mergeCell ref="J67:J72"/>
    <mergeCell ref="K67:K72"/>
    <mergeCell ref="L67:L72"/>
    <mergeCell ref="M67:M72"/>
    <mergeCell ref="J61:J66"/>
    <mergeCell ref="K61:K66"/>
    <mergeCell ref="L61:L66"/>
    <mergeCell ref="M61:M66"/>
    <mergeCell ref="AL48:AL72"/>
    <mergeCell ref="J54:J60"/>
    <mergeCell ref="K54:K60"/>
    <mergeCell ref="L54:L60"/>
    <mergeCell ref="M54:M60"/>
    <mergeCell ref="AK48:AK72"/>
    <mergeCell ref="AI48:AI72"/>
    <mergeCell ref="AJ48:AJ72"/>
    <mergeCell ref="AH48:AH72"/>
    <mergeCell ref="AC48:AC72"/>
    <mergeCell ref="Q54:Q60"/>
    <mergeCell ref="Z48:Z72"/>
    <mergeCell ref="AA48:AA72"/>
    <mergeCell ref="AB48:AB72"/>
    <mergeCell ref="V48:V51"/>
    <mergeCell ref="U67:U72"/>
    <mergeCell ref="V67:V72"/>
    <mergeCell ref="T54:T60"/>
    <mergeCell ref="T61:T72"/>
    <mergeCell ref="U61:U63"/>
    <mergeCell ref="Q67:Q72"/>
    <mergeCell ref="Q61:Q66"/>
    <mergeCell ref="U52:U53"/>
    <mergeCell ref="V52:V53"/>
    <mergeCell ref="U54:U60"/>
    <mergeCell ref="V54:V60"/>
    <mergeCell ref="AD48:AD72"/>
    <mergeCell ref="AE48:AE72"/>
    <mergeCell ref="AF48:AF72"/>
    <mergeCell ref="AG48:AG72"/>
    <mergeCell ref="G46:G47"/>
    <mergeCell ref="H46:AL47"/>
    <mergeCell ref="AM46:AM47"/>
    <mergeCell ref="G48:I72"/>
    <mergeCell ref="J48:J53"/>
    <mergeCell ref="K48:K53"/>
    <mergeCell ref="L48:L53"/>
    <mergeCell ref="M48:M53"/>
    <mergeCell ref="O48:O72"/>
    <mergeCell ref="W48:W72"/>
    <mergeCell ref="X48:X72"/>
    <mergeCell ref="Y48:Y72"/>
    <mergeCell ref="V61:V63"/>
    <mergeCell ref="P48:P72"/>
    <mergeCell ref="Q48:Q53"/>
    <mergeCell ref="R48:R72"/>
    <mergeCell ref="S48:S72"/>
    <mergeCell ref="T48:T53"/>
    <mergeCell ref="U48:U51"/>
    <mergeCell ref="AM48:AM72"/>
    <mergeCell ref="AM24:AM45"/>
    <mergeCell ref="U28:U31"/>
    <mergeCell ref="V28:V31"/>
    <mergeCell ref="U32:U39"/>
    <mergeCell ref="V32:V39"/>
    <mergeCell ref="AK24:AK45"/>
    <mergeCell ref="AI24:AI45"/>
    <mergeCell ref="AJ24:AJ45"/>
    <mergeCell ref="AF24:AF45"/>
    <mergeCell ref="AG24:AG45"/>
    <mergeCell ref="AL24:AL45"/>
    <mergeCell ref="AH24:AH45"/>
    <mergeCell ref="AC24:AC45"/>
    <mergeCell ref="AD24:AD45"/>
    <mergeCell ref="AE24:AE45"/>
    <mergeCell ref="Z24:Z45"/>
    <mergeCell ref="AA24:AA45"/>
    <mergeCell ref="AB24:AB45"/>
    <mergeCell ref="V24:V27"/>
    <mergeCell ref="W24:W45"/>
    <mergeCell ref="X24:X45"/>
    <mergeCell ref="Y24:Y45"/>
    <mergeCell ref="V40:V45"/>
    <mergeCell ref="P24:P45"/>
    <mergeCell ref="Q24:Q31"/>
    <mergeCell ref="R24:R45"/>
    <mergeCell ref="S24:S45"/>
    <mergeCell ref="T24:T31"/>
    <mergeCell ref="U24:U27"/>
    <mergeCell ref="Q32:Q40"/>
    <mergeCell ref="T32:T45"/>
    <mergeCell ref="U40:U45"/>
    <mergeCell ref="Q41:Q45"/>
    <mergeCell ref="J24:J31"/>
    <mergeCell ref="K24:K31"/>
    <mergeCell ref="L24:L45"/>
    <mergeCell ref="M24:M31"/>
    <mergeCell ref="O24:O45"/>
    <mergeCell ref="J32:J39"/>
    <mergeCell ref="K32:K39"/>
    <mergeCell ref="M32:M39"/>
    <mergeCell ref="J40:J45"/>
    <mergeCell ref="K40:K45"/>
    <mergeCell ref="M40:M45"/>
    <mergeCell ref="AM14:AM23"/>
    <mergeCell ref="J19:J23"/>
    <mergeCell ref="K19:K23"/>
    <mergeCell ref="L19:L23"/>
    <mergeCell ref="M19:M23"/>
    <mergeCell ref="Q19:Q23"/>
    <mergeCell ref="AK14:AK23"/>
    <mergeCell ref="AI14:AI23"/>
    <mergeCell ref="AJ14:AJ23"/>
    <mergeCell ref="AF14:AF23"/>
    <mergeCell ref="U14:U18"/>
    <mergeCell ref="R19:R23"/>
    <mergeCell ref="T19:T23"/>
    <mergeCell ref="U19:U23"/>
    <mergeCell ref="Z14:Z23"/>
    <mergeCell ref="AA14:AA23"/>
    <mergeCell ref="AB14:AB23"/>
    <mergeCell ref="V14:V18"/>
    <mergeCell ref="AK7:AK8"/>
    <mergeCell ref="AL7:AL8"/>
    <mergeCell ref="U7:U8"/>
    <mergeCell ref="V7:V8"/>
    <mergeCell ref="AG14:AG23"/>
    <mergeCell ref="AH14:AH23"/>
    <mergeCell ref="AC14:AC23"/>
    <mergeCell ref="AD14:AD23"/>
    <mergeCell ref="AE14:AE23"/>
    <mergeCell ref="AL14:AL23"/>
    <mergeCell ref="AM7:AM8"/>
    <mergeCell ref="J14:J18"/>
    <mergeCell ref="K14:K18"/>
    <mergeCell ref="L14:L18"/>
    <mergeCell ref="M14:M18"/>
    <mergeCell ref="O14:O23"/>
    <mergeCell ref="B9:AL9"/>
    <mergeCell ref="A10:C125"/>
    <mergeCell ref="D10:D11"/>
    <mergeCell ref="E10:AL11"/>
    <mergeCell ref="D12:F89"/>
    <mergeCell ref="G12:G13"/>
    <mergeCell ref="H12:AL13"/>
    <mergeCell ref="G14:I45"/>
    <mergeCell ref="P14:P23"/>
    <mergeCell ref="Q14:Q18"/>
    <mergeCell ref="R14:R18"/>
    <mergeCell ref="S14:S23"/>
    <mergeCell ref="T14:T18"/>
    <mergeCell ref="W14:W23"/>
    <mergeCell ref="X14:X23"/>
    <mergeCell ref="Y14:Y23"/>
    <mergeCell ref="V19:V23"/>
    <mergeCell ref="T7:T8"/>
    <mergeCell ref="A1:AK4"/>
    <mergeCell ref="A5:M6"/>
    <mergeCell ref="N5:AM5"/>
    <mergeCell ref="Y6:AJ6"/>
    <mergeCell ref="H7:I8"/>
    <mergeCell ref="J7:J8"/>
    <mergeCell ref="K7:K8"/>
    <mergeCell ref="L7:L8"/>
    <mergeCell ref="M7:M8"/>
    <mergeCell ref="N7:N8"/>
    <mergeCell ref="A7:A8"/>
    <mergeCell ref="B7:C8"/>
    <mergeCell ref="D7:D8"/>
    <mergeCell ref="E7:F8"/>
    <mergeCell ref="G7:G8"/>
    <mergeCell ref="W7:W8"/>
    <mergeCell ref="X7:X8"/>
    <mergeCell ref="Y7:AD7"/>
    <mergeCell ref="AE7:AJ7"/>
    <mergeCell ref="O7:O8"/>
    <mergeCell ref="P7:P8"/>
    <mergeCell ref="Q7:Q8"/>
    <mergeCell ref="R7:R8"/>
    <mergeCell ref="S7:S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
  <sheetViews>
    <sheetView showGridLines="0" topLeftCell="O1" zoomScale="55" zoomScaleNormal="55" zoomScalePageLayoutView="70" workbookViewId="0">
      <selection activeCell="AJ1" sqref="AJ1"/>
    </sheetView>
  </sheetViews>
  <sheetFormatPr baseColWidth="10" defaultColWidth="11.42578125" defaultRowHeight="27" customHeight="1" x14ac:dyDescent="0.25"/>
  <cols>
    <col min="1" max="1" width="13.140625" style="277" customWidth="1"/>
    <col min="2" max="2" width="25.42578125" style="84" customWidth="1"/>
    <col min="3" max="3" width="14.7109375" style="84" customWidth="1"/>
    <col min="4" max="4" width="26.5703125" style="84" customWidth="1"/>
    <col min="5" max="5" width="14.42578125" style="84" customWidth="1"/>
    <col min="6" max="6" width="8.42578125" style="84" customWidth="1"/>
    <col min="7" max="7" width="14.7109375" style="84" customWidth="1"/>
    <col min="8" max="8" width="12.28515625" style="84" bestFit="1" customWidth="1"/>
    <col min="9" max="9" width="56.42578125" style="918" bestFit="1" customWidth="1"/>
    <col min="10" max="10" width="16.85546875" style="285" bestFit="1" customWidth="1"/>
    <col min="11" max="11" width="12.5703125" style="279" bestFit="1" customWidth="1"/>
    <col min="12" max="12" width="26.28515625" style="279" customWidth="1"/>
    <col min="13" max="13" width="11.7109375" style="919" customWidth="1"/>
    <col min="14" max="14" width="23.85546875" style="278" customWidth="1"/>
    <col min="15" max="15" width="10.42578125" style="281" customWidth="1"/>
    <col min="16" max="16" width="20.28515625" style="920" customWidth="1"/>
    <col min="17" max="17" width="31.42578125" style="278" customWidth="1"/>
    <col min="18" max="18" width="44.140625" style="921" customWidth="1"/>
    <col min="19" max="19" width="27.7109375" style="278" customWidth="1"/>
    <col min="20" max="20" width="25.5703125" style="922" customWidth="1"/>
    <col min="21" max="21" width="11.7109375" style="284" customWidth="1"/>
    <col min="22" max="22" width="16.85546875" style="285" customWidth="1"/>
    <col min="23" max="23" width="8.85546875" style="84" customWidth="1"/>
    <col min="24" max="24" width="9" style="85" customWidth="1"/>
    <col min="25" max="28" width="7.28515625" style="84" customWidth="1"/>
    <col min="29" max="29" width="8.42578125" style="84" customWidth="1"/>
    <col min="30" max="34" width="7.28515625" style="84" customWidth="1"/>
    <col min="35" max="35" width="22.7109375" style="937" customWidth="1"/>
    <col min="36" max="36" width="22.7109375" style="288" customWidth="1"/>
    <col min="37" max="37" width="28.7109375" style="289" customWidth="1"/>
    <col min="38" max="38" width="11.42578125" style="279"/>
    <col min="39" max="39" width="27.85546875" style="279" customWidth="1"/>
    <col min="40" max="16384" width="11.42578125" style="279"/>
  </cols>
  <sheetData>
    <row r="1" spans="1:70"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8"/>
      <c r="AJ1" s="816" t="s">
        <v>0</v>
      </c>
      <c r="AK1" s="816" t="s">
        <v>1999</v>
      </c>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row>
    <row r="2" spans="1:70"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8"/>
      <c r="AJ2" s="1826" t="s">
        <v>1</v>
      </c>
      <c r="AK2" s="816" t="s">
        <v>848</v>
      </c>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row>
    <row r="3" spans="1:70"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8"/>
      <c r="AJ3" s="816" t="s">
        <v>3</v>
      </c>
      <c r="AK3" s="816" t="s">
        <v>2000</v>
      </c>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row>
    <row r="4" spans="1:70"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50"/>
      <c r="AJ4" s="816" t="s">
        <v>4</v>
      </c>
      <c r="AK4" s="817" t="s">
        <v>849</v>
      </c>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row>
    <row r="5" spans="1:70" s="84" customFormat="1" ht="27" customHeight="1" x14ac:dyDescent="0.2">
      <c r="A5" s="1851" t="s">
        <v>5</v>
      </c>
      <c r="B5" s="1851"/>
      <c r="C5" s="1851"/>
      <c r="D5" s="1851"/>
      <c r="E5" s="1851"/>
      <c r="F5" s="1851"/>
      <c r="G5" s="1851"/>
      <c r="H5" s="1851"/>
      <c r="I5" s="1851"/>
      <c r="J5" s="1851"/>
      <c r="K5" s="1851"/>
      <c r="L5" s="1851"/>
      <c r="M5" s="1851"/>
      <c r="N5" s="2763" t="s">
        <v>6</v>
      </c>
      <c r="O5" s="1851"/>
      <c r="P5" s="1851"/>
      <c r="Q5" s="1851"/>
      <c r="R5" s="1851"/>
      <c r="S5" s="1851"/>
      <c r="T5" s="1851"/>
      <c r="U5" s="1851"/>
      <c r="V5" s="1851"/>
      <c r="W5" s="2765"/>
      <c r="X5" s="2765"/>
      <c r="Y5" s="2765"/>
      <c r="Z5" s="2765"/>
      <c r="AA5" s="2765"/>
      <c r="AB5" s="2765"/>
      <c r="AC5" s="2765"/>
      <c r="AD5" s="2765"/>
      <c r="AE5" s="2765"/>
      <c r="AF5" s="2765"/>
      <c r="AG5" s="2765"/>
      <c r="AH5" s="2765"/>
      <c r="AI5" s="2765"/>
      <c r="AJ5" s="2765"/>
      <c r="AK5" s="2766"/>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row>
    <row r="6" spans="1:70" s="84" customFormat="1" ht="27" customHeight="1" x14ac:dyDescent="0.2">
      <c r="A6" s="1852"/>
      <c r="B6" s="1852"/>
      <c r="C6" s="1852"/>
      <c r="D6" s="1852"/>
      <c r="E6" s="1852"/>
      <c r="F6" s="1852"/>
      <c r="G6" s="1852"/>
      <c r="H6" s="1852"/>
      <c r="I6" s="1852"/>
      <c r="J6" s="1852"/>
      <c r="K6" s="1852"/>
      <c r="L6" s="1852"/>
      <c r="M6" s="1852"/>
      <c r="N6" s="1854"/>
      <c r="O6" s="1852"/>
      <c r="P6" s="1852"/>
      <c r="Q6" s="1852"/>
      <c r="R6" s="1852"/>
      <c r="S6" s="1852"/>
      <c r="T6" s="1852"/>
      <c r="U6" s="1852"/>
      <c r="V6" s="1852"/>
      <c r="W6" s="2764" t="s">
        <v>7</v>
      </c>
      <c r="X6" s="2765"/>
      <c r="Y6" s="2765"/>
      <c r="Z6" s="2765"/>
      <c r="AA6" s="2765"/>
      <c r="AB6" s="2765"/>
      <c r="AC6" s="2765"/>
      <c r="AD6" s="2765"/>
      <c r="AE6" s="2765"/>
      <c r="AF6" s="2765"/>
      <c r="AG6" s="2765"/>
      <c r="AH6" s="2765"/>
      <c r="AI6" s="819"/>
      <c r="AJ6" s="819"/>
      <c r="AK6" s="1827"/>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row>
    <row r="7" spans="1:70" ht="45.75" customHeight="1" x14ac:dyDescent="0.2">
      <c r="A7" s="2434" t="s">
        <v>8</v>
      </c>
      <c r="B7" s="2677" t="s">
        <v>9</v>
      </c>
      <c r="C7" s="2437" t="s">
        <v>8</v>
      </c>
      <c r="D7" s="2677" t="s">
        <v>10</v>
      </c>
      <c r="E7" s="2437" t="s">
        <v>8</v>
      </c>
      <c r="F7" s="2436" t="s">
        <v>11</v>
      </c>
      <c r="G7" s="2437"/>
      <c r="H7" s="2437" t="s">
        <v>8</v>
      </c>
      <c r="I7" s="2675" t="s">
        <v>12</v>
      </c>
      <c r="J7" s="2440" t="s">
        <v>13</v>
      </c>
      <c r="K7" s="2436" t="s">
        <v>14</v>
      </c>
      <c r="L7" s="2440" t="s">
        <v>15</v>
      </c>
      <c r="M7" s="2440" t="s">
        <v>664</v>
      </c>
      <c r="N7" s="2474" t="s">
        <v>6</v>
      </c>
      <c r="O7" s="2690" t="s">
        <v>17</v>
      </c>
      <c r="P7" s="2692" t="s">
        <v>18</v>
      </c>
      <c r="Q7" s="2675" t="s">
        <v>19</v>
      </c>
      <c r="R7" s="2675" t="s">
        <v>20</v>
      </c>
      <c r="S7" s="2474" t="s">
        <v>21</v>
      </c>
      <c r="T7" s="2706" t="s">
        <v>18</v>
      </c>
      <c r="U7" s="1812"/>
      <c r="V7" s="2440" t="s">
        <v>22</v>
      </c>
      <c r="W7" s="2448" t="s">
        <v>23</v>
      </c>
      <c r="X7" s="2449"/>
      <c r="Y7" s="2449"/>
      <c r="Z7" s="2449"/>
      <c r="AA7" s="2449"/>
      <c r="AB7" s="2450"/>
      <c r="AC7" s="2448" t="s">
        <v>24</v>
      </c>
      <c r="AD7" s="2449"/>
      <c r="AE7" s="2449"/>
      <c r="AF7" s="2449"/>
      <c r="AG7" s="2449"/>
      <c r="AH7" s="2450"/>
      <c r="AI7" s="2694" t="s">
        <v>25</v>
      </c>
      <c r="AJ7" s="2694" t="s">
        <v>26</v>
      </c>
      <c r="AK7" s="2695" t="s">
        <v>27</v>
      </c>
    </row>
    <row r="8" spans="1:70" ht="14.25" x14ac:dyDescent="0.2">
      <c r="A8" s="2435"/>
      <c r="B8" s="2677"/>
      <c r="C8" s="2439"/>
      <c r="D8" s="2677"/>
      <c r="E8" s="2439"/>
      <c r="F8" s="2438"/>
      <c r="G8" s="2439"/>
      <c r="H8" s="2439"/>
      <c r="I8" s="2676"/>
      <c r="J8" s="2441"/>
      <c r="K8" s="2438"/>
      <c r="L8" s="2441"/>
      <c r="M8" s="2441"/>
      <c r="N8" s="2475"/>
      <c r="O8" s="2691"/>
      <c r="P8" s="2693"/>
      <c r="Q8" s="2676"/>
      <c r="R8" s="2676"/>
      <c r="S8" s="2475"/>
      <c r="T8" s="2706"/>
      <c r="U8" s="2469" t="s">
        <v>8</v>
      </c>
      <c r="V8" s="2441"/>
      <c r="W8" s="2677" t="s">
        <v>269</v>
      </c>
      <c r="X8" s="2697" t="s">
        <v>29</v>
      </c>
      <c r="Y8" s="2677" t="s">
        <v>30</v>
      </c>
      <c r="Z8" s="2677" t="s">
        <v>31</v>
      </c>
      <c r="AA8" s="2677" t="s">
        <v>32</v>
      </c>
      <c r="AB8" s="2677" t="s">
        <v>33</v>
      </c>
      <c r="AC8" s="2677" t="s">
        <v>34</v>
      </c>
      <c r="AD8" s="2677" t="s">
        <v>35</v>
      </c>
      <c r="AE8" s="2677" t="s">
        <v>36</v>
      </c>
      <c r="AF8" s="2677" t="s">
        <v>37</v>
      </c>
      <c r="AG8" s="2677" t="s">
        <v>38</v>
      </c>
      <c r="AH8" s="2677" t="s">
        <v>39</v>
      </c>
      <c r="AI8" s="2694"/>
      <c r="AJ8" s="2694"/>
      <c r="AK8" s="2696"/>
    </row>
    <row r="9" spans="1:70" ht="14.25" customHeight="1" x14ac:dyDescent="0.2">
      <c r="A9" s="2435"/>
      <c r="B9" s="2677"/>
      <c r="C9" s="2439"/>
      <c r="D9" s="2677"/>
      <c r="E9" s="2439"/>
      <c r="F9" s="2438"/>
      <c r="G9" s="2439"/>
      <c r="H9" s="2439"/>
      <c r="I9" s="2676"/>
      <c r="J9" s="2441"/>
      <c r="K9" s="2438"/>
      <c r="L9" s="2441"/>
      <c r="M9" s="2441"/>
      <c r="N9" s="2475"/>
      <c r="O9" s="2691"/>
      <c r="P9" s="2693"/>
      <c r="Q9" s="2676"/>
      <c r="R9" s="2676"/>
      <c r="S9" s="2475"/>
      <c r="T9" s="2706"/>
      <c r="U9" s="2469"/>
      <c r="V9" s="2441"/>
      <c r="W9" s="2677"/>
      <c r="X9" s="2697"/>
      <c r="Y9" s="2677"/>
      <c r="Z9" s="2677"/>
      <c r="AA9" s="2677"/>
      <c r="AB9" s="2677"/>
      <c r="AC9" s="2677"/>
      <c r="AD9" s="2677"/>
      <c r="AE9" s="2677"/>
      <c r="AF9" s="2677"/>
      <c r="AG9" s="2677"/>
      <c r="AH9" s="2677"/>
      <c r="AI9" s="2694"/>
      <c r="AJ9" s="2694"/>
      <c r="AK9" s="2696"/>
    </row>
    <row r="10" spans="1:70" ht="14.25" customHeight="1" x14ac:dyDescent="0.2">
      <c r="A10" s="2435"/>
      <c r="B10" s="2677"/>
      <c r="C10" s="2439"/>
      <c r="D10" s="2677"/>
      <c r="E10" s="2439"/>
      <c r="F10" s="2438"/>
      <c r="G10" s="2439"/>
      <c r="H10" s="2439"/>
      <c r="I10" s="2676"/>
      <c r="J10" s="2441"/>
      <c r="K10" s="2438"/>
      <c r="L10" s="2441"/>
      <c r="M10" s="2441"/>
      <c r="N10" s="2475"/>
      <c r="O10" s="2691"/>
      <c r="P10" s="2693"/>
      <c r="Q10" s="2676"/>
      <c r="R10" s="2676"/>
      <c r="S10" s="2475"/>
      <c r="T10" s="2706"/>
      <c r="U10" s="2469"/>
      <c r="V10" s="2441"/>
      <c r="W10" s="2677"/>
      <c r="X10" s="2697"/>
      <c r="Y10" s="2677"/>
      <c r="Z10" s="2677"/>
      <c r="AA10" s="2677"/>
      <c r="AB10" s="2677"/>
      <c r="AC10" s="2677"/>
      <c r="AD10" s="2677"/>
      <c r="AE10" s="2677"/>
      <c r="AF10" s="2677"/>
      <c r="AG10" s="2677"/>
      <c r="AH10" s="2677"/>
      <c r="AI10" s="2694"/>
      <c r="AJ10" s="2694"/>
      <c r="AK10" s="2696"/>
    </row>
    <row r="11" spans="1:70" ht="15" customHeight="1" x14ac:dyDescent="0.2">
      <c r="A11" s="2435"/>
      <c r="B11" s="2677"/>
      <c r="C11" s="2439"/>
      <c r="D11" s="2677"/>
      <c r="E11" s="2439"/>
      <c r="F11" s="2438"/>
      <c r="G11" s="2439"/>
      <c r="H11" s="2439"/>
      <c r="I11" s="2676"/>
      <c r="J11" s="2441"/>
      <c r="K11" s="2438"/>
      <c r="L11" s="2441"/>
      <c r="M11" s="2441"/>
      <c r="N11" s="2475"/>
      <c r="O11" s="2691"/>
      <c r="P11" s="2693"/>
      <c r="Q11" s="2676"/>
      <c r="R11" s="2676"/>
      <c r="S11" s="2475"/>
      <c r="T11" s="2706"/>
      <c r="U11" s="2469"/>
      <c r="V11" s="2441"/>
      <c r="W11" s="2677"/>
      <c r="X11" s="2697"/>
      <c r="Y11" s="2677"/>
      <c r="Z11" s="2677"/>
      <c r="AA11" s="2677"/>
      <c r="AB11" s="2677"/>
      <c r="AC11" s="2677"/>
      <c r="AD11" s="2677"/>
      <c r="AE11" s="2677"/>
      <c r="AF11" s="2677"/>
      <c r="AG11" s="2677"/>
      <c r="AH11" s="2677"/>
      <c r="AI11" s="2694"/>
      <c r="AJ11" s="2694"/>
      <c r="AK11" s="2696"/>
    </row>
    <row r="12" spans="1:70" ht="15" customHeight="1" x14ac:dyDescent="0.2">
      <c r="A12" s="2435"/>
      <c r="B12" s="2677"/>
      <c r="C12" s="2439"/>
      <c r="D12" s="2677"/>
      <c r="E12" s="2439"/>
      <c r="F12" s="2438"/>
      <c r="G12" s="2439"/>
      <c r="H12" s="2439"/>
      <c r="I12" s="2676"/>
      <c r="J12" s="2441"/>
      <c r="K12" s="2438"/>
      <c r="L12" s="2441"/>
      <c r="M12" s="2441"/>
      <c r="N12" s="2475"/>
      <c r="O12" s="2691"/>
      <c r="P12" s="2693"/>
      <c r="Q12" s="2676"/>
      <c r="R12" s="2676"/>
      <c r="S12" s="2475"/>
      <c r="T12" s="2706"/>
      <c r="U12" s="2469"/>
      <c r="V12" s="2441"/>
      <c r="W12" s="2677"/>
      <c r="X12" s="2697"/>
      <c r="Y12" s="2677"/>
      <c r="Z12" s="2677"/>
      <c r="AA12" s="2677"/>
      <c r="AB12" s="2677"/>
      <c r="AC12" s="2677"/>
      <c r="AD12" s="2677"/>
      <c r="AE12" s="2677"/>
      <c r="AF12" s="2677"/>
      <c r="AG12" s="2677"/>
      <c r="AH12" s="2677"/>
      <c r="AI12" s="2694"/>
      <c r="AJ12" s="2694"/>
      <c r="AK12" s="2696"/>
    </row>
    <row r="13" spans="1:70" ht="15" customHeight="1" x14ac:dyDescent="0.2">
      <c r="A13" s="2435"/>
      <c r="B13" s="2677"/>
      <c r="C13" s="2439"/>
      <c r="D13" s="2677"/>
      <c r="E13" s="2439"/>
      <c r="F13" s="2438"/>
      <c r="G13" s="2439"/>
      <c r="H13" s="2439"/>
      <c r="I13" s="2676"/>
      <c r="J13" s="2441"/>
      <c r="K13" s="2689"/>
      <c r="L13" s="2441"/>
      <c r="M13" s="2441"/>
      <c r="N13" s="2475"/>
      <c r="O13" s="2691"/>
      <c r="P13" s="2693"/>
      <c r="Q13" s="2676"/>
      <c r="R13" s="2676"/>
      <c r="S13" s="2475"/>
      <c r="T13" s="2706"/>
      <c r="U13" s="2469"/>
      <c r="V13" s="2441"/>
      <c r="W13" s="2677"/>
      <c r="X13" s="2697"/>
      <c r="Y13" s="2677"/>
      <c r="Z13" s="2677"/>
      <c r="AA13" s="2677"/>
      <c r="AB13" s="2677"/>
      <c r="AC13" s="2677"/>
      <c r="AD13" s="2677"/>
      <c r="AE13" s="2677"/>
      <c r="AF13" s="2677"/>
      <c r="AG13" s="2677"/>
      <c r="AH13" s="2677"/>
      <c r="AI13" s="2694"/>
      <c r="AJ13" s="2694"/>
      <c r="AK13" s="2696"/>
    </row>
    <row r="14" spans="1:70" s="662" customFormat="1" ht="29.25" customHeight="1" x14ac:dyDescent="0.2">
      <c r="A14" s="820">
        <v>1</v>
      </c>
      <c r="B14" s="821" t="s">
        <v>306</v>
      </c>
      <c r="C14" s="821"/>
      <c r="D14" s="821"/>
      <c r="E14" s="821"/>
      <c r="F14" s="821"/>
      <c r="G14" s="821"/>
      <c r="H14" s="821"/>
      <c r="I14" s="633"/>
      <c r="J14" s="821"/>
      <c r="K14" s="821"/>
      <c r="L14" s="821"/>
      <c r="M14" s="822"/>
      <c r="N14" s="823"/>
      <c r="O14" s="824"/>
      <c r="P14" s="825"/>
      <c r="Q14" s="823"/>
      <c r="R14" s="823"/>
      <c r="S14" s="823"/>
      <c r="T14" s="826"/>
      <c r="U14" s="827"/>
      <c r="V14" s="822"/>
      <c r="W14" s="821"/>
      <c r="X14" s="821"/>
      <c r="Y14" s="821"/>
      <c r="Z14" s="821"/>
      <c r="AA14" s="821"/>
      <c r="AB14" s="821"/>
      <c r="AC14" s="821"/>
      <c r="AD14" s="821"/>
      <c r="AE14" s="821"/>
      <c r="AF14" s="821"/>
      <c r="AG14" s="821"/>
      <c r="AH14" s="821"/>
      <c r="AI14" s="828"/>
      <c r="AJ14" s="828"/>
      <c r="AK14" s="829"/>
    </row>
    <row r="15" spans="1:70" ht="27" customHeight="1" x14ac:dyDescent="0.2">
      <c r="A15" s="2499"/>
      <c r="B15" s="1896"/>
      <c r="C15" s="830">
        <v>1</v>
      </c>
      <c r="D15" s="831" t="s">
        <v>850</v>
      </c>
      <c r="E15" s="831"/>
      <c r="F15" s="831"/>
      <c r="G15" s="831"/>
      <c r="H15" s="831"/>
      <c r="I15" s="832"/>
      <c r="J15" s="833"/>
      <c r="K15" s="831"/>
      <c r="L15" s="831"/>
      <c r="M15" s="834"/>
      <c r="N15" s="835"/>
      <c r="O15" s="836"/>
      <c r="P15" s="837"/>
      <c r="Q15" s="835"/>
      <c r="R15" s="835"/>
      <c r="S15" s="835"/>
      <c r="T15" s="838"/>
      <c r="U15" s="834"/>
      <c r="V15" s="833"/>
      <c r="W15" s="831"/>
      <c r="X15" s="835"/>
      <c r="Y15" s="831"/>
      <c r="Z15" s="831"/>
      <c r="AA15" s="831"/>
      <c r="AB15" s="831"/>
      <c r="AC15" s="831"/>
      <c r="AD15" s="831"/>
      <c r="AE15" s="831"/>
      <c r="AF15" s="831"/>
      <c r="AG15" s="831"/>
      <c r="AH15" s="831"/>
      <c r="AI15" s="839"/>
      <c r="AJ15" s="839"/>
      <c r="AK15" s="840"/>
    </row>
    <row r="16" spans="1:70" ht="36" customHeight="1" x14ac:dyDescent="0.2">
      <c r="A16" s="2699"/>
      <c r="B16" s="1898"/>
      <c r="C16" s="1903"/>
      <c r="D16" s="1896"/>
      <c r="E16" s="841">
        <v>1</v>
      </c>
      <c r="F16" s="842" t="s">
        <v>851</v>
      </c>
      <c r="G16" s="842"/>
      <c r="H16" s="842"/>
      <c r="I16" s="682"/>
      <c r="J16" s="843"/>
      <c r="K16" s="842"/>
      <c r="L16" s="842"/>
      <c r="M16" s="844"/>
      <c r="N16" s="845"/>
      <c r="O16" s="846"/>
      <c r="P16" s="847"/>
      <c r="Q16" s="845"/>
      <c r="R16" s="845"/>
      <c r="S16" s="845"/>
      <c r="T16" s="848"/>
      <c r="U16" s="844"/>
      <c r="V16" s="843"/>
      <c r="W16" s="842"/>
      <c r="X16" s="845"/>
      <c r="Y16" s="842"/>
      <c r="Z16" s="842"/>
      <c r="AA16" s="842"/>
      <c r="AB16" s="842"/>
      <c r="AC16" s="842"/>
      <c r="AD16" s="842"/>
      <c r="AE16" s="842"/>
      <c r="AF16" s="842"/>
      <c r="AG16" s="842"/>
      <c r="AH16" s="842"/>
      <c r="AI16" s="849"/>
      <c r="AJ16" s="849"/>
      <c r="AK16" s="850"/>
    </row>
    <row r="17" spans="1:37" ht="60" customHeight="1" x14ac:dyDescent="0.2">
      <c r="A17" s="2699"/>
      <c r="B17" s="1898"/>
      <c r="C17" s="1904"/>
      <c r="D17" s="1898"/>
      <c r="E17" s="1903"/>
      <c r="F17" s="1896"/>
      <c r="G17" s="1897"/>
      <c r="H17" s="1903">
        <v>1</v>
      </c>
      <c r="I17" s="1912" t="str">
        <f>'[6]POAI 2017'!I271</f>
        <v xml:space="preserve">Implementar un (1)  Sistema de Gestión Ambiental Departamental SIGAD </v>
      </c>
      <c r="J17" s="1903" t="s">
        <v>126</v>
      </c>
      <c r="K17" s="1896">
        <v>1</v>
      </c>
      <c r="L17" s="851"/>
      <c r="M17" s="2499">
        <v>64</v>
      </c>
      <c r="N17" s="1912" t="s">
        <v>852</v>
      </c>
      <c r="O17" s="2496">
        <f>SUM(T17:T18)/P17</f>
        <v>0.203125</v>
      </c>
      <c r="P17" s="2700">
        <f>SUM(T17:T23)</f>
        <v>160000000</v>
      </c>
      <c r="Q17" s="1912" t="s">
        <v>853</v>
      </c>
      <c r="R17" s="2703" t="s">
        <v>854</v>
      </c>
      <c r="S17" s="852" t="s">
        <v>855</v>
      </c>
      <c r="T17" s="853">
        <v>18000000</v>
      </c>
      <c r="U17" s="1811">
        <v>20</v>
      </c>
      <c r="V17" s="1809" t="s">
        <v>686</v>
      </c>
      <c r="W17" s="2663"/>
      <c r="X17" s="2663"/>
      <c r="Y17" s="2672"/>
      <c r="Z17" s="2663"/>
      <c r="AA17" s="2663"/>
      <c r="AB17" s="2663"/>
      <c r="AC17" s="2663"/>
      <c r="AD17" s="2663"/>
      <c r="AE17" s="2663"/>
      <c r="AF17" s="2663"/>
      <c r="AG17" s="2663"/>
      <c r="AH17" s="2663"/>
      <c r="AI17" s="2708">
        <v>42736</v>
      </c>
      <c r="AJ17" s="2708">
        <v>43100</v>
      </c>
      <c r="AK17" s="1928" t="s">
        <v>856</v>
      </c>
    </row>
    <row r="18" spans="1:37" ht="80.25" customHeight="1" x14ac:dyDescent="0.2">
      <c r="A18" s="2699"/>
      <c r="B18" s="1898"/>
      <c r="C18" s="1904"/>
      <c r="D18" s="1898"/>
      <c r="E18" s="1904"/>
      <c r="F18" s="1898"/>
      <c r="G18" s="1899"/>
      <c r="H18" s="2458"/>
      <c r="I18" s="2467"/>
      <c r="J18" s="2458"/>
      <c r="K18" s="2698"/>
      <c r="L18" s="674"/>
      <c r="M18" s="2699"/>
      <c r="N18" s="1913"/>
      <c r="O18" s="2498"/>
      <c r="P18" s="2701"/>
      <c r="Q18" s="1913"/>
      <c r="R18" s="2704"/>
      <c r="S18" s="852" t="s">
        <v>857</v>
      </c>
      <c r="T18" s="853">
        <v>14500000</v>
      </c>
      <c r="U18" s="1811">
        <v>20</v>
      </c>
      <c r="V18" s="1809" t="s">
        <v>686</v>
      </c>
      <c r="W18" s="2664"/>
      <c r="X18" s="2664"/>
      <c r="Y18" s="2673"/>
      <c r="Z18" s="2664"/>
      <c r="AA18" s="2664"/>
      <c r="AB18" s="2664"/>
      <c r="AC18" s="2664"/>
      <c r="AD18" s="2664"/>
      <c r="AE18" s="2664"/>
      <c r="AF18" s="2664"/>
      <c r="AG18" s="2664"/>
      <c r="AH18" s="2664"/>
      <c r="AI18" s="2709"/>
      <c r="AJ18" s="2709"/>
      <c r="AK18" s="1929"/>
    </row>
    <row r="19" spans="1:37" ht="60.75" customHeight="1" x14ac:dyDescent="0.2">
      <c r="A19" s="2699"/>
      <c r="B19" s="1898"/>
      <c r="C19" s="1904"/>
      <c r="D19" s="1898"/>
      <c r="E19" s="1904"/>
      <c r="F19" s="1898"/>
      <c r="G19" s="1899"/>
      <c r="H19" s="1797">
        <v>2</v>
      </c>
      <c r="I19" s="1825" t="str">
        <f>'[6]POAI 2017'!I272</f>
        <v xml:space="preserve">Apoyar cuatro (4) planes de manejo de áreas protegidas del departamento </v>
      </c>
      <c r="J19" s="1797" t="s">
        <v>126</v>
      </c>
      <c r="K19" s="855">
        <v>4</v>
      </c>
      <c r="L19" s="674"/>
      <c r="M19" s="2699"/>
      <c r="N19" s="1913"/>
      <c r="O19" s="1800">
        <f>+T19/P17</f>
        <v>0.109375</v>
      </c>
      <c r="P19" s="2701"/>
      <c r="Q19" s="1913"/>
      <c r="R19" s="2705"/>
      <c r="S19" s="856" t="s">
        <v>858</v>
      </c>
      <c r="T19" s="853">
        <f>7500000+10000000</f>
        <v>17500000</v>
      </c>
      <c r="U19" s="1811">
        <v>20</v>
      </c>
      <c r="V19" s="1809" t="s">
        <v>686</v>
      </c>
      <c r="W19" s="2664"/>
      <c r="X19" s="2664"/>
      <c r="Y19" s="2673"/>
      <c r="Z19" s="2664"/>
      <c r="AA19" s="2664"/>
      <c r="AB19" s="2664"/>
      <c r="AC19" s="2664"/>
      <c r="AD19" s="2664"/>
      <c r="AE19" s="2664"/>
      <c r="AF19" s="2664"/>
      <c r="AG19" s="2664"/>
      <c r="AH19" s="2664"/>
      <c r="AI19" s="2709"/>
      <c r="AJ19" s="2709"/>
      <c r="AK19" s="1929"/>
    </row>
    <row r="20" spans="1:37" ht="69" customHeight="1" x14ac:dyDescent="0.2">
      <c r="A20" s="2699"/>
      <c r="B20" s="1898"/>
      <c r="C20" s="1904"/>
      <c r="D20" s="1898"/>
      <c r="E20" s="1904"/>
      <c r="F20" s="1898"/>
      <c r="G20" s="1899"/>
      <c r="H20" s="1797">
        <v>3</v>
      </c>
      <c r="I20" s="1825" t="str">
        <f>'[6]POAI 2017'!I273</f>
        <v xml:space="preserve">Apoyar el Plan Departamental  para la Gestión Integral de la Biodiversidad y sus Servicios Ecosistémicos PDGIB 2013-2024  </v>
      </c>
      <c r="J20" s="1797" t="s">
        <v>126</v>
      </c>
      <c r="K20" s="855">
        <v>1</v>
      </c>
      <c r="L20" s="674" t="s">
        <v>859</v>
      </c>
      <c r="M20" s="2699"/>
      <c r="N20" s="1913"/>
      <c r="O20" s="1800">
        <f>+T20/P17</f>
        <v>6.8750000000000006E-2</v>
      </c>
      <c r="P20" s="2701"/>
      <c r="Q20" s="1913"/>
      <c r="R20" s="1912" t="s">
        <v>860</v>
      </c>
      <c r="S20" s="857" t="s">
        <v>861</v>
      </c>
      <c r="T20" s="853">
        <f>11250000-250000</f>
        <v>11000000</v>
      </c>
      <c r="U20" s="1811">
        <v>20</v>
      </c>
      <c r="V20" s="1809" t="s">
        <v>686</v>
      </c>
      <c r="W20" s="2664"/>
      <c r="X20" s="2664"/>
      <c r="Y20" s="2673"/>
      <c r="Z20" s="2664"/>
      <c r="AA20" s="2664"/>
      <c r="AB20" s="2664"/>
      <c r="AC20" s="2664"/>
      <c r="AD20" s="2664"/>
      <c r="AE20" s="2664"/>
      <c r="AF20" s="2664"/>
      <c r="AG20" s="2664"/>
      <c r="AH20" s="2664"/>
      <c r="AI20" s="2709"/>
      <c r="AJ20" s="2709"/>
      <c r="AK20" s="1929"/>
    </row>
    <row r="21" spans="1:37" ht="59.25" customHeight="1" x14ac:dyDescent="0.2">
      <c r="A21" s="2699"/>
      <c r="B21" s="1898"/>
      <c r="C21" s="1904"/>
      <c r="D21" s="1898"/>
      <c r="E21" s="1904"/>
      <c r="F21" s="1898"/>
      <c r="G21" s="1899"/>
      <c r="H21" s="1797">
        <v>4</v>
      </c>
      <c r="I21" s="1825" t="str">
        <f>'[6]POAI 2017'!I274</f>
        <v>Diseñay ejecutar una poiica Departamental de uso racional de resiudos solidos y uso eficiente de energia</v>
      </c>
      <c r="J21" s="1797" t="s">
        <v>126</v>
      </c>
      <c r="K21" s="855">
        <v>1</v>
      </c>
      <c r="L21" s="674" t="s">
        <v>862</v>
      </c>
      <c r="M21" s="2699"/>
      <c r="N21" s="1913"/>
      <c r="O21" s="1800">
        <f>+T21/P17</f>
        <v>0.125</v>
      </c>
      <c r="P21" s="2701"/>
      <c r="Q21" s="1913"/>
      <c r="R21" s="1913"/>
      <c r="S21" s="857" t="s">
        <v>863</v>
      </c>
      <c r="T21" s="853">
        <v>20000000</v>
      </c>
      <c r="U21" s="1811">
        <v>20</v>
      </c>
      <c r="V21" s="1809" t="s">
        <v>686</v>
      </c>
      <c r="W21" s="2664"/>
      <c r="X21" s="2664"/>
      <c r="Y21" s="2673"/>
      <c r="Z21" s="2664"/>
      <c r="AA21" s="2664"/>
      <c r="AB21" s="2664"/>
      <c r="AC21" s="2664"/>
      <c r="AD21" s="2664"/>
      <c r="AE21" s="2664"/>
      <c r="AF21" s="2664"/>
      <c r="AG21" s="2664"/>
      <c r="AH21" s="2664"/>
      <c r="AI21" s="2709"/>
      <c r="AJ21" s="2709"/>
      <c r="AK21" s="1929"/>
    </row>
    <row r="22" spans="1:37" ht="79.5" customHeight="1" x14ac:dyDescent="0.2">
      <c r="A22" s="2699"/>
      <c r="B22" s="1898"/>
      <c r="C22" s="1904"/>
      <c r="D22" s="1898"/>
      <c r="E22" s="1904"/>
      <c r="F22" s="1898"/>
      <c r="G22" s="1899"/>
      <c r="H22" s="1797">
        <v>5</v>
      </c>
      <c r="I22" s="1825" t="str">
        <f>'[6]POAI 2017'!I275</f>
        <v xml:space="preserve">Desarrollar en (5) cinco de los sectores productivos del departamento, actividades de producción más limpia y Buenas  Prácticas Ambientales (BPA) </v>
      </c>
      <c r="J22" s="1797" t="s">
        <v>126</v>
      </c>
      <c r="K22" s="855">
        <v>2</v>
      </c>
      <c r="L22" s="674"/>
      <c r="M22" s="2699"/>
      <c r="N22" s="1913"/>
      <c r="O22" s="1800">
        <f>+T22/P17</f>
        <v>0.42499999999999999</v>
      </c>
      <c r="P22" s="2701"/>
      <c r="Q22" s="1913"/>
      <c r="R22" s="1913"/>
      <c r="S22" s="857" t="s">
        <v>864</v>
      </c>
      <c r="T22" s="853">
        <f>7500000+10500000+50000000</f>
        <v>68000000</v>
      </c>
      <c r="U22" s="1811">
        <v>20</v>
      </c>
      <c r="V22" s="1809" t="s">
        <v>686</v>
      </c>
      <c r="W22" s="2664"/>
      <c r="X22" s="2664"/>
      <c r="Y22" s="2673"/>
      <c r="Z22" s="2664"/>
      <c r="AA22" s="2664"/>
      <c r="AB22" s="2664"/>
      <c r="AC22" s="2664"/>
      <c r="AD22" s="2664"/>
      <c r="AE22" s="2664"/>
      <c r="AF22" s="2664"/>
      <c r="AG22" s="2664"/>
      <c r="AH22" s="2664"/>
      <c r="AI22" s="2709"/>
      <c r="AJ22" s="2709"/>
      <c r="AK22" s="1929"/>
    </row>
    <row r="23" spans="1:37" ht="105.75" customHeight="1" x14ac:dyDescent="0.2">
      <c r="A23" s="2500"/>
      <c r="B23" s="2698"/>
      <c r="C23" s="2458"/>
      <c r="D23" s="2698"/>
      <c r="E23" s="2458"/>
      <c r="F23" s="2698"/>
      <c r="G23" s="2707"/>
      <c r="H23" s="1798">
        <v>6</v>
      </c>
      <c r="I23" s="1796" t="str">
        <f>'[6]POAI 2017'!I276</f>
        <v xml:space="preserve">Apoyar a los doce (12) municipios en las acciones de control y vigilancia de la explotación minera en coordinación con la autoridad ambiental </v>
      </c>
      <c r="J23" s="1797" t="s">
        <v>126</v>
      </c>
      <c r="K23" s="1801">
        <v>12</v>
      </c>
      <c r="L23" s="690"/>
      <c r="M23" s="2500"/>
      <c r="N23" s="2467"/>
      <c r="O23" s="1800">
        <f>+T23/P17</f>
        <v>6.8750000000000006E-2</v>
      </c>
      <c r="P23" s="2702"/>
      <c r="Q23" s="2467"/>
      <c r="R23" s="2467"/>
      <c r="S23" s="857" t="s">
        <v>865</v>
      </c>
      <c r="T23" s="858">
        <v>11000000</v>
      </c>
      <c r="U23" s="1818">
        <v>20</v>
      </c>
      <c r="V23" s="1809" t="s">
        <v>686</v>
      </c>
      <c r="W23" s="2665"/>
      <c r="X23" s="2665"/>
      <c r="Y23" s="2674"/>
      <c r="Z23" s="2665"/>
      <c r="AA23" s="2665"/>
      <c r="AB23" s="2665"/>
      <c r="AC23" s="2665"/>
      <c r="AD23" s="2665"/>
      <c r="AE23" s="2665"/>
      <c r="AF23" s="2665"/>
      <c r="AG23" s="2665"/>
      <c r="AH23" s="2665"/>
      <c r="AI23" s="2710"/>
      <c r="AJ23" s="2710"/>
      <c r="AK23" s="2481"/>
    </row>
    <row r="24" spans="1:37" ht="36" customHeight="1" x14ac:dyDescent="0.2">
      <c r="A24" s="1818"/>
      <c r="B24" s="1802"/>
      <c r="C24" s="1803"/>
      <c r="D24" s="1802"/>
      <c r="E24" s="841">
        <v>2</v>
      </c>
      <c r="F24" s="842" t="s">
        <v>866</v>
      </c>
      <c r="G24" s="842"/>
      <c r="H24" s="842"/>
      <c r="I24" s="682"/>
      <c r="J24" s="843"/>
      <c r="K24" s="842"/>
      <c r="L24" s="842"/>
      <c r="M24" s="844"/>
      <c r="N24" s="845"/>
      <c r="O24" s="846"/>
      <c r="P24" s="847"/>
      <c r="Q24" s="845"/>
      <c r="R24" s="845"/>
      <c r="S24" s="845"/>
      <c r="T24" s="848"/>
      <c r="U24" s="844"/>
      <c r="V24" s="843"/>
      <c r="W24" s="859"/>
      <c r="X24" s="859"/>
      <c r="Y24" s="859"/>
      <c r="Z24" s="859"/>
      <c r="AA24" s="859"/>
      <c r="AB24" s="859"/>
      <c r="AC24" s="859"/>
      <c r="AD24" s="859"/>
      <c r="AE24" s="859"/>
      <c r="AF24" s="859"/>
      <c r="AG24" s="859"/>
      <c r="AH24" s="859"/>
      <c r="AI24" s="849"/>
      <c r="AJ24" s="849"/>
      <c r="AK24" s="850"/>
    </row>
    <row r="25" spans="1:37" ht="159" customHeight="1" x14ac:dyDescent="0.2">
      <c r="A25" s="2499"/>
      <c r="B25" s="1896"/>
      <c r="C25" s="1903"/>
      <c r="D25" s="1896"/>
      <c r="E25" s="1903"/>
      <c r="F25" s="1896"/>
      <c r="G25" s="1897"/>
      <c r="H25" s="1797">
        <v>8</v>
      </c>
      <c r="I25" s="1825" t="s">
        <v>867</v>
      </c>
      <c r="J25" s="1797" t="s">
        <v>126</v>
      </c>
      <c r="K25" s="855">
        <v>2</v>
      </c>
      <c r="L25" s="2711" t="s">
        <v>868</v>
      </c>
      <c r="M25" s="2499">
        <v>67</v>
      </c>
      <c r="N25" s="2014" t="s">
        <v>869</v>
      </c>
      <c r="O25" s="1800">
        <f>T25/P25</f>
        <v>0.61213235294117652</v>
      </c>
      <c r="P25" s="2713">
        <v>108800000</v>
      </c>
      <c r="Q25" s="1912" t="s">
        <v>870</v>
      </c>
      <c r="R25" s="1912" t="s">
        <v>871</v>
      </c>
      <c r="S25" s="1825" t="s">
        <v>872</v>
      </c>
      <c r="T25" s="860">
        <f>46600000+20000000</f>
        <v>66600000</v>
      </c>
      <c r="U25" s="1824">
        <v>20</v>
      </c>
      <c r="V25" s="1809" t="s">
        <v>686</v>
      </c>
      <c r="W25" s="2663"/>
      <c r="X25" s="2663"/>
      <c r="Y25" s="2663"/>
      <c r="Z25" s="2663"/>
      <c r="AA25" s="2663"/>
      <c r="AB25" s="2663"/>
      <c r="AC25" s="2663"/>
      <c r="AD25" s="2663"/>
      <c r="AE25" s="2663"/>
      <c r="AF25" s="2663"/>
      <c r="AG25" s="2663"/>
      <c r="AH25" s="2663"/>
      <c r="AI25" s="2708">
        <v>42736</v>
      </c>
      <c r="AJ25" s="2708">
        <v>43100</v>
      </c>
      <c r="AK25" s="2715" t="s">
        <v>856</v>
      </c>
    </row>
    <row r="26" spans="1:37" s="662" customFormat="1" ht="159" customHeight="1" x14ac:dyDescent="0.2">
      <c r="A26" s="2500"/>
      <c r="B26" s="2698"/>
      <c r="C26" s="2458"/>
      <c r="D26" s="2698"/>
      <c r="E26" s="2458"/>
      <c r="F26" s="2698"/>
      <c r="G26" s="2707"/>
      <c r="H26" s="1797">
        <v>7</v>
      </c>
      <c r="I26" s="1825" t="s">
        <v>873</v>
      </c>
      <c r="J26" s="1797" t="s">
        <v>126</v>
      </c>
      <c r="K26" s="855">
        <v>1</v>
      </c>
      <c r="L26" s="2712"/>
      <c r="M26" s="2500"/>
      <c r="N26" s="2016"/>
      <c r="O26" s="1800">
        <f>T26/P25</f>
        <v>0.38786764705882354</v>
      </c>
      <c r="P26" s="2714"/>
      <c r="Q26" s="2467"/>
      <c r="R26" s="2467"/>
      <c r="S26" s="1825" t="s">
        <v>874</v>
      </c>
      <c r="T26" s="860">
        <f>12200000+30000000</f>
        <v>42200000</v>
      </c>
      <c r="U26" s="1824">
        <v>20</v>
      </c>
      <c r="V26" s="1809" t="s">
        <v>686</v>
      </c>
      <c r="W26" s="2665"/>
      <c r="X26" s="2665"/>
      <c r="Y26" s="2665"/>
      <c r="Z26" s="2665"/>
      <c r="AA26" s="2665"/>
      <c r="AB26" s="2665"/>
      <c r="AC26" s="2665"/>
      <c r="AD26" s="2665"/>
      <c r="AE26" s="2665"/>
      <c r="AF26" s="2665"/>
      <c r="AG26" s="2665"/>
      <c r="AH26" s="2665"/>
      <c r="AI26" s="2710"/>
      <c r="AJ26" s="2710"/>
      <c r="AK26" s="2715"/>
    </row>
    <row r="27" spans="1:37" ht="36" customHeight="1" x14ac:dyDescent="0.2">
      <c r="A27" s="1818"/>
      <c r="B27" s="1802"/>
      <c r="C27" s="1803"/>
      <c r="D27" s="1802"/>
      <c r="E27" s="841">
        <v>3</v>
      </c>
      <c r="F27" s="842" t="s">
        <v>875</v>
      </c>
      <c r="G27" s="842"/>
      <c r="H27" s="842"/>
      <c r="I27" s="682"/>
      <c r="J27" s="843"/>
      <c r="K27" s="842"/>
      <c r="L27" s="842"/>
      <c r="M27" s="844"/>
      <c r="N27" s="845"/>
      <c r="O27" s="846"/>
      <c r="P27" s="847"/>
      <c r="Q27" s="845"/>
      <c r="R27" s="845"/>
      <c r="S27" s="682"/>
      <c r="T27" s="848"/>
      <c r="U27" s="844"/>
      <c r="V27" s="843"/>
      <c r="W27" s="859"/>
      <c r="X27" s="859"/>
      <c r="Y27" s="859"/>
      <c r="Z27" s="859"/>
      <c r="AA27" s="859"/>
      <c r="AB27" s="859"/>
      <c r="AC27" s="859"/>
      <c r="AD27" s="859"/>
      <c r="AE27" s="859"/>
      <c r="AF27" s="859"/>
      <c r="AG27" s="859"/>
      <c r="AH27" s="859"/>
      <c r="AI27" s="849"/>
      <c r="AJ27" s="849"/>
      <c r="AK27" s="850"/>
    </row>
    <row r="28" spans="1:37" s="662" customFormat="1" ht="59.25" customHeight="1" x14ac:dyDescent="0.2">
      <c r="A28" s="2499"/>
      <c r="B28" s="1896"/>
      <c r="C28" s="1903"/>
      <c r="D28" s="1896"/>
      <c r="E28" s="1903"/>
      <c r="F28" s="1896"/>
      <c r="G28" s="1897"/>
      <c r="H28" s="1903">
        <v>14</v>
      </c>
      <c r="I28" s="1912" t="s">
        <v>876</v>
      </c>
      <c r="J28" s="1903" t="s">
        <v>126</v>
      </c>
      <c r="K28" s="1896">
        <v>6</v>
      </c>
      <c r="L28" s="861"/>
      <c r="M28" s="2499">
        <v>68</v>
      </c>
      <c r="N28" s="1912" t="s">
        <v>877</v>
      </c>
      <c r="O28" s="2496">
        <f>(T28+T29+T30)/P28</f>
        <v>1</v>
      </c>
      <c r="P28" s="2716">
        <f>SUM(T28:T30)</f>
        <v>676300058</v>
      </c>
      <c r="Q28" s="1912" t="s">
        <v>878</v>
      </c>
      <c r="R28" s="1912" t="s">
        <v>879</v>
      </c>
      <c r="S28" s="1825" t="s">
        <v>880</v>
      </c>
      <c r="T28" s="860">
        <v>307600000</v>
      </c>
      <c r="U28" s="1824">
        <v>20</v>
      </c>
      <c r="V28" s="1809" t="s">
        <v>686</v>
      </c>
      <c r="W28" s="2663"/>
      <c r="X28" s="2663"/>
      <c r="Y28" s="2663"/>
      <c r="Z28" s="2663"/>
      <c r="AA28" s="2663"/>
      <c r="AB28" s="2663"/>
      <c r="AC28" s="2663"/>
      <c r="AD28" s="2663"/>
      <c r="AE28" s="2663"/>
      <c r="AF28" s="2663"/>
      <c r="AG28" s="2663"/>
      <c r="AH28" s="2663"/>
      <c r="AI28" s="2708">
        <v>42736</v>
      </c>
      <c r="AJ28" s="2708">
        <v>43100</v>
      </c>
      <c r="AK28" s="2715" t="s">
        <v>856</v>
      </c>
    </row>
    <row r="29" spans="1:37" s="662" customFormat="1" ht="61.5" customHeight="1" x14ac:dyDescent="0.2">
      <c r="A29" s="2699"/>
      <c r="B29" s="1898"/>
      <c r="C29" s="1904"/>
      <c r="D29" s="1898"/>
      <c r="E29" s="1904"/>
      <c r="F29" s="1898"/>
      <c r="G29" s="1899"/>
      <c r="H29" s="1904"/>
      <c r="I29" s="1913"/>
      <c r="J29" s="1904"/>
      <c r="K29" s="1898"/>
      <c r="L29" s="862" t="s">
        <v>881</v>
      </c>
      <c r="M29" s="2699"/>
      <c r="N29" s="1913"/>
      <c r="O29" s="2497"/>
      <c r="P29" s="2717"/>
      <c r="Q29" s="1913"/>
      <c r="R29" s="1913"/>
      <c r="S29" s="1825" t="s">
        <v>882</v>
      </c>
      <c r="T29" s="863">
        <f>50000000+219592885</f>
        <v>269592885</v>
      </c>
      <c r="U29" s="1824">
        <v>20</v>
      </c>
      <c r="V29" s="1809" t="s">
        <v>686</v>
      </c>
      <c r="W29" s="2664"/>
      <c r="X29" s="2664"/>
      <c r="Y29" s="2664"/>
      <c r="Z29" s="2664"/>
      <c r="AA29" s="2664"/>
      <c r="AB29" s="2664"/>
      <c r="AC29" s="2664"/>
      <c r="AD29" s="2664"/>
      <c r="AE29" s="2664"/>
      <c r="AF29" s="2664"/>
      <c r="AG29" s="2664"/>
      <c r="AH29" s="2664"/>
      <c r="AI29" s="2709"/>
      <c r="AJ29" s="2709"/>
      <c r="AK29" s="2715"/>
    </row>
    <row r="30" spans="1:37" s="662" customFormat="1" ht="55.5" customHeight="1" x14ac:dyDescent="0.2">
      <c r="A30" s="2500"/>
      <c r="B30" s="2698"/>
      <c r="C30" s="2458"/>
      <c r="D30" s="2698"/>
      <c r="E30" s="2458"/>
      <c r="F30" s="2698"/>
      <c r="G30" s="2707"/>
      <c r="H30" s="2458"/>
      <c r="I30" s="2467"/>
      <c r="J30" s="2458"/>
      <c r="K30" s="2698"/>
      <c r="L30" s="864" t="s">
        <v>883</v>
      </c>
      <c r="M30" s="2500"/>
      <c r="N30" s="2467"/>
      <c r="O30" s="2498"/>
      <c r="P30" s="2718"/>
      <c r="Q30" s="2467"/>
      <c r="R30" s="2467"/>
      <c r="S30" s="1825" t="s">
        <v>884</v>
      </c>
      <c r="T30" s="865">
        <v>99107173</v>
      </c>
      <c r="U30" s="1824">
        <v>20</v>
      </c>
      <c r="V30" s="1809" t="s">
        <v>686</v>
      </c>
      <c r="W30" s="2665"/>
      <c r="X30" s="2665"/>
      <c r="Y30" s="2665"/>
      <c r="Z30" s="2665"/>
      <c r="AA30" s="2665"/>
      <c r="AB30" s="2665"/>
      <c r="AC30" s="2665"/>
      <c r="AD30" s="2665"/>
      <c r="AE30" s="2665"/>
      <c r="AF30" s="2665"/>
      <c r="AG30" s="2665"/>
      <c r="AH30" s="2665"/>
      <c r="AI30" s="2710"/>
      <c r="AJ30" s="2710"/>
      <c r="AK30" s="2715"/>
    </row>
    <row r="31" spans="1:37" s="662" customFormat="1" ht="66.75" customHeight="1" x14ac:dyDescent="0.2">
      <c r="A31" s="2719"/>
      <c r="B31" s="2678"/>
      <c r="C31" s="2719"/>
      <c r="D31" s="2678"/>
      <c r="E31" s="2719"/>
      <c r="F31" s="2678"/>
      <c r="G31" s="2723"/>
      <c r="H31" s="2719">
        <v>15</v>
      </c>
      <c r="I31" s="1912" t="s">
        <v>885</v>
      </c>
      <c r="J31" s="2680" t="s">
        <v>126</v>
      </c>
      <c r="K31" s="2726">
        <v>2</v>
      </c>
      <c r="L31" s="866"/>
      <c r="M31" s="2680">
        <v>69</v>
      </c>
      <c r="N31" s="2014" t="s">
        <v>886</v>
      </c>
      <c r="O31" s="2683">
        <f>(T31+T32+T33+T34)/P31</f>
        <v>0.91743818541371469</v>
      </c>
      <c r="P31" s="2686">
        <f>SUM(T31:T38)</f>
        <v>346407115</v>
      </c>
      <c r="Q31" s="1912" t="s">
        <v>887</v>
      </c>
      <c r="R31" s="2703" t="s">
        <v>888</v>
      </c>
      <c r="S31" s="1825" t="s">
        <v>889</v>
      </c>
      <c r="T31" s="865">
        <f>90000000-90000000</f>
        <v>0</v>
      </c>
      <c r="U31" s="1824">
        <v>20</v>
      </c>
      <c r="V31" s="1809" t="s">
        <v>686</v>
      </c>
      <c r="W31" s="2663"/>
      <c r="X31" s="2663"/>
      <c r="Y31" s="2663"/>
      <c r="Z31" s="2663"/>
      <c r="AA31" s="2663"/>
      <c r="AB31" s="2663"/>
      <c r="AC31" s="2663"/>
      <c r="AD31" s="2663"/>
      <c r="AE31" s="2663"/>
      <c r="AF31" s="2663"/>
      <c r="AG31" s="2663"/>
      <c r="AH31" s="2663"/>
      <c r="AI31" s="2729">
        <v>42736</v>
      </c>
      <c r="AJ31" s="2729">
        <v>43100</v>
      </c>
      <c r="AK31" s="1903" t="s">
        <v>856</v>
      </c>
    </row>
    <row r="32" spans="1:37" s="662" customFormat="1" ht="66.75" customHeight="1" x14ac:dyDescent="0.2">
      <c r="A32" s="2720"/>
      <c r="B32" s="2722"/>
      <c r="C32" s="2720"/>
      <c r="D32" s="2722"/>
      <c r="E32" s="2720"/>
      <c r="F32" s="2722"/>
      <c r="G32" s="2724"/>
      <c r="H32" s="2720"/>
      <c r="I32" s="1913"/>
      <c r="J32" s="2681"/>
      <c r="K32" s="2727"/>
      <c r="L32" s="867"/>
      <c r="M32" s="2681"/>
      <c r="N32" s="2015"/>
      <c r="O32" s="2684"/>
      <c r="P32" s="2687"/>
      <c r="Q32" s="1913"/>
      <c r="R32" s="2704"/>
      <c r="S32" s="1825" t="s">
        <v>890</v>
      </c>
      <c r="T32" s="865">
        <f>90000000+148407115</f>
        <v>238407115</v>
      </c>
      <c r="U32" s="1824">
        <v>20</v>
      </c>
      <c r="V32" s="1809" t="s">
        <v>686</v>
      </c>
      <c r="W32" s="2664"/>
      <c r="X32" s="2664"/>
      <c r="Y32" s="2664"/>
      <c r="Z32" s="2664"/>
      <c r="AA32" s="2664"/>
      <c r="AB32" s="2664"/>
      <c r="AC32" s="2664"/>
      <c r="AD32" s="2664"/>
      <c r="AE32" s="2664"/>
      <c r="AF32" s="2664"/>
      <c r="AG32" s="2664"/>
      <c r="AH32" s="2664"/>
      <c r="AI32" s="2730"/>
      <c r="AJ32" s="2730"/>
      <c r="AK32" s="1904"/>
    </row>
    <row r="33" spans="1:38" s="662" customFormat="1" ht="66.75" customHeight="1" x14ac:dyDescent="0.2">
      <c r="A33" s="2720"/>
      <c r="B33" s="2722"/>
      <c r="C33" s="2720"/>
      <c r="D33" s="2722"/>
      <c r="E33" s="2720"/>
      <c r="F33" s="2722"/>
      <c r="G33" s="2724"/>
      <c r="H33" s="2720"/>
      <c r="I33" s="1913"/>
      <c r="J33" s="2681"/>
      <c r="K33" s="2727"/>
      <c r="L33" s="867"/>
      <c r="M33" s="2681"/>
      <c r="N33" s="2015"/>
      <c r="O33" s="2684"/>
      <c r="P33" s="2687"/>
      <c r="Q33" s="1913"/>
      <c r="R33" s="2704"/>
      <c r="S33" s="1825" t="s">
        <v>891</v>
      </c>
      <c r="T33" s="865">
        <f>79400000-79400000</f>
        <v>0</v>
      </c>
      <c r="U33" s="1824">
        <v>20</v>
      </c>
      <c r="V33" s="1809" t="s">
        <v>686</v>
      </c>
      <c r="W33" s="2664"/>
      <c r="X33" s="2664"/>
      <c r="Y33" s="2664"/>
      <c r="Z33" s="2664"/>
      <c r="AA33" s="2664"/>
      <c r="AB33" s="2664"/>
      <c r="AC33" s="2664"/>
      <c r="AD33" s="2664"/>
      <c r="AE33" s="2664"/>
      <c r="AF33" s="2664"/>
      <c r="AG33" s="2664"/>
      <c r="AH33" s="2664"/>
      <c r="AI33" s="2730"/>
      <c r="AJ33" s="2730"/>
      <c r="AK33" s="1904"/>
    </row>
    <row r="34" spans="1:38" ht="51.75" customHeight="1" x14ac:dyDescent="0.2">
      <c r="A34" s="2720"/>
      <c r="B34" s="2722"/>
      <c r="C34" s="2720"/>
      <c r="D34" s="2722"/>
      <c r="E34" s="2720"/>
      <c r="F34" s="2722"/>
      <c r="G34" s="2724"/>
      <c r="H34" s="2721"/>
      <c r="I34" s="2467"/>
      <c r="J34" s="2681"/>
      <c r="K34" s="2728"/>
      <c r="L34" s="867" t="s">
        <v>892</v>
      </c>
      <c r="M34" s="2681"/>
      <c r="N34" s="2015"/>
      <c r="O34" s="2685"/>
      <c r="P34" s="2687"/>
      <c r="Q34" s="1913"/>
      <c r="R34" s="2704"/>
      <c r="S34" s="1825" t="s">
        <v>893</v>
      </c>
      <c r="T34" s="865">
        <f>79400000</f>
        <v>79400000</v>
      </c>
      <c r="U34" s="868">
        <v>20</v>
      </c>
      <c r="V34" s="1809" t="s">
        <v>686</v>
      </c>
      <c r="W34" s="2664"/>
      <c r="X34" s="2664"/>
      <c r="Y34" s="2664"/>
      <c r="Z34" s="2664"/>
      <c r="AA34" s="2664"/>
      <c r="AB34" s="2664"/>
      <c r="AC34" s="2664"/>
      <c r="AD34" s="2664"/>
      <c r="AE34" s="2664"/>
      <c r="AF34" s="2664"/>
      <c r="AG34" s="2664"/>
      <c r="AH34" s="2664"/>
      <c r="AI34" s="2730"/>
      <c r="AJ34" s="2730"/>
      <c r="AK34" s="1904"/>
      <c r="AL34" s="869"/>
    </row>
    <row r="35" spans="1:38" ht="48" customHeight="1" x14ac:dyDescent="0.2">
      <c r="A35" s="2720"/>
      <c r="B35" s="2722"/>
      <c r="C35" s="2720"/>
      <c r="D35" s="2722"/>
      <c r="E35" s="2720"/>
      <c r="F35" s="2722"/>
      <c r="G35" s="2724"/>
      <c r="H35" s="870">
        <v>16</v>
      </c>
      <c r="I35" s="1796" t="s">
        <v>894</v>
      </c>
      <c r="J35" s="1797" t="s">
        <v>126</v>
      </c>
      <c r="K35" s="1822">
        <v>3</v>
      </c>
      <c r="L35" s="867" t="s">
        <v>895</v>
      </c>
      <c r="M35" s="2681"/>
      <c r="N35" s="2015"/>
      <c r="O35" s="1823">
        <f>T35/P31</f>
        <v>1.7320660402717191E-2</v>
      </c>
      <c r="P35" s="2687"/>
      <c r="Q35" s="1913"/>
      <c r="R35" s="2704"/>
      <c r="S35" s="1825" t="s">
        <v>896</v>
      </c>
      <c r="T35" s="872">
        <v>6000000</v>
      </c>
      <c r="U35" s="868">
        <v>20</v>
      </c>
      <c r="V35" s="1809" t="s">
        <v>686</v>
      </c>
      <c r="W35" s="2664"/>
      <c r="X35" s="2664"/>
      <c r="Y35" s="2664"/>
      <c r="Z35" s="2664"/>
      <c r="AA35" s="2664"/>
      <c r="AB35" s="2664"/>
      <c r="AC35" s="2664"/>
      <c r="AD35" s="2664"/>
      <c r="AE35" s="2664"/>
      <c r="AF35" s="2664"/>
      <c r="AG35" s="2664"/>
      <c r="AH35" s="2664"/>
      <c r="AI35" s="2730"/>
      <c r="AJ35" s="2730"/>
      <c r="AK35" s="1904"/>
    </row>
    <row r="36" spans="1:38" ht="50.25" customHeight="1" x14ac:dyDescent="0.2">
      <c r="A36" s="2720"/>
      <c r="B36" s="2722"/>
      <c r="C36" s="2720"/>
      <c r="D36" s="2722"/>
      <c r="E36" s="2720"/>
      <c r="F36" s="2722"/>
      <c r="G36" s="2724"/>
      <c r="H36" s="870">
        <v>18</v>
      </c>
      <c r="I36" s="873" t="s">
        <v>897</v>
      </c>
      <c r="J36" s="1797" t="s">
        <v>126</v>
      </c>
      <c r="K36" s="1822">
        <v>7</v>
      </c>
      <c r="L36" s="867"/>
      <c r="M36" s="2681"/>
      <c r="N36" s="2015"/>
      <c r="O36" s="1823">
        <f>T36/P31</f>
        <v>2.4826279910561307E-2</v>
      </c>
      <c r="P36" s="2687"/>
      <c r="Q36" s="1913"/>
      <c r="R36" s="2705"/>
      <c r="S36" s="874" t="s">
        <v>898</v>
      </c>
      <c r="T36" s="875">
        <f>10000000-1400000</f>
        <v>8600000</v>
      </c>
      <c r="U36" s="868">
        <v>20</v>
      </c>
      <c r="V36" s="1809" t="s">
        <v>686</v>
      </c>
      <c r="W36" s="2664"/>
      <c r="X36" s="2664"/>
      <c r="Y36" s="2664"/>
      <c r="Z36" s="2664"/>
      <c r="AA36" s="2664"/>
      <c r="AB36" s="2664"/>
      <c r="AC36" s="2664"/>
      <c r="AD36" s="2664"/>
      <c r="AE36" s="2664"/>
      <c r="AF36" s="2664"/>
      <c r="AG36" s="2664"/>
      <c r="AH36" s="2664"/>
      <c r="AI36" s="2730"/>
      <c r="AJ36" s="2730"/>
      <c r="AK36" s="1904"/>
    </row>
    <row r="37" spans="1:38" ht="66" customHeight="1" x14ac:dyDescent="0.2">
      <c r="A37" s="2720"/>
      <c r="B37" s="2722"/>
      <c r="C37" s="2720"/>
      <c r="D37" s="2722"/>
      <c r="E37" s="2720"/>
      <c r="F37" s="2722"/>
      <c r="G37" s="2724"/>
      <c r="H37" s="870">
        <v>19</v>
      </c>
      <c r="I37" s="1825" t="s">
        <v>899</v>
      </c>
      <c r="J37" s="1797" t="s">
        <v>126</v>
      </c>
      <c r="K37" s="1822">
        <v>9</v>
      </c>
      <c r="L37" s="867"/>
      <c r="M37" s="2681"/>
      <c r="N37" s="2015"/>
      <c r="O37" s="1823">
        <f>T37/P31</f>
        <v>2.020743713650339E-2</v>
      </c>
      <c r="P37" s="2687"/>
      <c r="Q37" s="1913"/>
      <c r="R37" s="876" t="s">
        <v>900</v>
      </c>
      <c r="S37" s="874" t="s">
        <v>901</v>
      </c>
      <c r="T37" s="875">
        <v>7000000</v>
      </c>
      <c r="U37" s="868">
        <v>20</v>
      </c>
      <c r="V37" s="1809" t="s">
        <v>686</v>
      </c>
      <c r="W37" s="2664"/>
      <c r="X37" s="2664"/>
      <c r="Y37" s="2664"/>
      <c r="Z37" s="2664"/>
      <c r="AA37" s="2664"/>
      <c r="AB37" s="2664"/>
      <c r="AC37" s="2664"/>
      <c r="AD37" s="2664"/>
      <c r="AE37" s="2664"/>
      <c r="AF37" s="2664"/>
      <c r="AG37" s="2664"/>
      <c r="AH37" s="2664"/>
      <c r="AI37" s="2730"/>
      <c r="AJ37" s="2730"/>
      <c r="AK37" s="1904"/>
    </row>
    <row r="38" spans="1:38" ht="55.5" customHeight="1" x14ac:dyDescent="0.2">
      <c r="A38" s="2721"/>
      <c r="B38" s="2679"/>
      <c r="C38" s="2721"/>
      <c r="D38" s="2679"/>
      <c r="E38" s="2721"/>
      <c r="F38" s="2679"/>
      <c r="G38" s="2725"/>
      <c r="H38" s="870">
        <v>20</v>
      </c>
      <c r="I38" s="1825" t="s">
        <v>902</v>
      </c>
      <c r="J38" s="1797" t="s">
        <v>126</v>
      </c>
      <c r="K38" s="1822">
        <v>70</v>
      </c>
      <c r="L38" s="877"/>
      <c r="M38" s="2682"/>
      <c r="N38" s="2016"/>
      <c r="O38" s="1823">
        <f>T38/P31</f>
        <v>2.020743713650339E-2</v>
      </c>
      <c r="P38" s="2688"/>
      <c r="Q38" s="2467"/>
      <c r="R38" s="876" t="s">
        <v>903</v>
      </c>
      <c r="S38" s="874" t="s">
        <v>904</v>
      </c>
      <c r="T38" s="863">
        <v>7000000</v>
      </c>
      <c r="U38" s="868">
        <v>20</v>
      </c>
      <c r="V38" s="1809" t="s">
        <v>686</v>
      </c>
      <c r="W38" s="2665"/>
      <c r="X38" s="2665"/>
      <c r="Y38" s="2665"/>
      <c r="Z38" s="2665"/>
      <c r="AA38" s="2665"/>
      <c r="AB38" s="2665"/>
      <c r="AC38" s="2665"/>
      <c r="AD38" s="2665"/>
      <c r="AE38" s="2665"/>
      <c r="AF38" s="2665"/>
      <c r="AG38" s="2665"/>
      <c r="AH38" s="2665"/>
      <c r="AI38" s="2731"/>
      <c r="AJ38" s="2731"/>
      <c r="AK38" s="2458"/>
    </row>
    <row r="39" spans="1:38" s="662" customFormat="1" ht="15" x14ac:dyDescent="0.2">
      <c r="A39" s="820">
        <v>2</v>
      </c>
      <c r="B39" s="821" t="s">
        <v>740</v>
      </c>
      <c r="C39" s="821"/>
      <c r="D39" s="821"/>
      <c r="E39" s="821"/>
      <c r="F39" s="821"/>
      <c r="G39" s="821"/>
      <c r="H39" s="821"/>
      <c r="I39" s="633"/>
      <c r="J39" s="821"/>
      <c r="K39" s="821"/>
      <c r="L39" s="821"/>
      <c r="M39" s="822"/>
      <c r="N39" s="823"/>
      <c r="O39" s="824"/>
      <c r="P39" s="825"/>
      <c r="Q39" s="823"/>
      <c r="R39" s="823"/>
      <c r="S39" s="823"/>
      <c r="T39" s="826"/>
      <c r="U39" s="827"/>
      <c r="V39" s="822"/>
      <c r="W39" s="878"/>
      <c r="X39" s="878"/>
      <c r="Y39" s="878"/>
      <c r="Z39" s="878"/>
      <c r="AA39" s="878"/>
      <c r="AB39" s="878"/>
      <c r="AC39" s="878"/>
      <c r="AD39" s="878"/>
      <c r="AE39" s="878"/>
      <c r="AF39" s="878"/>
      <c r="AG39" s="878"/>
      <c r="AH39" s="878"/>
      <c r="AI39" s="828"/>
      <c r="AJ39" s="828"/>
      <c r="AK39" s="829"/>
    </row>
    <row r="40" spans="1:38" ht="15" x14ac:dyDescent="0.2">
      <c r="A40" s="2719"/>
      <c r="B40" s="2678"/>
      <c r="C40" s="879">
        <v>2</v>
      </c>
      <c r="D40" s="831" t="s">
        <v>742</v>
      </c>
      <c r="E40" s="831"/>
      <c r="F40" s="831"/>
      <c r="G40" s="831"/>
      <c r="H40" s="831"/>
      <c r="I40" s="832"/>
      <c r="J40" s="833"/>
      <c r="K40" s="831"/>
      <c r="L40" s="831"/>
      <c r="M40" s="834"/>
      <c r="N40" s="835"/>
      <c r="O40" s="836"/>
      <c r="P40" s="837"/>
      <c r="Q40" s="835"/>
      <c r="R40" s="835"/>
      <c r="S40" s="835"/>
      <c r="T40" s="838"/>
      <c r="U40" s="834"/>
      <c r="V40" s="833"/>
      <c r="W40" s="880"/>
      <c r="X40" s="880"/>
      <c r="Y40" s="880"/>
      <c r="Z40" s="880"/>
      <c r="AA40" s="880"/>
      <c r="AB40" s="880"/>
      <c r="AC40" s="880"/>
      <c r="AD40" s="880"/>
      <c r="AE40" s="880"/>
      <c r="AF40" s="880"/>
      <c r="AG40" s="880"/>
      <c r="AH40" s="880"/>
      <c r="AI40" s="839"/>
      <c r="AJ40" s="839"/>
      <c r="AK40" s="840"/>
    </row>
    <row r="41" spans="1:38" ht="15" x14ac:dyDescent="0.2">
      <c r="A41" s="2720"/>
      <c r="B41" s="2722"/>
      <c r="C41" s="2719"/>
      <c r="D41" s="2678"/>
      <c r="E41" s="841">
        <v>4</v>
      </c>
      <c r="F41" s="842" t="s">
        <v>905</v>
      </c>
      <c r="G41" s="842"/>
      <c r="H41" s="842"/>
      <c r="I41" s="682"/>
      <c r="J41" s="843"/>
      <c r="K41" s="842"/>
      <c r="L41" s="842"/>
      <c r="M41" s="844"/>
      <c r="N41" s="845"/>
      <c r="O41" s="846"/>
      <c r="P41" s="847"/>
      <c r="Q41" s="845"/>
      <c r="R41" s="845"/>
      <c r="S41" s="845"/>
      <c r="T41" s="848"/>
      <c r="U41" s="844"/>
      <c r="V41" s="843"/>
      <c r="W41" s="859"/>
      <c r="X41" s="859"/>
      <c r="Y41" s="859"/>
      <c r="Z41" s="859"/>
      <c r="AA41" s="859"/>
      <c r="AB41" s="859"/>
      <c r="AC41" s="859"/>
      <c r="AD41" s="859"/>
      <c r="AE41" s="859"/>
      <c r="AF41" s="859"/>
      <c r="AG41" s="859"/>
      <c r="AH41" s="859"/>
      <c r="AI41" s="849"/>
      <c r="AJ41" s="849"/>
      <c r="AK41" s="850"/>
    </row>
    <row r="42" spans="1:38" ht="105" customHeight="1" x14ac:dyDescent="0.2">
      <c r="A42" s="2720"/>
      <c r="B42" s="2722"/>
      <c r="C42" s="2720"/>
      <c r="D42" s="2722"/>
      <c r="E42" s="2719"/>
      <c r="F42" s="2678"/>
      <c r="G42" s="2723"/>
      <c r="H42" s="1797">
        <v>21</v>
      </c>
      <c r="I42" s="1825" t="s">
        <v>906</v>
      </c>
      <c r="J42" s="1797" t="s">
        <v>126</v>
      </c>
      <c r="K42" s="1822">
        <v>100</v>
      </c>
      <c r="L42" s="1897" t="s">
        <v>907</v>
      </c>
      <c r="M42" s="2499">
        <v>72</v>
      </c>
      <c r="N42" s="2014" t="s">
        <v>908</v>
      </c>
      <c r="O42" s="1823">
        <f>T42/P42</f>
        <v>0.14285714285714285</v>
      </c>
      <c r="P42" s="2686">
        <v>350000000</v>
      </c>
      <c r="Q42" s="1912" t="s">
        <v>909</v>
      </c>
      <c r="R42" s="1912" t="s">
        <v>910</v>
      </c>
      <c r="S42" s="881" t="s">
        <v>911</v>
      </c>
      <c r="T42" s="865">
        <v>50000000</v>
      </c>
      <c r="U42" s="868">
        <v>20</v>
      </c>
      <c r="V42" s="1809" t="s">
        <v>686</v>
      </c>
      <c r="W42" s="2669"/>
      <c r="X42" s="2732">
        <v>10</v>
      </c>
      <c r="Y42" s="2666">
        <v>20</v>
      </c>
      <c r="Z42" s="2669"/>
      <c r="AA42" s="2666">
        <v>30</v>
      </c>
      <c r="AB42" s="2666">
        <v>40</v>
      </c>
      <c r="AC42" s="2669"/>
      <c r="AD42" s="2666">
        <v>5</v>
      </c>
      <c r="AE42" s="2669"/>
      <c r="AF42" s="2669"/>
      <c r="AG42" s="2669"/>
      <c r="AH42" s="2669"/>
      <c r="AI42" s="2735">
        <v>42736</v>
      </c>
      <c r="AJ42" s="2735">
        <v>43100</v>
      </c>
      <c r="AK42" s="2738" t="s">
        <v>856</v>
      </c>
    </row>
    <row r="43" spans="1:38" ht="111.75" customHeight="1" x14ac:dyDescent="0.2">
      <c r="A43" s="2720"/>
      <c r="B43" s="2722"/>
      <c r="C43" s="2720"/>
      <c r="D43" s="2722"/>
      <c r="E43" s="2720"/>
      <c r="F43" s="2722"/>
      <c r="G43" s="2724"/>
      <c r="H43" s="2098">
        <v>22</v>
      </c>
      <c r="I43" s="2742" t="s">
        <v>912</v>
      </c>
      <c r="J43" s="1876" t="s">
        <v>126</v>
      </c>
      <c r="K43" s="2744">
        <v>1</v>
      </c>
      <c r="L43" s="1899"/>
      <c r="M43" s="2699"/>
      <c r="N43" s="2015"/>
      <c r="O43" s="2683">
        <f>(T43+T44)/P42</f>
        <v>0.14285714285714285</v>
      </c>
      <c r="P43" s="2687"/>
      <c r="Q43" s="1913"/>
      <c r="R43" s="1913"/>
      <c r="S43" s="668" t="s">
        <v>913</v>
      </c>
      <c r="T43" s="882">
        <v>20000000</v>
      </c>
      <c r="U43" s="868">
        <v>20</v>
      </c>
      <c r="V43" s="1809" t="s">
        <v>686</v>
      </c>
      <c r="W43" s="2670"/>
      <c r="X43" s="2733"/>
      <c r="Y43" s="2667"/>
      <c r="Z43" s="2670"/>
      <c r="AA43" s="2667"/>
      <c r="AB43" s="2667"/>
      <c r="AC43" s="2670"/>
      <c r="AD43" s="2667"/>
      <c r="AE43" s="2670"/>
      <c r="AF43" s="2670"/>
      <c r="AG43" s="2670"/>
      <c r="AH43" s="2670"/>
      <c r="AI43" s="2736"/>
      <c r="AJ43" s="2736"/>
      <c r="AK43" s="2739"/>
    </row>
    <row r="44" spans="1:38" s="725" customFormat="1" ht="117.75" customHeight="1" x14ac:dyDescent="0.2">
      <c r="A44" s="2720"/>
      <c r="B44" s="2722"/>
      <c r="C44" s="2720"/>
      <c r="D44" s="2722"/>
      <c r="E44" s="2720"/>
      <c r="F44" s="2722"/>
      <c r="G44" s="2724"/>
      <c r="H44" s="2741"/>
      <c r="I44" s="2743"/>
      <c r="J44" s="1876"/>
      <c r="K44" s="2744"/>
      <c r="L44" s="1899"/>
      <c r="M44" s="2699"/>
      <c r="N44" s="2015"/>
      <c r="O44" s="2685"/>
      <c r="P44" s="2687"/>
      <c r="Q44" s="1913"/>
      <c r="R44" s="2467"/>
      <c r="S44" s="668" t="s">
        <v>914</v>
      </c>
      <c r="T44" s="882">
        <v>30000000</v>
      </c>
      <c r="U44" s="883">
        <v>20</v>
      </c>
      <c r="V44" s="1809" t="s">
        <v>686</v>
      </c>
      <c r="W44" s="2670"/>
      <c r="X44" s="2733"/>
      <c r="Y44" s="2667"/>
      <c r="Z44" s="2670"/>
      <c r="AA44" s="2667"/>
      <c r="AB44" s="2667"/>
      <c r="AC44" s="2670"/>
      <c r="AD44" s="2667"/>
      <c r="AE44" s="2670"/>
      <c r="AF44" s="2670"/>
      <c r="AG44" s="2670"/>
      <c r="AH44" s="2670"/>
      <c r="AI44" s="2736"/>
      <c r="AJ44" s="2736"/>
      <c r="AK44" s="2739"/>
    </row>
    <row r="45" spans="1:38" s="725" customFormat="1" ht="104.25" customHeight="1" x14ac:dyDescent="0.2">
      <c r="A45" s="2720"/>
      <c r="B45" s="2722"/>
      <c r="C45" s="2720"/>
      <c r="D45" s="2722"/>
      <c r="E45" s="2720"/>
      <c r="F45" s="2722"/>
      <c r="G45" s="2724"/>
      <c r="H45" s="2745">
        <v>23</v>
      </c>
      <c r="I45" s="2133" t="s">
        <v>915</v>
      </c>
      <c r="J45" s="1873" t="s">
        <v>126</v>
      </c>
      <c r="K45" s="2748">
        <v>1</v>
      </c>
      <c r="L45" s="1899"/>
      <c r="M45" s="2699"/>
      <c r="N45" s="2015"/>
      <c r="O45" s="2751">
        <f>(T45+T46+T47)/P42</f>
        <v>0.5714285714285714</v>
      </c>
      <c r="P45" s="2687"/>
      <c r="Q45" s="1913"/>
      <c r="R45" s="1805" t="s">
        <v>916</v>
      </c>
      <c r="S45" s="40" t="s">
        <v>917</v>
      </c>
      <c r="T45" s="884">
        <v>100000000</v>
      </c>
      <c r="U45" s="883">
        <v>20</v>
      </c>
      <c r="V45" s="1809" t="s">
        <v>686</v>
      </c>
      <c r="W45" s="2670"/>
      <c r="X45" s="2733"/>
      <c r="Y45" s="2667"/>
      <c r="Z45" s="2670"/>
      <c r="AA45" s="2667"/>
      <c r="AB45" s="2667"/>
      <c r="AC45" s="2670"/>
      <c r="AD45" s="2667"/>
      <c r="AE45" s="2670"/>
      <c r="AF45" s="2670"/>
      <c r="AG45" s="2670"/>
      <c r="AH45" s="2670"/>
      <c r="AI45" s="2736"/>
      <c r="AJ45" s="2736"/>
      <c r="AK45" s="2739"/>
    </row>
    <row r="46" spans="1:38" s="725" customFormat="1" ht="111" customHeight="1" x14ac:dyDescent="0.2">
      <c r="A46" s="2720"/>
      <c r="B46" s="2722"/>
      <c r="C46" s="2720"/>
      <c r="D46" s="2722"/>
      <c r="E46" s="2720"/>
      <c r="F46" s="2722"/>
      <c r="G46" s="2724"/>
      <c r="H46" s="2746"/>
      <c r="I46" s="2134"/>
      <c r="J46" s="1874"/>
      <c r="K46" s="2749"/>
      <c r="L46" s="1899"/>
      <c r="M46" s="2699"/>
      <c r="N46" s="2015"/>
      <c r="O46" s="2752"/>
      <c r="P46" s="2687"/>
      <c r="Q46" s="1913"/>
      <c r="R46" s="1806"/>
      <c r="S46" s="40" t="s">
        <v>918</v>
      </c>
      <c r="T46" s="884">
        <v>80000000</v>
      </c>
      <c r="U46" s="883">
        <v>20</v>
      </c>
      <c r="V46" s="1809" t="s">
        <v>686</v>
      </c>
      <c r="W46" s="2670"/>
      <c r="X46" s="2733"/>
      <c r="Y46" s="2667"/>
      <c r="Z46" s="2670"/>
      <c r="AA46" s="2667"/>
      <c r="AB46" s="2667"/>
      <c r="AC46" s="2670"/>
      <c r="AD46" s="2667"/>
      <c r="AE46" s="2670"/>
      <c r="AF46" s="2670"/>
      <c r="AG46" s="2670"/>
      <c r="AH46" s="2670"/>
      <c r="AI46" s="2736"/>
      <c r="AJ46" s="2736"/>
      <c r="AK46" s="2739"/>
    </row>
    <row r="47" spans="1:38" s="725" customFormat="1" ht="67.5" customHeight="1" x14ac:dyDescent="0.2">
      <c r="A47" s="2720"/>
      <c r="B47" s="2722"/>
      <c r="C47" s="2720"/>
      <c r="D47" s="2722"/>
      <c r="E47" s="2720"/>
      <c r="F47" s="2722"/>
      <c r="G47" s="2724"/>
      <c r="H47" s="2747"/>
      <c r="I47" s="2135"/>
      <c r="J47" s="1875"/>
      <c r="K47" s="2750"/>
      <c r="L47" s="1899"/>
      <c r="M47" s="2699"/>
      <c r="N47" s="2015"/>
      <c r="O47" s="2753"/>
      <c r="P47" s="2687"/>
      <c r="Q47" s="1913"/>
      <c r="R47" s="1806"/>
      <c r="S47" s="40" t="s">
        <v>919</v>
      </c>
      <c r="T47" s="884">
        <v>20000000</v>
      </c>
      <c r="U47" s="883">
        <v>20</v>
      </c>
      <c r="V47" s="1809" t="s">
        <v>686</v>
      </c>
      <c r="W47" s="2670"/>
      <c r="X47" s="2733"/>
      <c r="Y47" s="2667"/>
      <c r="Z47" s="2670"/>
      <c r="AA47" s="2667"/>
      <c r="AB47" s="2667"/>
      <c r="AC47" s="2670"/>
      <c r="AD47" s="2667"/>
      <c r="AE47" s="2670"/>
      <c r="AF47" s="2670"/>
      <c r="AG47" s="2670"/>
      <c r="AH47" s="2670"/>
      <c r="AI47" s="2736"/>
      <c r="AJ47" s="2736"/>
      <c r="AK47" s="2739"/>
    </row>
    <row r="48" spans="1:38" ht="62.25" customHeight="1" x14ac:dyDescent="0.2">
      <c r="A48" s="2721"/>
      <c r="B48" s="2679"/>
      <c r="C48" s="2721"/>
      <c r="D48" s="2679"/>
      <c r="E48" s="2721"/>
      <c r="F48" s="2679"/>
      <c r="G48" s="2725"/>
      <c r="H48" s="885">
        <v>24</v>
      </c>
      <c r="I48" s="873" t="s">
        <v>920</v>
      </c>
      <c r="J48" s="1797" t="s">
        <v>126</v>
      </c>
      <c r="K48" s="1822">
        <v>1</v>
      </c>
      <c r="L48" s="2707"/>
      <c r="M48" s="2500"/>
      <c r="N48" s="2016"/>
      <c r="O48" s="1823">
        <f>T48/P42</f>
        <v>0.14285714285714285</v>
      </c>
      <c r="P48" s="2688"/>
      <c r="Q48" s="2467"/>
      <c r="R48" s="1810"/>
      <c r="S48" s="874" t="s">
        <v>921</v>
      </c>
      <c r="T48" s="884">
        <v>50000000</v>
      </c>
      <c r="U48" s="868">
        <v>20</v>
      </c>
      <c r="V48" s="1809" t="s">
        <v>686</v>
      </c>
      <c r="W48" s="2671"/>
      <c r="X48" s="2734"/>
      <c r="Y48" s="2668"/>
      <c r="Z48" s="2671"/>
      <c r="AA48" s="2668"/>
      <c r="AB48" s="2668"/>
      <c r="AC48" s="2671"/>
      <c r="AD48" s="2668"/>
      <c r="AE48" s="2671"/>
      <c r="AF48" s="2671"/>
      <c r="AG48" s="2671"/>
      <c r="AH48" s="2671"/>
      <c r="AI48" s="2737"/>
      <c r="AJ48" s="2737"/>
      <c r="AK48" s="2740"/>
    </row>
    <row r="49" spans="1:37" ht="36" customHeight="1" x14ac:dyDescent="0.2">
      <c r="A49" s="1820"/>
      <c r="B49" s="1817"/>
      <c r="C49" s="1820"/>
      <c r="D49" s="1819"/>
      <c r="E49" s="841">
        <v>5</v>
      </c>
      <c r="F49" s="842" t="s">
        <v>922</v>
      </c>
      <c r="G49" s="842"/>
      <c r="H49" s="842"/>
      <c r="I49" s="682"/>
      <c r="J49" s="843"/>
      <c r="K49" s="842"/>
      <c r="L49" s="842"/>
      <c r="M49" s="844"/>
      <c r="N49" s="845"/>
      <c r="O49" s="846"/>
      <c r="P49" s="847"/>
      <c r="Q49" s="845"/>
      <c r="R49" s="845"/>
      <c r="S49" s="845"/>
      <c r="T49" s="848"/>
      <c r="U49" s="844"/>
      <c r="V49" s="843"/>
      <c r="W49" s="859"/>
      <c r="X49" s="859"/>
      <c r="Y49" s="859"/>
      <c r="Z49" s="859"/>
      <c r="AA49" s="859"/>
      <c r="AB49" s="859"/>
      <c r="AC49" s="859"/>
      <c r="AD49" s="859"/>
      <c r="AE49" s="859"/>
      <c r="AF49" s="859"/>
      <c r="AG49" s="859"/>
      <c r="AH49" s="859"/>
      <c r="AI49" s="849"/>
      <c r="AJ49" s="849"/>
      <c r="AK49" s="850"/>
    </row>
    <row r="50" spans="1:37" ht="72.75" customHeight="1" x14ac:dyDescent="0.2">
      <c r="A50" s="2719"/>
      <c r="B50" s="2678"/>
      <c r="C50" s="2719"/>
      <c r="D50" s="2678"/>
      <c r="E50" s="2719"/>
      <c r="F50" s="2678"/>
      <c r="G50" s="2723"/>
      <c r="H50" s="2098">
        <v>25</v>
      </c>
      <c r="I50" s="2754" t="s">
        <v>923</v>
      </c>
      <c r="J50" s="1903" t="s">
        <v>126</v>
      </c>
      <c r="K50" s="2678">
        <v>2</v>
      </c>
      <c r="L50" s="851"/>
      <c r="M50" s="2680">
        <v>176</v>
      </c>
      <c r="N50" s="2014" t="s">
        <v>924</v>
      </c>
      <c r="O50" s="2683">
        <f>(T50+T51+T52+T53+T54)/P50</f>
        <v>0.87804878048780488</v>
      </c>
      <c r="P50" s="2686">
        <f>SUM(T50:T57)</f>
        <v>410000000</v>
      </c>
      <c r="Q50" s="1912" t="s">
        <v>925</v>
      </c>
      <c r="R50" s="1912" t="s">
        <v>926</v>
      </c>
      <c r="S50" s="1825" t="s">
        <v>927</v>
      </c>
      <c r="T50" s="863">
        <f>300000000-300000000</f>
        <v>0</v>
      </c>
      <c r="U50" s="868">
        <v>20</v>
      </c>
      <c r="V50" s="1809" t="s">
        <v>686</v>
      </c>
      <c r="W50" s="2669"/>
      <c r="X50" s="2669"/>
      <c r="Y50" s="2669"/>
      <c r="Z50" s="2669"/>
      <c r="AA50" s="2669"/>
      <c r="AB50" s="2669"/>
      <c r="AC50" s="2669"/>
      <c r="AD50" s="2669"/>
      <c r="AE50" s="2669"/>
      <c r="AF50" s="2669"/>
      <c r="AG50" s="2669"/>
      <c r="AH50" s="2669"/>
      <c r="AI50" s="2757">
        <v>42736</v>
      </c>
      <c r="AJ50" s="2757">
        <v>43100</v>
      </c>
      <c r="AK50" s="2738" t="s">
        <v>856</v>
      </c>
    </row>
    <row r="51" spans="1:37" ht="52.5" customHeight="1" x14ac:dyDescent="0.2">
      <c r="A51" s="2720"/>
      <c r="B51" s="2722"/>
      <c r="C51" s="2720"/>
      <c r="D51" s="2722"/>
      <c r="E51" s="2720"/>
      <c r="F51" s="2722"/>
      <c r="G51" s="2724"/>
      <c r="H51" s="2099"/>
      <c r="I51" s="2755"/>
      <c r="J51" s="1904"/>
      <c r="K51" s="2722"/>
      <c r="L51" s="674"/>
      <c r="M51" s="2681"/>
      <c r="N51" s="2015"/>
      <c r="O51" s="2684"/>
      <c r="P51" s="2687"/>
      <c r="Q51" s="1913"/>
      <c r="R51" s="1913"/>
      <c r="S51" s="1825" t="s">
        <v>928</v>
      </c>
      <c r="T51" s="863">
        <f>110000000+30000000</f>
        <v>140000000</v>
      </c>
      <c r="U51" s="868">
        <v>20</v>
      </c>
      <c r="V51" s="1809" t="s">
        <v>686</v>
      </c>
      <c r="W51" s="2670"/>
      <c r="X51" s="2670"/>
      <c r="Y51" s="2670"/>
      <c r="Z51" s="2670"/>
      <c r="AA51" s="2670"/>
      <c r="AB51" s="2670"/>
      <c r="AC51" s="2670"/>
      <c r="AD51" s="2670"/>
      <c r="AE51" s="2670"/>
      <c r="AF51" s="2670"/>
      <c r="AG51" s="2670"/>
      <c r="AH51" s="2670"/>
      <c r="AI51" s="2757"/>
      <c r="AJ51" s="2757"/>
      <c r="AK51" s="2739"/>
    </row>
    <row r="52" spans="1:37" ht="43.5" customHeight="1" x14ac:dyDescent="0.2">
      <c r="A52" s="2720"/>
      <c r="B52" s="2722"/>
      <c r="C52" s="2720"/>
      <c r="D52" s="2722"/>
      <c r="E52" s="2720"/>
      <c r="F52" s="2722"/>
      <c r="G52" s="2724"/>
      <c r="H52" s="2099"/>
      <c r="I52" s="2755"/>
      <c r="J52" s="1904"/>
      <c r="K52" s="2722"/>
      <c r="L52" s="674"/>
      <c r="M52" s="2681"/>
      <c r="N52" s="2015"/>
      <c r="O52" s="2684"/>
      <c r="P52" s="2687"/>
      <c r="Q52" s="1913"/>
      <c r="R52" s="1913"/>
      <c r="S52" s="1825" t="s">
        <v>929</v>
      </c>
      <c r="T52" s="863">
        <f>160000000+30000000</f>
        <v>190000000</v>
      </c>
      <c r="U52" s="868">
        <v>20</v>
      </c>
      <c r="V52" s="1809" t="s">
        <v>686</v>
      </c>
      <c r="W52" s="2670"/>
      <c r="X52" s="2670"/>
      <c r="Y52" s="2670"/>
      <c r="Z52" s="2670"/>
      <c r="AA52" s="2670"/>
      <c r="AB52" s="2670"/>
      <c r="AC52" s="2670"/>
      <c r="AD52" s="2670"/>
      <c r="AE52" s="2670"/>
      <c r="AF52" s="2670"/>
      <c r="AG52" s="2670"/>
      <c r="AH52" s="2670"/>
      <c r="AI52" s="2757"/>
      <c r="AJ52" s="2757"/>
      <c r="AK52" s="2739"/>
    </row>
    <row r="53" spans="1:37" ht="49.5" customHeight="1" x14ac:dyDescent="0.2">
      <c r="A53" s="2720"/>
      <c r="B53" s="2722"/>
      <c r="C53" s="2720"/>
      <c r="D53" s="2722"/>
      <c r="E53" s="2720"/>
      <c r="F53" s="2722"/>
      <c r="G53" s="2724"/>
      <c r="H53" s="2099"/>
      <c r="I53" s="2755"/>
      <c r="J53" s="1904"/>
      <c r="K53" s="2722"/>
      <c r="L53" s="674" t="s">
        <v>930</v>
      </c>
      <c r="M53" s="2681"/>
      <c r="N53" s="2015"/>
      <c r="O53" s="2684"/>
      <c r="P53" s="2687"/>
      <c r="Q53" s="1913"/>
      <c r="R53" s="1913"/>
      <c r="S53" s="1825" t="s">
        <v>931</v>
      </c>
      <c r="T53" s="863">
        <v>10000000</v>
      </c>
      <c r="U53" s="868">
        <v>20</v>
      </c>
      <c r="V53" s="1809" t="s">
        <v>686</v>
      </c>
      <c r="W53" s="2670"/>
      <c r="X53" s="2670"/>
      <c r="Y53" s="2670"/>
      <c r="Z53" s="2670"/>
      <c r="AA53" s="2670"/>
      <c r="AB53" s="2670"/>
      <c r="AC53" s="2670"/>
      <c r="AD53" s="2670"/>
      <c r="AE53" s="2670"/>
      <c r="AF53" s="2670"/>
      <c r="AG53" s="2670"/>
      <c r="AH53" s="2670"/>
      <c r="AI53" s="2757"/>
      <c r="AJ53" s="2757"/>
      <c r="AK53" s="2739"/>
    </row>
    <row r="54" spans="1:37" ht="39.75" customHeight="1" x14ac:dyDescent="0.2">
      <c r="A54" s="2720"/>
      <c r="B54" s="2722"/>
      <c r="C54" s="2720"/>
      <c r="D54" s="2722"/>
      <c r="E54" s="2720"/>
      <c r="F54" s="2722"/>
      <c r="G54" s="2724"/>
      <c r="H54" s="2741"/>
      <c r="I54" s="2756"/>
      <c r="J54" s="2458"/>
      <c r="K54" s="2679"/>
      <c r="L54" s="674" t="s">
        <v>932</v>
      </c>
      <c r="M54" s="2681"/>
      <c r="N54" s="2015"/>
      <c r="O54" s="2685"/>
      <c r="P54" s="2687"/>
      <c r="Q54" s="1913"/>
      <c r="R54" s="2467"/>
      <c r="S54" s="1825" t="s">
        <v>933</v>
      </c>
      <c r="T54" s="863">
        <v>20000000</v>
      </c>
      <c r="U54" s="868">
        <v>20</v>
      </c>
      <c r="V54" s="1809" t="s">
        <v>686</v>
      </c>
      <c r="W54" s="2670"/>
      <c r="X54" s="2670"/>
      <c r="Y54" s="2670"/>
      <c r="Z54" s="2670"/>
      <c r="AA54" s="2670"/>
      <c r="AB54" s="2670"/>
      <c r="AC54" s="2670"/>
      <c r="AD54" s="2670"/>
      <c r="AE54" s="2670"/>
      <c r="AF54" s="2670"/>
      <c r="AG54" s="2670"/>
      <c r="AH54" s="2670"/>
      <c r="AI54" s="2757"/>
      <c r="AJ54" s="2757"/>
      <c r="AK54" s="2739"/>
    </row>
    <row r="55" spans="1:37" ht="54" customHeight="1" x14ac:dyDescent="0.2">
      <c r="A55" s="2720"/>
      <c r="B55" s="2722"/>
      <c r="C55" s="2720"/>
      <c r="D55" s="2722"/>
      <c r="E55" s="2720"/>
      <c r="F55" s="2722"/>
      <c r="G55" s="2724"/>
      <c r="H55" s="43">
        <v>26</v>
      </c>
      <c r="I55" s="873" t="s">
        <v>934</v>
      </c>
      <c r="J55" s="1797" t="s">
        <v>126</v>
      </c>
      <c r="K55" s="1822">
        <v>1</v>
      </c>
      <c r="L55" s="674"/>
      <c r="M55" s="2681"/>
      <c r="N55" s="2015"/>
      <c r="O55" s="1823">
        <f>T55/P50</f>
        <v>0.12195121951219512</v>
      </c>
      <c r="P55" s="2687"/>
      <c r="Q55" s="1913"/>
      <c r="R55" s="874" t="s">
        <v>935</v>
      </c>
      <c r="S55" s="1825" t="s">
        <v>936</v>
      </c>
      <c r="T55" s="863">
        <v>50000000</v>
      </c>
      <c r="U55" s="868">
        <v>20</v>
      </c>
      <c r="V55" s="1809" t="s">
        <v>686</v>
      </c>
      <c r="W55" s="2670"/>
      <c r="X55" s="2670"/>
      <c r="Y55" s="2670"/>
      <c r="Z55" s="2670"/>
      <c r="AA55" s="2670"/>
      <c r="AB55" s="2670"/>
      <c r="AC55" s="2670"/>
      <c r="AD55" s="2670"/>
      <c r="AE55" s="2670"/>
      <c r="AF55" s="2670"/>
      <c r="AG55" s="2670"/>
      <c r="AH55" s="2670"/>
      <c r="AI55" s="2757"/>
      <c r="AJ55" s="2757"/>
      <c r="AK55" s="2739"/>
    </row>
    <row r="56" spans="1:37" ht="58.5" customHeight="1" x14ac:dyDescent="0.2">
      <c r="A56" s="2720"/>
      <c r="B56" s="2722"/>
      <c r="C56" s="2720"/>
      <c r="D56" s="2722"/>
      <c r="E56" s="2720"/>
      <c r="F56" s="2722"/>
      <c r="G56" s="2724"/>
      <c r="H56" s="43">
        <v>27</v>
      </c>
      <c r="I56" s="873" t="s">
        <v>937</v>
      </c>
      <c r="J56" s="1797" t="s">
        <v>126</v>
      </c>
      <c r="K56" s="1822">
        <v>2</v>
      </c>
      <c r="L56" s="674"/>
      <c r="M56" s="2681"/>
      <c r="N56" s="2015"/>
      <c r="O56" s="1823">
        <v>0</v>
      </c>
      <c r="P56" s="2687"/>
      <c r="Q56" s="1913"/>
      <c r="R56" s="1796" t="s">
        <v>938</v>
      </c>
      <c r="S56" s="874" t="s">
        <v>939</v>
      </c>
      <c r="T56" s="863">
        <v>0</v>
      </c>
      <c r="U56" s="868">
        <v>20</v>
      </c>
      <c r="V56" s="1809" t="s">
        <v>686</v>
      </c>
      <c r="W56" s="2670"/>
      <c r="X56" s="2670"/>
      <c r="Y56" s="2670"/>
      <c r="Z56" s="2670"/>
      <c r="AA56" s="2670"/>
      <c r="AB56" s="2670"/>
      <c r="AC56" s="2670"/>
      <c r="AD56" s="2670"/>
      <c r="AE56" s="2670"/>
      <c r="AF56" s="2670"/>
      <c r="AG56" s="2670"/>
      <c r="AH56" s="2670"/>
      <c r="AI56" s="2757"/>
      <c r="AJ56" s="2757"/>
      <c r="AK56" s="2739"/>
    </row>
    <row r="57" spans="1:37" ht="54.75" customHeight="1" x14ac:dyDescent="0.2">
      <c r="A57" s="2721"/>
      <c r="B57" s="2679"/>
      <c r="C57" s="2721"/>
      <c r="D57" s="2679"/>
      <c r="E57" s="2721"/>
      <c r="F57" s="2679"/>
      <c r="G57" s="2725"/>
      <c r="H57" s="43">
        <v>28</v>
      </c>
      <c r="I57" s="1825" t="s">
        <v>940</v>
      </c>
      <c r="J57" s="1797" t="s">
        <v>126</v>
      </c>
      <c r="K57" s="1822">
        <v>2</v>
      </c>
      <c r="L57" s="690"/>
      <c r="M57" s="2682"/>
      <c r="N57" s="2016"/>
      <c r="O57" s="1823">
        <v>0</v>
      </c>
      <c r="P57" s="2688"/>
      <c r="Q57" s="2467"/>
      <c r="R57" s="1810"/>
      <c r="S57" s="874" t="s">
        <v>941</v>
      </c>
      <c r="T57" s="863">
        <v>0</v>
      </c>
      <c r="U57" s="868">
        <v>20</v>
      </c>
      <c r="V57" s="1809" t="s">
        <v>686</v>
      </c>
      <c r="W57" s="2671"/>
      <c r="X57" s="2671"/>
      <c r="Y57" s="2671"/>
      <c r="Z57" s="2671"/>
      <c r="AA57" s="2671"/>
      <c r="AB57" s="2671"/>
      <c r="AC57" s="2671"/>
      <c r="AD57" s="2671"/>
      <c r="AE57" s="2671"/>
      <c r="AF57" s="2671"/>
      <c r="AG57" s="2671"/>
      <c r="AH57" s="2671"/>
      <c r="AI57" s="2757"/>
      <c r="AJ57" s="2757"/>
      <c r="AK57" s="2740"/>
    </row>
    <row r="58" spans="1:37" ht="128.25" customHeight="1" x14ac:dyDescent="0.2">
      <c r="A58" s="874"/>
      <c r="B58" s="1822"/>
      <c r="C58" s="870"/>
      <c r="D58" s="887"/>
      <c r="E58" s="870"/>
      <c r="F58" s="2744"/>
      <c r="G58" s="2758"/>
      <c r="H58" s="43">
        <v>29</v>
      </c>
      <c r="I58" s="873" t="s">
        <v>942</v>
      </c>
      <c r="J58" s="1797" t="s">
        <v>126</v>
      </c>
      <c r="K58" s="1822">
        <v>1</v>
      </c>
      <c r="L58" s="888" t="s">
        <v>943</v>
      </c>
      <c r="M58" s="868">
        <v>177</v>
      </c>
      <c r="N58" s="1807" t="s">
        <v>944</v>
      </c>
      <c r="O58" s="1823">
        <f>T58/P58</f>
        <v>1</v>
      </c>
      <c r="P58" s="889">
        <v>25000000</v>
      </c>
      <c r="Q58" s="1796" t="s">
        <v>945</v>
      </c>
      <c r="R58" s="1825" t="s">
        <v>946</v>
      </c>
      <c r="S58" s="874" t="s">
        <v>947</v>
      </c>
      <c r="T58" s="863">
        <v>25000000</v>
      </c>
      <c r="U58" s="868">
        <v>20</v>
      </c>
      <c r="V58" s="1809" t="s">
        <v>686</v>
      </c>
      <c r="W58" s="890"/>
      <c r="X58" s="890"/>
      <c r="Y58" s="891">
        <v>70</v>
      </c>
      <c r="Z58" s="891">
        <v>100</v>
      </c>
      <c r="AA58" s="891">
        <v>150</v>
      </c>
      <c r="AB58" s="891">
        <v>30</v>
      </c>
      <c r="AC58" s="890"/>
      <c r="AD58" s="890"/>
      <c r="AE58" s="890"/>
      <c r="AF58" s="890"/>
      <c r="AG58" s="890"/>
      <c r="AH58" s="890"/>
      <c r="AI58" s="1814">
        <v>42736</v>
      </c>
      <c r="AJ58" s="1814">
        <v>43100</v>
      </c>
      <c r="AK58" s="892" t="s">
        <v>856</v>
      </c>
    </row>
    <row r="59" spans="1:37" ht="112.5" customHeight="1" x14ac:dyDescent="0.2">
      <c r="A59" s="874"/>
      <c r="B59" s="1822"/>
      <c r="C59" s="870"/>
      <c r="D59" s="887"/>
      <c r="E59" s="870"/>
      <c r="F59" s="2744"/>
      <c r="G59" s="2758"/>
      <c r="H59" s="893">
        <v>30</v>
      </c>
      <c r="I59" s="873" t="s">
        <v>948</v>
      </c>
      <c r="J59" s="1797" t="s">
        <v>126</v>
      </c>
      <c r="K59" s="1822">
        <v>1</v>
      </c>
      <c r="L59" s="888" t="s">
        <v>949</v>
      </c>
      <c r="M59" s="868">
        <v>175</v>
      </c>
      <c r="N59" s="1799" t="s">
        <v>950</v>
      </c>
      <c r="O59" s="1823">
        <f>T59/P59</f>
        <v>1</v>
      </c>
      <c r="P59" s="889">
        <f>SUM(T59)</f>
        <v>45000000</v>
      </c>
      <c r="Q59" s="1825" t="s">
        <v>951</v>
      </c>
      <c r="R59" s="1810" t="s">
        <v>952</v>
      </c>
      <c r="S59" s="874" t="s">
        <v>953</v>
      </c>
      <c r="T59" s="863">
        <f>25000000+20000000</f>
        <v>45000000</v>
      </c>
      <c r="U59" s="868">
        <v>20</v>
      </c>
      <c r="V59" s="1809" t="s">
        <v>686</v>
      </c>
      <c r="W59" s="890"/>
      <c r="X59" s="890"/>
      <c r="Y59" s="890"/>
      <c r="Z59" s="890"/>
      <c r="AA59" s="890"/>
      <c r="AB59" s="890"/>
      <c r="AC59" s="890"/>
      <c r="AD59" s="890"/>
      <c r="AE59" s="890"/>
      <c r="AF59" s="890"/>
      <c r="AG59" s="890"/>
      <c r="AH59" s="890"/>
      <c r="AI59" s="1814">
        <v>42736</v>
      </c>
      <c r="AJ59" s="1814">
        <v>43100</v>
      </c>
      <c r="AK59" s="892" t="s">
        <v>856</v>
      </c>
    </row>
    <row r="60" spans="1:37" ht="36" customHeight="1" thickBot="1" x14ac:dyDescent="0.25">
      <c r="A60" s="1820"/>
      <c r="B60" s="1817"/>
      <c r="C60" s="1820"/>
      <c r="D60" s="1819"/>
      <c r="E60" s="841">
        <v>6</v>
      </c>
      <c r="F60" s="842" t="s">
        <v>954</v>
      </c>
      <c r="G60" s="842"/>
      <c r="H60" s="842"/>
      <c r="I60" s="682"/>
      <c r="J60" s="843"/>
      <c r="K60" s="842"/>
      <c r="L60" s="842"/>
      <c r="M60" s="844"/>
      <c r="N60" s="845"/>
      <c r="O60" s="846"/>
      <c r="P60" s="847"/>
      <c r="Q60" s="845"/>
      <c r="R60" s="845"/>
      <c r="S60" s="845"/>
      <c r="T60" s="848"/>
      <c r="U60" s="844"/>
      <c r="V60" s="843"/>
      <c r="W60" s="859"/>
      <c r="X60" s="859"/>
      <c r="Y60" s="859"/>
      <c r="Z60" s="859"/>
      <c r="AA60" s="859"/>
      <c r="AB60" s="859"/>
      <c r="AC60" s="859"/>
      <c r="AD60" s="859"/>
      <c r="AE60" s="859"/>
      <c r="AF60" s="859"/>
      <c r="AG60" s="859"/>
      <c r="AH60" s="859"/>
      <c r="AI60" s="849"/>
      <c r="AJ60" s="849"/>
      <c r="AK60" s="850"/>
    </row>
    <row r="61" spans="1:37" ht="118.5" customHeight="1" x14ac:dyDescent="0.2">
      <c r="A61" s="2719"/>
      <c r="B61" s="2678"/>
      <c r="C61" s="2719"/>
      <c r="D61" s="2678"/>
      <c r="E61" s="2719"/>
      <c r="F61" s="2678"/>
      <c r="G61" s="2723"/>
      <c r="H61" s="870">
        <v>31</v>
      </c>
      <c r="I61" s="1825" t="s">
        <v>955</v>
      </c>
      <c r="J61" s="1797" t="s">
        <v>126</v>
      </c>
      <c r="K61" s="894">
        <v>4</v>
      </c>
      <c r="L61" s="1897" t="s">
        <v>956</v>
      </c>
      <c r="M61" s="2680">
        <v>75</v>
      </c>
      <c r="N61" s="2014" t="s">
        <v>957</v>
      </c>
      <c r="O61" s="1823">
        <f>T61/P61</f>
        <v>0.30257142857142855</v>
      </c>
      <c r="P61" s="2686">
        <v>350000000</v>
      </c>
      <c r="Q61" s="1912" t="s">
        <v>958</v>
      </c>
      <c r="R61" s="874" t="s">
        <v>959</v>
      </c>
      <c r="S61" s="874" t="s">
        <v>960</v>
      </c>
      <c r="T61" s="895">
        <f>95900000+10000000</f>
        <v>105900000</v>
      </c>
      <c r="U61" s="868">
        <v>20</v>
      </c>
      <c r="V61" s="1809" t="s">
        <v>686</v>
      </c>
      <c r="W61" s="2669"/>
      <c r="X61" s="2669"/>
      <c r="Y61" s="2669"/>
      <c r="Z61" s="2669"/>
      <c r="AA61" s="2666">
        <v>300</v>
      </c>
      <c r="AB61" s="2666">
        <v>10</v>
      </c>
      <c r="AC61" s="2666"/>
      <c r="AD61" s="2666"/>
      <c r="AE61" s="2666"/>
      <c r="AF61" s="2666"/>
      <c r="AG61" s="2666"/>
      <c r="AH61" s="2666"/>
      <c r="AI61" s="2757">
        <v>42736</v>
      </c>
      <c r="AJ61" s="2757">
        <v>43100</v>
      </c>
      <c r="AK61" s="2738" t="s">
        <v>856</v>
      </c>
    </row>
    <row r="62" spans="1:37" ht="134.25" customHeight="1" x14ac:dyDescent="0.2">
      <c r="A62" s="2720"/>
      <c r="B62" s="2722"/>
      <c r="C62" s="2720"/>
      <c r="D62" s="2722"/>
      <c r="E62" s="2720"/>
      <c r="F62" s="2722"/>
      <c r="G62" s="2724"/>
      <c r="H62" s="870">
        <v>32</v>
      </c>
      <c r="I62" s="1825" t="s">
        <v>961</v>
      </c>
      <c r="J62" s="1797" t="s">
        <v>126</v>
      </c>
      <c r="K62" s="896">
        <v>30</v>
      </c>
      <c r="L62" s="1899"/>
      <c r="M62" s="2681"/>
      <c r="N62" s="2015"/>
      <c r="O62" s="1823">
        <f>T62/P61</f>
        <v>0.53400000000000003</v>
      </c>
      <c r="P62" s="2687"/>
      <c r="Q62" s="1913"/>
      <c r="R62" s="874" t="s">
        <v>962</v>
      </c>
      <c r="S62" s="874" t="s">
        <v>963</v>
      </c>
      <c r="T62" s="895">
        <f>86900000+100000000</f>
        <v>186900000</v>
      </c>
      <c r="U62" s="868">
        <v>20</v>
      </c>
      <c r="V62" s="1809" t="s">
        <v>686</v>
      </c>
      <c r="W62" s="2670"/>
      <c r="X62" s="2670"/>
      <c r="Y62" s="2670"/>
      <c r="Z62" s="2670"/>
      <c r="AA62" s="2667"/>
      <c r="AB62" s="2667"/>
      <c r="AC62" s="2667"/>
      <c r="AD62" s="2667"/>
      <c r="AE62" s="2667"/>
      <c r="AF62" s="2667"/>
      <c r="AG62" s="2667"/>
      <c r="AH62" s="2667"/>
      <c r="AI62" s="2757"/>
      <c r="AJ62" s="2757"/>
      <c r="AK62" s="2739"/>
    </row>
    <row r="63" spans="1:37" ht="109.5" customHeight="1" x14ac:dyDescent="0.2">
      <c r="A63" s="2720"/>
      <c r="B63" s="2722"/>
      <c r="C63" s="2720"/>
      <c r="D63" s="2722"/>
      <c r="E63" s="2720"/>
      <c r="F63" s="2722"/>
      <c r="G63" s="2724"/>
      <c r="H63" s="870">
        <v>33</v>
      </c>
      <c r="I63" s="1825" t="s">
        <v>964</v>
      </c>
      <c r="J63" s="1797" t="s">
        <v>126</v>
      </c>
      <c r="K63" s="855">
        <v>400</v>
      </c>
      <c r="L63" s="1899"/>
      <c r="M63" s="2681"/>
      <c r="N63" s="2015"/>
      <c r="O63" s="1823">
        <f>T63/P61</f>
        <v>8.1714285714285712E-2</v>
      </c>
      <c r="P63" s="2687"/>
      <c r="Q63" s="1913"/>
      <c r="R63" s="897" t="s">
        <v>965</v>
      </c>
      <c r="S63" s="874" t="s">
        <v>966</v>
      </c>
      <c r="T63" s="895">
        <f>8600000+20000000</f>
        <v>28600000</v>
      </c>
      <c r="U63" s="868">
        <v>20</v>
      </c>
      <c r="V63" s="1809" t="s">
        <v>686</v>
      </c>
      <c r="W63" s="2670"/>
      <c r="X63" s="2670"/>
      <c r="Y63" s="2670"/>
      <c r="Z63" s="2670"/>
      <c r="AA63" s="2667"/>
      <c r="AB63" s="2667"/>
      <c r="AC63" s="2667"/>
      <c r="AD63" s="2667"/>
      <c r="AE63" s="2667"/>
      <c r="AF63" s="2667"/>
      <c r="AG63" s="2667"/>
      <c r="AH63" s="2667"/>
      <c r="AI63" s="2757"/>
      <c r="AJ63" s="2757"/>
      <c r="AK63" s="2739"/>
    </row>
    <row r="64" spans="1:37" ht="76.5" customHeight="1" x14ac:dyDescent="0.2">
      <c r="A64" s="2721"/>
      <c r="B64" s="2679"/>
      <c r="C64" s="2721"/>
      <c r="D64" s="2679"/>
      <c r="E64" s="2721"/>
      <c r="F64" s="2679"/>
      <c r="G64" s="2725"/>
      <c r="H64" s="1820">
        <v>34</v>
      </c>
      <c r="I64" s="1796" t="s">
        <v>967</v>
      </c>
      <c r="J64" s="1798" t="s">
        <v>126</v>
      </c>
      <c r="K64" s="898">
        <v>800</v>
      </c>
      <c r="L64" s="2707"/>
      <c r="M64" s="2682"/>
      <c r="N64" s="2016"/>
      <c r="O64" s="1823">
        <f>T64/P61</f>
        <v>8.1714285714285712E-2</v>
      </c>
      <c r="P64" s="2688"/>
      <c r="Q64" s="2467"/>
      <c r="R64" s="899" t="s">
        <v>968</v>
      </c>
      <c r="S64" s="899" t="s">
        <v>969</v>
      </c>
      <c r="T64" s="900">
        <f>8600000+20000000</f>
        <v>28600000</v>
      </c>
      <c r="U64" s="1815">
        <v>20</v>
      </c>
      <c r="V64" s="1803" t="s">
        <v>686</v>
      </c>
      <c r="W64" s="2671"/>
      <c r="X64" s="2671"/>
      <c r="Y64" s="2671"/>
      <c r="Z64" s="2671"/>
      <c r="AA64" s="2668"/>
      <c r="AB64" s="2668"/>
      <c r="AC64" s="2668"/>
      <c r="AD64" s="2668"/>
      <c r="AE64" s="2668"/>
      <c r="AF64" s="2668"/>
      <c r="AG64" s="2668"/>
      <c r="AH64" s="2668"/>
      <c r="AI64" s="2757"/>
      <c r="AJ64" s="2757"/>
      <c r="AK64" s="2740"/>
    </row>
    <row r="65" spans="1:41" ht="15" x14ac:dyDescent="0.2">
      <c r="A65" s="1820"/>
      <c r="B65" s="1817"/>
      <c r="C65" s="1820"/>
      <c r="D65" s="1819"/>
      <c r="E65" s="841">
        <v>7</v>
      </c>
      <c r="F65" s="842" t="s">
        <v>970</v>
      </c>
      <c r="G65" s="842"/>
      <c r="H65" s="842"/>
      <c r="I65" s="682"/>
      <c r="J65" s="843"/>
      <c r="K65" s="842"/>
      <c r="L65" s="842"/>
      <c r="M65" s="844"/>
      <c r="N65" s="845"/>
      <c r="O65" s="846"/>
      <c r="P65" s="847"/>
      <c r="Q65" s="845"/>
      <c r="R65" s="845"/>
      <c r="S65" s="845"/>
      <c r="T65" s="848"/>
      <c r="U65" s="844"/>
      <c r="V65" s="843"/>
      <c r="W65" s="859"/>
      <c r="X65" s="859"/>
      <c r="Y65" s="859"/>
      <c r="Z65" s="859"/>
      <c r="AA65" s="859"/>
      <c r="AB65" s="859"/>
      <c r="AC65" s="859"/>
      <c r="AD65" s="859"/>
      <c r="AE65" s="859"/>
      <c r="AF65" s="859"/>
      <c r="AG65" s="859"/>
      <c r="AH65" s="859"/>
      <c r="AI65" s="849"/>
      <c r="AJ65" s="849"/>
      <c r="AK65" s="850"/>
    </row>
    <row r="66" spans="1:41" ht="68.25" customHeight="1" x14ac:dyDescent="0.2">
      <c r="A66" s="2719"/>
      <c r="B66" s="2678"/>
      <c r="C66" s="2719"/>
      <c r="D66" s="2678"/>
      <c r="E66" s="2719"/>
      <c r="F66" s="2678"/>
      <c r="G66" s="2723"/>
      <c r="H66" s="1797">
        <v>35</v>
      </c>
      <c r="I66" s="1825" t="s">
        <v>971</v>
      </c>
      <c r="J66" s="1797" t="s">
        <v>126</v>
      </c>
      <c r="K66" s="1822">
        <v>5</v>
      </c>
      <c r="L66" s="851"/>
      <c r="M66" s="2680">
        <v>78</v>
      </c>
      <c r="N66" s="2014" t="s">
        <v>972</v>
      </c>
      <c r="O66" s="1823">
        <f>T66/P66</f>
        <v>0.4</v>
      </c>
      <c r="P66" s="2686">
        <f>SUM(T66:T68)</f>
        <v>150000000</v>
      </c>
      <c r="Q66" s="1912" t="s">
        <v>973</v>
      </c>
      <c r="R66" s="874" t="s">
        <v>974</v>
      </c>
      <c r="S66" s="874" t="s">
        <v>975</v>
      </c>
      <c r="T66" s="901">
        <f>90000000-30000000</f>
        <v>60000000</v>
      </c>
      <c r="U66" s="868">
        <v>20</v>
      </c>
      <c r="V66" s="1797" t="s">
        <v>686</v>
      </c>
      <c r="W66" s="2669"/>
      <c r="X66" s="2669"/>
      <c r="Y66" s="2669">
        <v>20</v>
      </c>
      <c r="Z66" s="2669">
        <v>40</v>
      </c>
      <c r="AA66" s="2666">
        <v>50</v>
      </c>
      <c r="AB66" s="2666">
        <v>50</v>
      </c>
      <c r="AC66" s="2666"/>
      <c r="AD66" s="2666"/>
      <c r="AE66" s="2666"/>
      <c r="AF66" s="2666"/>
      <c r="AG66" s="2666"/>
      <c r="AH66" s="2666"/>
      <c r="AI66" s="2757">
        <v>42736</v>
      </c>
      <c r="AJ66" s="2757">
        <v>43100</v>
      </c>
      <c r="AK66" s="2738" t="s">
        <v>856</v>
      </c>
    </row>
    <row r="67" spans="1:41" ht="66" customHeight="1" x14ac:dyDescent="0.2">
      <c r="A67" s="2720"/>
      <c r="B67" s="2722"/>
      <c r="C67" s="2720"/>
      <c r="D67" s="2722"/>
      <c r="E67" s="2720"/>
      <c r="F67" s="2722"/>
      <c r="G67" s="2724"/>
      <c r="H67" s="1797">
        <v>36</v>
      </c>
      <c r="I67" s="1825" t="s">
        <v>976</v>
      </c>
      <c r="J67" s="1797" t="s">
        <v>126</v>
      </c>
      <c r="K67" s="1822">
        <v>1</v>
      </c>
      <c r="L67" s="674" t="s">
        <v>977</v>
      </c>
      <c r="M67" s="2681"/>
      <c r="N67" s="2015"/>
      <c r="O67" s="1823">
        <f>T67/P66</f>
        <v>0.22333333333333333</v>
      </c>
      <c r="P67" s="2687"/>
      <c r="Q67" s="1913"/>
      <c r="R67" s="1912" t="s">
        <v>978</v>
      </c>
      <c r="S67" s="874" t="s">
        <v>979</v>
      </c>
      <c r="T67" s="901">
        <f>3500000+30000000</f>
        <v>33500000</v>
      </c>
      <c r="U67" s="868">
        <v>20</v>
      </c>
      <c r="V67" s="1797" t="s">
        <v>686</v>
      </c>
      <c r="W67" s="2670"/>
      <c r="X67" s="2670"/>
      <c r="Y67" s="2670"/>
      <c r="Z67" s="2670"/>
      <c r="AA67" s="2667"/>
      <c r="AB67" s="2667"/>
      <c r="AC67" s="2667"/>
      <c r="AD67" s="2667"/>
      <c r="AE67" s="2667"/>
      <c r="AF67" s="2667"/>
      <c r="AG67" s="2667"/>
      <c r="AH67" s="2667"/>
      <c r="AI67" s="2757"/>
      <c r="AJ67" s="2757"/>
      <c r="AK67" s="2739"/>
      <c r="AM67" s="279">
        <f>352174159+114917107</f>
        <v>467091266</v>
      </c>
    </row>
    <row r="68" spans="1:41" ht="87.75" customHeight="1" x14ac:dyDescent="0.2">
      <c r="A68" s="2721"/>
      <c r="B68" s="2679"/>
      <c r="C68" s="2721"/>
      <c r="D68" s="2679"/>
      <c r="E68" s="2721"/>
      <c r="F68" s="2679"/>
      <c r="G68" s="2725"/>
      <c r="H68" s="1797">
        <v>37</v>
      </c>
      <c r="I68" s="873" t="s">
        <v>980</v>
      </c>
      <c r="J68" s="1797" t="s">
        <v>126</v>
      </c>
      <c r="K68" s="1822">
        <v>1</v>
      </c>
      <c r="L68" s="690" t="s">
        <v>981</v>
      </c>
      <c r="M68" s="2682"/>
      <c r="N68" s="2016"/>
      <c r="O68" s="1823">
        <f>T68/P66</f>
        <v>0.37666666666666665</v>
      </c>
      <c r="P68" s="2688"/>
      <c r="Q68" s="2467"/>
      <c r="R68" s="2467"/>
      <c r="S68" s="874" t="s">
        <v>982</v>
      </c>
      <c r="T68" s="895">
        <f>6500000+20000000+30000000</f>
        <v>56500000</v>
      </c>
      <c r="U68" s="1816">
        <v>20</v>
      </c>
      <c r="V68" s="1809" t="s">
        <v>686</v>
      </c>
      <c r="W68" s="2671"/>
      <c r="X68" s="2671"/>
      <c r="Y68" s="2671"/>
      <c r="Z68" s="2671"/>
      <c r="AA68" s="2668"/>
      <c r="AB68" s="2668"/>
      <c r="AC68" s="2668"/>
      <c r="AD68" s="2668"/>
      <c r="AE68" s="2668"/>
      <c r="AF68" s="2668"/>
      <c r="AG68" s="2668"/>
      <c r="AH68" s="2668"/>
      <c r="AI68" s="2757"/>
      <c r="AJ68" s="2757"/>
      <c r="AK68" s="2740"/>
    </row>
    <row r="69" spans="1:41" s="662" customFormat="1" ht="15" x14ac:dyDescent="0.2">
      <c r="A69" s="820">
        <v>3</v>
      </c>
      <c r="B69" s="821" t="s">
        <v>983</v>
      </c>
      <c r="C69" s="821"/>
      <c r="D69" s="821"/>
      <c r="E69" s="821"/>
      <c r="F69" s="821"/>
      <c r="G69" s="821"/>
      <c r="H69" s="821"/>
      <c r="I69" s="633"/>
      <c r="J69" s="821"/>
      <c r="K69" s="821"/>
      <c r="L69" s="821"/>
      <c r="M69" s="822"/>
      <c r="N69" s="823"/>
      <c r="O69" s="824"/>
      <c r="P69" s="825"/>
      <c r="Q69" s="823"/>
      <c r="R69" s="823"/>
      <c r="S69" s="823"/>
      <c r="T69" s="826"/>
      <c r="U69" s="827"/>
      <c r="V69" s="822"/>
      <c r="W69" s="878"/>
      <c r="X69" s="878"/>
      <c r="Y69" s="878"/>
      <c r="Z69" s="878"/>
      <c r="AA69" s="878"/>
      <c r="AB69" s="878"/>
      <c r="AC69" s="878"/>
      <c r="AD69" s="878"/>
      <c r="AE69" s="878"/>
      <c r="AF69" s="878"/>
      <c r="AG69" s="878"/>
      <c r="AH69" s="878"/>
      <c r="AI69" s="828"/>
      <c r="AJ69" s="828"/>
      <c r="AK69" s="829"/>
    </row>
    <row r="70" spans="1:41" ht="15" x14ac:dyDescent="0.2">
      <c r="A70" s="1821"/>
      <c r="B70" s="1819"/>
      <c r="C70" s="879">
        <v>11</v>
      </c>
      <c r="D70" s="831" t="s">
        <v>984</v>
      </c>
      <c r="E70" s="831"/>
      <c r="F70" s="831"/>
      <c r="G70" s="831"/>
      <c r="H70" s="831"/>
      <c r="I70" s="832"/>
      <c r="J70" s="833"/>
      <c r="K70" s="831"/>
      <c r="L70" s="831"/>
      <c r="M70" s="834"/>
      <c r="N70" s="835"/>
      <c r="O70" s="836"/>
      <c r="P70" s="837"/>
      <c r="Q70" s="835"/>
      <c r="R70" s="835"/>
      <c r="S70" s="835"/>
      <c r="T70" s="838"/>
      <c r="U70" s="834"/>
      <c r="V70" s="833"/>
      <c r="W70" s="880"/>
      <c r="X70" s="880"/>
      <c r="Y70" s="880"/>
      <c r="Z70" s="880"/>
      <c r="AA70" s="880"/>
      <c r="AB70" s="880"/>
      <c r="AC70" s="880"/>
      <c r="AD70" s="880"/>
      <c r="AE70" s="880"/>
      <c r="AF70" s="880"/>
      <c r="AG70" s="880"/>
      <c r="AH70" s="880"/>
      <c r="AI70" s="839"/>
      <c r="AJ70" s="839"/>
      <c r="AK70" s="840"/>
    </row>
    <row r="71" spans="1:41" ht="15" x14ac:dyDescent="0.2">
      <c r="A71" s="1820"/>
      <c r="B71" s="1817"/>
      <c r="C71" s="1820"/>
      <c r="D71" s="1819"/>
      <c r="E71" s="841">
        <v>34</v>
      </c>
      <c r="F71" s="842" t="s">
        <v>985</v>
      </c>
      <c r="G71" s="842"/>
      <c r="H71" s="842"/>
      <c r="I71" s="682"/>
      <c r="J71" s="843"/>
      <c r="K71" s="842"/>
      <c r="L71" s="842"/>
      <c r="M71" s="844"/>
      <c r="N71" s="845"/>
      <c r="O71" s="846"/>
      <c r="P71" s="847"/>
      <c r="Q71" s="845"/>
      <c r="R71" s="845"/>
      <c r="S71" s="845"/>
      <c r="T71" s="848"/>
      <c r="U71" s="844"/>
      <c r="V71" s="843"/>
      <c r="W71" s="859"/>
      <c r="X71" s="859"/>
      <c r="Y71" s="859"/>
      <c r="Z71" s="859"/>
      <c r="AA71" s="859"/>
      <c r="AB71" s="859"/>
      <c r="AC71" s="859"/>
      <c r="AD71" s="859"/>
      <c r="AE71" s="859"/>
      <c r="AF71" s="859"/>
      <c r="AG71" s="859"/>
      <c r="AH71" s="859"/>
      <c r="AI71" s="849"/>
      <c r="AJ71" s="849"/>
      <c r="AK71" s="850"/>
    </row>
    <row r="72" spans="1:41" ht="56.25" customHeight="1" x14ac:dyDescent="0.2">
      <c r="A72" s="2719"/>
      <c r="B72" s="2678"/>
      <c r="C72" s="1903"/>
      <c r="D72" s="2678"/>
      <c r="E72" s="2719"/>
      <c r="F72" s="2678"/>
      <c r="G72" s="2723"/>
      <c r="H72" s="1873">
        <v>122</v>
      </c>
      <c r="I72" s="1912" t="s">
        <v>986</v>
      </c>
      <c r="J72" s="1903" t="s">
        <v>126</v>
      </c>
      <c r="K72" s="2678">
        <v>1</v>
      </c>
      <c r="L72" s="851"/>
      <c r="M72" s="2499">
        <v>79</v>
      </c>
      <c r="N72" s="2014" t="s">
        <v>987</v>
      </c>
      <c r="O72" s="2683">
        <f>(T72+T73)/P72</f>
        <v>5.128205128205128E-2</v>
      </c>
      <c r="P72" s="2686">
        <f>SUM(T72:T82)</f>
        <v>195000000</v>
      </c>
      <c r="Q72" s="1912" t="s">
        <v>988</v>
      </c>
      <c r="R72" s="2014" t="s">
        <v>986</v>
      </c>
      <c r="S72" s="874" t="s">
        <v>989</v>
      </c>
      <c r="T72" s="895">
        <f>10000000-10000000</f>
        <v>0</v>
      </c>
      <c r="U72" s="2680">
        <v>20</v>
      </c>
      <c r="V72" s="1903" t="s">
        <v>686</v>
      </c>
      <c r="W72" s="2669"/>
      <c r="X72" s="2669"/>
      <c r="Y72" s="2669"/>
      <c r="Z72" s="2669"/>
      <c r="AA72" s="2669"/>
      <c r="AB72" s="2669"/>
      <c r="AC72" s="2669"/>
      <c r="AD72" s="2669"/>
      <c r="AE72" s="2669"/>
      <c r="AF72" s="2669"/>
      <c r="AG72" s="2669"/>
      <c r="AH72" s="2669"/>
      <c r="AI72" s="2757">
        <v>42736</v>
      </c>
      <c r="AJ72" s="2757">
        <v>43100</v>
      </c>
      <c r="AK72" s="2738" t="s">
        <v>856</v>
      </c>
    </row>
    <row r="73" spans="1:41" ht="56.25" customHeight="1" x14ac:dyDescent="0.2">
      <c r="A73" s="2720"/>
      <c r="B73" s="2722"/>
      <c r="C73" s="1904"/>
      <c r="D73" s="2722"/>
      <c r="E73" s="2720"/>
      <c r="F73" s="2722"/>
      <c r="G73" s="2724"/>
      <c r="H73" s="1875"/>
      <c r="I73" s="2467"/>
      <c r="J73" s="2458"/>
      <c r="K73" s="2679"/>
      <c r="L73" s="674"/>
      <c r="M73" s="2699"/>
      <c r="N73" s="2015"/>
      <c r="O73" s="2685"/>
      <c r="P73" s="2687"/>
      <c r="Q73" s="1913"/>
      <c r="R73" s="2016"/>
      <c r="S73" s="874" t="s">
        <v>990</v>
      </c>
      <c r="T73" s="895">
        <v>10000000</v>
      </c>
      <c r="U73" s="2682"/>
      <c r="V73" s="2458"/>
      <c r="W73" s="2670"/>
      <c r="X73" s="2670"/>
      <c r="Y73" s="2670"/>
      <c r="Z73" s="2670"/>
      <c r="AA73" s="2670"/>
      <c r="AB73" s="2670"/>
      <c r="AC73" s="2670"/>
      <c r="AD73" s="2670"/>
      <c r="AE73" s="2670"/>
      <c r="AF73" s="2670"/>
      <c r="AG73" s="2670"/>
      <c r="AH73" s="2670"/>
      <c r="AI73" s="2757"/>
      <c r="AJ73" s="2757"/>
      <c r="AK73" s="2739"/>
    </row>
    <row r="74" spans="1:41" ht="89.25" customHeight="1" x14ac:dyDescent="0.2">
      <c r="A74" s="2720"/>
      <c r="B74" s="2722"/>
      <c r="C74" s="1904"/>
      <c r="D74" s="2722"/>
      <c r="E74" s="2720"/>
      <c r="F74" s="2722"/>
      <c r="G74" s="2724"/>
      <c r="H74" s="2098">
        <v>123</v>
      </c>
      <c r="I74" s="2754" t="s">
        <v>991</v>
      </c>
      <c r="J74" s="1903" t="s">
        <v>126</v>
      </c>
      <c r="K74" s="2678">
        <v>4</v>
      </c>
      <c r="L74" s="674"/>
      <c r="M74" s="2699"/>
      <c r="N74" s="2015"/>
      <c r="O74" s="2683">
        <f>(T74+T75+T76)/P72</f>
        <v>0.41025641025641024</v>
      </c>
      <c r="P74" s="2687"/>
      <c r="Q74" s="1913"/>
      <c r="R74" s="2754" t="s">
        <v>991</v>
      </c>
      <c r="S74" s="874" t="s">
        <v>992</v>
      </c>
      <c r="T74" s="895">
        <f>10000000-10000000</f>
        <v>0</v>
      </c>
      <c r="U74" s="2680">
        <v>20</v>
      </c>
      <c r="V74" s="1903" t="s">
        <v>686</v>
      </c>
      <c r="W74" s="2670"/>
      <c r="X74" s="2670"/>
      <c r="Y74" s="2670"/>
      <c r="Z74" s="2670"/>
      <c r="AA74" s="2670"/>
      <c r="AB74" s="2670"/>
      <c r="AC74" s="2670"/>
      <c r="AD74" s="2670"/>
      <c r="AE74" s="2670"/>
      <c r="AF74" s="2670"/>
      <c r="AG74" s="2670"/>
      <c r="AH74" s="2670"/>
      <c r="AI74" s="2757"/>
      <c r="AJ74" s="2757"/>
      <c r="AK74" s="2739"/>
      <c r="AL74" s="283"/>
      <c r="AM74" s="283"/>
      <c r="AN74" s="283"/>
      <c r="AO74" s="283"/>
    </row>
    <row r="75" spans="1:41" ht="143.25" customHeight="1" x14ac:dyDescent="0.2">
      <c r="A75" s="2720"/>
      <c r="B75" s="2722"/>
      <c r="C75" s="1904"/>
      <c r="D75" s="2722"/>
      <c r="E75" s="2720"/>
      <c r="F75" s="2722"/>
      <c r="G75" s="2724"/>
      <c r="H75" s="2099"/>
      <c r="I75" s="2755"/>
      <c r="J75" s="1904"/>
      <c r="K75" s="2722"/>
      <c r="L75" s="674"/>
      <c r="M75" s="2699"/>
      <c r="N75" s="2015"/>
      <c r="O75" s="2684"/>
      <c r="P75" s="2687"/>
      <c r="Q75" s="1913"/>
      <c r="R75" s="2755"/>
      <c r="S75" s="874" t="s">
        <v>993</v>
      </c>
      <c r="T75" s="895">
        <f>10000000+60000000</f>
        <v>70000000</v>
      </c>
      <c r="U75" s="2681"/>
      <c r="V75" s="1904"/>
      <c r="W75" s="2670"/>
      <c r="X75" s="2670"/>
      <c r="Y75" s="2670"/>
      <c r="Z75" s="2670"/>
      <c r="AA75" s="2670"/>
      <c r="AB75" s="2670"/>
      <c r="AC75" s="2670"/>
      <c r="AD75" s="2670"/>
      <c r="AE75" s="2670"/>
      <c r="AF75" s="2670"/>
      <c r="AG75" s="2670"/>
      <c r="AH75" s="2670"/>
      <c r="AI75" s="2757"/>
      <c r="AJ75" s="2757"/>
      <c r="AK75" s="2739"/>
      <c r="AL75" s="283"/>
      <c r="AM75" s="283"/>
      <c r="AN75" s="283"/>
      <c r="AO75" s="283"/>
    </row>
    <row r="76" spans="1:41" ht="153.75" customHeight="1" x14ac:dyDescent="0.2">
      <c r="A76" s="2720"/>
      <c r="B76" s="2722"/>
      <c r="C76" s="1904"/>
      <c r="D76" s="2722"/>
      <c r="E76" s="2720"/>
      <c r="F76" s="2722"/>
      <c r="G76" s="2724"/>
      <c r="H76" s="2741"/>
      <c r="I76" s="2756"/>
      <c r="J76" s="2458"/>
      <c r="K76" s="2679"/>
      <c r="L76" s="674" t="s">
        <v>994</v>
      </c>
      <c r="M76" s="2699"/>
      <c r="N76" s="2015"/>
      <c r="O76" s="2685"/>
      <c r="P76" s="2687"/>
      <c r="Q76" s="1913"/>
      <c r="R76" s="2756"/>
      <c r="S76" s="874" t="s">
        <v>995</v>
      </c>
      <c r="T76" s="895">
        <v>10000000</v>
      </c>
      <c r="U76" s="2682"/>
      <c r="V76" s="2458"/>
      <c r="W76" s="2670"/>
      <c r="X76" s="2670"/>
      <c r="Y76" s="2670"/>
      <c r="Z76" s="2670"/>
      <c r="AA76" s="2670"/>
      <c r="AB76" s="2670"/>
      <c r="AC76" s="2670"/>
      <c r="AD76" s="2670"/>
      <c r="AE76" s="2670"/>
      <c r="AF76" s="2670"/>
      <c r="AG76" s="2670"/>
      <c r="AH76" s="2670"/>
      <c r="AI76" s="2757"/>
      <c r="AJ76" s="2757"/>
      <c r="AK76" s="2739"/>
      <c r="AL76" s="283"/>
      <c r="AM76" s="283"/>
      <c r="AN76" s="283"/>
      <c r="AO76" s="283"/>
    </row>
    <row r="77" spans="1:41" ht="87" customHeight="1" x14ac:dyDescent="0.2">
      <c r="A77" s="2720"/>
      <c r="B77" s="2722"/>
      <c r="C77" s="1904"/>
      <c r="D77" s="2722"/>
      <c r="E77" s="2720"/>
      <c r="F77" s="2722"/>
      <c r="G77" s="2724"/>
      <c r="H77" s="2098">
        <v>124</v>
      </c>
      <c r="I77" s="2754" t="s">
        <v>996</v>
      </c>
      <c r="J77" s="1903" t="s">
        <v>126</v>
      </c>
      <c r="K77" s="1896">
        <v>150</v>
      </c>
      <c r="L77" s="674" t="s">
        <v>997</v>
      </c>
      <c r="M77" s="2699"/>
      <c r="N77" s="2015"/>
      <c r="O77" s="2496">
        <f>(T78+T77)/P72</f>
        <v>0.28205128205128205</v>
      </c>
      <c r="P77" s="2687"/>
      <c r="Q77" s="1913"/>
      <c r="R77" s="2754" t="s">
        <v>991</v>
      </c>
      <c r="S77" s="874" t="s">
        <v>998</v>
      </c>
      <c r="T77" s="895">
        <f>20000000-20000000</f>
        <v>0</v>
      </c>
      <c r="U77" s="2680">
        <v>20</v>
      </c>
      <c r="V77" s="1903" t="s">
        <v>686</v>
      </c>
      <c r="W77" s="2670"/>
      <c r="X77" s="2670"/>
      <c r="Y77" s="2670"/>
      <c r="Z77" s="2670"/>
      <c r="AA77" s="2670"/>
      <c r="AB77" s="2670"/>
      <c r="AC77" s="2670"/>
      <c r="AD77" s="2670"/>
      <c r="AE77" s="2670"/>
      <c r="AF77" s="2670"/>
      <c r="AG77" s="2670"/>
      <c r="AH77" s="2670"/>
      <c r="AI77" s="2757"/>
      <c r="AJ77" s="2757"/>
      <c r="AK77" s="2739"/>
      <c r="AL77" s="283"/>
      <c r="AM77" s="283"/>
      <c r="AN77" s="283"/>
      <c r="AO77" s="283"/>
    </row>
    <row r="78" spans="1:41" ht="54" customHeight="1" x14ac:dyDescent="0.2">
      <c r="A78" s="2720"/>
      <c r="B78" s="2722"/>
      <c r="C78" s="1904"/>
      <c r="D78" s="2722"/>
      <c r="E78" s="2720"/>
      <c r="F78" s="2722"/>
      <c r="G78" s="2724"/>
      <c r="H78" s="2741"/>
      <c r="I78" s="2756"/>
      <c r="J78" s="2458"/>
      <c r="K78" s="2698"/>
      <c r="L78" s="674"/>
      <c r="M78" s="2699"/>
      <c r="N78" s="2015"/>
      <c r="O78" s="2498"/>
      <c r="P78" s="2687"/>
      <c r="Q78" s="1913"/>
      <c r="R78" s="2756"/>
      <c r="S78" s="874" t="s">
        <v>999</v>
      </c>
      <c r="T78" s="895">
        <f>20000000+35000000</f>
        <v>55000000</v>
      </c>
      <c r="U78" s="2682"/>
      <c r="V78" s="2458"/>
      <c r="W78" s="2670"/>
      <c r="X78" s="2670"/>
      <c r="Y78" s="2670"/>
      <c r="Z78" s="2670"/>
      <c r="AA78" s="2670"/>
      <c r="AB78" s="2670"/>
      <c r="AC78" s="2670"/>
      <c r="AD78" s="2670"/>
      <c r="AE78" s="2670"/>
      <c r="AF78" s="2670"/>
      <c r="AG78" s="2670"/>
      <c r="AH78" s="2670"/>
      <c r="AI78" s="2757"/>
      <c r="AJ78" s="2757"/>
      <c r="AK78" s="2739"/>
      <c r="AL78" s="283"/>
      <c r="AM78" s="283"/>
      <c r="AN78" s="283"/>
      <c r="AO78" s="283"/>
    </row>
    <row r="79" spans="1:41" ht="102.75" customHeight="1" x14ac:dyDescent="0.2">
      <c r="A79" s="2720"/>
      <c r="B79" s="2722"/>
      <c r="C79" s="1904"/>
      <c r="D79" s="2722"/>
      <c r="E79" s="2720"/>
      <c r="F79" s="2722"/>
      <c r="G79" s="2724"/>
      <c r="H79" s="2098">
        <v>126</v>
      </c>
      <c r="I79" s="2754" t="s">
        <v>1000</v>
      </c>
      <c r="J79" s="1903" t="s">
        <v>126</v>
      </c>
      <c r="K79" s="2759">
        <f>1795+1531</f>
        <v>3326</v>
      </c>
      <c r="L79" s="674"/>
      <c r="M79" s="2699"/>
      <c r="N79" s="2015"/>
      <c r="O79" s="2683">
        <f>(T80+T79)/P72</f>
        <v>5.128205128205128E-2</v>
      </c>
      <c r="P79" s="2687"/>
      <c r="Q79" s="1913"/>
      <c r="R79" s="2754" t="s">
        <v>1000</v>
      </c>
      <c r="S79" s="902" t="s">
        <v>1001</v>
      </c>
      <c r="T79" s="895">
        <f>10000000-10000000</f>
        <v>0</v>
      </c>
      <c r="U79" s="868">
        <v>20</v>
      </c>
      <c r="V79" s="1809" t="s">
        <v>686</v>
      </c>
      <c r="W79" s="2670"/>
      <c r="X79" s="2670"/>
      <c r="Y79" s="2670"/>
      <c r="Z79" s="2670"/>
      <c r="AA79" s="2670"/>
      <c r="AB79" s="2670"/>
      <c r="AC79" s="2670"/>
      <c r="AD79" s="2670"/>
      <c r="AE79" s="2670"/>
      <c r="AF79" s="2670"/>
      <c r="AG79" s="2670"/>
      <c r="AH79" s="2670"/>
      <c r="AI79" s="2757"/>
      <c r="AJ79" s="2757"/>
      <c r="AK79" s="2739"/>
      <c r="AL79" s="283"/>
      <c r="AM79" s="283"/>
      <c r="AN79" s="283"/>
      <c r="AO79" s="283"/>
    </row>
    <row r="80" spans="1:41" ht="102.75" customHeight="1" x14ac:dyDescent="0.2">
      <c r="A80" s="2720"/>
      <c r="B80" s="2722"/>
      <c r="C80" s="1904"/>
      <c r="D80" s="2722"/>
      <c r="E80" s="2720"/>
      <c r="F80" s="2722"/>
      <c r="G80" s="2724"/>
      <c r="H80" s="2741"/>
      <c r="I80" s="2756"/>
      <c r="J80" s="2458"/>
      <c r="K80" s="2760"/>
      <c r="L80" s="674"/>
      <c r="M80" s="2699"/>
      <c r="N80" s="2015"/>
      <c r="O80" s="2685"/>
      <c r="P80" s="2687"/>
      <c r="Q80" s="1913"/>
      <c r="R80" s="2756"/>
      <c r="S80" s="902" t="s">
        <v>1002</v>
      </c>
      <c r="T80" s="895">
        <v>10000000</v>
      </c>
      <c r="U80" s="868"/>
      <c r="V80" s="1809" t="s">
        <v>686</v>
      </c>
      <c r="W80" s="2670"/>
      <c r="X80" s="2670"/>
      <c r="Y80" s="2670"/>
      <c r="Z80" s="2670"/>
      <c r="AA80" s="2670"/>
      <c r="AB80" s="2670"/>
      <c r="AC80" s="2670"/>
      <c r="AD80" s="2670"/>
      <c r="AE80" s="2670"/>
      <c r="AF80" s="2670"/>
      <c r="AG80" s="2670"/>
      <c r="AH80" s="2670"/>
      <c r="AI80" s="2757"/>
      <c r="AJ80" s="2757"/>
      <c r="AK80" s="2739"/>
      <c r="AL80" s="283"/>
      <c r="AM80" s="283"/>
      <c r="AN80" s="283"/>
      <c r="AO80" s="283"/>
    </row>
    <row r="81" spans="1:60" ht="102.75" customHeight="1" x14ac:dyDescent="0.2">
      <c r="A81" s="2720"/>
      <c r="B81" s="2722"/>
      <c r="C81" s="1904"/>
      <c r="D81" s="2722"/>
      <c r="E81" s="2720"/>
      <c r="F81" s="2722"/>
      <c r="G81" s="2724"/>
      <c r="H81" s="1873">
        <v>125</v>
      </c>
      <c r="I81" s="1912" t="s">
        <v>1003</v>
      </c>
      <c r="J81" s="1903" t="s">
        <v>126</v>
      </c>
      <c r="K81" s="2767">
        <v>750</v>
      </c>
      <c r="L81" s="674"/>
      <c r="M81" s="2699"/>
      <c r="N81" s="2015"/>
      <c r="O81" s="2683">
        <f>(T82+T81)/P72</f>
        <v>0.20512820512820512</v>
      </c>
      <c r="P81" s="2687"/>
      <c r="Q81" s="1913"/>
      <c r="R81" s="2769" t="s">
        <v>1003</v>
      </c>
      <c r="S81" s="874" t="s">
        <v>1004</v>
      </c>
      <c r="T81" s="860">
        <f>20000000-20000000</f>
        <v>0</v>
      </c>
      <c r="U81" s="868">
        <v>20</v>
      </c>
      <c r="V81" s="1809" t="s">
        <v>686</v>
      </c>
      <c r="W81" s="2670"/>
      <c r="X81" s="2670"/>
      <c r="Y81" s="2670"/>
      <c r="Z81" s="2670"/>
      <c r="AA81" s="2670"/>
      <c r="AB81" s="2670"/>
      <c r="AC81" s="2670"/>
      <c r="AD81" s="2670"/>
      <c r="AE81" s="2670"/>
      <c r="AF81" s="2670"/>
      <c r="AG81" s="2670"/>
      <c r="AH81" s="2670"/>
      <c r="AI81" s="2757"/>
      <c r="AJ81" s="2757"/>
      <c r="AK81" s="2739"/>
      <c r="AL81" s="283"/>
      <c r="AM81" s="283"/>
      <c r="AN81" s="283"/>
      <c r="AO81" s="283"/>
    </row>
    <row r="82" spans="1:60" ht="84" customHeight="1" thickBot="1" x14ac:dyDescent="0.25">
      <c r="A82" s="2720"/>
      <c r="B82" s="2722"/>
      <c r="C82" s="1904"/>
      <c r="D82" s="2722"/>
      <c r="E82" s="2720"/>
      <c r="F82" s="2722"/>
      <c r="G82" s="2724"/>
      <c r="H82" s="1874"/>
      <c r="I82" s="1913"/>
      <c r="J82" s="1904"/>
      <c r="K82" s="2768"/>
      <c r="L82" s="674"/>
      <c r="M82" s="2699"/>
      <c r="N82" s="2015"/>
      <c r="O82" s="2684"/>
      <c r="P82" s="2687"/>
      <c r="Q82" s="1913"/>
      <c r="R82" s="2770"/>
      <c r="S82" s="899" t="s">
        <v>1005</v>
      </c>
      <c r="T82" s="858">
        <f>20000000+20000000</f>
        <v>40000000</v>
      </c>
      <c r="U82" s="1815">
        <v>20</v>
      </c>
      <c r="V82" s="1803" t="s">
        <v>686</v>
      </c>
      <c r="W82" s="2670"/>
      <c r="X82" s="2670"/>
      <c r="Y82" s="2670"/>
      <c r="Z82" s="2670"/>
      <c r="AA82" s="2670"/>
      <c r="AB82" s="2670"/>
      <c r="AC82" s="2670"/>
      <c r="AD82" s="2670"/>
      <c r="AE82" s="2670"/>
      <c r="AF82" s="2670"/>
      <c r="AG82" s="2670"/>
      <c r="AH82" s="2670"/>
      <c r="AI82" s="2735"/>
      <c r="AJ82" s="2735"/>
      <c r="AK82" s="2739"/>
      <c r="AL82" s="283"/>
      <c r="AM82" s="283"/>
      <c r="AN82" s="283"/>
      <c r="AO82" s="283"/>
    </row>
    <row r="83" spans="1:60" ht="27" customHeight="1" thickBot="1" x14ac:dyDescent="0.3">
      <c r="A83" s="903"/>
      <c r="B83" s="904"/>
      <c r="C83" s="904"/>
      <c r="D83" s="904"/>
      <c r="E83" s="904"/>
      <c r="F83" s="904"/>
      <c r="G83" s="904"/>
      <c r="H83" s="904"/>
      <c r="I83" s="905"/>
      <c r="J83" s="906"/>
      <c r="K83" s="907"/>
      <c r="L83" s="907"/>
      <c r="M83" s="908"/>
      <c r="N83" s="904"/>
      <c r="O83" s="909"/>
      <c r="P83" s="910">
        <f>SUM(P17:P82)</f>
        <v>2816507173</v>
      </c>
      <c r="Q83" s="903"/>
      <c r="R83" s="911"/>
      <c r="S83" s="912"/>
      <c r="T83" s="913">
        <f>SUM(T17:T82)</f>
        <v>2816507173</v>
      </c>
      <c r="U83" s="914"/>
      <c r="V83" s="906"/>
      <c r="W83" s="915"/>
      <c r="X83" s="916"/>
      <c r="Y83" s="915"/>
      <c r="Z83" s="915"/>
      <c r="AA83" s="915"/>
      <c r="AB83" s="915"/>
      <c r="AC83" s="915"/>
      <c r="AD83" s="915"/>
      <c r="AE83" s="915"/>
      <c r="AF83" s="915"/>
      <c r="AG83" s="915"/>
      <c r="AH83" s="915"/>
      <c r="AI83" s="915"/>
      <c r="AJ83" s="915"/>
      <c r="AK83" s="917"/>
      <c r="AL83" s="283"/>
      <c r="AM83" s="283"/>
      <c r="AN83" s="283"/>
      <c r="AO83" s="283"/>
    </row>
    <row r="84" spans="1:60" ht="27" customHeight="1" x14ac:dyDescent="0.25">
      <c r="A84" s="278"/>
      <c r="B84" s="278"/>
      <c r="C84" s="278"/>
      <c r="D84" s="278"/>
      <c r="E84" s="278"/>
      <c r="F84" s="278"/>
      <c r="G84" s="278"/>
      <c r="H84" s="278"/>
      <c r="W84" s="283"/>
      <c r="X84" s="923"/>
      <c r="Y84" s="283"/>
      <c r="Z84" s="283"/>
      <c r="AA84" s="283"/>
      <c r="AB84" s="283"/>
      <c r="AC84" s="283"/>
      <c r="AD84" s="283"/>
      <c r="AE84" s="283"/>
      <c r="AF84" s="283"/>
      <c r="AG84" s="283"/>
      <c r="AH84" s="283"/>
      <c r="AI84" s="283"/>
      <c r="AJ84" s="283"/>
      <c r="AK84" s="283"/>
      <c r="AL84" s="283"/>
      <c r="AM84" s="283"/>
      <c r="AN84" s="283"/>
      <c r="AO84" s="283"/>
    </row>
    <row r="85" spans="1:60" ht="21.75" customHeight="1" x14ac:dyDescent="0.2">
      <c r="A85" s="279"/>
      <c r="B85" s="279"/>
      <c r="C85" s="279"/>
      <c r="D85" s="662"/>
      <c r="E85" s="2761"/>
      <c r="F85" s="2761"/>
      <c r="G85" s="2761"/>
      <c r="H85" s="2761"/>
      <c r="I85" s="2761"/>
      <c r="J85" s="2761"/>
      <c r="L85" s="924"/>
      <c r="M85" s="279"/>
      <c r="N85" s="709"/>
      <c r="O85" s="278"/>
      <c r="Q85" s="923"/>
      <c r="R85" s="278"/>
      <c r="T85" s="925"/>
      <c r="U85" s="285"/>
      <c r="V85" s="926"/>
      <c r="W85" s="926"/>
      <c r="X85" s="720"/>
      <c r="Y85" s="285"/>
      <c r="Z85" s="279"/>
      <c r="AA85" s="924"/>
      <c r="AB85" s="279"/>
      <c r="AC85" s="924"/>
      <c r="AD85" s="279"/>
      <c r="AE85" s="924"/>
      <c r="AF85" s="279"/>
      <c r="AG85" s="924"/>
      <c r="AH85" s="279"/>
      <c r="AI85" s="927"/>
      <c r="AJ85" s="1808"/>
      <c r="AK85" s="924"/>
      <c r="AM85" s="924"/>
      <c r="AO85" s="924"/>
      <c r="AQ85" s="924"/>
      <c r="AS85" s="924"/>
      <c r="AU85" s="924"/>
      <c r="AW85" s="924"/>
      <c r="AX85" s="928"/>
      <c r="AY85" s="929"/>
      <c r="AZ85" s="930"/>
      <c r="BB85" s="1808"/>
      <c r="BC85" s="931"/>
      <c r="BD85" s="285"/>
      <c r="BE85" s="926"/>
      <c r="BF85" s="932"/>
      <c r="BG85" s="933"/>
      <c r="BH85" s="1813"/>
    </row>
    <row r="86" spans="1:60" ht="20.25" customHeight="1" x14ac:dyDescent="0.2">
      <c r="A86" s="279"/>
      <c r="B86" s="279"/>
      <c r="C86" s="279"/>
      <c r="D86" s="662"/>
      <c r="E86" s="2762"/>
      <c r="F86" s="2762"/>
      <c r="G86" s="2762"/>
      <c r="H86" s="2762"/>
      <c r="I86" s="2762"/>
      <c r="J86" s="2762"/>
      <c r="L86" s="924"/>
      <c r="M86" s="279"/>
      <c r="N86" s="709"/>
      <c r="O86" s="278"/>
      <c r="Q86" s="935"/>
      <c r="R86" s="278"/>
      <c r="U86" s="285"/>
      <c r="V86" s="926"/>
      <c r="W86" s="926"/>
      <c r="X86" s="720"/>
      <c r="Y86" s="285"/>
      <c r="Z86" s="279"/>
      <c r="AA86" s="924"/>
      <c r="AB86" s="279"/>
      <c r="AC86" s="924"/>
      <c r="AD86" s="279"/>
      <c r="AE86" s="924"/>
      <c r="AF86" s="279"/>
      <c r="AG86" s="924"/>
      <c r="AH86" s="279"/>
      <c r="AI86" s="927"/>
      <c r="AJ86" s="1808"/>
      <c r="AK86" s="924"/>
      <c r="AM86" s="924"/>
      <c r="AO86" s="924"/>
      <c r="AQ86" s="924"/>
      <c r="AS86" s="924"/>
      <c r="AU86" s="924"/>
      <c r="AW86" s="924"/>
      <c r="AX86" s="928"/>
      <c r="AY86" s="929"/>
      <c r="AZ86" s="930"/>
      <c r="BC86" s="928"/>
      <c r="BD86" s="285"/>
      <c r="BE86" s="926"/>
      <c r="BF86" s="932"/>
      <c r="BG86" s="933"/>
      <c r="BH86" s="1813"/>
    </row>
    <row r="87" spans="1:60" ht="27" customHeight="1" x14ac:dyDescent="0.25">
      <c r="A87" s="278"/>
      <c r="B87" s="278"/>
      <c r="C87" s="278"/>
      <c r="D87" s="278"/>
      <c r="E87" s="278"/>
      <c r="F87" s="278"/>
      <c r="G87" s="278"/>
      <c r="H87" s="278"/>
      <c r="W87" s="283"/>
      <c r="X87" s="923"/>
      <c r="Y87" s="283"/>
      <c r="Z87" s="283"/>
      <c r="AA87" s="283"/>
      <c r="AB87" s="283"/>
      <c r="AC87" s="283"/>
      <c r="AD87" s="283"/>
      <c r="AE87" s="283"/>
      <c r="AF87" s="283"/>
      <c r="AG87" s="283"/>
      <c r="AH87" s="283"/>
      <c r="AI87" s="283"/>
      <c r="AJ87" s="283"/>
      <c r="AK87" s="283"/>
      <c r="AL87" s="283"/>
      <c r="AM87" s="283"/>
      <c r="AN87" s="283"/>
      <c r="AO87" s="283"/>
    </row>
    <row r="88" spans="1:60" ht="27" customHeight="1" x14ac:dyDescent="0.25">
      <c r="A88" s="278"/>
      <c r="B88" s="278"/>
      <c r="C88" s="278"/>
      <c r="D88" s="278"/>
      <c r="E88" s="278"/>
      <c r="F88" s="278"/>
      <c r="G88" s="278"/>
      <c r="H88" s="278"/>
      <c r="W88" s="283"/>
      <c r="X88" s="923"/>
      <c r="Y88" s="283"/>
      <c r="Z88" s="283"/>
      <c r="AA88" s="283"/>
      <c r="AB88" s="283"/>
      <c r="AC88" s="283"/>
      <c r="AD88" s="283"/>
      <c r="AE88" s="283"/>
      <c r="AF88" s="283"/>
      <c r="AG88" s="283"/>
      <c r="AH88" s="283"/>
      <c r="AI88" s="283"/>
      <c r="AJ88" s="283"/>
      <c r="AK88" s="283"/>
      <c r="AL88" s="283"/>
      <c r="AM88" s="283"/>
      <c r="AN88" s="283"/>
      <c r="AO88" s="283"/>
    </row>
    <row r="89" spans="1:60" ht="27" customHeight="1" x14ac:dyDescent="0.25">
      <c r="A89" s="278"/>
      <c r="B89" s="278"/>
      <c r="C89" s="278"/>
      <c r="D89" s="278"/>
      <c r="E89" s="278"/>
      <c r="F89" s="278"/>
      <c r="G89" s="278"/>
      <c r="H89" s="278"/>
      <c r="W89" s="283"/>
      <c r="X89" s="923"/>
      <c r="Y89" s="283"/>
      <c r="Z89" s="283"/>
      <c r="AA89" s="283"/>
      <c r="AB89" s="283"/>
      <c r="AC89" s="283"/>
      <c r="AD89" s="283"/>
      <c r="AE89" s="283"/>
      <c r="AF89" s="283"/>
      <c r="AG89" s="283"/>
      <c r="AH89" s="283"/>
      <c r="AI89" s="283"/>
      <c r="AJ89" s="283"/>
      <c r="AK89" s="283"/>
      <c r="AL89" s="283"/>
      <c r="AM89" s="283"/>
      <c r="AN89" s="283"/>
      <c r="AO89" s="283"/>
    </row>
    <row r="90" spans="1:60" ht="27" customHeight="1" x14ac:dyDescent="0.25">
      <c r="A90" s="278"/>
      <c r="B90" s="278"/>
      <c r="C90" s="278"/>
      <c r="D90" s="278"/>
      <c r="E90" s="278"/>
      <c r="F90" s="278"/>
      <c r="G90" s="278"/>
      <c r="H90" s="278"/>
      <c r="W90" s="283"/>
      <c r="X90" s="923"/>
      <c r="Y90" s="283"/>
      <c r="Z90" s="283"/>
      <c r="AA90" s="283"/>
      <c r="AB90" s="283"/>
      <c r="AC90" s="283"/>
      <c r="AD90" s="283"/>
      <c r="AE90" s="283"/>
      <c r="AF90" s="283"/>
      <c r="AG90" s="283"/>
      <c r="AH90" s="283"/>
      <c r="AI90" s="283"/>
      <c r="AJ90" s="283"/>
      <c r="AK90" s="283"/>
      <c r="AL90" s="283"/>
      <c r="AM90" s="283"/>
      <c r="AN90" s="283"/>
      <c r="AO90" s="283"/>
    </row>
    <row r="91" spans="1:60" ht="27" customHeight="1" x14ac:dyDescent="0.25">
      <c r="A91" s="278"/>
      <c r="B91" s="278"/>
      <c r="C91" s="278"/>
      <c r="D91" s="278"/>
      <c r="E91" s="278"/>
      <c r="F91" s="278"/>
      <c r="G91" s="278"/>
      <c r="H91" s="278"/>
      <c r="W91" s="283"/>
      <c r="X91" s="923"/>
      <c r="Y91" s="283"/>
      <c r="Z91" s="283"/>
      <c r="AA91" s="283"/>
      <c r="AB91" s="283"/>
      <c r="AC91" s="283"/>
      <c r="AD91" s="283"/>
      <c r="AE91" s="283"/>
      <c r="AF91" s="283"/>
      <c r="AG91" s="283"/>
      <c r="AH91" s="283"/>
      <c r="AI91" s="283"/>
      <c r="AJ91" s="283"/>
      <c r="AK91" s="283"/>
      <c r="AL91" s="283"/>
      <c r="AM91" s="283"/>
      <c r="AN91" s="283"/>
      <c r="AO91" s="283"/>
    </row>
    <row r="92" spans="1:60" ht="27" customHeight="1" x14ac:dyDescent="0.25">
      <c r="A92" s="278"/>
      <c r="B92" s="278"/>
      <c r="C92" s="278"/>
      <c r="D92" s="278"/>
      <c r="E92" s="278"/>
      <c r="F92" s="278"/>
      <c r="G92" s="278"/>
      <c r="H92" s="278"/>
      <c r="W92" s="283"/>
      <c r="X92" s="923"/>
      <c r="Y92" s="283"/>
      <c r="Z92" s="283"/>
      <c r="AA92" s="283"/>
      <c r="AB92" s="283"/>
      <c r="AC92" s="283"/>
      <c r="AD92" s="283"/>
      <c r="AE92" s="283"/>
      <c r="AF92" s="283"/>
      <c r="AG92" s="283"/>
      <c r="AH92" s="283"/>
      <c r="AI92" s="283"/>
      <c r="AJ92" s="283"/>
      <c r="AK92" s="283"/>
      <c r="AL92" s="283"/>
      <c r="AM92" s="283"/>
      <c r="AN92" s="283"/>
      <c r="AO92" s="283"/>
    </row>
    <row r="93" spans="1:60" ht="27" customHeight="1" x14ac:dyDescent="0.25">
      <c r="A93" s="278"/>
      <c r="B93" s="278"/>
      <c r="C93" s="278"/>
      <c r="D93" s="278"/>
      <c r="E93" s="278"/>
      <c r="F93" s="278"/>
      <c r="G93" s="278"/>
      <c r="H93" s="278"/>
      <c r="W93" s="283"/>
      <c r="X93" s="923"/>
      <c r="Y93" s="283"/>
      <c r="Z93" s="283"/>
      <c r="AA93" s="283"/>
      <c r="AB93" s="283"/>
      <c r="AC93" s="283"/>
      <c r="AD93" s="283"/>
      <c r="AE93" s="283"/>
      <c r="AF93" s="283"/>
      <c r="AG93" s="283"/>
      <c r="AH93" s="283"/>
      <c r="AI93" s="283"/>
      <c r="AJ93" s="283"/>
      <c r="AK93" s="283"/>
      <c r="AL93" s="283"/>
      <c r="AM93" s="283"/>
      <c r="AN93" s="283"/>
      <c r="AO93" s="283"/>
    </row>
    <row r="94" spans="1:60" ht="27" customHeight="1" x14ac:dyDescent="0.25">
      <c r="A94" s="278"/>
      <c r="B94" s="278"/>
      <c r="C94" s="278"/>
      <c r="D94" s="278"/>
      <c r="E94" s="278"/>
      <c r="F94" s="278"/>
      <c r="G94" s="278"/>
      <c r="H94" s="278"/>
      <c r="W94" s="283"/>
      <c r="X94" s="923"/>
      <c r="Y94" s="283"/>
      <c r="Z94" s="283"/>
      <c r="AA94" s="283"/>
      <c r="AB94" s="283"/>
      <c r="AC94" s="283"/>
      <c r="AD94" s="283"/>
      <c r="AE94" s="283"/>
      <c r="AF94" s="283"/>
      <c r="AG94" s="283"/>
      <c r="AH94" s="283"/>
      <c r="AI94" s="283"/>
      <c r="AJ94" s="283"/>
      <c r="AK94" s="283"/>
      <c r="AL94" s="283"/>
      <c r="AM94" s="283"/>
      <c r="AN94" s="283"/>
      <c r="AO94" s="283"/>
    </row>
    <row r="95" spans="1:60" ht="27" customHeight="1" x14ac:dyDescent="0.25">
      <c r="A95" s="278"/>
      <c r="B95" s="278"/>
      <c r="C95" s="278"/>
      <c r="D95" s="278"/>
      <c r="E95" s="278"/>
      <c r="F95" s="278"/>
      <c r="G95" s="278"/>
      <c r="H95" s="278"/>
      <c r="W95" s="283"/>
      <c r="X95" s="923"/>
      <c r="Y95" s="283"/>
      <c r="Z95" s="283"/>
      <c r="AA95" s="283"/>
      <c r="AB95" s="283"/>
      <c r="AC95" s="283"/>
      <c r="AD95" s="283"/>
      <c r="AE95" s="283"/>
      <c r="AF95" s="283"/>
      <c r="AG95" s="283"/>
      <c r="AH95" s="283"/>
      <c r="AI95" s="283"/>
      <c r="AJ95" s="283"/>
      <c r="AK95" s="283"/>
      <c r="AL95" s="283"/>
      <c r="AM95" s="283"/>
      <c r="AN95" s="283"/>
      <c r="AO95" s="283"/>
    </row>
    <row r="96" spans="1:60" ht="27" customHeight="1" x14ac:dyDescent="0.25">
      <c r="A96" s="278"/>
      <c r="B96" s="278"/>
      <c r="C96" s="278"/>
      <c r="D96" s="278"/>
      <c r="E96" s="278"/>
      <c r="F96" s="278"/>
      <c r="G96" s="278"/>
      <c r="H96" s="278"/>
      <c r="W96" s="283"/>
      <c r="X96" s="923"/>
      <c r="Y96" s="283"/>
      <c r="Z96" s="283"/>
      <c r="AA96" s="283"/>
      <c r="AB96" s="283"/>
      <c r="AC96" s="283"/>
      <c r="AD96" s="283"/>
      <c r="AE96" s="283"/>
      <c r="AF96" s="283"/>
      <c r="AG96" s="283"/>
      <c r="AH96" s="283"/>
      <c r="AI96" s="283"/>
      <c r="AJ96" s="283"/>
      <c r="AK96" s="283"/>
      <c r="AL96" s="283"/>
      <c r="AM96" s="283"/>
      <c r="AN96" s="283"/>
      <c r="AO96" s="283"/>
    </row>
    <row r="97" spans="1:41" ht="27" customHeight="1" x14ac:dyDescent="0.25">
      <c r="A97" s="278"/>
      <c r="B97" s="278"/>
      <c r="C97" s="936" t="s">
        <v>1006</v>
      </c>
      <c r="D97" s="278"/>
      <c r="E97" s="278"/>
      <c r="F97" s="278"/>
      <c r="G97" s="278"/>
      <c r="H97" s="278"/>
      <c r="W97" s="283"/>
      <c r="X97" s="923"/>
      <c r="Y97" s="283"/>
      <c r="Z97" s="283"/>
      <c r="AA97" s="283"/>
      <c r="AB97" s="283"/>
      <c r="AC97" s="283"/>
      <c r="AD97" s="283"/>
      <c r="AE97" s="283"/>
      <c r="AF97" s="283"/>
      <c r="AG97" s="283"/>
      <c r="AH97" s="283"/>
      <c r="AI97" s="283"/>
      <c r="AJ97" s="283"/>
      <c r="AK97" s="283"/>
      <c r="AL97" s="283"/>
      <c r="AM97" s="283"/>
      <c r="AN97" s="283"/>
      <c r="AO97" s="283"/>
    </row>
    <row r="98" spans="1:41" ht="27" customHeight="1" x14ac:dyDescent="0.25">
      <c r="A98" s="278"/>
      <c r="B98" s="278"/>
      <c r="C98" s="278" t="s">
        <v>1007</v>
      </c>
      <c r="D98" s="278"/>
      <c r="E98" s="278"/>
      <c r="F98" s="278"/>
      <c r="G98" s="278"/>
      <c r="H98" s="278"/>
      <c r="W98" s="283"/>
      <c r="X98" s="923"/>
      <c r="Y98" s="283"/>
      <c r="Z98" s="283"/>
      <c r="AA98" s="283"/>
      <c r="AB98" s="283"/>
      <c r="AC98" s="283"/>
      <c r="AD98" s="283"/>
      <c r="AE98" s="283"/>
      <c r="AF98" s="283"/>
      <c r="AG98" s="283"/>
      <c r="AH98" s="283"/>
      <c r="AI98" s="283"/>
      <c r="AJ98" s="283"/>
      <c r="AK98" s="283"/>
      <c r="AL98" s="283"/>
      <c r="AM98" s="283"/>
      <c r="AN98" s="283"/>
      <c r="AO98" s="283"/>
    </row>
    <row r="99" spans="1:41" ht="27" customHeight="1" x14ac:dyDescent="0.25">
      <c r="A99" s="278"/>
      <c r="B99" s="278"/>
      <c r="C99" s="278"/>
      <c r="D99" s="278"/>
      <c r="E99" s="278"/>
      <c r="F99" s="278"/>
      <c r="G99" s="278"/>
      <c r="H99" s="278"/>
      <c r="W99" s="283"/>
      <c r="X99" s="923"/>
      <c r="Y99" s="283"/>
      <c r="Z99" s="283"/>
      <c r="AA99" s="283"/>
      <c r="AB99" s="283"/>
      <c r="AC99" s="283"/>
      <c r="AD99" s="283"/>
      <c r="AE99" s="283"/>
      <c r="AF99" s="283"/>
      <c r="AG99" s="283"/>
      <c r="AH99" s="283"/>
      <c r="AI99" s="283"/>
      <c r="AJ99" s="283"/>
      <c r="AK99" s="283"/>
      <c r="AL99" s="283"/>
      <c r="AM99" s="283"/>
      <c r="AN99" s="283"/>
      <c r="AO99" s="283"/>
    </row>
    <row r="100" spans="1:41" ht="27" customHeight="1" x14ac:dyDescent="0.25">
      <c r="A100" s="278"/>
      <c r="B100" s="278"/>
      <c r="C100" s="278"/>
      <c r="D100" s="278"/>
      <c r="E100" s="278"/>
      <c r="F100" s="278"/>
      <c r="G100" s="278"/>
      <c r="H100" s="278"/>
      <c r="W100" s="283"/>
      <c r="X100" s="923"/>
      <c r="Y100" s="283"/>
      <c r="Z100" s="283"/>
      <c r="AA100" s="283"/>
      <c r="AB100" s="283"/>
      <c r="AC100" s="283"/>
      <c r="AD100" s="283"/>
      <c r="AE100" s="283"/>
      <c r="AF100" s="283"/>
      <c r="AG100" s="283"/>
      <c r="AH100" s="283"/>
      <c r="AI100" s="283"/>
      <c r="AJ100" s="283"/>
      <c r="AK100" s="283"/>
      <c r="AL100" s="283"/>
      <c r="AM100" s="283"/>
      <c r="AN100" s="283"/>
      <c r="AO100" s="283"/>
    </row>
    <row r="101" spans="1:41" ht="27" customHeight="1" x14ac:dyDescent="0.25">
      <c r="A101" s="278"/>
      <c r="B101" s="278"/>
      <c r="C101" s="278"/>
      <c r="D101" s="278"/>
      <c r="E101" s="278"/>
      <c r="F101" s="278"/>
      <c r="G101" s="278"/>
      <c r="H101" s="278"/>
      <c r="W101" s="283"/>
      <c r="X101" s="923"/>
      <c r="Y101" s="283"/>
      <c r="Z101" s="283"/>
      <c r="AA101" s="283"/>
      <c r="AB101" s="283"/>
      <c r="AC101" s="283"/>
      <c r="AD101" s="283"/>
      <c r="AE101" s="283"/>
      <c r="AF101" s="283"/>
      <c r="AG101" s="283"/>
      <c r="AH101" s="283"/>
      <c r="AI101" s="283"/>
      <c r="AJ101" s="283"/>
      <c r="AK101" s="283"/>
      <c r="AL101" s="283"/>
      <c r="AM101" s="283"/>
      <c r="AN101" s="283"/>
      <c r="AO101" s="283"/>
    </row>
    <row r="102" spans="1:41" ht="27" customHeight="1" x14ac:dyDescent="0.25">
      <c r="A102" s="278"/>
      <c r="B102" s="278"/>
      <c r="C102" s="278"/>
      <c r="D102" s="278"/>
      <c r="E102" s="278"/>
      <c r="F102" s="278"/>
      <c r="G102" s="278"/>
      <c r="H102" s="278"/>
      <c r="W102" s="283"/>
      <c r="X102" s="923"/>
      <c r="Y102" s="283"/>
      <c r="Z102" s="283"/>
      <c r="AA102" s="283"/>
      <c r="AB102" s="283"/>
      <c r="AC102" s="283"/>
      <c r="AD102" s="283"/>
      <c r="AE102" s="283"/>
      <c r="AF102" s="283"/>
      <c r="AG102" s="283"/>
      <c r="AH102" s="283"/>
      <c r="AI102" s="283"/>
      <c r="AJ102" s="283"/>
      <c r="AK102" s="283"/>
      <c r="AL102" s="283"/>
      <c r="AM102" s="283"/>
      <c r="AN102" s="283"/>
      <c r="AO102" s="283"/>
    </row>
    <row r="103" spans="1:41" ht="27" customHeight="1" x14ac:dyDescent="0.25">
      <c r="A103" s="278"/>
      <c r="B103" s="278"/>
      <c r="C103" s="278"/>
      <c r="D103" s="278"/>
      <c r="E103" s="278"/>
      <c r="F103" s="278"/>
      <c r="G103" s="278"/>
      <c r="H103" s="278"/>
      <c r="W103" s="283"/>
      <c r="X103" s="923"/>
      <c r="Y103" s="283"/>
      <c r="Z103" s="283"/>
      <c r="AA103" s="283"/>
      <c r="AB103" s="283"/>
      <c r="AC103" s="283"/>
      <c r="AD103" s="283"/>
      <c r="AE103" s="283"/>
      <c r="AF103" s="283"/>
      <c r="AG103" s="283"/>
      <c r="AH103" s="283"/>
      <c r="AI103" s="283"/>
      <c r="AJ103" s="283"/>
      <c r="AK103" s="283"/>
      <c r="AL103" s="283"/>
      <c r="AM103" s="283"/>
      <c r="AN103" s="283"/>
      <c r="AO103" s="283"/>
    </row>
    <row r="104" spans="1:41" ht="27" customHeight="1" x14ac:dyDescent="0.25">
      <c r="A104" s="278"/>
      <c r="B104" s="278"/>
      <c r="C104" s="278"/>
      <c r="D104" s="278"/>
      <c r="E104" s="278"/>
      <c r="F104" s="278"/>
      <c r="G104" s="278"/>
      <c r="H104" s="278"/>
      <c r="W104" s="283"/>
      <c r="X104" s="923"/>
      <c r="Y104" s="283"/>
      <c r="Z104" s="283"/>
      <c r="AA104" s="283"/>
      <c r="AB104" s="283"/>
      <c r="AC104" s="283"/>
      <c r="AD104" s="283"/>
      <c r="AE104" s="283"/>
      <c r="AF104" s="283"/>
      <c r="AG104" s="283"/>
      <c r="AH104" s="283"/>
      <c r="AI104" s="283"/>
      <c r="AJ104" s="283"/>
      <c r="AK104" s="283"/>
      <c r="AL104" s="283"/>
      <c r="AM104" s="283"/>
      <c r="AN104" s="283"/>
      <c r="AO104" s="283"/>
    </row>
    <row r="105" spans="1:41" ht="27" customHeight="1" x14ac:dyDescent="0.25">
      <c r="A105" s="278"/>
      <c r="B105" s="278"/>
      <c r="C105" s="278"/>
      <c r="D105" s="278"/>
      <c r="E105" s="278"/>
      <c r="F105" s="278"/>
      <c r="G105" s="278"/>
      <c r="H105" s="278"/>
      <c r="W105" s="283"/>
      <c r="X105" s="923"/>
      <c r="Y105" s="283"/>
      <c r="Z105" s="283"/>
      <c r="AA105" s="283"/>
      <c r="AB105" s="283"/>
      <c r="AC105" s="283"/>
      <c r="AD105" s="283"/>
      <c r="AE105" s="283"/>
      <c r="AF105" s="283"/>
      <c r="AG105" s="283"/>
      <c r="AH105" s="283"/>
      <c r="AI105" s="283"/>
      <c r="AJ105" s="283"/>
      <c r="AK105" s="283"/>
      <c r="AL105" s="283"/>
      <c r="AM105" s="283"/>
      <c r="AN105" s="283"/>
      <c r="AO105" s="283"/>
    </row>
    <row r="106" spans="1:41" ht="27" customHeight="1" x14ac:dyDescent="0.25">
      <c r="A106" s="278"/>
      <c r="B106" s="278"/>
      <c r="C106" s="278"/>
      <c r="D106" s="278"/>
      <c r="E106" s="278"/>
      <c r="F106" s="278"/>
      <c r="G106" s="278"/>
      <c r="H106" s="278"/>
      <c r="W106" s="283"/>
      <c r="X106" s="923"/>
      <c r="Y106" s="283"/>
      <c r="Z106" s="283"/>
      <c r="AA106" s="283"/>
      <c r="AB106" s="283"/>
      <c r="AC106" s="283"/>
      <c r="AD106" s="283"/>
      <c r="AE106" s="283"/>
      <c r="AF106" s="283"/>
      <c r="AG106" s="283"/>
      <c r="AH106" s="283"/>
      <c r="AI106" s="283"/>
      <c r="AJ106" s="283"/>
      <c r="AK106" s="283"/>
      <c r="AL106" s="283"/>
      <c r="AM106" s="283"/>
      <c r="AN106" s="283"/>
      <c r="AO106" s="283"/>
    </row>
    <row r="107" spans="1:41" ht="27" customHeight="1" x14ac:dyDescent="0.25">
      <c r="A107" s="278"/>
      <c r="B107" s="278"/>
      <c r="C107" s="278"/>
      <c r="D107" s="278"/>
      <c r="E107" s="278"/>
      <c r="F107" s="278"/>
      <c r="G107" s="278"/>
      <c r="H107" s="278"/>
      <c r="W107" s="283"/>
      <c r="X107" s="923"/>
      <c r="Y107" s="283"/>
      <c r="Z107" s="283"/>
      <c r="AA107" s="283"/>
      <c r="AB107" s="283"/>
      <c r="AC107" s="283"/>
      <c r="AD107" s="283"/>
      <c r="AE107" s="283"/>
      <c r="AF107" s="283"/>
      <c r="AG107" s="283"/>
      <c r="AH107" s="283"/>
      <c r="AI107" s="283"/>
      <c r="AJ107" s="283"/>
      <c r="AK107" s="283"/>
      <c r="AL107" s="283"/>
      <c r="AM107" s="283"/>
      <c r="AN107" s="283"/>
      <c r="AO107" s="283"/>
    </row>
    <row r="108" spans="1:41" ht="27" customHeight="1" x14ac:dyDescent="0.25">
      <c r="A108" s="278"/>
      <c r="B108" s="278"/>
      <c r="C108" s="278"/>
      <c r="D108" s="278"/>
      <c r="E108" s="278"/>
      <c r="F108" s="278"/>
      <c r="G108" s="278"/>
      <c r="H108" s="278"/>
      <c r="W108" s="283"/>
      <c r="X108" s="923"/>
      <c r="Y108" s="283"/>
      <c r="Z108" s="283"/>
      <c r="AA108" s="283"/>
      <c r="AB108" s="283"/>
      <c r="AC108" s="283"/>
      <c r="AD108" s="283"/>
      <c r="AE108" s="283"/>
      <c r="AF108" s="283"/>
      <c r="AG108" s="283"/>
      <c r="AH108" s="283"/>
      <c r="AI108" s="283"/>
      <c r="AJ108" s="283"/>
      <c r="AK108" s="283"/>
      <c r="AL108" s="283"/>
      <c r="AM108" s="283"/>
      <c r="AN108" s="283"/>
      <c r="AO108" s="283"/>
    </row>
    <row r="109" spans="1:41" ht="27" customHeight="1" x14ac:dyDescent="0.25">
      <c r="A109" s="278"/>
      <c r="B109" s="278"/>
      <c r="C109" s="278"/>
      <c r="D109" s="278"/>
      <c r="E109" s="278"/>
      <c r="F109" s="278"/>
      <c r="G109" s="278"/>
      <c r="H109" s="278"/>
      <c r="W109" s="283"/>
      <c r="X109" s="923"/>
      <c r="Y109" s="283"/>
      <c r="Z109" s="283"/>
      <c r="AA109" s="283"/>
      <c r="AB109" s="283"/>
      <c r="AC109" s="283"/>
      <c r="AD109" s="283"/>
      <c r="AE109" s="283"/>
      <c r="AF109" s="283"/>
      <c r="AG109" s="283"/>
      <c r="AH109" s="283"/>
      <c r="AI109" s="283"/>
      <c r="AJ109" s="283"/>
      <c r="AK109" s="283"/>
      <c r="AL109" s="283"/>
      <c r="AM109" s="283"/>
      <c r="AN109" s="283"/>
      <c r="AO109" s="283"/>
    </row>
    <row r="110" spans="1:41" ht="27" customHeight="1" x14ac:dyDescent="0.25">
      <c r="A110" s="278"/>
      <c r="B110" s="278"/>
      <c r="C110" s="278"/>
      <c r="D110" s="278"/>
      <c r="E110" s="278"/>
      <c r="F110" s="278"/>
      <c r="G110" s="278"/>
      <c r="H110" s="278"/>
      <c r="W110" s="283"/>
      <c r="X110" s="923"/>
      <c r="Y110" s="283"/>
      <c r="Z110" s="283"/>
      <c r="AA110" s="283"/>
      <c r="AB110" s="283"/>
      <c r="AC110" s="283"/>
      <c r="AD110" s="283"/>
      <c r="AE110" s="283"/>
      <c r="AF110" s="283"/>
      <c r="AG110" s="283"/>
      <c r="AH110" s="283"/>
      <c r="AI110" s="283"/>
      <c r="AJ110" s="283"/>
      <c r="AK110" s="283"/>
      <c r="AL110" s="283"/>
      <c r="AM110" s="283"/>
      <c r="AN110" s="283"/>
      <c r="AO110" s="283"/>
    </row>
    <row r="111" spans="1:41" ht="27" customHeight="1" x14ac:dyDescent="0.25">
      <c r="A111" s="278"/>
      <c r="B111" s="278"/>
      <c r="C111" s="278"/>
      <c r="D111" s="278"/>
      <c r="E111" s="278"/>
      <c r="F111" s="278"/>
      <c r="G111" s="278"/>
      <c r="H111" s="278"/>
      <c r="W111" s="283"/>
      <c r="X111" s="923"/>
      <c r="Y111" s="283"/>
      <c r="Z111" s="283"/>
      <c r="AA111" s="283"/>
      <c r="AB111" s="283"/>
      <c r="AC111" s="283"/>
      <c r="AD111" s="283"/>
      <c r="AE111" s="283"/>
      <c r="AF111" s="283"/>
      <c r="AG111" s="283"/>
      <c r="AH111" s="283"/>
      <c r="AI111" s="283"/>
      <c r="AJ111" s="283"/>
      <c r="AK111" s="283"/>
      <c r="AL111" s="283"/>
      <c r="AM111" s="283"/>
      <c r="AN111" s="283"/>
      <c r="AO111" s="283"/>
    </row>
    <row r="112" spans="1:41" ht="27" customHeight="1" x14ac:dyDescent="0.25">
      <c r="A112" s="278"/>
      <c r="B112" s="278"/>
      <c r="C112" s="278"/>
      <c r="D112" s="278"/>
      <c r="E112" s="278"/>
      <c r="F112" s="278"/>
      <c r="G112" s="278"/>
      <c r="H112" s="278"/>
      <c r="W112" s="283"/>
      <c r="X112" s="923"/>
      <c r="Y112" s="283"/>
      <c r="Z112" s="283"/>
      <c r="AA112" s="283"/>
      <c r="AB112" s="283"/>
      <c r="AC112" s="283"/>
      <c r="AD112" s="283"/>
      <c r="AE112" s="283"/>
      <c r="AF112" s="283"/>
      <c r="AG112" s="283"/>
      <c r="AH112" s="283"/>
      <c r="AI112" s="283"/>
      <c r="AJ112" s="283"/>
      <c r="AK112" s="283"/>
      <c r="AL112" s="283"/>
      <c r="AM112" s="283"/>
      <c r="AN112" s="283"/>
      <c r="AO112" s="283"/>
    </row>
    <row r="113" spans="1:41" ht="27" customHeight="1" x14ac:dyDescent="0.25">
      <c r="A113" s="278"/>
      <c r="B113" s="278"/>
      <c r="C113" s="278"/>
      <c r="D113" s="278"/>
      <c r="E113" s="278"/>
      <c r="F113" s="278"/>
      <c r="G113" s="278"/>
      <c r="H113" s="278"/>
      <c r="W113" s="283"/>
      <c r="X113" s="923"/>
      <c r="Y113" s="283"/>
      <c r="Z113" s="283"/>
      <c r="AA113" s="283"/>
      <c r="AB113" s="283"/>
      <c r="AC113" s="283"/>
      <c r="AD113" s="283"/>
      <c r="AE113" s="283"/>
      <c r="AF113" s="283"/>
      <c r="AG113" s="283"/>
      <c r="AH113" s="283"/>
      <c r="AI113" s="283"/>
      <c r="AJ113" s="283"/>
      <c r="AK113" s="283"/>
      <c r="AL113" s="283"/>
      <c r="AM113" s="283"/>
      <c r="AN113" s="283"/>
      <c r="AO113" s="283"/>
    </row>
    <row r="114" spans="1:41" ht="27" customHeight="1" x14ac:dyDescent="0.25">
      <c r="A114" s="278"/>
      <c r="B114" s="278"/>
      <c r="C114" s="278"/>
      <c r="D114" s="278"/>
      <c r="E114" s="278"/>
      <c r="F114" s="278"/>
      <c r="G114" s="278"/>
      <c r="H114" s="278"/>
      <c r="W114" s="283"/>
      <c r="X114" s="923"/>
      <c r="Y114" s="283"/>
      <c r="Z114" s="283"/>
      <c r="AA114" s="283"/>
      <c r="AB114" s="283"/>
      <c r="AC114" s="283"/>
      <c r="AD114" s="283"/>
      <c r="AE114" s="283"/>
      <c r="AF114" s="283"/>
      <c r="AG114" s="283"/>
      <c r="AH114" s="283"/>
      <c r="AI114" s="283"/>
      <c r="AJ114" s="283"/>
      <c r="AK114" s="283"/>
      <c r="AL114" s="283"/>
      <c r="AM114" s="283"/>
      <c r="AN114" s="283"/>
      <c r="AO114" s="283"/>
    </row>
    <row r="115" spans="1:41" ht="27" customHeight="1" x14ac:dyDescent="0.25">
      <c r="A115" s="278"/>
      <c r="B115" s="278"/>
      <c r="C115" s="278"/>
      <c r="D115" s="278"/>
      <c r="E115" s="278"/>
      <c r="F115" s="278"/>
      <c r="G115" s="278"/>
      <c r="H115" s="278"/>
      <c r="W115" s="283"/>
      <c r="X115" s="923"/>
      <c r="Y115" s="283"/>
      <c r="Z115" s="283"/>
      <c r="AA115" s="283"/>
      <c r="AB115" s="283"/>
      <c r="AC115" s="283"/>
      <c r="AD115" s="283"/>
      <c r="AE115" s="283"/>
      <c r="AF115" s="283"/>
      <c r="AG115" s="283"/>
      <c r="AH115" s="283"/>
      <c r="AI115" s="283"/>
      <c r="AJ115" s="283"/>
      <c r="AK115" s="283"/>
      <c r="AL115" s="283"/>
      <c r="AM115" s="283"/>
      <c r="AN115" s="283"/>
      <c r="AO115" s="283"/>
    </row>
    <row r="116" spans="1:41" ht="27" customHeight="1" x14ac:dyDescent="0.25">
      <c r="A116" s="278"/>
      <c r="B116" s="278"/>
      <c r="C116" s="278"/>
      <c r="D116" s="278"/>
      <c r="E116" s="278"/>
      <c r="F116" s="278"/>
      <c r="G116" s="278"/>
      <c r="H116" s="278"/>
      <c r="W116" s="283"/>
      <c r="X116" s="923"/>
      <c r="Y116" s="283"/>
      <c r="Z116" s="283"/>
      <c r="AA116" s="283"/>
      <c r="AB116" s="283"/>
      <c r="AC116" s="283"/>
      <c r="AD116" s="283"/>
      <c r="AE116" s="283"/>
      <c r="AF116" s="283"/>
      <c r="AG116" s="283"/>
      <c r="AH116" s="283"/>
      <c r="AI116" s="283"/>
      <c r="AJ116" s="283"/>
      <c r="AK116" s="283"/>
      <c r="AL116" s="283"/>
      <c r="AM116" s="283"/>
      <c r="AN116" s="283"/>
      <c r="AO116" s="283"/>
    </row>
    <row r="117" spans="1:41" ht="27" customHeight="1" x14ac:dyDescent="0.25">
      <c r="A117" s="278"/>
      <c r="B117" s="278"/>
      <c r="C117" s="278"/>
      <c r="D117" s="278"/>
      <c r="E117" s="278"/>
      <c r="F117" s="278"/>
      <c r="G117" s="278"/>
      <c r="H117" s="278"/>
      <c r="W117" s="283"/>
      <c r="X117" s="923"/>
      <c r="Y117" s="283"/>
      <c r="Z117" s="283"/>
      <c r="AA117" s="283"/>
      <c r="AB117" s="283"/>
      <c r="AC117" s="283"/>
      <c r="AD117" s="283"/>
      <c r="AE117" s="283"/>
      <c r="AF117" s="283"/>
      <c r="AG117" s="283"/>
      <c r="AH117" s="283"/>
      <c r="AI117" s="283"/>
      <c r="AJ117" s="283"/>
      <c r="AK117" s="283"/>
      <c r="AL117" s="283"/>
      <c r="AM117" s="283"/>
      <c r="AN117" s="283"/>
      <c r="AO117" s="283"/>
    </row>
    <row r="118" spans="1:41" ht="27" customHeight="1" x14ac:dyDescent="0.25">
      <c r="A118" s="278"/>
      <c r="B118" s="278"/>
      <c r="C118" s="278"/>
      <c r="D118" s="278"/>
      <c r="E118" s="278"/>
      <c r="F118" s="278"/>
      <c r="G118" s="278"/>
      <c r="H118" s="278"/>
      <c r="W118" s="283"/>
      <c r="X118" s="923"/>
      <c r="Y118" s="283"/>
      <c r="Z118" s="283"/>
      <c r="AA118" s="283"/>
      <c r="AB118" s="283"/>
      <c r="AC118" s="283"/>
      <c r="AD118" s="283"/>
      <c r="AE118" s="283"/>
      <c r="AF118" s="283"/>
      <c r="AG118" s="283"/>
      <c r="AH118" s="283"/>
      <c r="AI118" s="283"/>
      <c r="AJ118" s="283"/>
      <c r="AK118" s="283"/>
      <c r="AL118" s="283"/>
      <c r="AM118" s="283"/>
      <c r="AN118" s="283"/>
      <c r="AO118" s="283"/>
    </row>
    <row r="119" spans="1:41" ht="27" customHeight="1" x14ac:dyDescent="0.25">
      <c r="A119" s="278"/>
      <c r="B119" s="278"/>
      <c r="C119" s="278"/>
      <c r="D119" s="278"/>
      <c r="E119" s="278"/>
      <c r="F119" s="278"/>
      <c r="G119" s="278"/>
      <c r="H119" s="278"/>
      <c r="W119" s="283"/>
      <c r="X119" s="923"/>
      <c r="Y119" s="283"/>
      <c r="Z119" s="283"/>
      <c r="AA119" s="283"/>
      <c r="AB119" s="283"/>
      <c r="AC119" s="283"/>
      <c r="AD119" s="283"/>
      <c r="AE119" s="283"/>
      <c r="AF119" s="283"/>
      <c r="AG119" s="283"/>
      <c r="AH119" s="283"/>
      <c r="AI119" s="283"/>
      <c r="AJ119" s="283"/>
      <c r="AK119" s="283"/>
      <c r="AL119" s="283"/>
      <c r="AM119" s="283"/>
      <c r="AN119" s="283"/>
      <c r="AO119" s="283"/>
    </row>
    <row r="120" spans="1:41" ht="27" customHeight="1" x14ac:dyDescent="0.25">
      <c r="A120" s="278"/>
      <c r="B120" s="278"/>
      <c r="C120" s="278"/>
      <c r="D120" s="278"/>
      <c r="E120" s="278"/>
      <c r="F120" s="278"/>
      <c r="G120" s="278"/>
      <c r="H120" s="278"/>
      <c r="W120" s="283"/>
      <c r="X120" s="923"/>
      <c r="Y120" s="283"/>
      <c r="Z120" s="283"/>
      <c r="AA120" s="283"/>
      <c r="AB120" s="283"/>
      <c r="AC120" s="283"/>
      <c r="AD120" s="283"/>
      <c r="AE120" s="283"/>
      <c r="AF120" s="283"/>
      <c r="AG120" s="283"/>
      <c r="AH120" s="283"/>
      <c r="AI120" s="283"/>
      <c r="AJ120" s="283"/>
      <c r="AK120" s="283"/>
      <c r="AL120" s="283"/>
      <c r="AM120" s="283"/>
      <c r="AN120" s="283"/>
      <c r="AO120" s="283"/>
    </row>
    <row r="121" spans="1:41" ht="27" customHeight="1" x14ac:dyDescent="0.25">
      <c r="A121" s="278"/>
      <c r="B121" s="278"/>
      <c r="C121" s="278"/>
      <c r="D121" s="278"/>
      <c r="E121" s="278"/>
      <c r="F121" s="278"/>
      <c r="G121" s="278"/>
      <c r="H121" s="278"/>
      <c r="W121" s="283"/>
      <c r="X121" s="923"/>
      <c r="Y121" s="283"/>
      <c r="Z121" s="283"/>
      <c r="AA121" s="283"/>
      <c r="AB121" s="283"/>
      <c r="AC121" s="283"/>
      <c r="AD121" s="283"/>
      <c r="AE121" s="283"/>
      <c r="AF121" s="283"/>
      <c r="AG121" s="283"/>
      <c r="AH121" s="283"/>
      <c r="AI121" s="283"/>
      <c r="AJ121" s="283"/>
      <c r="AK121" s="283"/>
      <c r="AL121" s="283"/>
      <c r="AM121" s="283"/>
      <c r="AN121" s="283"/>
      <c r="AO121" s="283"/>
    </row>
    <row r="122" spans="1:41" ht="27" customHeight="1" x14ac:dyDescent="0.25">
      <c r="A122" s="278"/>
      <c r="B122" s="278"/>
      <c r="C122" s="278"/>
      <c r="D122" s="278"/>
      <c r="E122" s="278"/>
      <c r="F122" s="278"/>
      <c r="G122" s="278"/>
      <c r="H122" s="278"/>
      <c r="W122" s="283"/>
      <c r="X122" s="923"/>
      <c r="Y122" s="283"/>
      <c r="Z122" s="283"/>
      <c r="AA122" s="283"/>
      <c r="AB122" s="283"/>
      <c r="AC122" s="283"/>
      <c r="AD122" s="283"/>
      <c r="AE122" s="283"/>
      <c r="AF122" s="283"/>
      <c r="AG122" s="283"/>
      <c r="AH122" s="283"/>
      <c r="AI122" s="283"/>
      <c r="AJ122" s="283"/>
      <c r="AK122" s="283"/>
      <c r="AL122" s="283"/>
      <c r="AM122" s="283"/>
      <c r="AN122" s="283"/>
      <c r="AO122" s="283"/>
    </row>
    <row r="123" spans="1:41" ht="27" customHeight="1" x14ac:dyDescent="0.25">
      <c r="A123" s="278"/>
      <c r="B123" s="278"/>
      <c r="C123" s="278"/>
      <c r="D123" s="278"/>
      <c r="E123" s="278"/>
      <c r="F123" s="278"/>
      <c r="G123" s="278"/>
      <c r="H123" s="278"/>
      <c r="W123" s="283"/>
      <c r="X123" s="923"/>
      <c r="Y123" s="283"/>
      <c r="Z123" s="283"/>
      <c r="AA123" s="283"/>
      <c r="AB123" s="283"/>
      <c r="AC123" s="283"/>
      <c r="AD123" s="283"/>
      <c r="AE123" s="283"/>
      <c r="AF123" s="283"/>
      <c r="AG123" s="283"/>
      <c r="AH123" s="283"/>
      <c r="AI123" s="283"/>
      <c r="AJ123" s="283"/>
      <c r="AK123" s="283"/>
      <c r="AL123" s="283"/>
      <c r="AM123" s="283"/>
      <c r="AN123" s="283"/>
      <c r="AO123" s="283"/>
    </row>
    <row r="124" spans="1:41" ht="27" customHeight="1" x14ac:dyDescent="0.25">
      <c r="A124" s="278"/>
      <c r="B124" s="278"/>
      <c r="C124" s="278"/>
      <c r="D124" s="278"/>
      <c r="E124" s="278"/>
      <c r="F124" s="278"/>
      <c r="G124" s="278"/>
      <c r="H124" s="278"/>
      <c r="W124" s="283"/>
      <c r="X124" s="923"/>
      <c r="Y124" s="283"/>
      <c r="Z124" s="283"/>
      <c r="AA124" s="283"/>
      <c r="AB124" s="283"/>
      <c r="AC124" s="283"/>
      <c r="AD124" s="283"/>
      <c r="AE124" s="283"/>
      <c r="AF124" s="283"/>
      <c r="AG124" s="283"/>
      <c r="AH124" s="283"/>
      <c r="AI124" s="283"/>
      <c r="AJ124" s="283"/>
      <c r="AK124" s="283"/>
      <c r="AL124" s="283"/>
      <c r="AM124" s="283"/>
      <c r="AN124" s="283"/>
      <c r="AO124" s="283"/>
    </row>
    <row r="125" spans="1:41" ht="27" customHeight="1" x14ac:dyDescent="0.25">
      <c r="A125" s="278"/>
      <c r="B125" s="278"/>
      <c r="C125" s="278"/>
      <c r="D125" s="278"/>
      <c r="E125" s="278"/>
      <c r="F125" s="278"/>
      <c r="G125" s="278"/>
      <c r="H125" s="278"/>
      <c r="W125" s="283"/>
      <c r="X125" s="923"/>
      <c r="Y125" s="283"/>
      <c r="Z125" s="283"/>
      <c r="AA125" s="283"/>
      <c r="AB125" s="283"/>
      <c r="AC125" s="283"/>
      <c r="AD125" s="283"/>
      <c r="AE125" s="283"/>
      <c r="AF125" s="283"/>
      <c r="AG125" s="283"/>
      <c r="AH125" s="283"/>
      <c r="AI125" s="283"/>
      <c r="AJ125" s="283"/>
      <c r="AK125" s="283"/>
      <c r="AL125" s="283"/>
      <c r="AM125" s="283"/>
      <c r="AN125" s="283"/>
      <c r="AO125" s="283"/>
    </row>
    <row r="126" spans="1:41" ht="27" customHeight="1" x14ac:dyDescent="0.25">
      <c r="A126" s="278"/>
      <c r="B126" s="278"/>
      <c r="C126" s="278"/>
      <c r="D126" s="278"/>
      <c r="E126" s="278"/>
      <c r="F126" s="278"/>
      <c r="G126" s="278"/>
      <c r="H126" s="278"/>
      <c r="W126" s="283"/>
      <c r="X126" s="923"/>
      <c r="Y126" s="283"/>
      <c r="Z126" s="283"/>
      <c r="AA126" s="283"/>
      <c r="AB126" s="283"/>
      <c r="AC126" s="283"/>
      <c r="AD126" s="283"/>
      <c r="AE126" s="283"/>
      <c r="AF126" s="283"/>
      <c r="AG126" s="283"/>
      <c r="AH126" s="283"/>
      <c r="AI126" s="283"/>
      <c r="AJ126" s="283"/>
      <c r="AK126" s="283"/>
      <c r="AL126" s="283"/>
      <c r="AM126" s="283"/>
      <c r="AN126" s="283"/>
      <c r="AO126" s="283"/>
    </row>
    <row r="127" spans="1:41" ht="27" customHeight="1" x14ac:dyDescent="0.25">
      <c r="A127" s="278"/>
      <c r="B127" s="278"/>
      <c r="C127" s="278"/>
      <c r="D127" s="278"/>
      <c r="E127" s="278"/>
      <c r="F127" s="278"/>
      <c r="G127" s="278"/>
      <c r="H127" s="278"/>
      <c r="W127" s="283"/>
      <c r="X127" s="923"/>
      <c r="Y127" s="283"/>
      <c r="Z127" s="283"/>
      <c r="AA127" s="283"/>
      <c r="AB127" s="283"/>
      <c r="AC127" s="283"/>
      <c r="AD127" s="283"/>
      <c r="AE127" s="283"/>
      <c r="AF127" s="283"/>
      <c r="AG127" s="283"/>
      <c r="AH127" s="283"/>
      <c r="AI127" s="283"/>
      <c r="AJ127" s="283"/>
      <c r="AK127" s="283"/>
      <c r="AL127" s="283"/>
      <c r="AM127" s="283"/>
      <c r="AN127" s="283"/>
      <c r="AO127" s="283"/>
    </row>
    <row r="128" spans="1:41" ht="27" customHeight="1" x14ac:dyDescent="0.25">
      <c r="A128" s="278"/>
      <c r="B128" s="278"/>
      <c r="C128" s="278"/>
      <c r="D128" s="278"/>
      <c r="E128" s="278"/>
      <c r="F128" s="278"/>
      <c r="G128" s="278"/>
      <c r="H128" s="278"/>
      <c r="W128" s="283"/>
      <c r="X128" s="923"/>
      <c r="Y128" s="283"/>
      <c r="Z128" s="283"/>
      <c r="AA128" s="283"/>
      <c r="AB128" s="283"/>
      <c r="AC128" s="283"/>
      <c r="AD128" s="283"/>
      <c r="AE128" s="283"/>
      <c r="AF128" s="283"/>
      <c r="AG128" s="283"/>
      <c r="AH128" s="283"/>
      <c r="AI128" s="283"/>
      <c r="AJ128" s="283"/>
      <c r="AK128" s="283"/>
      <c r="AL128" s="283"/>
      <c r="AM128" s="283"/>
      <c r="AN128" s="283"/>
      <c r="AO128" s="283"/>
    </row>
    <row r="129" spans="1:8" ht="27" customHeight="1" x14ac:dyDescent="0.25">
      <c r="A129" s="278"/>
      <c r="B129" s="278"/>
      <c r="C129" s="278"/>
      <c r="D129" s="278"/>
      <c r="E129" s="278"/>
      <c r="F129" s="278"/>
      <c r="G129" s="278"/>
      <c r="H129" s="278"/>
    </row>
    <row r="130" spans="1:8" ht="27" customHeight="1" x14ac:dyDescent="0.25">
      <c r="A130" s="278"/>
      <c r="B130" s="278"/>
      <c r="C130" s="278"/>
      <c r="D130" s="278"/>
      <c r="E130" s="278"/>
      <c r="F130" s="278"/>
      <c r="G130" s="278"/>
      <c r="H130" s="278"/>
    </row>
    <row r="131" spans="1:8" ht="27" customHeight="1" x14ac:dyDescent="0.25">
      <c r="A131" s="278"/>
      <c r="B131" s="278"/>
      <c r="C131" s="278"/>
      <c r="D131" s="278"/>
      <c r="E131" s="278"/>
      <c r="F131" s="278"/>
      <c r="G131" s="278"/>
      <c r="H131" s="278"/>
    </row>
    <row r="132" spans="1:8" ht="27" customHeight="1" x14ac:dyDescent="0.25">
      <c r="A132" s="278"/>
      <c r="B132" s="278"/>
      <c r="C132" s="278"/>
      <c r="D132" s="278"/>
      <c r="E132" s="278"/>
      <c r="F132" s="278"/>
      <c r="G132" s="278"/>
      <c r="H132" s="278"/>
    </row>
    <row r="133" spans="1:8" ht="27" customHeight="1" x14ac:dyDescent="0.25">
      <c r="A133" s="278"/>
      <c r="B133" s="278"/>
      <c r="C133" s="278"/>
      <c r="D133" s="278"/>
      <c r="E133" s="278"/>
      <c r="F133" s="278"/>
      <c r="G133" s="278"/>
      <c r="H133" s="278"/>
    </row>
    <row r="134" spans="1:8" ht="27" customHeight="1" x14ac:dyDescent="0.25">
      <c r="A134" s="278"/>
      <c r="B134" s="278"/>
      <c r="C134" s="278"/>
      <c r="D134" s="278"/>
      <c r="E134" s="278"/>
      <c r="F134" s="278"/>
      <c r="G134" s="278"/>
      <c r="H134" s="278"/>
    </row>
    <row r="135" spans="1:8" ht="27" customHeight="1" x14ac:dyDescent="0.25">
      <c r="A135" s="278"/>
      <c r="B135" s="278"/>
      <c r="C135" s="278"/>
      <c r="D135" s="278"/>
      <c r="E135" s="278"/>
      <c r="F135" s="278"/>
      <c r="G135" s="278"/>
      <c r="H135" s="278"/>
    </row>
    <row r="136" spans="1:8" ht="27" customHeight="1" x14ac:dyDescent="0.25">
      <c r="A136" s="278"/>
      <c r="B136" s="278"/>
      <c r="C136" s="278"/>
      <c r="D136" s="278"/>
      <c r="E136" s="278"/>
      <c r="F136" s="278"/>
      <c r="G136" s="278"/>
      <c r="H136" s="278"/>
    </row>
  </sheetData>
  <mergeCells count="349">
    <mergeCell ref="E85:J85"/>
    <mergeCell ref="E86:J86"/>
    <mergeCell ref="N5:V6"/>
    <mergeCell ref="W6:AH6"/>
    <mergeCell ref="W5:AK5"/>
    <mergeCell ref="O79:O80"/>
    <mergeCell ref="R79:R80"/>
    <mergeCell ref="H81:H82"/>
    <mergeCell ref="I81:I82"/>
    <mergeCell ref="J81:J82"/>
    <mergeCell ref="K81:K82"/>
    <mergeCell ref="O81:O82"/>
    <mergeCell ref="R81:R82"/>
    <mergeCell ref="AK72:AK82"/>
    <mergeCell ref="H74:H76"/>
    <mergeCell ref="I74:I76"/>
    <mergeCell ref="J74:J76"/>
    <mergeCell ref="K74:K76"/>
    <mergeCell ref="O74:O76"/>
    <mergeCell ref="R74:R76"/>
    <mergeCell ref="U74:U76"/>
    <mergeCell ref="V74:V76"/>
    <mergeCell ref="H77:H78"/>
    <mergeCell ref="I77:I78"/>
    <mergeCell ref="AI72:AI82"/>
    <mergeCell ref="AJ72:AJ82"/>
    <mergeCell ref="AD72:AD82"/>
    <mergeCell ref="AE72:AE82"/>
    <mergeCell ref="AF72:AF82"/>
    <mergeCell ref="AH72:AH82"/>
    <mergeCell ref="AK66:AK68"/>
    <mergeCell ref="R67:R68"/>
    <mergeCell ref="A72:A82"/>
    <mergeCell ref="B72:B82"/>
    <mergeCell ref="C72:C82"/>
    <mergeCell ref="D72:D82"/>
    <mergeCell ref="E72:E82"/>
    <mergeCell ref="F72:G82"/>
    <mergeCell ref="M72:M82"/>
    <mergeCell ref="N72:N82"/>
    <mergeCell ref="O72:O73"/>
    <mergeCell ref="P72:P82"/>
    <mergeCell ref="Q72:Q82"/>
    <mergeCell ref="R72:R73"/>
    <mergeCell ref="U72:U73"/>
    <mergeCell ref="V72:V73"/>
    <mergeCell ref="Y72:Y82"/>
    <mergeCell ref="Z72:Z82"/>
    <mergeCell ref="AI66:AI68"/>
    <mergeCell ref="AJ66:AJ68"/>
    <mergeCell ref="AD66:AD68"/>
    <mergeCell ref="AF66:AF68"/>
    <mergeCell ref="AG66:AG68"/>
    <mergeCell ref="AH66:AH68"/>
    <mergeCell ref="AI61:AI64"/>
    <mergeCell ref="AJ61:AJ64"/>
    <mergeCell ref="AK61:AK64"/>
    <mergeCell ref="AG61:AG64"/>
    <mergeCell ref="AH61:AH64"/>
    <mergeCell ref="AA61:AA64"/>
    <mergeCell ref="AC61:AC64"/>
    <mergeCell ref="AD61:AD64"/>
    <mergeCell ref="AE61:AE64"/>
    <mergeCell ref="AF61:AF64"/>
    <mergeCell ref="A66:A68"/>
    <mergeCell ref="B66:B68"/>
    <mergeCell ref="C66:C68"/>
    <mergeCell ref="D66:D68"/>
    <mergeCell ref="E66:E68"/>
    <mergeCell ref="F66:G68"/>
    <mergeCell ref="M66:M68"/>
    <mergeCell ref="N66:N68"/>
    <mergeCell ref="P66:P68"/>
    <mergeCell ref="AI50:AI57"/>
    <mergeCell ref="AJ50:AJ57"/>
    <mergeCell ref="AK50:AK57"/>
    <mergeCell ref="F58:G58"/>
    <mergeCell ref="F59:G59"/>
    <mergeCell ref="A61:A64"/>
    <mergeCell ref="B61:B64"/>
    <mergeCell ref="C61:C64"/>
    <mergeCell ref="D61:D64"/>
    <mergeCell ref="E61:E64"/>
    <mergeCell ref="F61:G64"/>
    <mergeCell ref="L61:L64"/>
    <mergeCell ref="M61:M64"/>
    <mergeCell ref="N61:N64"/>
    <mergeCell ref="P61:P64"/>
    <mergeCell ref="Q61:Q64"/>
    <mergeCell ref="W61:W64"/>
    <mergeCell ref="X61:X64"/>
    <mergeCell ref="Z61:Z64"/>
    <mergeCell ref="AH50:AH57"/>
    <mergeCell ref="AC50:AC57"/>
    <mergeCell ref="AD50:AD57"/>
    <mergeCell ref="AE50:AE57"/>
    <mergeCell ref="AF50:AF57"/>
    <mergeCell ref="AG50:AG57"/>
    <mergeCell ref="A50:A57"/>
    <mergeCell ref="B50:B57"/>
    <mergeCell ref="C50:C57"/>
    <mergeCell ref="D50:D57"/>
    <mergeCell ref="E50:E57"/>
    <mergeCell ref="F50:G57"/>
    <mergeCell ref="H50:H54"/>
    <mergeCell ref="I50:I54"/>
    <mergeCell ref="J50:J54"/>
    <mergeCell ref="AA50:AA57"/>
    <mergeCell ref="W50:W57"/>
    <mergeCell ref="X50:X57"/>
    <mergeCell ref="Y50:Y57"/>
    <mergeCell ref="Z50:Z57"/>
    <mergeCell ref="AB50:AB57"/>
    <mergeCell ref="K50:K54"/>
    <mergeCell ref="AJ42:AJ48"/>
    <mergeCell ref="AK42:AK48"/>
    <mergeCell ref="H43:H44"/>
    <mergeCell ref="I43:I44"/>
    <mergeCell ref="J43:J44"/>
    <mergeCell ref="K43:K44"/>
    <mergeCell ref="O43:O44"/>
    <mergeCell ref="H45:H47"/>
    <mergeCell ref="I45:I47"/>
    <mergeCell ref="J45:J47"/>
    <mergeCell ref="K45:K47"/>
    <mergeCell ref="O45:O47"/>
    <mergeCell ref="AH42:AH48"/>
    <mergeCell ref="AI42:AI48"/>
    <mergeCell ref="AD42:AD48"/>
    <mergeCell ref="AE42:AE48"/>
    <mergeCell ref="AF42:AF48"/>
    <mergeCell ref="AG42:AG48"/>
    <mergeCell ref="AI31:AI38"/>
    <mergeCell ref="AJ31:AJ38"/>
    <mergeCell ref="AK31:AK38"/>
    <mergeCell ref="A40:A48"/>
    <mergeCell ref="B40:B48"/>
    <mergeCell ref="C41:C48"/>
    <mergeCell ref="D41:D48"/>
    <mergeCell ref="E42:E48"/>
    <mergeCell ref="F42:G48"/>
    <mergeCell ref="L42:L48"/>
    <mergeCell ref="M42:M48"/>
    <mergeCell ref="N42:N48"/>
    <mergeCell ref="P42:P48"/>
    <mergeCell ref="Q42:Q48"/>
    <mergeCell ref="R42:R44"/>
    <mergeCell ref="Y42:Y48"/>
    <mergeCell ref="Z42:Z48"/>
    <mergeCell ref="AH31:AH38"/>
    <mergeCell ref="AA42:AA48"/>
    <mergeCell ref="W42:W48"/>
    <mergeCell ref="X42:X48"/>
    <mergeCell ref="AB42:AB48"/>
    <mergeCell ref="AC42:AC48"/>
    <mergeCell ref="X31:X38"/>
    <mergeCell ref="AK28:AK30"/>
    <mergeCell ref="A31:A38"/>
    <mergeCell ref="B31:B38"/>
    <mergeCell ref="C31:C38"/>
    <mergeCell ref="D31:D38"/>
    <mergeCell ref="E31:E38"/>
    <mergeCell ref="F31:G38"/>
    <mergeCell ref="H31:H34"/>
    <mergeCell ref="I31:I34"/>
    <mergeCell ref="J31:J34"/>
    <mergeCell ref="K31:K34"/>
    <mergeCell ref="M31:M38"/>
    <mergeCell ref="N31:N38"/>
    <mergeCell ref="O31:O34"/>
    <mergeCell ref="P31:P38"/>
    <mergeCell ref="Q31:Q38"/>
    <mergeCell ref="R31:R36"/>
    <mergeCell ref="AI28:AI30"/>
    <mergeCell ref="AJ28:AJ30"/>
    <mergeCell ref="AE28:AE30"/>
    <mergeCell ref="AF28:AF30"/>
    <mergeCell ref="AG28:AG30"/>
    <mergeCell ref="AH28:AH30"/>
    <mergeCell ref="W31:W38"/>
    <mergeCell ref="AK25:AK26"/>
    <mergeCell ref="A28:A30"/>
    <mergeCell ref="B28:B30"/>
    <mergeCell ref="C28:C30"/>
    <mergeCell ref="D28:D30"/>
    <mergeCell ref="E28:E30"/>
    <mergeCell ref="F28:G30"/>
    <mergeCell ref="H28:H30"/>
    <mergeCell ref="I28:I30"/>
    <mergeCell ref="J28:J30"/>
    <mergeCell ref="K28:K30"/>
    <mergeCell ref="M28:M30"/>
    <mergeCell ref="N28:N30"/>
    <mergeCell ref="O28:O30"/>
    <mergeCell ref="P28:P30"/>
    <mergeCell ref="Q28:Q30"/>
    <mergeCell ref="R28:R30"/>
    <mergeCell ref="AD28:AD30"/>
    <mergeCell ref="AI25:AI26"/>
    <mergeCell ref="AJ25:AJ26"/>
    <mergeCell ref="AE25:AE26"/>
    <mergeCell ref="AF25:AF26"/>
    <mergeCell ref="AG25:AG26"/>
    <mergeCell ref="AH25:AH26"/>
    <mergeCell ref="AJ17:AJ23"/>
    <mergeCell ref="AK17:AK23"/>
    <mergeCell ref="R20:R23"/>
    <mergeCell ref="A25:A26"/>
    <mergeCell ref="B25:B26"/>
    <mergeCell ref="C25:C26"/>
    <mergeCell ref="D25:D26"/>
    <mergeCell ref="E25:E26"/>
    <mergeCell ref="F25:G26"/>
    <mergeCell ref="L25:L26"/>
    <mergeCell ref="M25:M26"/>
    <mergeCell ref="N25:N26"/>
    <mergeCell ref="P25:P26"/>
    <mergeCell ref="Q25:Q26"/>
    <mergeCell ref="R25:R26"/>
    <mergeCell ref="W25:W26"/>
    <mergeCell ref="X25:X26"/>
    <mergeCell ref="Y25:Y26"/>
    <mergeCell ref="AI17:AI23"/>
    <mergeCell ref="AD17:AD23"/>
    <mergeCell ref="AE17:AE23"/>
    <mergeCell ref="AF17:AF23"/>
    <mergeCell ref="AG17:AG23"/>
    <mergeCell ref="AH17:AH23"/>
    <mergeCell ref="AJ7:AJ13"/>
    <mergeCell ref="AK7:AK13"/>
    <mergeCell ref="U8:U13"/>
    <mergeCell ref="W8:W13"/>
    <mergeCell ref="X8:X13"/>
    <mergeCell ref="Y8:Y13"/>
    <mergeCell ref="Z8:Z13"/>
    <mergeCell ref="AA8:AA13"/>
    <mergeCell ref="AB8:AB13"/>
    <mergeCell ref="AC8:AC13"/>
    <mergeCell ref="AD8:AD13"/>
    <mergeCell ref="AE8:AE13"/>
    <mergeCell ref="AF8:AF13"/>
    <mergeCell ref="AG8:AG13"/>
    <mergeCell ref="AH8:AH13"/>
    <mergeCell ref="AB61:AB64"/>
    <mergeCell ref="W66:W68"/>
    <mergeCell ref="M50:M57"/>
    <mergeCell ref="N50:N57"/>
    <mergeCell ref="O50:O54"/>
    <mergeCell ref="P50:P57"/>
    <mergeCell ref="Q50:Q57"/>
    <mergeCell ref="R50:R54"/>
    <mergeCell ref="J7:J13"/>
    <mergeCell ref="K7:K13"/>
    <mergeCell ref="L7:L13"/>
    <mergeCell ref="M7:M13"/>
    <mergeCell ref="N7:N13"/>
    <mergeCell ref="O7:O13"/>
    <mergeCell ref="P7:P13"/>
    <mergeCell ref="Q7:Q13"/>
    <mergeCell ref="R7:R13"/>
    <mergeCell ref="V7:V13"/>
    <mergeCell ref="W7:AB7"/>
    <mergeCell ref="K17:K18"/>
    <mergeCell ref="M17:M23"/>
    <mergeCell ref="N17:N23"/>
    <mergeCell ref="O17:O18"/>
    <mergeCell ref="P17:P23"/>
    <mergeCell ref="K72:K73"/>
    <mergeCell ref="AB72:AB82"/>
    <mergeCell ref="AC72:AC82"/>
    <mergeCell ref="W72:W82"/>
    <mergeCell ref="X72:X82"/>
    <mergeCell ref="H72:H73"/>
    <mergeCell ref="I72:I73"/>
    <mergeCell ref="J72:J73"/>
    <mergeCell ref="AB66:AB68"/>
    <mergeCell ref="Q66:Q68"/>
    <mergeCell ref="X66:X68"/>
    <mergeCell ref="Z66:Z68"/>
    <mergeCell ref="AA66:AA68"/>
    <mergeCell ref="AC66:AC68"/>
    <mergeCell ref="J77:J78"/>
    <mergeCell ref="K77:K78"/>
    <mergeCell ref="O77:O78"/>
    <mergeCell ref="R77:R78"/>
    <mergeCell ref="U77:U78"/>
    <mergeCell ref="V77:V78"/>
    <mergeCell ref="H79:H80"/>
    <mergeCell ref="I79:I80"/>
    <mergeCell ref="J79:J80"/>
    <mergeCell ref="K79:K80"/>
    <mergeCell ref="AC25:AC26"/>
    <mergeCell ref="Z25:Z26"/>
    <mergeCell ref="A5:M6"/>
    <mergeCell ref="A1:AI4"/>
    <mergeCell ref="A7:A13"/>
    <mergeCell ref="B7:B13"/>
    <mergeCell ref="C7:C13"/>
    <mergeCell ref="D7:D13"/>
    <mergeCell ref="E7:E13"/>
    <mergeCell ref="AC7:AH7"/>
    <mergeCell ref="AI7:AI13"/>
    <mergeCell ref="Q17:Q23"/>
    <mergeCell ref="R17:R19"/>
    <mergeCell ref="S7:S13"/>
    <mergeCell ref="T7:T13"/>
    <mergeCell ref="A15:A23"/>
    <mergeCell ref="B15:B23"/>
    <mergeCell ref="C16:C23"/>
    <mergeCell ref="D16:D23"/>
    <mergeCell ref="E17:E23"/>
    <mergeCell ref="F17:G23"/>
    <mergeCell ref="H17:H18"/>
    <mergeCell ref="I17:I18"/>
    <mergeCell ref="J17:J18"/>
    <mergeCell ref="AC17:AC23"/>
    <mergeCell ref="Y17:Y23"/>
    <mergeCell ref="Z17:Z23"/>
    <mergeCell ref="AA17:AA23"/>
    <mergeCell ref="W17:W23"/>
    <mergeCell ref="X17:X23"/>
    <mergeCell ref="AB17:AB23"/>
    <mergeCell ref="F7:G13"/>
    <mergeCell ref="H7:H13"/>
    <mergeCell ref="I7:I13"/>
    <mergeCell ref="W28:W30"/>
    <mergeCell ref="AE66:AE68"/>
    <mergeCell ref="AG72:AG82"/>
    <mergeCell ref="AG31:AG38"/>
    <mergeCell ref="Y66:Y68"/>
    <mergeCell ref="Y61:Y64"/>
    <mergeCell ref="Y28:Y30"/>
    <mergeCell ref="AA72:AA82"/>
    <mergeCell ref="AA25:AA26"/>
    <mergeCell ref="AB25:AB26"/>
    <mergeCell ref="AE31:AE38"/>
    <mergeCell ref="AF31:AF38"/>
    <mergeCell ref="AB31:AB38"/>
    <mergeCell ref="AA31:AA38"/>
    <mergeCell ref="AC31:AC38"/>
    <mergeCell ref="AD31:AD38"/>
    <mergeCell ref="Y31:Y38"/>
    <mergeCell ref="Z31:Z38"/>
    <mergeCell ref="AD25:AD26"/>
    <mergeCell ref="AB28:AB30"/>
    <mergeCell ref="X28:X30"/>
    <mergeCell ref="Z28:Z30"/>
    <mergeCell ref="AA28:AA30"/>
    <mergeCell ref="AC28:AC30"/>
  </mergeCells>
  <pageMargins left="0.70866141732283472" right="0.70866141732283472" top="0.35433070866141736" bottom="0.35433070866141736" header="0.31496062992125984" footer="0.31496062992125984"/>
  <pageSetup scale="1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showGridLines="0" topLeftCell="V1" zoomScale="60" zoomScaleNormal="60" workbookViewId="0">
      <selection activeCell="AI6" sqref="A1:XFD6"/>
    </sheetView>
  </sheetViews>
  <sheetFormatPr baseColWidth="10" defaultColWidth="11.42578125" defaultRowHeight="27" customHeight="1" x14ac:dyDescent="0.2"/>
  <cols>
    <col min="1" max="1" width="8.5703125" style="265" customWidth="1"/>
    <col min="2" max="2" width="16.5703125" style="148" bestFit="1" customWidth="1"/>
    <col min="3" max="3" width="14.7109375" style="148" customWidth="1"/>
    <col min="4" max="4" width="13.42578125" style="148" customWidth="1"/>
    <col min="5" max="5" width="14.42578125" style="148" customWidth="1"/>
    <col min="6" max="6" width="8.5703125" style="148" customWidth="1"/>
    <col min="7" max="7" width="7.5703125" style="148" customWidth="1"/>
    <col min="8" max="8" width="11.5703125" style="148" customWidth="1"/>
    <col min="9" max="9" width="27.5703125" style="266" customWidth="1"/>
    <col min="10" max="10" width="12.28515625" style="118" customWidth="1"/>
    <col min="11" max="11" width="9.140625" style="118" customWidth="1"/>
    <col min="12" max="12" width="30.28515625" style="118" customWidth="1"/>
    <col min="13" max="13" width="10.42578125" style="267" customWidth="1"/>
    <col min="14" max="14" width="23.85546875" style="266" customWidth="1"/>
    <col min="15" max="15" width="12.7109375" style="940" customWidth="1"/>
    <col min="16" max="16" width="17.85546875" style="939" customWidth="1"/>
    <col min="17" max="17" width="31.42578125" style="266" customWidth="1"/>
    <col min="18" max="18" width="44.140625" style="266" customWidth="1"/>
    <col min="19" max="19" width="30.5703125" style="266" customWidth="1"/>
    <col min="20" max="20" width="21.85546875" style="938" customWidth="1"/>
    <col min="21" max="21" width="11.7109375" style="271" customWidth="1"/>
    <col min="22" max="22" width="16.85546875" style="272" customWidth="1"/>
    <col min="23" max="23" width="8.85546875" style="148" customWidth="1"/>
    <col min="24" max="25" width="9" style="148" customWidth="1"/>
    <col min="26" max="26" width="9.85546875" style="148" customWidth="1"/>
    <col min="27" max="27" width="11.85546875" style="148" customWidth="1"/>
    <col min="28" max="28" width="9" style="148" customWidth="1"/>
    <col min="29" max="29" width="8.42578125" style="148" customWidth="1"/>
    <col min="30" max="34" width="7.28515625" style="148" customWidth="1"/>
    <col min="35" max="35" width="16" style="273" customWidth="1"/>
    <col min="36" max="36" width="17.28515625" style="274" customWidth="1"/>
    <col min="37" max="37" width="28.7109375" style="275" customWidth="1"/>
    <col min="38" max="38" width="21.7109375" style="148" customWidth="1"/>
    <col min="39" max="16384" width="11.42578125" style="148"/>
  </cols>
  <sheetData>
    <row r="1" spans="1:70" s="84" customFormat="1" ht="27" customHeight="1" x14ac:dyDescent="0.2">
      <c r="A1" s="1847" t="s">
        <v>1998</v>
      </c>
      <c r="B1" s="1847"/>
      <c r="C1" s="1847"/>
      <c r="D1" s="1847"/>
      <c r="E1" s="1847"/>
      <c r="F1" s="1847"/>
      <c r="G1" s="1847"/>
      <c r="H1" s="1847"/>
      <c r="I1" s="1847"/>
      <c r="J1" s="1847"/>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c r="AI1" s="1848"/>
      <c r="AJ1" s="816" t="s">
        <v>0</v>
      </c>
      <c r="AK1" s="816" t="s">
        <v>1999</v>
      </c>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row>
    <row r="2" spans="1:70" s="84" customFormat="1" ht="27" customHeight="1" x14ac:dyDescent="0.2">
      <c r="A2" s="1847"/>
      <c r="B2" s="1847"/>
      <c r="C2" s="1847"/>
      <c r="D2" s="1847"/>
      <c r="E2" s="1847"/>
      <c r="F2" s="1847"/>
      <c r="G2" s="1847"/>
      <c r="H2" s="1847"/>
      <c r="I2" s="1847"/>
      <c r="J2" s="1847"/>
      <c r="K2" s="1847"/>
      <c r="L2" s="1847"/>
      <c r="M2" s="1847"/>
      <c r="N2" s="1847"/>
      <c r="O2" s="1847"/>
      <c r="P2" s="1847"/>
      <c r="Q2" s="1847"/>
      <c r="R2" s="1847"/>
      <c r="S2" s="1847"/>
      <c r="T2" s="1847"/>
      <c r="U2" s="1847"/>
      <c r="V2" s="1847"/>
      <c r="W2" s="1847"/>
      <c r="X2" s="1847"/>
      <c r="Y2" s="1847"/>
      <c r="Z2" s="1847"/>
      <c r="AA2" s="1847"/>
      <c r="AB2" s="1847"/>
      <c r="AC2" s="1847"/>
      <c r="AD2" s="1847"/>
      <c r="AE2" s="1847"/>
      <c r="AF2" s="1847"/>
      <c r="AG2" s="1847"/>
      <c r="AH2" s="1847"/>
      <c r="AI2" s="1848"/>
      <c r="AJ2" s="1826" t="s">
        <v>1</v>
      </c>
      <c r="AK2" s="816" t="s">
        <v>848</v>
      </c>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row>
    <row r="3" spans="1:70" s="84" customFormat="1" ht="27" customHeight="1" x14ac:dyDescent="0.2">
      <c r="A3" s="1847"/>
      <c r="B3" s="1847"/>
      <c r="C3" s="1847"/>
      <c r="D3" s="1847"/>
      <c r="E3" s="1847"/>
      <c r="F3" s="1847"/>
      <c r="G3" s="1847"/>
      <c r="H3" s="1847"/>
      <c r="I3" s="1847"/>
      <c r="J3" s="1847"/>
      <c r="K3" s="1847"/>
      <c r="L3" s="1847"/>
      <c r="M3" s="1847"/>
      <c r="N3" s="1847"/>
      <c r="O3" s="1847"/>
      <c r="P3" s="1847"/>
      <c r="Q3" s="1847"/>
      <c r="R3" s="1847"/>
      <c r="S3" s="1847"/>
      <c r="T3" s="1847"/>
      <c r="U3" s="1847"/>
      <c r="V3" s="1847"/>
      <c r="W3" s="1847"/>
      <c r="X3" s="1847"/>
      <c r="Y3" s="1847"/>
      <c r="Z3" s="1847"/>
      <c r="AA3" s="1847"/>
      <c r="AB3" s="1847"/>
      <c r="AC3" s="1847"/>
      <c r="AD3" s="1847"/>
      <c r="AE3" s="1847"/>
      <c r="AF3" s="1847"/>
      <c r="AG3" s="1847"/>
      <c r="AH3" s="1847"/>
      <c r="AI3" s="1848"/>
      <c r="AJ3" s="816" t="s">
        <v>3</v>
      </c>
      <c r="AK3" s="816" t="s">
        <v>2000</v>
      </c>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row>
    <row r="4" spans="1:70" s="84" customFormat="1" ht="27" customHeight="1" x14ac:dyDescent="0.2">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50"/>
      <c r="AJ4" s="816" t="s">
        <v>4</v>
      </c>
      <c r="AK4" s="817" t="s">
        <v>849</v>
      </c>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row>
    <row r="5" spans="1:70" s="84" customFormat="1" ht="27" customHeight="1" x14ac:dyDescent="0.2">
      <c r="A5" s="1851" t="s">
        <v>5</v>
      </c>
      <c r="B5" s="1851"/>
      <c r="C5" s="1851"/>
      <c r="D5" s="1851"/>
      <c r="E5" s="1851"/>
      <c r="F5" s="1851"/>
      <c r="G5" s="1851"/>
      <c r="H5" s="1851"/>
      <c r="I5" s="1851"/>
      <c r="J5" s="1851"/>
      <c r="K5" s="1851"/>
      <c r="L5" s="1851"/>
      <c r="M5" s="1851"/>
      <c r="N5" s="2763" t="s">
        <v>6</v>
      </c>
      <c r="O5" s="1851"/>
      <c r="P5" s="1851"/>
      <c r="Q5" s="1851"/>
      <c r="R5" s="1851"/>
      <c r="S5" s="1851"/>
      <c r="T5" s="1851"/>
      <c r="U5" s="1851"/>
      <c r="V5" s="1851"/>
      <c r="W5" s="2765"/>
      <c r="X5" s="2765"/>
      <c r="Y5" s="2765"/>
      <c r="Z5" s="2765"/>
      <c r="AA5" s="2765"/>
      <c r="AB5" s="2765"/>
      <c r="AC5" s="2765"/>
      <c r="AD5" s="2765"/>
      <c r="AE5" s="2765"/>
      <c r="AF5" s="2765"/>
      <c r="AG5" s="2765"/>
      <c r="AH5" s="2765"/>
      <c r="AI5" s="2765"/>
      <c r="AJ5" s="2765"/>
      <c r="AK5" s="2766"/>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row>
    <row r="6" spans="1:70" s="84" customFormat="1" ht="27" customHeight="1" x14ac:dyDescent="0.2">
      <c r="A6" s="1852"/>
      <c r="B6" s="1852"/>
      <c r="C6" s="1852"/>
      <c r="D6" s="1852"/>
      <c r="E6" s="1852"/>
      <c r="F6" s="1852"/>
      <c r="G6" s="1852"/>
      <c r="H6" s="1852"/>
      <c r="I6" s="1852"/>
      <c r="J6" s="1852"/>
      <c r="K6" s="1852"/>
      <c r="L6" s="1852"/>
      <c r="M6" s="1852"/>
      <c r="N6" s="1854"/>
      <c r="O6" s="1852"/>
      <c r="P6" s="1852"/>
      <c r="Q6" s="1852"/>
      <c r="R6" s="1852"/>
      <c r="S6" s="1852"/>
      <c r="T6" s="1852"/>
      <c r="U6" s="1852"/>
      <c r="V6" s="1852"/>
      <c r="W6" s="2764" t="s">
        <v>7</v>
      </c>
      <c r="X6" s="2765"/>
      <c r="Y6" s="2765"/>
      <c r="Z6" s="2765"/>
      <c r="AA6" s="2765"/>
      <c r="AB6" s="2765"/>
      <c r="AC6" s="2765"/>
      <c r="AD6" s="2765"/>
      <c r="AE6" s="2765"/>
      <c r="AF6" s="2765"/>
      <c r="AG6" s="2765"/>
      <c r="AH6" s="2765"/>
      <c r="AI6" s="819"/>
      <c r="AJ6" s="819"/>
      <c r="AK6" s="1827"/>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row>
    <row r="7" spans="1:70" ht="49.5" customHeight="1" x14ac:dyDescent="0.2">
      <c r="A7" s="2806" t="s">
        <v>8</v>
      </c>
      <c r="B7" s="2802" t="s">
        <v>9</v>
      </c>
      <c r="C7" s="2802" t="s">
        <v>8</v>
      </c>
      <c r="D7" s="2802" t="s">
        <v>10</v>
      </c>
      <c r="E7" s="2802" t="s">
        <v>8</v>
      </c>
      <c r="F7" s="2802" t="s">
        <v>11</v>
      </c>
      <c r="G7" s="2802"/>
      <c r="H7" s="2802" t="s">
        <v>8</v>
      </c>
      <c r="I7" s="2818" t="s">
        <v>12</v>
      </c>
      <c r="J7" s="2802" t="s">
        <v>13</v>
      </c>
      <c r="K7" s="2802" t="s">
        <v>14</v>
      </c>
      <c r="L7" s="2819" t="s">
        <v>15</v>
      </c>
      <c r="M7" s="2802" t="s">
        <v>664</v>
      </c>
      <c r="N7" s="2802" t="s">
        <v>6</v>
      </c>
      <c r="O7" s="2803" t="s">
        <v>17</v>
      </c>
      <c r="P7" s="2804" t="s">
        <v>18</v>
      </c>
      <c r="Q7" s="2802" t="s">
        <v>19</v>
      </c>
      <c r="R7" s="2802" t="s">
        <v>20</v>
      </c>
      <c r="S7" s="2802" t="s">
        <v>21</v>
      </c>
      <c r="T7" s="2805" t="s">
        <v>18</v>
      </c>
      <c r="U7" s="2806" t="s">
        <v>8</v>
      </c>
      <c r="V7" s="2811" t="s">
        <v>22</v>
      </c>
      <c r="W7" s="2813" t="s">
        <v>23</v>
      </c>
      <c r="X7" s="2814"/>
      <c r="Y7" s="2814"/>
      <c r="Z7" s="2814"/>
      <c r="AA7" s="2814"/>
      <c r="AB7" s="2814"/>
      <c r="AC7" s="2815" t="s">
        <v>24</v>
      </c>
      <c r="AD7" s="2815"/>
      <c r="AE7" s="2815"/>
      <c r="AF7" s="2815"/>
      <c r="AG7" s="2815"/>
      <c r="AH7" s="2815"/>
      <c r="AI7" s="2816" t="s">
        <v>25</v>
      </c>
      <c r="AJ7" s="2807" t="s">
        <v>26</v>
      </c>
      <c r="AK7" s="2809" t="s">
        <v>27</v>
      </c>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row>
    <row r="8" spans="1:70" ht="28.5" customHeight="1" x14ac:dyDescent="0.2">
      <c r="A8" s="2806"/>
      <c r="B8" s="2802"/>
      <c r="C8" s="2802"/>
      <c r="D8" s="2802"/>
      <c r="E8" s="2802"/>
      <c r="F8" s="2802"/>
      <c r="G8" s="2802"/>
      <c r="H8" s="2802"/>
      <c r="I8" s="2818"/>
      <c r="J8" s="2802"/>
      <c r="K8" s="2802"/>
      <c r="L8" s="2820"/>
      <c r="M8" s="2802"/>
      <c r="N8" s="2802"/>
      <c r="O8" s="2803"/>
      <c r="P8" s="2804"/>
      <c r="Q8" s="2802"/>
      <c r="R8" s="2802"/>
      <c r="S8" s="2802"/>
      <c r="T8" s="2805"/>
      <c r="U8" s="2806"/>
      <c r="V8" s="2812"/>
      <c r="W8" s="1789" t="s">
        <v>269</v>
      </c>
      <c r="X8" s="1790" t="s">
        <v>29</v>
      </c>
      <c r="Y8" s="1789" t="s">
        <v>30</v>
      </c>
      <c r="Z8" s="1789" t="s">
        <v>31</v>
      </c>
      <c r="AA8" s="1789" t="s">
        <v>32</v>
      </c>
      <c r="AB8" s="1789" t="s">
        <v>33</v>
      </c>
      <c r="AC8" s="1791" t="s">
        <v>34</v>
      </c>
      <c r="AD8" s="1792" t="s">
        <v>35</v>
      </c>
      <c r="AE8" s="1792" t="s">
        <v>36</v>
      </c>
      <c r="AF8" s="1792" t="s">
        <v>37</v>
      </c>
      <c r="AG8" s="1792" t="s">
        <v>38</v>
      </c>
      <c r="AH8" s="1792" t="s">
        <v>39</v>
      </c>
      <c r="AI8" s="2817"/>
      <c r="AJ8" s="2808"/>
      <c r="AK8" s="2810"/>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row>
    <row r="9" spans="1:70" s="13" customFormat="1" ht="27" customHeight="1" x14ac:dyDescent="0.2">
      <c r="A9" s="1008">
        <v>5</v>
      </c>
      <c r="B9" s="98" t="s">
        <v>42</v>
      </c>
      <c r="C9" s="3"/>
      <c r="D9" s="3"/>
      <c r="E9" s="3"/>
      <c r="F9" s="3"/>
      <c r="G9" s="3"/>
      <c r="H9" s="3"/>
      <c r="I9" s="5"/>
      <c r="J9" s="3"/>
      <c r="K9" s="3"/>
      <c r="L9" s="3"/>
      <c r="M9" s="10"/>
      <c r="N9" s="5"/>
      <c r="O9" s="1007"/>
      <c r="P9" s="8"/>
      <c r="Q9" s="5"/>
      <c r="R9" s="5"/>
      <c r="S9" s="5"/>
      <c r="T9" s="7"/>
      <c r="U9" s="11"/>
      <c r="V9" s="10"/>
      <c r="W9" s="3"/>
      <c r="X9" s="3"/>
      <c r="Y9" s="3"/>
      <c r="Z9" s="3"/>
      <c r="AA9" s="3"/>
      <c r="AB9" s="3"/>
      <c r="AC9" s="3"/>
      <c r="AD9" s="3"/>
      <c r="AE9" s="3"/>
      <c r="AF9" s="3"/>
      <c r="AG9" s="3"/>
      <c r="AH9" s="3"/>
      <c r="AI9" s="102"/>
      <c r="AJ9" s="102"/>
      <c r="AK9" s="103"/>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row>
    <row r="10" spans="1:70" s="118" customFormat="1" ht="27" customHeight="1" x14ac:dyDescent="0.2">
      <c r="A10" s="104"/>
      <c r="B10" s="105"/>
      <c r="C10" s="107">
        <v>26</v>
      </c>
      <c r="D10" s="108"/>
      <c r="E10" s="109"/>
      <c r="F10" s="109"/>
      <c r="G10" s="109"/>
      <c r="H10" s="109"/>
      <c r="I10" s="110"/>
      <c r="J10" s="109"/>
      <c r="K10" s="109"/>
      <c r="L10" s="109"/>
      <c r="M10" s="111"/>
      <c r="N10" s="110"/>
      <c r="O10" s="989"/>
      <c r="P10" s="988"/>
      <c r="Q10" s="110"/>
      <c r="R10" s="110"/>
      <c r="S10" s="110"/>
      <c r="T10" s="987"/>
      <c r="U10" s="115"/>
      <c r="V10" s="111"/>
      <c r="W10" s="109"/>
      <c r="X10" s="109"/>
      <c r="Y10" s="109"/>
      <c r="Z10" s="109"/>
      <c r="AA10" s="109"/>
      <c r="AB10" s="109"/>
      <c r="AC10" s="109"/>
      <c r="AD10" s="109"/>
      <c r="AE10" s="109"/>
      <c r="AF10" s="109"/>
      <c r="AG10" s="109"/>
      <c r="AH10" s="109"/>
      <c r="AI10" s="116"/>
      <c r="AJ10" s="116"/>
      <c r="AK10" s="117"/>
    </row>
    <row r="11" spans="1:70" s="118" customFormat="1" ht="27" customHeight="1" x14ac:dyDescent="0.2">
      <c r="A11" s="119"/>
      <c r="B11" s="120"/>
      <c r="C11" s="121"/>
      <c r="D11" s="105"/>
      <c r="E11" s="122">
        <v>83</v>
      </c>
      <c r="F11" s="123"/>
      <c r="G11" s="123" t="s">
        <v>1051</v>
      </c>
      <c r="H11" s="123"/>
      <c r="I11" s="124"/>
      <c r="J11" s="123"/>
      <c r="K11" s="123"/>
      <c r="L11" s="123"/>
      <c r="M11" s="125"/>
      <c r="N11" s="124"/>
      <c r="O11" s="984"/>
      <c r="P11" s="983"/>
      <c r="Q11" s="124"/>
      <c r="R11" s="124"/>
      <c r="S11" s="124"/>
      <c r="T11" s="981"/>
      <c r="U11" s="129"/>
      <c r="V11" s="125"/>
      <c r="W11" s="123"/>
      <c r="X11" s="123"/>
      <c r="Y11" s="123"/>
      <c r="Z11" s="123"/>
      <c r="AA11" s="123"/>
      <c r="AB11" s="123"/>
      <c r="AC11" s="123"/>
      <c r="AD11" s="123"/>
      <c r="AE11" s="123"/>
      <c r="AF11" s="123"/>
      <c r="AG11" s="123"/>
      <c r="AH11" s="123"/>
      <c r="AI11" s="130"/>
      <c r="AJ11" s="130"/>
      <c r="AK11" s="131"/>
    </row>
    <row r="12" spans="1:70" s="142" customFormat="1" ht="142.5" customHeight="1" x14ac:dyDescent="0.2">
      <c r="A12" s="132"/>
      <c r="B12" s="133"/>
      <c r="C12" s="134"/>
      <c r="D12" s="133"/>
      <c r="E12" s="979"/>
      <c r="F12" s="133"/>
      <c r="G12" s="133"/>
      <c r="H12" s="1937">
        <v>244</v>
      </c>
      <c r="I12" s="1942" t="s">
        <v>1050</v>
      </c>
      <c r="J12" s="1937" t="s">
        <v>16</v>
      </c>
      <c r="K12" s="1937">
        <v>12</v>
      </c>
      <c r="L12" s="1005"/>
      <c r="M12" s="1937">
        <v>82</v>
      </c>
      <c r="N12" s="1942" t="s">
        <v>1049</v>
      </c>
      <c r="O12" s="1953">
        <f>SUM(T12:T19)/P12</f>
        <v>1</v>
      </c>
      <c r="P12" s="2781">
        <f>SUM(T12:T19)</f>
        <v>1154534666</v>
      </c>
      <c r="Q12" s="1942" t="s">
        <v>1048</v>
      </c>
      <c r="R12" s="1949" t="s">
        <v>1047</v>
      </c>
      <c r="S12" s="996" t="s">
        <v>1046</v>
      </c>
      <c r="T12" s="995">
        <f>160034666+53333334</f>
        <v>213368000</v>
      </c>
      <c r="U12" s="1958">
        <v>20</v>
      </c>
      <c r="V12" s="1937" t="s">
        <v>412</v>
      </c>
      <c r="W12" s="2778">
        <v>64149</v>
      </c>
      <c r="X12" s="2778">
        <v>72224</v>
      </c>
      <c r="Y12" s="2778">
        <v>24477</v>
      </c>
      <c r="Z12" s="2778">
        <v>86843</v>
      </c>
      <c r="AA12" s="2778">
        <v>236429</v>
      </c>
      <c r="AB12" s="2778">
        <v>81384</v>
      </c>
      <c r="AC12" s="2778">
        <v>13208</v>
      </c>
      <c r="AD12" s="2778">
        <v>1817</v>
      </c>
      <c r="AE12" s="2778">
        <v>0</v>
      </c>
      <c r="AF12" s="2778">
        <v>0</v>
      </c>
      <c r="AG12" s="2778">
        <v>0</v>
      </c>
      <c r="AH12" s="2778">
        <v>0</v>
      </c>
      <c r="AI12" s="2776">
        <v>42736</v>
      </c>
      <c r="AJ12" s="2776">
        <v>43100</v>
      </c>
      <c r="AK12" s="1949" t="s">
        <v>1015</v>
      </c>
    </row>
    <row r="13" spans="1:70" s="142" customFormat="1" ht="37.5" customHeight="1" x14ac:dyDescent="0.2">
      <c r="A13" s="132"/>
      <c r="B13" s="133"/>
      <c r="C13" s="134"/>
      <c r="D13" s="133"/>
      <c r="E13" s="134"/>
      <c r="F13" s="1950"/>
      <c r="G13" s="1950"/>
      <c r="H13" s="1938"/>
      <c r="I13" s="2785"/>
      <c r="J13" s="1938"/>
      <c r="K13" s="1938"/>
      <c r="L13" s="1001"/>
      <c r="M13" s="1938"/>
      <c r="N13" s="2785"/>
      <c r="O13" s="2786"/>
      <c r="P13" s="2782"/>
      <c r="Q13" s="2785"/>
      <c r="R13" s="2788"/>
      <c r="S13" s="1004" t="s">
        <v>1045</v>
      </c>
      <c r="T13" s="1003">
        <f>157000000+53333334</f>
        <v>210333334</v>
      </c>
      <c r="U13" s="1959"/>
      <c r="V13" s="1938"/>
      <c r="W13" s="2779"/>
      <c r="X13" s="2779"/>
      <c r="Y13" s="2779"/>
      <c r="Z13" s="2779"/>
      <c r="AA13" s="2779"/>
      <c r="AB13" s="2779"/>
      <c r="AC13" s="2779"/>
      <c r="AD13" s="2779"/>
      <c r="AE13" s="2779"/>
      <c r="AF13" s="2779"/>
      <c r="AG13" s="2779"/>
      <c r="AH13" s="2779"/>
      <c r="AI13" s="2777"/>
      <c r="AJ13" s="2777"/>
      <c r="AK13" s="2780"/>
    </row>
    <row r="14" spans="1:70" s="142" customFormat="1" ht="79.5" customHeight="1" x14ac:dyDescent="0.2">
      <c r="A14" s="132"/>
      <c r="B14" s="133"/>
      <c r="C14" s="134"/>
      <c r="D14" s="133"/>
      <c r="E14" s="134"/>
      <c r="F14" s="133"/>
      <c r="G14" s="133"/>
      <c r="H14" s="1938"/>
      <c r="I14" s="2785"/>
      <c r="J14" s="1938"/>
      <c r="K14" s="1938"/>
      <c r="L14" s="1001" t="s">
        <v>1044</v>
      </c>
      <c r="M14" s="1938"/>
      <c r="N14" s="2785"/>
      <c r="O14" s="2786"/>
      <c r="P14" s="2782"/>
      <c r="Q14" s="2785"/>
      <c r="R14" s="1942" t="s">
        <v>1043</v>
      </c>
      <c r="S14" s="1002" t="s">
        <v>1042</v>
      </c>
      <c r="T14" s="995">
        <f>79000000+53333333</f>
        <v>132333333</v>
      </c>
      <c r="U14" s="1959"/>
      <c r="V14" s="1938"/>
      <c r="W14" s="2779"/>
      <c r="X14" s="2779"/>
      <c r="Y14" s="2779"/>
      <c r="Z14" s="2779"/>
      <c r="AA14" s="2779"/>
      <c r="AB14" s="2779"/>
      <c r="AC14" s="2779"/>
      <c r="AD14" s="2779"/>
      <c r="AE14" s="2779"/>
      <c r="AF14" s="2779"/>
      <c r="AG14" s="2779"/>
      <c r="AH14" s="2779"/>
      <c r="AI14" s="2777"/>
      <c r="AJ14" s="2777"/>
      <c r="AK14" s="2780"/>
    </row>
    <row r="15" spans="1:70" s="142" customFormat="1" ht="25.5" x14ac:dyDescent="0.2">
      <c r="A15" s="132"/>
      <c r="B15" s="133"/>
      <c r="C15" s="134"/>
      <c r="D15" s="133"/>
      <c r="E15" s="134"/>
      <c r="F15" s="133"/>
      <c r="G15" s="133"/>
      <c r="H15" s="1938"/>
      <c r="I15" s="2785"/>
      <c r="J15" s="1938"/>
      <c r="K15" s="1938"/>
      <c r="L15" s="1001" t="s">
        <v>1041</v>
      </c>
      <c r="M15" s="1938"/>
      <c r="N15" s="2785"/>
      <c r="O15" s="2786"/>
      <c r="P15" s="2782"/>
      <c r="Q15" s="2785"/>
      <c r="R15" s="1961"/>
      <c r="S15" s="996" t="s">
        <v>1040</v>
      </c>
      <c r="T15" s="995">
        <f>79000000+53333333</f>
        <v>132333333</v>
      </c>
      <c r="U15" s="1959"/>
      <c r="V15" s="1938"/>
      <c r="W15" s="2779"/>
      <c r="X15" s="2779"/>
      <c r="Y15" s="2779"/>
      <c r="Z15" s="2779"/>
      <c r="AA15" s="2779"/>
      <c r="AB15" s="2779"/>
      <c r="AC15" s="2779"/>
      <c r="AD15" s="2779"/>
      <c r="AE15" s="2779"/>
      <c r="AF15" s="2779"/>
      <c r="AG15" s="2779"/>
      <c r="AH15" s="2779"/>
      <c r="AI15" s="2777"/>
      <c r="AJ15" s="2777"/>
      <c r="AK15" s="2780"/>
    </row>
    <row r="16" spans="1:70" s="142" customFormat="1" ht="46.5" customHeight="1" x14ac:dyDescent="0.2">
      <c r="A16" s="132"/>
      <c r="B16" s="133"/>
      <c r="C16" s="134"/>
      <c r="D16" s="133"/>
      <c r="E16" s="134"/>
      <c r="F16" s="133"/>
      <c r="G16" s="133"/>
      <c r="H16" s="1938"/>
      <c r="I16" s="2785"/>
      <c r="J16" s="1938"/>
      <c r="K16" s="1938"/>
      <c r="L16" s="1001"/>
      <c r="M16" s="1938"/>
      <c r="N16" s="2785"/>
      <c r="O16" s="2786"/>
      <c r="P16" s="2782"/>
      <c r="Q16" s="2785"/>
      <c r="R16" s="1942" t="s">
        <v>1039</v>
      </c>
      <c r="S16" s="996" t="s">
        <v>1038</v>
      </c>
      <c r="T16" s="995">
        <v>254333333</v>
      </c>
      <c r="U16" s="1959"/>
      <c r="V16" s="1938"/>
      <c r="W16" s="2779"/>
      <c r="X16" s="2779"/>
      <c r="Y16" s="2779"/>
      <c r="Z16" s="2779"/>
      <c r="AA16" s="2779"/>
      <c r="AB16" s="2779"/>
      <c r="AC16" s="2779"/>
      <c r="AD16" s="2779"/>
      <c r="AE16" s="2779"/>
      <c r="AF16" s="2779"/>
      <c r="AG16" s="2779"/>
      <c r="AH16" s="2779"/>
      <c r="AI16" s="2777"/>
      <c r="AJ16" s="2777"/>
      <c r="AK16" s="2780"/>
    </row>
    <row r="17" spans="1:58" s="142" customFormat="1" ht="27" customHeight="1" x14ac:dyDescent="0.2">
      <c r="A17" s="132"/>
      <c r="B17" s="133"/>
      <c r="C17" s="134"/>
      <c r="D17" s="133"/>
      <c r="E17" s="134"/>
      <c r="F17" s="133"/>
      <c r="G17" s="133"/>
      <c r="H17" s="1938"/>
      <c r="I17" s="2785"/>
      <c r="J17" s="1938"/>
      <c r="K17" s="1938"/>
      <c r="L17" s="1001"/>
      <c r="M17" s="1938"/>
      <c r="N17" s="2785"/>
      <c r="O17" s="2786"/>
      <c r="P17" s="2782"/>
      <c r="Q17" s="2785"/>
      <c r="R17" s="2785"/>
      <c r="S17" s="996" t="s">
        <v>1037</v>
      </c>
      <c r="T17" s="995">
        <f>38500000+80000000</f>
        <v>118500000</v>
      </c>
      <c r="U17" s="1959"/>
      <c r="V17" s="1938"/>
      <c r="W17" s="2779"/>
      <c r="X17" s="2779"/>
      <c r="Y17" s="2779"/>
      <c r="Z17" s="2779"/>
      <c r="AA17" s="2779"/>
      <c r="AB17" s="2779"/>
      <c r="AC17" s="2779"/>
      <c r="AD17" s="2779"/>
      <c r="AE17" s="2779"/>
      <c r="AF17" s="2779"/>
      <c r="AG17" s="2779"/>
      <c r="AH17" s="2779"/>
      <c r="AI17" s="2777"/>
      <c r="AJ17" s="2777"/>
      <c r="AK17" s="2780"/>
    </row>
    <row r="18" spans="1:58" s="142" customFormat="1" ht="27" customHeight="1" x14ac:dyDescent="0.2">
      <c r="A18" s="132"/>
      <c r="B18" s="133"/>
      <c r="C18" s="134"/>
      <c r="D18" s="133"/>
      <c r="E18" s="134"/>
      <c r="F18" s="1950"/>
      <c r="G18" s="1951"/>
      <c r="H18" s="1938"/>
      <c r="I18" s="2785"/>
      <c r="J18" s="1938"/>
      <c r="K18" s="1938"/>
      <c r="L18" s="1001"/>
      <c r="M18" s="1938"/>
      <c r="N18" s="2785"/>
      <c r="O18" s="2786"/>
      <c r="P18" s="2782"/>
      <c r="Q18" s="2785"/>
      <c r="R18" s="2785"/>
      <c r="S18" s="1942" t="s">
        <v>1036</v>
      </c>
      <c r="T18" s="2796">
        <f>40000000+53333333</f>
        <v>93333333</v>
      </c>
      <c r="U18" s="1959"/>
      <c r="V18" s="1938"/>
      <c r="W18" s="2779"/>
      <c r="X18" s="2779"/>
      <c r="Y18" s="2779"/>
      <c r="Z18" s="2779"/>
      <c r="AA18" s="2779"/>
      <c r="AB18" s="2779"/>
      <c r="AC18" s="2779"/>
      <c r="AD18" s="2779"/>
      <c r="AE18" s="2779"/>
      <c r="AF18" s="2779"/>
      <c r="AG18" s="2779"/>
      <c r="AH18" s="2779"/>
      <c r="AI18" s="2777"/>
      <c r="AJ18" s="2777"/>
      <c r="AK18" s="2780"/>
    </row>
    <row r="19" spans="1:58" s="142" customFormat="1" ht="27" customHeight="1" x14ac:dyDescent="0.2">
      <c r="A19" s="1000"/>
      <c r="B19" s="999"/>
      <c r="C19" s="992"/>
      <c r="D19" s="999"/>
      <c r="E19" s="992"/>
      <c r="F19" s="2800"/>
      <c r="G19" s="2800"/>
      <c r="H19" s="1939"/>
      <c r="I19" s="1961"/>
      <c r="J19" s="1939"/>
      <c r="K19" s="1939"/>
      <c r="L19" s="991"/>
      <c r="M19" s="1939"/>
      <c r="N19" s="1961"/>
      <c r="O19" s="2790"/>
      <c r="P19" s="2791"/>
      <c r="Q19" s="1961"/>
      <c r="R19" s="1961"/>
      <c r="S19" s="1961"/>
      <c r="T19" s="2793"/>
      <c r="U19" s="1960"/>
      <c r="V19" s="1939"/>
      <c r="W19" s="2789"/>
      <c r="X19" s="2789"/>
      <c r="Y19" s="2789"/>
      <c r="Z19" s="2789"/>
      <c r="AA19" s="2789"/>
      <c r="AB19" s="2789"/>
      <c r="AC19" s="2789"/>
      <c r="AD19" s="2789"/>
      <c r="AE19" s="2789"/>
      <c r="AF19" s="2789"/>
      <c r="AG19" s="2789"/>
      <c r="AH19" s="2789"/>
      <c r="AI19" s="2787"/>
      <c r="AJ19" s="2787"/>
      <c r="AK19" s="2788"/>
    </row>
    <row r="20" spans="1:58" ht="50.25" customHeight="1" x14ac:dyDescent="0.2">
      <c r="A20" s="143"/>
      <c r="B20" s="142"/>
      <c r="C20" s="143"/>
      <c r="D20" s="142"/>
      <c r="E20" s="134"/>
      <c r="F20" s="133"/>
      <c r="G20" s="133"/>
      <c r="H20" s="1938">
        <v>245</v>
      </c>
      <c r="I20" s="2785" t="s">
        <v>1035</v>
      </c>
      <c r="J20" s="1938" t="s">
        <v>16</v>
      </c>
      <c r="K20" s="1938">
        <v>1</v>
      </c>
      <c r="L20" s="2797" t="s">
        <v>1034</v>
      </c>
      <c r="M20" s="1938">
        <v>83</v>
      </c>
      <c r="N20" s="2785" t="s">
        <v>1033</v>
      </c>
      <c r="O20" s="2786">
        <f>SUM(T20:T27)/P20</f>
        <v>1</v>
      </c>
      <c r="P20" s="2782">
        <f>SUM(T20:T27)</f>
        <v>215000000</v>
      </c>
      <c r="Q20" s="2785" t="s">
        <v>1032</v>
      </c>
      <c r="R20" s="2780" t="s">
        <v>1031</v>
      </c>
      <c r="S20" s="2785" t="s">
        <v>1030</v>
      </c>
      <c r="T20" s="2792">
        <v>50000000</v>
      </c>
      <c r="U20" s="1959" t="s">
        <v>1029</v>
      </c>
      <c r="V20" s="1938" t="s">
        <v>412</v>
      </c>
      <c r="W20" s="2779">
        <v>64149</v>
      </c>
      <c r="X20" s="2779">
        <v>72224</v>
      </c>
      <c r="Y20" s="2779">
        <v>24477</v>
      </c>
      <c r="Z20" s="2779">
        <v>86843</v>
      </c>
      <c r="AA20" s="2779">
        <v>236429</v>
      </c>
      <c r="AB20" s="2779">
        <v>81384</v>
      </c>
      <c r="AC20" s="2779">
        <v>13208</v>
      </c>
      <c r="AD20" s="2779">
        <v>1817</v>
      </c>
      <c r="AE20" s="2779"/>
      <c r="AF20" s="2779"/>
      <c r="AG20" s="2779"/>
      <c r="AH20" s="2779"/>
      <c r="AI20" s="2777">
        <v>42736</v>
      </c>
      <c r="AJ20" s="2777">
        <v>43100</v>
      </c>
      <c r="AK20" s="1949" t="s">
        <v>1015</v>
      </c>
      <c r="AL20" s="118"/>
      <c r="AM20" s="118"/>
      <c r="AN20" s="118"/>
      <c r="AO20" s="118"/>
      <c r="AP20" s="118"/>
      <c r="AQ20" s="118"/>
      <c r="AR20" s="118"/>
      <c r="AS20" s="118"/>
      <c r="AT20" s="118"/>
      <c r="AU20" s="118"/>
      <c r="AV20" s="118"/>
      <c r="AW20" s="118"/>
      <c r="AX20" s="118"/>
      <c r="AY20" s="118"/>
      <c r="AZ20" s="118"/>
      <c r="BA20" s="118"/>
      <c r="BB20" s="118"/>
      <c r="BC20" s="118"/>
      <c r="BD20" s="118"/>
      <c r="BE20" s="118"/>
      <c r="BF20" s="118"/>
    </row>
    <row r="21" spans="1:58" ht="39.75" customHeight="1" x14ac:dyDescent="0.2">
      <c r="A21" s="143"/>
      <c r="B21" s="142"/>
      <c r="C21" s="143"/>
      <c r="D21" s="142"/>
      <c r="E21" s="134"/>
      <c r="F21" s="1950"/>
      <c r="G21" s="1950"/>
      <c r="H21" s="1938"/>
      <c r="I21" s="2785"/>
      <c r="J21" s="1938"/>
      <c r="K21" s="1938"/>
      <c r="L21" s="2798"/>
      <c r="M21" s="1938"/>
      <c r="N21" s="2785"/>
      <c r="O21" s="2786"/>
      <c r="P21" s="2782"/>
      <c r="Q21" s="2785"/>
      <c r="R21" s="2788"/>
      <c r="S21" s="1961"/>
      <c r="T21" s="2793"/>
      <c r="U21" s="1959"/>
      <c r="V21" s="1938"/>
      <c r="W21" s="2779"/>
      <c r="X21" s="2779"/>
      <c r="Y21" s="2779"/>
      <c r="Z21" s="2779"/>
      <c r="AA21" s="2779"/>
      <c r="AB21" s="2779"/>
      <c r="AC21" s="2779"/>
      <c r="AD21" s="2779"/>
      <c r="AE21" s="2779"/>
      <c r="AF21" s="2779"/>
      <c r="AG21" s="2779"/>
      <c r="AH21" s="2779"/>
      <c r="AI21" s="2777"/>
      <c r="AJ21" s="2777"/>
      <c r="AK21" s="2780"/>
      <c r="AL21" s="118"/>
      <c r="AM21" s="118"/>
      <c r="AN21" s="118"/>
      <c r="AO21" s="118"/>
      <c r="AP21" s="118"/>
      <c r="AQ21" s="118"/>
      <c r="AR21" s="118"/>
      <c r="AS21" s="118"/>
      <c r="AT21" s="118"/>
      <c r="AU21" s="118"/>
      <c r="AV21" s="118"/>
      <c r="AW21" s="118"/>
      <c r="AX21" s="118"/>
      <c r="AY21" s="118"/>
      <c r="AZ21" s="118"/>
      <c r="BA21" s="118"/>
      <c r="BB21" s="118"/>
      <c r="BC21" s="118"/>
      <c r="BD21" s="118"/>
      <c r="BE21" s="118"/>
      <c r="BF21" s="118"/>
    </row>
    <row r="22" spans="1:58" ht="27" customHeight="1" x14ac:dyDescent="0.2">
      <c r="A22" s="143"/>
      <c r="B22" s="142"/>
      <c r="C22" s="143"/>
      <c r="D22" s="142"/>
      <c r="E22" s="134"/>
      <c r="F22" s="133"/>
      <c r="G22" s="133"/>
      <c r="H22" s="1938"/>
      <c r="I22" s="2785"/>
      <c r="J22" s="1938"/>
      <c r="K22" s="1938"/>
      <c r="L22" s="2798"/>
      <c r="M22" s="1938"/>
      <c r="N22" s="2785"/>
      <c r="O22" s="2786"/>
      <c r="P22" s="2782"/>
      <c r="Q22" s="2785"/>
      <c r="R22" s="1942" t="s">
        <v>1028</v>
      </c>
      <c r="S22" s="2794" t="s">
        <v>1027</v>
      </c>
      <c r="T22" s="2796">
        <v>90000000</v>
      </c>
      <c r="U22" s="1959"/>
      <c r="V22" s="1938"/>
      <c r="W22" s="2779"/>
      <c r="X22" s="2779"/>
      <c r="Y22" s="2779"/>
      <c r="Z22" s="2779"/>
      <c r="AA22" s="2779"/>
      <c r="AB22" s="2779"/>
      <c r="AC22" s="2779"/>
      <c r="AD22" s="2779"/>
      <c r="AE22" s="2779"/>
      <c r="AF22" s="2779"/>
      <c r="AG22" s="2779"/>
      <c r="AH22" s="2779"/>
      <c r="AI22" s="2777"/>
      <c r="AJ22" s="2777"/>
      <c r="AK22" s="2780"/>
      <c r="AL22" s="118"/>
      <c r="AM22" s="118"/>
      <c r="AN22" s="118"/>
      <c r="AO22" s="118"/>
      <c r="AP22" s="118"/>
      <c r="AQ22" s="118"/>
      <c r="AR22" s="118"/>
      <c r="AS22" s="118"/>
      <c r="AT22" s="118"/>
      <c r="AU22" s="118"/>
      <c r="AV22" s="118"/>
      <c r="AW22" s="118"/>
      <c r="AX22" s="118"/>
      <c r="AY22" s="118"/>
      <c r="AZ22" s="118"/>
      <c r="BA22" s="118"/>
      <c r="BB22" s="118"/>
      <c r="BC22" s="118"/>
      <c r="BD22" s="118"/>
      <c r="BE22" s="118"/>
      <c r="BF22" s="118"/>
    </row>
    <row r="23" spans="1:58" ht="27" customHeight="1" x14ac:dyDescent="0.2">
      <c r="A23" s="998"/>
      <c r="B23" s="997"/>
      <c r="C23" s="998"/>
      <c r="D23" s="997"/>
      <c r="E23" s="134"/>
      <c r="F23" s="133"/>
      <c r="G23" s="133"/>
      <c r="H23" s="1938"/>
      <c r="I23" s="2785"/>
      <c r="J23" s="1938"/>
      <c r="K23" s="1938"/>
      <c r="L23" s="2798"/>
      <c r="M23" s="1938"/>
      <c r="N23" s="2785"/>
      <c r="O23" s="2786"/>
      <c r="P23" s="2782"/>
      <c r="Q23" s="2785"/>
      <c r="R23" s="2785"/>
      <c r="S23" s="2795"/>
      <c r="T23" s="2793"/>
      <c r="U23" s="1959"/>
      <c r="V23" s="1938"/>
      <c r="W23" s="2779"/>
      <c r="X23" s="2779"/>
      <c r="Y23" s="2779"/>
      <c r="Z23" s="2779"/>
      <c r="AA23" s="2779"/>
      <c r="AB23" s="2779"/>
      <c r="AC23" s="2779"/>
      <c r="AD23" s="2779"/>
      <c r="AE23" s="2779"/>
      <c r="AF23" s="2779"/>
      <c r="AG23" s="2779"/>
      <c r="AH23" s="2779"/>
      <c r="AI23" s="2777"/>
      <c r="AJ23" s="2777"/>
      <c r="AK23" s="2780"/>
      <c r="AL23" s="118"/>
      <c r="AM23" s="118"/>
      <c r="AN23" s="118"/>
      <c r="AO23" s="118"/>
      <c r="AP23" s="118"/>
      <c r="AQ23" s="118"/>
      <c r="AR23" s="118"/>
      <c r="AS23" s="118"/>
      <c r="AT23" s="118"/>
      <c r="AU23" s="118"/>
      <c r="AV23" s="118"/>
      <c r="AW23" s="118"/>
      <c r="AX23" s="118"/>
      <c r="AY23" s="118"/>
      <c r="AZ23" s="118"/>
      <c r="BA23" s="118"/>
      <c r="BB23" s="118"/>
      <c r="BC23" s="118"/>
      <c r="BD23" s="118"/>
      <c r="BE23" s="118"/>
      <c r="BF23" s="118"/>
    </row>
    <row r="24" spans="1:58" ht="27" customHeight="1" x14ac:dyDescent="0.2">
      <c r="A24" s="998"/>
      <c r="B24" s="997"/>
      <c r="C24" s="998"/>
      <c r="D24" s="997"/>
      <c r="E24" s="134"/>
      <c r="F24" s="133"/>
      <c r="G24" s="133"/>
      <c r="H24" s="1938"/>
      <c r="I24" s="2785"/>
      <c r="J24" s="1938"/>
      <c r="K24" s="1938"/>
      <c r="L24" s="2798"/>
      <c r="M24" s="1938"/>
      <c r="N24" s="2785"/>
      <c r="O24" s="2786"/>
      <c r="P24" s="2782"/>
      <c r="Q24" s="2785"/>
      <c r="R24" s="2785"/>
      <c r="S24" s="996" t="s">
        <v>1026</v>
      </c>
      <c r="T24" s="995">
        <v>10000000</v>
      </c>
      <c r="U24" s="1959"/>
      <c r="V24" s="1938"/>
      <c r="W24" s="2779"/>
      <c r="X24" s="2779"/>
      <c r="Y24" s="2779"/>
      <c r="Z24" s="2779"/>
      <c r="AA24" s="2779"/>
      <c r="AB24" s="2779"/>
      <c r="AC24" s="2779"/>
      <c r="AD24" s="2779"/>
      <c r="AE24" s="2779"/>
      <c r="AF24" s="2779"/>
      <c r="AG24" s="2779"/>
      <c r="AH24" s="2779"/>
      <c r="AI24" s="2777"/>
      <c r="AJ24" s="2777"/>
      <c r="AK24" s="2780"/>
      <c r="AL24" s="118"/>
      <c r="AM24" s="118"/>
      <c r="AN24" s="118"/>
      <c r="AO24" s="118"/>
      <c r="AP24" s="118"/>
      <c r="AQ24" s="118"/>
      <c r="AR24" s="118"/>
      <c r="AS24" s="118"/>
      <c r="AT24" s="118"/>
      <c r="AU24" s="118"/>
      <c r="AV24" s="118"/>
      <c r="AW24" s="118"/>
      <c r="AX24" s="118"/>
      <c r="AY24" s="118"/>
      <c r="AZ24" s="118"/>
      <c r="BA24" s="118"/>
      <c r="BB24" s="118"/>
      <c r="BC24" s="118"/>
      <c r="BD24" s="118"/>
      <c r="BE24" s="118"/>
      <c r="BF24" s="118"/>
    </row>
    <row r="25" spans="1:58" ht="27" customHeight="1" x14ac:dyDescent="0.2">
      <c r="A25" s="998"/>
      <c r="B25" s="997"/>
      <c r="C25" s="998"/>
      <c r="D25" s="997"/>
      <c r="E25" s="134"/>
      <c r="F25" s="133"/>
      <c r="G25" s="133"/>
      <c r="H25" s="1938"/>
      <c r="I25" s="2785"/>
      <c r="J25" s="1938"/>
      <c r="K25" s="1938"/>
      <c r="L25" s="2798"/>
      <c r="M25" s="1938"/>
      <c r="N25" s="2785"/>
      <c r="O25" s="2786"/>
      <c r="P25" s="2782"/>
      <c r="Q25" s="2785"/>
      <c r="R25" s="2785"/>
      <c r="S25" s="996" t="s">
        <v>1025</v>
      </c>
      <c r="T25" s="995">
        <v>10000000</v>
      </c>
      <c r="U25" s="1959"/>
      <c r="V25" s="1938"/>
      <c r="W25" s="2779"/>
      <c r="X25" s="2779"/>
      <c r="Y25" s="2779"/>
      <c r="Z25" s="2779"/>
      <c r="AA25" s="2779"/>
      <c r="AB25" s="2779"/>
      <c r="AC25" s="2779"/>
      <c r="AD25" s="2779"/>
      <c r="AE25" s="2779"/>
      <c r="AF25" s="2779"/>
      <c r="AG25" s="2779"/>
      <c r="AH25" s="2779"/>
      <c r="AI25" s="2777"/>
      <c r="AJ25" s="2777"/>
      <c r="AK25" s="2780"/>
      <c r="AL25" s="118"/>
      <c r="AM25" s="118"/>
      <c r="AN25" s="118"/>
      <c r="AO25" s="118"/>
      <c r="AP25" s="118"/>
      <c r="AQ25" s="118"/>
      <c r="AR25" s="118"/>
      <c r="AS25" s="118"/>
      <c r="AT25" s="118"/>
      <c r="AU25" s="118"/>
      <c r="AV25" s="118"/>
      <c r="AW25" s="118"/>
      <c r="AX25" s="118"/>
      <c r="AY25" s="118"/>
      <c r="AZ25" s="118"/>
      <c r="BA25" s="118"/>
      <c r="BB25" s="118"/>
      <c r="BC25" s="118"/>
      <c r="BD25" s="118"/>
      <c r="BE25" s="118"/>
      <c r="BF25" s="118"/>
    </row>
    <row r="26" spans="1:58" ht="27" customHeight="1" x14ac:dyDescent="0.2">
      <c r="A26" s="143"/>
      <c r="B26" s="142"/>
      <c r="C26" s="143"/>
      <c r="D26" s="142"/>
      <c r="E26" s="134"/>
      <c r="F26" s="1950"/>
      <c r="G26" s="1951"/>
      <c r="H26" s="1938"/>
      <c r="I26" s="2785"/>
      <c r="J26" s="1938"/>
      <c r="K26" s="1938"/>
      <c r="L26" s="2798"/>
      <c r="M26" s="1938"/>
      <c r="N26" s="2785"/>
      <c r="O26" s="2786"/>
      <c r="P26" s="2782"/>
      <c r="Q26" s="2785"/>
      <c r="R26" s="2785"/>
      <c r="S26" s="994" t="s">
        <v>1024</v>
      </c>
      <c r="T26" s="993">
        <v>20000000</v>
      </c>
      <c r="U26" s="1959"/>
      <c r="V26" s="1938"/>
      <c r="W26" s="2779"/>
      <c r="X26" s="2779"/>
      <c r="Y26" s="2779"/>
      <c r="Z26" s="2779"/>
      <c r="AA26" s="2779"/>
      <c r="AB26" s="2779"/>
      <c r="AC26" s="2779"/>
      <c r="AD26" s="2779"/>
      <c r="AE26" s="2779"/>
      <c r="AF26" s="2779"/>
      <c r="AG26" s="2779"/>
      <c r="AH26" s="2779"/>
      <c r="AI26" s="2777"/>
      <c r="AJ26" s="2777"/>
      <c r="AK26" s="2780"/>
      <c r="AL26" s="118"/>
      <c r="AM26" s="118"/>
      <c r="AN26" s="118"/>
      <c r="AO26" s="118"/>
      <c r="AP26" s="118"/>
      <c r="AQ26" s="118"/>
      <c r="AR26" s="118"/>
      <c r="AS26" s="118"/>
      <c r="AT26" s="118"/>
      <c r="AU26" s="118"/>
      <c r="AV26" s="118"/>
      <c r="AW26" s="118"/>
      <c r="AX26" s="118"/>
      <c r="AY26" s="118"/>
      <c r="AZ26" s="118"/>
      <c r="BA26" s="118"/>
      <c r="BB26" s="118"/>
      <c r="BC26" s="118"/>
      <c r="BD26" s="118"/>
      <c r="BE26" s="118"/>
      <c r="BF26" s="118"/>
    </row>
    <row r="27" spans="1:58" ht="38.25" x14ac:dyDescent="0.2">
      <c r="A27" s="143"/>
      <c r="B27" s="142"/>
      <c r="C27" s="230"/>
      <c r="D27" s="229"/>
      <c r="E27" s="992"/>
      <c r="F27" s="2800"/>
      <c r="G27" s="2801"/>
      <c r="H27" s="1939"/>
      <c r="I27" s="1961"/>
      <c r="J27" s="1939"/>
      <c r="K27" s="1939"/>
      <c r="L27" s="2799"/>
      <c r="M27" s="1939"/>
      <c r="N27" s="1961"/>
      <c r="O27" s="2790"/>
      <c r="P27" s="2791"/>
      <c r="Q27" s="1961"/>
      <c r="R27" s="1961"/>
      <c r="S27" s="991" t="s">
        <v>1023</v>
      </c>
      <c r="T27" s="990">
        <v>35000000</v>
      </c>
      <c r="U27" s="1960"/>
      <c r="V27" s="1939"/>
      <c r="W27" s="2789"/>
      <c r="X27" s="2789"/>
      <c r="Y27" s="2789"/>
      <c r="Z27" s="2789"/>
      <c r="AA27" s="2789"/>
      <c r="AB27" s="2789"/>
      <c r="AC27" s="2789"/>
      <c r="AD27" s="2789"/>
      <c r="AE27" s="2789"/>
      <c r="AF27" s="2789"/>
      <c r="AG27" s="2789"/>
      <c r="AH27" s="2789"/>
      <c r="AI27" s="2787"/>
      <c r="AJ27" s="2787"/>
      <c r="AK27" s="2788"/>
      <c r="AL27" s="118"/>
      <c r="AM27" s="118"/>
      <c r="AN27" s="118"/>
      <c r="AO27" s="118"/>
      <c r="AP27" s="118"/>
      <c r="AQ27" s="118"/>
      <c r="AR27" s="118"/>
      <c r="AS27" s="118"/>
      <c r="AT27" s="118"/>
      <c r="AU27" s="118"/>
      <c r="AV27" s="118"/>
      <c r="AW27" s="118"/>
      <c r="AX27" s="118"/>
      <c r="AY27" s="118"/>
      <c r="AZ27" s="118"/>
      <c r="BA27" s="118"/>
      <c r="BB27" s="118"/>
      <c r="BC27" s="118"/>
      <c r="BD27" s="118"/>
      <c r="BE27" s="118"/>
      <c r="BF27" s="118"/>
    </row>
    <row r="28" spans="1:58" ht="27" customHeight="1" x14ac:dyDescent="0.2">
      <c r="A28" s="143"/>
      <c r="B28" s="142"/>
      <c r="C28" s="115">
        <v>28</v>
      </c>
      <c r="D28" s="109"/>
      <c r="E28" s="109"/>
      <c r="F28" s="109"/>
      <c r="G28" s="109"/>
      <c r="H28" s="109"/>
      <c r="I28" s="110"/>
      <c r="J28" s="109"/>
      <c r="K28" s="109"/>
      <c r="L28" s="109"/>
      <c r="M28" s="111"/>
      <c r="N28" s="110"/>
      <c r="O28" s="989"/>
      <c r="P28" s="988"/>
      <c r="Q28" s="110"/>
      <c r="R28" s="110"/>
      <c r="S28" s="110"/>
      <c r="T28" s="987"/>
      <c r="U28" s="115"/>
      <c r="V28" s="111"/>
      <c r="W28" s="986"/>
      <c r="X28" s="986"/>
      <c r="Y28" s="986"/>
      <c r="Z28" s="986"/>
      <c r="AA28" s="986"/>
      <c r="AB28" s="986"/>
      <c r="AC28" s="986"/>
      <c r="AD28" s="986"/>
      <c r="AE28" s="986"/>
      <c r="AF28" s="986"/>
      <c r="AG28" s="986"/>
      <c r="AH28" s="986"/>
      <c r="AI28" s="985"/>
      <c r="AJ28" s="985"/>
      <c r="AK28" s="117"/>
      <c r="AL28" s="118"/>
      <c r="AM28" s="118"/>
      <c r="AN28" s="118"/>
      <c r="AO28" s="118"/>
      <c r="AP28" s="118"/>
      <c r="AQ28" s="118"/>
      <c r="AR28" s="118"/>
      <c r="AS28" s="118"/>
      <c r="AT28" s="118"/>
      <c r="AU28" s="118"/>
      <c r="AV28" s="118"/>
      <c r="AW28" s="118"/>
      <c r="AX28" s="118"/>
      <c r="AY28" s="118"/>
      <c r="AZ28" s="118"/>
      <c r="BA28" s="118"/>
      <c r="BB28" s="118"/>
      <c r="BC28" s="118"/>
      <c r="BD28" s="118"/>
      <c r="BE28" s="118"/>
      <c r="BF28" s="118"/>
    </row>
    <row r="29" spans="1:58" ht="27" customHeight="1" x14ac:dyDescent="0.2">
      <c r="A29" s="143"/>
      <c r="B29" s="142"/>
      <c r="C29" s="121"/>
      <c r="D29" s="105"/>
      <c r="E29" s="144">
        <v>89</v>
      </c>
      <c r="F29" s="123"/>
      <c r="G29" s="123" t="s">
        <v>1022</v>
      </c>
      <c r="H29" s="123"/>
      <c r="I29" s="124"/>
      <c r="J29" s="123"/>
      <c r="K29" s="123"/>
      <c r="L29" s="123"/>
      <c r="M29" s="125"/>
      <c r="N29" s="124"/>
      <c r="O29" s="984"/>
      <c r="P29" s="983"/>
      <c r="Q29" s="124"/>
      <c r="R29" s="982"/>
      <c r="S29" s="982"/>
      <c r="T29" s="981"/>
      <c r="U29" s="129"/>
      <c r="V29" s="125"/>
      <c r="W29" s="145"/>
      <c r="X29" s="145"/>
      <c r="Y29" s="145"/>
      <c r="Z29" s="145"/>
      <c r="AA29" s="145"/>
      <c r="AB29" s="145"/>
      <c r="AC29" s="145"/>
      <c r="AD29" s="145"/>
      <c r="AE29" s="145"/>
      <c r="AF29" s="145"/>
      <c r="AG29" s="145"/>
      <c r="AH29" s="145"/>
      <c r="AI29" s="147"/>
      <c r="AJ29" s="147"/>
      <c r="AK29" s="131"/>
      <c r="AL29" s="118"/>
      <c r="AM29" s="118"/>
      <c r="AN29" s="118"/>
      <c r="AO29" s="118"/>
      <c r="AP29" s="118"/>
      <c r="AQ29" s="118"/>
      <c r="AR29" s="118"/>
      <c r="AS29" s="118"/>
      <c r="AT29" s="118"/>
      <c r="AU29" s="118"/>
      <c r="AV29" s="118"/>
      <c r="AW29" s="118"/>
      <c r="AX29" s="118"/>
      <c r="AY29" s="118"/>
      <c r="AZ29" s="118"/>
      <c r="BA29" s="118"/>
      <c r="BB29" s="118"/>
      <c r="BC29" s="118"/>
      <c r="BD29" s="118"/>
      <c r="BE29" s="118"/>
      <c r="BF29" s="118"/>
    </row>
    <row r="30" spans="1:58" ht="114.75" customHeight="1" x14ac:dyDescent="0.2">
      <c r="A30" s="143"/>
      <c r="B30" s="142"/>
      <c r="C30" s="134"/>
      <c r="D30" s="133"/>
      <c r="E30" s="979"/>
      <c r="F30" s="136"/>
      <c r="G30" s="978"/>
      <c r="H30" s="1937">
        <v>288</v>
      </c>
      <c r="I30" s="1942" t="s">
        <v>1021</v>
      </c>
      <c r="J30" s="1937" t="s">
        <v>16</v>
      </c>
      <c r="K30" s="1937">
        <v>1</v>
      </c>
      <c r="L30" s="1937" t="s">
        <v>1020</v>
      </c>
      <c r="M30" s="1937">
        <v>81</v>
      </c>
      <c r="N30" s="1942" t="s">
        <v>1019</v>
      </c>
      <c r="O30" s="1953">
        <f>SUM(T30:T37)/P30</f>
        <v>1</v>
      </c>
      <c r="P30" s="2781">
        <f>SUM(T30:T37)</f>
        <v>869504873</v>
      </c>
      <c r="Q30" s="2783" t="s">
        <v>1018</v>
      </c>
      <c r="R30" s="975" t="s">
        <v>1017</v>
      </c>
      <c r="S30" s="975" t="s">
        <v>1016</v>
      </c>
      <c r="T30" s="976">
        <f>66500000+37500000+28000000</f>
        <v>132000000</v>
      </c>
      <c r="U30" s="1958">
        <v>20</v>
      </c>
      <c r="V30" s="1937" t="s">
        <v>412</v>
      </c>
      <c r="W30" s="2778">
        <v>64149</v>
      </c>
      <c r="X30" s="2778">
        <v>72224</v>
      </c>
      <c r="Y30" s="2778">
        <v>24477</v>
      </c>
      <c r="Z30" s="2778">
        <v>86843</v>
      </c>
      <c r="AA30" s="2778">
        <v>236429</v>
      </c>
      <c r="AB30" s="2778">
        <v>81384</v>
      </c>
      <c r="AC30" s="2778">
        <v>13208</v>
      </c>
      <c r="AD30" s="2778">
        <v>1817</v>
      </c>
      <c r="AE30" s="2778"/>
      <c r="AF30" s="2778"/>
      <c r="AG30" s="2778"/>
      <c r="AH30" s="2778"/>
      <c r="AI30" s="2776">
        <v>42736</v>
      </c>
      <c r="AJ30" s="2776">
        <v>43100</v>
      </c>
      <c r="AK30" s="1949" t="s">
        <v>1015</v>
      </c>
      <c r="AL30" s="2771"/>
      <c r="AM30" s="118" t="s">
        <v>72</v>
      </c>
      <c r="AN30" s="118"/>
      <c r="AO30" s="118"/>
      <c r="AP30" s="118"/>
      <c r="AQ30" s="118"/>
      <c r="AR30" s="118"/>
      <c r="AS30" s="118"/>
      <c r="AT30" s="118"/>
      <c r="AU30" s="118"/>
      <c r="AV30" s="118"/>
      <c r="AW30" s="118"/>
      <c r="AX30" s="118"/>
      <c r="AY30" s="118"/>
      <c r="AZ30" s="118"/>
      <c r="BA30" s="118"/>
      <c r="BB30" s="118"/>
      <c r="BC30" s="118"/>
      <c r="BD30" s="118"/>
      <c r="BE30" s="118"/>
      <c r="BF30" s="118"/>
    </row>
    <row r="31" spans="1:58" ht="104.25" customHeight="1" x14ac:dyDescent="0.2">
      <c r="A31" s="143"/>
      <c r="B31" s="142"/>
      <c r="C31" s="134"/>
      <c r="D31" s="133"/>
      <c r="E31" s="134"/>
      <c r="F31" s="1950"/>
      <c r="G31" s="1951"/>
      <c r="H31" s="1938"/>
      <c r="I31" s="2785"/>
      <c r="J31" s="1938"/>
      <c r="K31" s="1938"/>
      <c r="L31" s="1938"/>
      <c r="M31" s="1938"/>
      <c r="N31" s="2785"/>
      <c r="O31" s="2786"/>
      <c r="P31" s="2782"/>
      <c r="Q31" s="2784"/>
      <c r="R31" s="977" t="s">
        <v>1014</v>
      </c>
      <c r="S31" s="975" t="s">
        <v>1013</v>
      </c>
      <c r="T31" s="976">
        <f>184904873+37500000-28000000</f>
        <v>194404873</v>
      </c>
      <c r="U31" s="1959"/>
      <c r="V31" s="1938"/>
      <c r="W31" s="2779"/>
      <c r="X31" s="2779"/>
      <c r="Y31" s="2779"/>
      <c r="Z31" s="2779"/>
      <c r="AA31" s="2779"/>
      <c r="AB31" s="2779"/>
      <c r="AC31" s="2779"/>
      <c r="AD31" s="2779"/>
      <c r="AE31" s="2779"/>
      <c r="AF31" s="2779"/>
      <c r="AG31" s="2779"/>
      <c r="AH31" s="2779"/>
      <c r="AI31" s="2777"/>
      <c r="AJ31" s="2777"/>
      <c r="AK31" s="2780"/>
      <c r="AL31" s="2771"/>
      <c r="AM31" s="118"/>
      <c r="AN31" s="118"/>
      <c r="AO31" s="118"/>
      <c r="AP31" s="118"/>
      <c r="AQ31" s="118"/>
      <c r="AR31" s="118"/>
      <c r="AS31" s="118"/>
      <c r="AT31" s="118"/>
      <c r="AU31" s="118"/>
      <c r="AV31" s="118"/>
      <c r="AW31" s="118"/>
      <c r="AX31" s="118"/>
      <c r="AY31" s="118"/>
      <c r="AZ31" s="118"/>
      <c r="BA31" s="118"/>
      <c r="BB31" s="118"/>
      <c r="BC31" s="118"/>
      <c r="BD31" s="118"/>
      <c r="BE31" s="118"/>
      <c r="BF31" s="118"/>
    </row>
    <row r="32" spans="1:58" ht="63.75" x14ac:dyDescent="0.2">
      <c r="A32" s="143"/>
      <c r="B32" s="142"/>
      <c r="C32" s="134"/>
      <c r="D32" s="133"/>
      <c r="E32" s="134"/>
      <c r="F32" s="133"/>
      <c r="G32" s="135"/>
      <c r="H32" s="1938"/>
      <c r="I32" s="2785"/>
      <c r="J32" s="1938"/>
      <c r="K32" s="1938"/>
      <c r="L32" s="1938"/>
      <c r="M32" s="1938"/>
      <c r="N32" s="2785"/>
      <c r="O32" s="2786"/>
      <c r="P32" s="2782"/>
      <c r="Q32" s="2784"/>
      <c r="R32" s="2772" t="s">
        <v>1012</v>
      </c>
      <c r="S32" s="975" t="s">
        <v>1011</v>
      </c>
      <c r="T32" s="974">
        <f>32600000+37500000</f>
        <v>70100000</v>
      </c>
      <c r="U32" s="1959"/>
      <c r="V32" s="1938"/>
      <c r="W32" s="2779"/>
      <c r="X32" s="2779"/>
      <c r="Y32" s="2779"/>
      <c r="Z32" s="2779"/>
      <c r="AA32" s="2779"/>
      <c r="AB32" s="2779"/>
      <c r="AC32" s="2779"/>
      <c r="AD32" s="2779"/>
      <c r="AE32" s="2779"/>
      <c r="AF32" s="2779"/>
      <c r="AG32" s="2779"/>
      <c r="AH32" s="2779"/>
      <c r="AI32" s="2777"/>
      <c r="AJ32" s="2777"/>
      <c r="AK32" s="2780"/>
      <c r="AL32" s="118"/>
      <c r="AM32" s="118"/>
      <c r="AN32" s="118"/>
      <c r="AO32" s="118"/>
      <c r="AP32" s="118"/>
      <c r="AQ32" s="118"/>
      <c r="AR32" s="118"/>
      <c r="AS32" s="118"/>
      <c r="AT32" s="118"/>
      <c r="AU32" s="118"/>
      <c r="AV32" s="118"/>
      <c r="AW32" s="118"/>
      <c r="AX32" s="118"/>
      <c r="AY32" s="118"/>
      <c r="AZ32" s="118"/>
      <c r="BA32" s="118"/>
      <c r="BB32" s="118"/>
      <c r="BC32" s="118"/>
      <c r="BD32" s="118"/>
      <c r="BE32" s="118"/>
      <c r="BF32" s="118"/>
    </row>
    <row r="33" spans="1:60" ht="27" customHeight="1" x14ac:dyDescent="0.2">
      <c r="A33" s="973"/>
      <c r="B33" s="972"/>
      <c r="C33" s="134"/>
      <c r="D33" s="133"/>
      <c r="E33" s="134"/>
      <c r="F33" s="133"/>
      <c r="G33" s="135"/>
      <c r="H33" s="1938"/>
      <c r="I33" s="2785"/>
      <c r="J33" s="1938"/>
      <c r="K33" s="1938"/>
      <c r="L33" s="1938"/>
      <c r="M33" s="1938"/>
      <c r="N33" s="2785"/>
      <c r="O33" s="2786"/>
      <c r="P33" s="2782"/>
      <c r="Q33" s="2784"/>
      <c r="R33" s="2772"/>
      <c r="S33" s="2772" t="s">
        <v>1010</v>
      </c>
      <c r="T33" s="2774">
        <f>435500000+37500000</f>
        <v>473000000</v>
      </c>
      <c r="U33" s="1959"/>
      <c r="V33" s="1938"/>
      <c r="W33" s="2779"/>
      <c r="X33" s="2779"/>
      <c r="Y33" s="2779"/>
      <c r="Z33" s="2779"/>
      <c r="AA33" s="2779"/>
      <c r="AB33" s="2779"/>
      <c r="AC33" s="2779"/>
      <c r="AD33" s="2779"/>
      <c r="AE33" s="2779"/>
      <c r="AF33" s="2779"/>
      <c r="AG33" s="2779"/>
      <c r="AH33" s="2779"/>
      <c r="AI33" s="2777"/>
      <c r="AJ33" s="2777"/>
      <c r="AK33" s="2780"/>
      <c r="AL33" s="118"/>
      <c r="AM33" s="118"/>
      <c r="AN33" s="118"/>
      <c r="AO33" s="118"/>
      <c r="AP33" s="118"/>
      <c r="AQ33" s="118"/>
      <c r="AR33" s="118"/>
      <c r="AS33" s="118"/>
      <c r="AT33" s="118"/>
      <c r="AU33" s="118"/>
      <c r="AV33" s="118"/>
      <c r="AW33" s="118"/>
      <c r="AX33" s="118"/>
      <c r="AY33" s="118"/>
      <c r="AZ33" s="118"/>
      <c r="BA33" s="118"/>
      <c r="BB33" s="118"/>
      <c r="BC33" s="118"/>
      <c r="BD33" s="118"/>
      <c r="BE33" s="118"/>
      <c r="BF33" s="118"/>
    </row>
    <row r="34" spans="1:60" ht="27" customHeight="1" x14ac:dyDescent="0.2">
      <c r="A34" s="973"/>
      <c r="B34" s="972"/>
      <c r="C34" s="134"/>
      <c r="D34" s="133"/>
      <c r="E34" s="134"/>
      <c r="F34" s="133"/>
      <c r="G34" s="135"/>
      <c r="H34" s="1938"/>
      <c r="I34" s="2785"/>
      <c r="J34" s="1938"/>
      <c r="K34" s="1938"/>
      <c r="L34" s="1938"/>
      <c r="M34" s="1938"/>
      <c r="N34" s="2785"/>
      <c r="O34" s="2786"/>
      <c r="P34" s="2782"/>
      <c r="Q34" s="2784"/>
      <c r="R34" s="2772"/>
      <c r="S34" s="2772"/>
      <c r="T34" s="2775"/>
      <c r="U34" s="1959"/>
      <c r="V34" s="1938"/>
      <c r="W34" s="2779"/>
      <c r="X34" s="2779"/>
      <c r="Y34" s="2779"/>
      <c r="Z34" s="2779"/>
      <c r="AA34" s="2779"/>
      <c r="AB34" s="2779"/>
      <c r="AC34" s="2779"/>
      <c r="AD34" s="2779"/>
      <c r="AE34" s="2779"/>
      <c r="AF34" s="2779"/>
      <c r="AG34" s="2779"/>
      <c r="AH34" s="2779"/>
      <c r="AI34" s="2777"/>
      <c r="AJ34" s="2777"/>
      <c r="AK34" s="2780"/>
      <c r="AL34" s="118"/>
      <c r="AM34" s="118"/>
      <c r="AN34" s="118"/>
      <c r="AO34" s="118"/>
      <c r="AP34" s="118"/>
      <c r="AQ34" s="118"/>
      <c r="AR34" s="118"/>
      <c r="AS34" s="118"/>
      <c r="AT34" s="118"/>
      <c r="AU34" s="118"/>
      <c r="AV34" s="118"/>
      <c r="AW34" s="118"/>
      <c r="AX34" s="118"/>
      <c r="AY34" s="118"/>
      <c r="AZ34" s="118"/>
      <c r="BA34" s="118"/>
      <c r="BB34" s="118"/>
      <c r="BC34" s="118"/>
      <c r="BD34" s="118"/>
      <c r="BE34" s="118"/>
      <c r="BF34" s="118"/>
    </row>
    <row r="35" spans="1:60" ht="27" customHeight="1" x14ac:dyDescent="0.2">
      <c r="A35" s="973"/>
      <c r="B35" s="972"/>
      <c r="C35" s="134"/>
      <c r="D35" s="133"/>
      <c r="E35" s="134"/>
      <c r="F35" s="133"/>
      <c r="G35" s="135"/>
      <c r="H35" s="1938"/>
      <c r="I35" s="2785"/>
      <c r="J35" s="1938"/>
      <c r="K35" s="1938"/>
      <c r="L35" s="1938"/>
      <c r="M35" s="1938"/>
      <c r="N35" s="2785"/>
      <c r="O35" s="2786"/>
      <c r="P35" s="2782"/>
      <c r="Q35" s="2784"/>
      <c r="R35" s="2772"/>
      <c r="S35" s="2772"/>
      <c r="T35" s="2775"/>
      <c r="U35" s="1959"/>
      <c r="V35" s="1938"/>
      <c r="W35" s="2779"/>
      <c r="X35" s="2779"/>
      <c r="Y35" s="2779"/>
      <c r="Z35" s="2779"/>
      <c r="AA35" s="2779"/>
      <c r="AB35" s="2779"/>
      <c r="AC35" s="2779"/>
      <c r="AD35" s="2779"/>
      <c r="AE35" s="2779"/>
      <c r="AF35" s="2779"/>
      <c r="AG35" s="2779"/>
      <c r="AH35" s="2779"/>
      <c r="AI35" s="2777"/>
      <c r="AJ35" s="2777"/>
      <c r="AK35" s="2780"/>
      <c r="AL35" s="118"/>
      <c r="AM35" s="118"/>
      <c r="AN35" s="118"/>
      <c r="AO35" s="118"/>
      <c r="AP35" s="118"/>
      <c r="AQ35" s="118"/>
      <c r="AR35" s="118"/>
      <c r="AS35" s="118"/>
      <c r="AT35" s="118"/>
      <c r="AU35" s="118"/>
      <c r="AV35" s="118"/>
      <c r="AW35" s="118"/>
      <c r="AX35" s="118"/>
      <c r="AY35" s="118"/>
      <c r="AZ35" s="118"/>
      <c r="BA35" s="118"/>
      <c r="BB35" s="118"/>
      <c r="BC35" s="118"/>
      <c r="BD35" s="118"/>
      <c r="BE35" s="118"/>
      <c r="BF35" s="118"/>
    </row>
    <row r="36" spans="1:60" ht="13.5" customHeight="1" x14ac:dyDescent="0.2">
      <c r="A36" s="973"/>
      <c r="B36" s="972"/>
      <c r="C36" s="134"/>
      <c r="D36" s="133"/>
      <c r="E36" s="134"/>
      <c r="F36" s="1950"/>
      <c r="G36" s="1951"/>
      <c r="H36" s="1938"/>
      <c r="I36" s="2785"/>
      <c r="J36" s="1938"/>
      <c r="K36" s="1938"/>
      <c r="L36" s="1938"/>
      <c r="M36" s="1938"/>
      <c r="N36" s="2785"/>
      <c r="O36" s="2786"/>
      <c r="P36" s="2782"/>
      <c r="Q36" s="2784"/>
      <c r="R36" s="2772"/>
      <c r="S36" s="2772"/>
      <c r="T36" s="2775"/>
      <c r="U36" s="1959"/>
      <c r="V36" s="1938"/>
      <c r="W36" s="2779"/>
      <c r="X36" s="2779"/>
      <c r="Y36" s="2779"/>
      <c r="Z36" s="2779"/>
      <c r="AA36" s="2779"/>
      <c r="AB36" s="2779"/>
      <c r="AC36" s="2779"/>
      <c r="AD36" s="2779"/>
      <c r="AE36" s="2779"/>
      <c r="AF36" s="2779"/>
      <c r="AG36" s="2779"/>
      <c r="AH36" s="2779"/>
      <c r="AI36" s="2777"/>
      <c r="AJ36" s="2777"/>
      <c r="AK36" s="2780"/>
      <c r="AL36" s="118"/>
      <c r="AM36" s="118"/>
      <c r="AN36" s="118"/>
      <c r="AO36" s="118"/>
      <c r="AP36" s="118"/>
      <c r="AQ36" s="118"/>
      <c r="AR36" s="118"/>
      <c r="AS36" s="118"/>
      <c r="AT36" s="118"/>
      <c r="AU36" s="118"/>
      <c r="AV36" s="118"/>
      <c r="AW36" s="118"/>
      <c r="AX36" s="118"/>
      <c r="AY36" s="118"/>
      <c r="AZ36" s="118"/>
      <c r="BA36" s="118"/>
      <c r="BB36" s="118"/>
      <c r="BC36" s="118"/>
      <c r="BD36" s="118"/>
      <c r="BE36" s="118"/>
      <c r="BF36" s="118"/>
    </row>
    <row r="37" spans="1:60" ht="9.75" customHeight="1" thickBot="1" x14ac:dyDescent="0.25">
      <c r="A37" s="973"/>
      <c r="B37" s="972"/>
      <c r="C37" s="134"/>
      <c r="D37" s="133"/>
      <c r="E37" s="134"/>
      <c r="F37" s="1950"/>
      <c r="G37" s="1951"/>
      <c r="H37" s="1938"/>
      <c r="I37" s="2785"/>
      <c r="J37" s="1938"/>
      <c r="K37" s="1938"/>
      <c r="L37" s="1938"/>
      <c r="M37" s="1938"/>
      <c r="N37" s="2785"/>
      <c r="O37" s="2786"/>
      <c r="P37" s="2782"/>
      <c r="Q37" s="2784"/>
      <c r="R37" s="2773"/>
      <c r="S37" s="2773"/>
      <c r="T37" s="2775"/>
      <c r="U37" s="1959"/>
      <c r="V37" s="1938"/>
      <c r="W37" s="2779"/>
      <c r="X37" s="2779"/>
      <c r="Y37" s="2779"/>
      <c r="Z37" s="2779"/>
      <c r="AA37" s="2779"/>
      <c r="AB37" s="2779"/>
      <c r="AC37" s="2779"/>
      <c r="AD37" s="2779"/>
      <c r="AE37" s="2779"/>
      <c r="AF37" s="2779"/>
      <c r="AG37" s="2779"/>
      <c r="AH37" s="2779"/>
      <c r="AI37" s="2777"/>
      <c r="AJ37" s="2777"/>
      <c r="AK37" s="2780"/>
      <c r="AL37" s="118"/>
      <c r="AM37" s="118"/>
      <c r="AN37" s="118"/>
      <c r="AO37" s="118"/>
      <c r="AP37" s="118"/>
      <c r="AQ37" s="118"/>
      <c r="AR37" s="118"/>
      <c r="AS37" s="118"/>
      <c r="AT37" s="118"/>
      <c r="AU37" s="118"/>
      <c r="AV37" s="118"/>
      <c r="AW37" s="118"/>
      <c r="AX37" s="118"/>
      <c r="AY37" s="118"/>
      <c r="AZ37" s="118"/>
      <c r="BA37" s="118"/>
      <c r="BB37" s="118"/>
      <c r="BC37" s="118"/>
      <c r="BD37" s="118"/>
      <c r="BE37" s="118"/>
      <c r="BF37" s="118"/>
    </row>
    <row r="38" spans="1:60" ht="27" customHeight="1" thickBot="1" x14ac:dyDescent="0.25">
      <c r="A38" s="966"/>
      <c r="B38" s="965"/>
      <c r="C38" s="965"/>
      <c r="D38" s="965"/>
      <c r="E38" s="965"/>
      <c r="F38" s="965"/>
      <c r="G38" s="965"/>
      <c r="H38" s="965"/>
      <c r="I38" s="965"/>
      <c r="J38" s="971"/>
      <c r="K38" s="971"/>
      <c r="L38" s="971"/>
      <c r="M38" s="970"/>
      <c r="N38" s="969" t="s">
        <v>663</v>
      </c>
      <c r="O38" s="968"/>
      <c r="P38" s="967">
        <f>SUM(P30+P20+P12)</f>
        <v>2239039539</v>
      </c>
      <c r="Q38" s="966"/>
      <c r="R38" s="965"/>
      <c r="S38" s="964"/>
      <c r="T38" s="961">
        <f>SUM(T12:T37)</f>
        <v>2239039539</v>
      </c>
      <c r="U38" s="963"/>
      <c r="V38" s="962"/>
      <c r="W38" s="960"/>
      <c r="X38" s="960"/>
      <c r="Y38" s="960"/>
      <c r="Z38" s="960"/>
      <c r="AA38" s="960"/>
      <c r="AB38" s="960"/>
      <c r="AC38" s="960"/>
      <c r="AD38" s="960"/>
      <c r="AE38" s="960"/>
      <c r="AF38" s="960"/>
      <c r="AG38" s="960"/>
      <c r="AH38" s="960"/>
      <c r="AI38" s="960"/>
      <c r="AJ38" s="960"/>
      <c r="AK38" s="959"/>
      <c r="AL38" s="118"/>
      <c r="AM38" s="118"/>
      <c r="AN38" s="118"/>
      <c r="AO38" s="118"/>
      <c r="AP38" s="118"/>
      <c r="AQ38" s="118"/>
      <c r="AR38" s="118"/>
      <c r="AS38" s="118"/>
      <c r="AT38" s="118"/>
      <c r="AU38" s="118"/>
      <c r="AV38" s="118"/>
      <c r="AW38" s="118"/>
      <c r="AX38" s="118"/>
      <c r="AY38" s="118"/>
      <c r="AZ38" s="118"/>
      <c r="BA38" s="118"/>
      <c r="BB38" s="118"/>
      <c r="BC38" s="118"/>
      <c r="BD38" s="118"/>
      <c r="BE38" s="118"/>
      <c r="BF38" s="118"/>
    </row>
    <row r="39" spans="1:60" ht="27" customHeight="1" x14ac:dyDescent="0.2">
      <c r="A39" s="266"/>
      <c r="B39" s="266"/>
      <c r="C39" s="266"/>
      <c r="D39" s="266"/>
      <c r="E39" s="266"/>
      <c r="F39" s="266"/>
      <c r="G39" s="266"/>
      <c r="H39" s="266"/>
      <c r="T39" s="958"/>
      <c r="W39" s="276"/>
      <c r="X39" s="276"/>
      <c r="Y39" s="276"/>
      <c r="Z39" s="276"/>
      <c r="AA39" s="276"/>
      <c r="AB39" s="276"/>
      <c r="AC39" s="276"/>
      <c r="AD39" s="276"/>
      <c r="AE39" s="276"/>
      <c r="AF39" s="276"/>
      <c r="AG39" s="276"/>
      <c r="AH39" s="276"/>
      <c r="AI39" s="276"/>
      <c r="AJ39" s="276"/>
      <c r="AK39" s="276"/>
      <c r="AL39" s="118"/>
      <c r="AM39" s="118"/>
      <c r="AN39" s="118"/>
      <c r="AO39" s="118"/>
      <c r="AP39" s="118"/>
      <c r="AQ39" s="118"/>
      <c r="AR39" s="118"/>
      <c r="AS39" s="118"/>
      <c r="AT39" s="118"/>
      <c r="AU39" s="118"/>
      <c r="AV39" s="118"/>
      <c r="AW39" s="118"/>
      <c r="AX39" s="118"/>
      <c r="AY39" s="118"/>
      <c r="AZ39" s="118"/>
      <c r="BA39" s="118"/>
      <c r="BB39" s="118"/>
      <c r="BC39" s="118"/>
      <c r="BD39" s="118"/>
      <c r="BE39" s="118"/>
      <c r="BF39" s="118"/>
    </row>
    <row r="40" spans="1:60" s="941" customFormat="1" ht="14.25" x14ac:dyDescent="0.2">
      <c r="I40" s="952"/>
      <c r="L40" s="948"/>
      <c r="N40" s="955"/>
      <c r="O40" s="954"/>
      <c r="P40" s="953"/>
      <c r="R40" s="952"/>
      <c r="T40" s="951"/>
      <c r="U40" s="949"/>
      <c r="V40" s="950"/>
      <c r="W40" s="950"/>
      <c r="X40" s="949"/>
      <c r="Y40" s="949"/>
      <c r="AA40" s="948"/>
      <c r="AC40" s="948"/>
      <c r="AE40" s="948"/>
      <c r="AG40" s="948"/>
      <c r="AI40" s="948"/>
      <c r="AK40" s="948"/>
      <c r="AM40" s="948"/>
      <c r="AO40" s="948"/>
      <c r="AQ40" s="948"/>
      <c r="AS40" s="948"/>
      <c r="AU40" s="948"/>
      <c r="AW40" s="948"/>
      <c r="AX40" s="947"/>
      <c r="AY40" s="947"/>
      <c r="AZ40" s="947"/>
      <c r="BA40" s="947"/>
      <c r="BB40" s="947"/>
      <c r="BC40" s="947"/>
      <c r="BD40" s="946"/>
      <c r="BE40" s="945"/>
      <c r="BF40" s="944"/>
      <c r="BG40" s="943"/>
      <c r="BH40" s="942"/>
    </row>
    <row r="41" spans="1:60" s="941" customFormat="1" ht="15" x14ac:dyDescent="0.25">
      <c r="I41" s="952"/>
      <c r="L41" s="948"/>
      <c r="M41" s="957" t="s">
        <v>1009</v>
      </c>
      <c r="N41" s="956"/>
      <c r="O41" s="954"/>
      <c r="P41" s="953"/>
      <c r="R41" s="952"/>
      <c r="T41" s="951"/>
      <c r="U41" s="949"/>
      <c r="V41" s="950"/>
      <c r="W41" s="950"/>
      <c r="X41" s="949"/>
      <c r="Y41" s="949"/>
      <c r="AA41" s="948"/>
      <c r="AC41" s="948"/>
      <c r="AE41" s="948"/>
      <c r="AG41" s="948"/>
      <c r="AI41" s="948"/>
      <c r="AK41" s="948"/>
      <c r="AM41" s="948"/>
      <c r="AO41" s="948"/>
      <c r="AQ41" s="948"/>
      <c r="AS41" s="948"/>
      <c r="AU41" s="948"/>
      <c r="AW41" s="948"/>
      <c r="AX41" s="947"/>
      <c r="AY41" s="947"/>
      <c r="AZ41" s="947"/>
      <c r="BA41" s="947"/>
      <c r="BB41" s="947"/>
      <c r="BC41" s="947"/>
      <c r="BD41" s="946"/>
      <c r="BE41" s="945"/>
      <c r="BF41" s="944"/>
      <c r="BG41" s="943"/>
      <c r="BH41" s="942"/>
    </row>
    <row r="42" spans="1:60" s="941" customFormat="1" ht="14.25" x14ac:dyDescent="0.2">
      <c r="I42" s="952"/>
      <c r="L42" s="948"/>
      <c r="M42" s="941" t="s">
        <v>1008</v>
      </c>
      <c r="N42" s="955"/>
      <c r="O42" s="954"/>
      <c r="P42" s="953"/>
      <c r="R42" s="952"/>
      <c r="T42" s="951"/>
      <c r="U42" s="949"/>
      <c r="V42" s="950"/>
      <c r="W42" s="950"/>
      <c r="X42" s="949"/>
      <c r="Y42" s="949"/>
      <c r="AA42" s="948"/>
      <c r="AC42" s="948"/>
      <c r="AE42" s="948"/>
      <c r="AG42" s="948"/>
      <c r="AI42" s="948"/>
      <c r="AK42" s="948"/>
      <c r="AM42" s="948"/>
      <c r="AO42" s="948"/>
      <c r="AQ42" s="948"/>
      <c r="AS42" s="948"/>
      <c r="AU42" s="948"/>
      <c r="AW42" s="948"/>
      <c r="AX42" s="947"/>
      <c r="AY42" s="947"/>
      <c r="AZ42" s="947"/>
      <c r="BA42" s="947"/>
      <c r="BB42" s="947"/>
      <c r="BC42" s="947"/>
      <c r="BD42" s="946"/>
      <c r="BE42" s="945"/>
      <c r="BF42" s="944"/>
      <c r="BG42" s="943"/>
      <c r="BH42" s="942"/>
    </row>
    <row r="43" spans="1:60" ht="27" customHeight="1" x14ac:dyDescent="0.2">
      <c r="A43" s="266"/>
      <c r="B43" s="266"/>
      <c r="C43" s="266"/>
      <c r="D43" s="266"/>
      <c r="E43" s="266"/>
      <c r="F43" s="266"/>
      <c r="G43" s="266"/>
      <c r="H43" s="266"/>
      <c r="W43" s="276"/>
      <c r="X43" s="276"/>
      <c r="Y43" s="276"/>
      <c r="Z43" s="276"/>
      <c r="AA43" s="276"/>
      <c r="AB43" s="276"/>
      <c r="AC43" s="276"/>
      <c r="AD43" s="276"/>
      <c r="AE43" s="276"/>
      <c r="AF43" s="276"/>
      <c r="AG43" s="276"/>
      <c r="AH43" s="276"/>
      <c r="AI43" s="276"/>
      <c r="AJ43" s="276"/>
      <c r="AK43" s="276"/>
      <c r="AL43" s="276"/>
      <c r="AM43" s="276"/>
      <c r="AN43" s="276"/>
      <c r="AO43" s="276"/>
    </row>
    <row r="44" spans="1:60" ht="27" customHeight="1" x14ac:dyDescent="0.2">
      <c r="A44" s="266"/>
      <c r="B44" s="266"/>
      <c r="C44" s="266"/>
      <c r="D44" s="266"/>
      <c r="E44" s="266"/>
      <c r="F44" s="266"/>
      <c r="G44" s="266"/>
      <c r="H44" s="266"/>
      <c r="W44" s="276"/>
      <c r="X44" s="276"/>
      <c r="Y44" s="276"/>
      <c r="Z44" s="276"/>
      <c r="AA44" s="276"/>
      <c r="AB44" s="276"/>
      <c r="AC44" s="276"/>
      <c r="AD44" s="276"/>
      <c r="AE44" s="276"/>
      <c r="AF44" s="276"/>
      <c r="AG44" s="276"/>
      <c r="AH44" s="276"/>
      <c r="AI44" s="276"/>
      <c r="AJ44" s="276"/>
      <c r="AK44" s="276"/>
      <c r="AL44" s="276"/>
      <c r="AM44" s="276"/>
      <c r="AN44" s="276"/>
      <c r="AO44" s="276"/>
    </row>
    <row r="45" spans="1:60" ht="27" customHeight="1" x14ac:dyDescent="0.2">
      <c r="A45" s="266"/>
      <c r="B45" s="266"/>
      <c r="C45" s="266"/>
      <c r="D45" s="266"/>
      <c r="E45" s="266"/>
      <c r="F45" s="266"/>
      <c r="G45" s="266"/>
      <c r="H45" s="266"/>
      <c r="W45" s="276"/>
      <c r="X45" s="276"/>
      <c r="Y45" s="276"/>
      <c r="Z45" s="276"/>
      <c r="AA45" s="276"/>
      <c r="AB45" s="276"/>
      <c r="AC45" s="276"/>
      <c r="AD45" s="276"/>
      <c r="AE45" s="276"/>
      <c r="AF45" s="276"/>
      <c r="AG45" s="276"/>
      <c r="AH45" s="276"/>
      <c r="AI45" s="276"/>
      <c r="AJ45" s="276"/>
      <c r="AK45" s="276"/>
      <c r="AL45" s="276"/>
      <c r="AM45" s="276"/>
      <c r="AN45" s="276"/>
      <c r="AO45" s="276"/>
    </row>
    <row r="46" spans="1:60" ht="27" customHeight="1" x14ac:dyDescent="0.2">
      <c r="A46" s="266"/>
      <c r="B46" s="266"/>
      <c r="C46" s="266"/>
      <c r="D46" s="266"/>
      <c r="E46" s="266"/>
      <c r="F46" s="266"/>
      <c r="G46" s="266"/>
      <c r="H46" s="266"/>
      <c r="W46" s="276"/>
      <c r="X46" s="276"/>
      <c r="Y46" s="276"/>
      <c r="Z46" s="276"/>
      <c r="AA46" s="276"/>
      <c r="AB46" s="276"/>
      <c r="AC46" s="276"/>
      <c r="AD46" s="276"/>
      <c r="AE46" s="276"/>
      <c r="AF46" s="276"/>
      <c r="AG46" s="276"/>
      <c r="AH46" s="276"/>
      <c r="AI46" s="276"/>
      <c r="AJ46" s="276"/>
      <c r="AK46" s="276"/>
      <c r="AL46" s="276"/>
      <c r="AM46" s="276"/>
      <c r="AN46" s="276"/>
      <c r="AO46" s="276"/>
    </row>
    <row r="47" spans="1:60" ht="27" customHeight="1" x14ac:dyDescent="0.2">
      <c r="A47" s="266"/>
      <c r="B47" s="266"/>
      <c r="C47" s="266"/>
      <c r="D47" s="266"/>
      <c r="E47" s="266"/>
      <c r="F47" s="266"/>
      <c r="G47" s="266"/>
      <c r="H47" s="266"/>
      <c r="W47" s="276"/>
      <c r="X47" s="276"/>
      <c r="Y47" s="276"/>
      <c r="Z47" s="276"/>
      <c r="AA47" s="276"/>
      <c r="AB47" s="276"/>
      <c r="AC47" s="276"/>
      <c r="AD47" s="276"/>
      <c r="AE47" s="276"/>
      <c r="AF47" s="276"/>
      <c r="AG47" s="276"/>
      <c r="AH47" s="276"/>
      <c r="AI47" s="276"/>
      <c r="AJ47" s="276"/>
      <c r="AK47" s="276"/>
      <c r="AL47" s="276"/>
      <c r="AM47" s="276"/>
      <c r="AN47" s="276"/>
      <c r="AO47" s="276"/>
    </row>
    <row r="48" spans="1:60" ht="27" customHeight="1" x14ac:dyDescent="0.2">
      <c r="A48" s="266"/>
      <c r="B48" s="266"/>
      <c r="C48" s="266"/>
      <c r="D48" s="266"/>
      <c r="E48" s="266"/>
      <c r="F48" s="266"/>
      <c r="G48" s="266"/>
      <c r="H48" s="266"/>
      <c r="W48" s="276"/>
      <c r="X48" s="276"/>
      <c r="Y48" s="276"/>
      <c r="Z48" s="276"/>
      <c r="AA48" s="276"/>
      <c r="AB48" s="276"/>
      <c r="AC48" s="276"/>
      <c r="AD48" s="276"/>
      <c r="AE48" s="276"/>
      <c r="AF48" s="276"/>
      <c r="AG48" s="276"/>
      <c r="AH48" s="276"/>
      <c r="AI48" s="276"/>
      <c r="AJ48" s="276"/>
      <c r="AK48" s="276"/>
      <c r="AL48" s="276"/>
      <c r="AM48" s="276"/>
      <c r="AN48" s="276"/>
      <c r="AO48" s="276"/>
    </row>
    <row r="49" spans="1:41" ht="27" customHeight="1" x14ac:dyDescent="0.2">
      <c r="A49" s="266"/>
      <c r="B49" s="266"/>
      <c r="C49" s="266"/>
      <c r="D49" s="266"/>
      <c r="E49" s="266"/>
      <c r="F49" s="266"/>
      <c r="G49" s="266"/>
      <c r="H49" s="266"/>
      <c r="W49" s="276"/>
      <c r="X49" s="276"/>
      <c r="Y49" s="276"/>
      <c r="Z49" s="276"/>
      <c r="AA49" s="276"/>
      <c r="AB49" s="276"/>
      <c r="AC49" s="276"/>
      <c r="AD49" s="276"/>
      <c r="AE49" s="276"/>
      <c r="AF49" s="276"/>
      <c r="AG49" s="276"/>
      <c r="AH49" s="276"/>
      <c r="AI49" s="276"/>
      <c r="AJ49" s="276"/>
      <c r="AK49" s="276"/>
      <c r="AL49" s="276"/>
      <c r="AM49" s="276"/>
      <c r="AN49" s="276"/>
      <c r="AO49" s="276"/>
    </row>
    <row r="50" spans="1:41" ht="27" customHeight="1" x14ac:dyDescent="0.2">
      <c r="A50" s="266"/>
      <c r="B50" s="266"/>
      <c r="C50" s="266"/>
      <c r="D50" s="266"/>
      <c r="E50" s="266"/>
      <c r="F50" s="266"/>
      <c r="G50" s="266"/>
      <c r="H50" s="266"/>
      <c r="W50" s="276"/>
      <c r="X50" s="276"/>
      <c r="Y50" s="276"/>
      <c r="Z50" s="276"/>
      <c r="AA50" s="276"/>
      <c r="AB50" s="276"/>
      <c r="AC50" s="276"/>
      <c r="AD50" s="276"/>
      <c r="AE50" s="276"/>
      <c r="AF50" s="276"/>
      <c r="AG50" s="276"/>
      <c r="AH50" s="276"/>
      <c r="AI50" s="276"/>
      <c r="AJ50" s="276"/>
      <c r="AK50" s="276"/>
      <c r="AL50" s="276"/>
      <c r="AM50" s="276"/>
      <c r="AN50" s="276"/>
      <c r="AO50" s="276"/>
    </row>
    <row r="51" spans="1:41" ht="27" customHeight="1" x14ac:dyDescent="0.2">
      <c r="A51" s="266"/>
      <c r="B51" s="266"/>
      <c r="C51" s="266"/>
      <c r="D51" s="266"/>
      <c r="E51" s="266"/>
      <c r="F51" s="266"/>
      <c r="G51" s="266"/>
      <c r="H51" s="266"/>
      <c r="W51" s="276"/>
      <c r="X51" s="276"/>
      <c r="Y51" s="276"/>
      <c r="Z51" s="276"/>
      <c r="AA51" s="276"/>
      <c r="AB51" s="276"/>
      <c r="AC51" s="276"/>
      <c r="AD51" s="276"/>
      <c r="AE51" s="276"/>
      <c r="AF51" s="276"/>
      <c r="AG51" s="276"/>
      <c r="AH51" s="276"/>
      <c r="AI51" s="276"/>
      <c r="AJ51" s="276"/>
      <c r="AK51" s="276"/>
      <c r="AL51" s="276"/>
      <c r="AM51" s="276"/>
      <c r="AN51" s="276"/>
      <c r="AO51" s="276"/>
    </row>
    <row r="52" spans="1:41" ht="27" customHeight="1" x14ac:dyDescent="0.2">
      <c r="A52" s="266"/>
      <c r="B52" s="266"/>
      <c r="C52" s="266"/>
      <c r="D52" s="266"/>
      <c r="E52" s="266"/>
      <c r="F52" s="266"/>
      <c r="G52" s="266"/>
      <c r="H52" s="266"/>
      <c r="W52" s="276"/>
      <c r="X52" s="276"/>
      <c r="Y52" s="276"/>
      <c r="Z52" s="276"/>
      <c r="AA52" s="276"/>
      <c r="AB52" s="276"/>
      <c r="AC52" s="276"/>
      <c r="AD52" s="276"/>
      <c r="AE52" s="276"/>
      <c r="AF52" s="276"/>
      <c r="AG52" s="276"/>
      <c r="AH52" s="276"/>
      <c r="AI52" s="276"/>
      <c r="AJ52" s="276"/>
      <c r="AK52" s="276"/>
      <c r="AL52" s="276"/>
      <c r="AM52" s="276"/>
      <c r="AN52" s="276"/>
      <c r="AO52" s="276"/>
    </row>
    <row r="53" spans="1:41" ht="27" customHeight="1" x14ac:dyDescent="0.2">
      <c r="A53" s="266"/>
      <c r="B53" s="266"/>
      <c r="C53" s="266"/>
      <c r="D53" s="266"/>
      <c r="E53" s="266"/>
      <c r="F53" s="266"/>
      <c r="G53" s="266"/>
      <c r="H53" s="266"/>
      <c r="W53" s="276"/>
      <c r="X53" s="276"/>
      <c r="Y53" s="276"/>
      <c r="Z53" s="276"/>
      <c r="AA53" s="276"/>
      <c r="AB53" s="276"/>
      <c r="AC53" s="276"/>
      <c r="AD53" s="276"/>
      <c r="AE53" s="276"/>
      <c r="AF53" s="276"/>
      <c r="AG53" s="276"/>
      <c r="AH53" s="276"/>
      <c r="AI53" s="276"/>
      <c r="AJ53" s="276"/>
      <c r="AK53" s="276"/>
      <c r="AL53" s="276"/>
      <c r="AM53" s="276"/>
      <c r="AN53" s="276"/>
      <c r="AO53" s="276"/>
    </row>
    <row r="54" spans="1:41" ht="27" customHeight="1" x14ac:dyDescent="0.2">
      <c r="A54" s="266"/>
      <c r="B54" s="266"/>
      <c r="C54" s="266"/>
      <c r="D54" s="266"/>
      <c r="E54" s="266"/>
      <c r="F54" s="266"/>
      <c r="G54" s="266"/>
      <c r="H54" s="266"/>
      <c r="W54" s="276"/>
      <c r="X54" s="276"/>
      <c r="Y54" s="276"/>
      <c r="Z54" s="276"/>
      <c r="AA54" s="276"/>
      <c r="AB54" s="276"/>
      <c r="AC54" s="276"/>
      <c r="AD54" s="276"/>
      <c r="AE54" s="276"/>
      <c r="AF54" s="276"/>
      <c r="AG54" s="276"/>
      <c r="AH54" s="276"/>
      <c r="AI54" s="276"/>
      <c r="AJ54" s="276"/>
      <c r="AK54" s="276"/>
      <c r="AL54" s="276"/>
      <c r="AM54" s="276"/>
      <c r="AN54" s="276"/>
      <c r="AO54" s="276"/>
    </row>
    <row r="55" spans="1:41" ht="27" customHeight="1" x14ac:dyDescent="0.2">
      <c r="A55" s="266"/>
      <c r="B55" s="266"/>
      <c r="C55" s="266"/>
      <c r="D55" s="266"/>
      <c r="E55" s="266"/>
      <c r="F55" s="266"/>
      <c r="G55" s="266"/>
      <c r="H55" s="266"/>
      <c r="W55" s="276"/>
      <c r="X55" s="276"/>
      <c r="Y55" s="276"/>
      <c r="Z55" s="276"/>
      <c r="AA55" s="276"/>
      <c r="AB55" s="276"/>
      <c r="AC55" s="276"/>
      <c r="AD55" s="276"/>
      <c r="AE55" s="276"/>
      <c r="AF55" s="276"/>
      <c r="AG55" s="276"/>
      <c r="AH55" s="276"/>
      <c r="AI55" s="276"/>
      <c r="AJ55" s="276"/>
      <c r="AK55" s="276"/>
      <c r="AL55" s="276"/>
      <c r="AM55" s="276"/>
      <c r="AN55" s="276"/>
      <c r="AO55" s="276"/>
    </row>
    <row r="56" spans="1:41" ht="27" customHeight="1" x14ac:dyDescent="0.2">
      <c r="A56" s="266"/>
      <c r="B56" s="266"/>
      <c r="C56" s="266"/>
      <c r="D56" s="266"/>
      <c r="E56" s="266"/>
      <c r="F56" s="266"/>
      <c r="G56" s="266"/>
      <c r="H56" s="266"/>
      <c r="W56" s="276"/>
      <c r="X56" s="276"/>
      <c r="Y56" s="276"/>
      <c r="Z56" s="276"/>
      <c r="AA56" s="276"/>
      <c r="AB56" s="276"/>
      <c r="AC56" s="276"/>
      <c r="AD56" s="276"/>
      <c r="AE56" s="276"/>
      <c r="AF56" s="276"/>
      <c r="AG56" s="276"/>
      <c r="AH56" s="276"/>
      <c r="AI56" s="276"/>
      <c r="AJ56" s="276"/>
      <c r="AK56" s="276"/>
      <c r="AL56" s="276"/>
      <c r="AM56" s="276"/>
      <c r="AN56" s="276"/>
      <c r="AO56" s="276"/>
    </row>
    <row r="57" spans="1:41" ht="27" customHeight="1" x14ac:dyDescent="0.2">
      <c r="A57" s="266"/>
      <c r="B57" s="266"/>
      <c r="C57" s="266"/>
      <c r="D57" s="266"/>
      <c r="E57" s="266"/>
      <c r="F57" s="266"/>
      <c r="G57" s="266"/>
      <c r="H57" s="266"/>
      <c r="W57" s="276"/>
      <c r="X57" s="276"/>
      <c r="Y57" s="276"/>
      <c r="Z57" s="276"/>
      <c r="AA57" s="276"/>
      <c r="AB57" s="276"/>
      <c r="AC57" s="276"/>
      <c r="AD57" s="276"/>
      <c r="AE57" s="276"/>
      <c r="AF57" s="276"/>
      <c r="AG57" s="276"/>
      <c r="AH57" s="276"/>
      <c r="AI57" s="276"/>
      <c r="AJ57" s="276"/>
      <c r="AK57" s="276"/>
      <c r="AL57" s="276"/>
      <c r="AM57" s="276"/>
      <c r="AN57" s="276"/>
      <c r="AO57" s="276"/>
    </row>
    <row r="58" spans="1:41" ht="27" customHeight="1" x14ac:dyDescent="0.2">
      <c r="A58" s="266"/>
      <c r="B58" s="266"/>
      <c r="C58" s="266"/>
      <c r="D58" s="266"/>
      <c r="E58" s="266"/>
      <c r="F58" s="266"/>
      <c r="G58" s="266"/>
      <c r="H58" s="266"/>
      <c r="W58" s="276"/>
      <c r="X58" s="276"/>
      <c r="Y58" s="276"/>
      <c r="Z58" s="276"/>
      <c r="AA58" s="276"/>
      <c r="AB58" s="276"/>
      <c r="AC58" s="276"/>
      <c r="AD58" s="276"/>
      <c r="AE58" s="276"/>
      <c r="AF58" s="276"/>
      <c r="AG58" s="276"/>
      <c r="AH58" s="276"/>
      <c r="AI58" s="276"/>
      <c r="AJ58" s="276"/>
      <c r="AK58" s="276"/>
      <c r="AL58" s="276"/>
      <c r="AM58" s="276"/>
      <c r="AN58" s="276"/>
      <c r="AO58" s="276"/>
    </row>
    <row r="59" spans="1:41" ht="27" customHeight="1" x14ac:dyDescent="0.2">
      <c r="A59" s="266"/>
      <c r="B59" s="266"/>
      <c r="C59" s="266"/>
      <c r="D59" s="266"/>
      <c r="E59" s="266"/>
      <c r="F59" s="266"/>
      <c r="G59" s="266"/>
      <c r="H59" s="266"/>
      <c r="W59" s="276"/>
      <c r="X59" s="276"/>
      <c r="Y59" s="276"/>
      <c r="Z59" s="276"/>
      <c r="AA59" s="276"/>
      <c r="AB59" s="276"/>
      <c r="AC59" s="276"/>
      <c r="AD59" s="276"/>
      <c r="AE59" s="276"/>
      <c r="AF59" s="276"/>
      <c r="AG59" s="276"/>
      <c r="AH59" s="276"/>
      <c r="AI59" s="276"/>
      <c r="AJ59" s="276"/>
      <c r="AK59" s="276"/>
      <c r="AL59" s="276"/>
      <c r="AM59" s="276"/>
      <c r="AN59" s="276"/>
      <c r="AO59" s="276"/>
    </row>
    <row r="60" spans="1:41" ht="27" customHeight="1" x14ac:dyDescent="0.2">
      <c r="A60" s="266"/>
      <c r="B60" s="266"/>
      <c r="C60" s="266"/>
      <c r="D60" s="266"/>
      <c r="E60" s="266"/>
      <c r="F60" s="266"/>
      <c r="G60" s="266"/>
      <c r="H60" s="266"/>
      <c r="W60" s="276"/>
      <c r="X60" s="276"/>
      <c r="Y60" s="276"/>
      <c r="Z60" s="276"/>
      <c r="AA60" s="276"/>
      <c r="AB60" s="276"/>
      <c r="AC60" s="276"/>
      <c r="AD60" s="276"/>
      <c r="AE60" s="276"/>
      <c r="AF60" s="276"/>
      <c r="AG60" s="276"/>
      <c r="AH60" s="276"/>
      <c r="AI60" s="276"/>
      <c r="AJ60" s="276"/>
      <c r="AK60" s="276"/>
      <c r="AL60" s="276"/>
      <c r="AM60" s="276"/>
      <c r="AN60" s="276"/>
      <c r="AO60" s="276"/>
    </row>
    <row r="61" spans="1:41" ht="27" customHeight="1" x14ac:dyDescent="0.2">
      <c r="A61" s="266"/>
      <c r="B61" s="266"/>
      <c r="C61" s="266"/>
      <c r="D61" s="266"/>
      <c r="E61" s="266"/>
      <c r="F61" s="266"/>
      <c r="G61" s="266"/>
      <c r="H61" s="266"/>
      <c r="W61" s="276"/>
      <c r="X61" s="276"/>
      <c r="Y61" s="276"/>
      <c r="Z61" s="276"/>
      <c r="AA61" s="276"/>
      <c r="AB61" s="276"/>
      <c r="AC61" s="276"/>
      <c r="AD61" s="276"/>
      <c r="AE61" s="276"/>
      <c r="AF61" s="276"/>
      <c r="AG61" s="276"/>
      <c r="AH61" s="276"/>
      <c r="AI61" s="276"/>
      <c r="AJ61" s="276"/>
      <c r="AK61" s="276"/>
      <c r="AL61" s="276"/>
      <c r="AM61" s="276"/>
      <c r="AN61" s="276"/>
      <c r="AO61" s="276"/>
    </row>
    <row r="62" spans="1:41" ht="27" customHeight="1" x14ac:dyDescent="0.2">
      <c r="A62" s="266"/>
      <c r="B62" s="266"/>
      <c r="C62" s="266"/>
      <c r="D62" s="266"/>
      <c r="E62" s="266"/>
      <c r="F62" s="266"/>
      <c r="G62" s="266"/>
      <c r="H62" s="266"/>
      <c r="W62" s="276"/>
      <c r="X62" s="276"/>
      <c r="Y62" s="276"/>
      <c r="Z62" s="276"/>
      <c r="AA62" s="276"/>
      <c r="AB62" s="276"/>
      <c r="AC62" s="276"/>
      <c r="AD62" s="276"/>
      <c r="AE62" s="276"/>
      <c r="AF62" s="276"/>
      <c r="AG62" s="276"/>
      <c r="AH62" s="276"/>
      <c r="AI62" s="276"/>
      <c r="AJ62" s="276"/>
      <c r="AK62" s="276"/>
      <c r="AL62" s="276"/>
      <c r="AM62" s="276"/>
      <c r="AN62" s="276"/>
      <c r="AO62" s="276"/>
    </row>
    <row r="63" spans="1:41" ht="27" customHeight="1" x14ac:dyDescent="0.2">
      <c r="A63" s="266"/>
      <c r="B63" s="266"/>
      <c r="C63" s="266"/>
      <c r="D63" s="266"/>
      <c r="E63" s="266"/>
      <c r="F63" s="266"/>
      <c r="G63" s="266"/>
      <c r="H63" s="266"/>
      <c r="W63" s="276"/>
      <c r="X63" s="276"/>
      <c r="Y63" s="276"/>
      <c r="Z63" s="276"/>
      <c r="AA63" s="276"/>
      <c r="AB63" s="276"/>
      <c r="AC63" s="276"/>
      <c r="AD63" s="276"/>
      <c r="AE63" s="276"/>
      <c r="AF63" s="276"/>
      <c r="AG63" s="276"/>
      <c r="AH63" s="276"/>
      <c r="AI63" s="276"/>
      <c r="AJ63" s="276"/>
      <c r="AK63" s="276"/>
      <c r="AL63" s="276"/>
      <c r="AM63" s="276"/>
      <c r="AN63" s="276"/>
      <c r="AO63" s="276"/>
    </row>
    <row r="64" spans="1:41" ht="27" customHeight="1" x14ac:dyDescent="0.2">
      <c r="A64" s="266"/>
      <c r="B64" s="266"/>
      <c r="C64" s="266"/>
      <c r="D64" s="266"/>
      <c r="E64" s="266"/>
      <c r="F64" s="266"/>
      <c r="G64" s="266"/>
      <c r="H64" s="266"/>
      <c r="W64" s="276"/>
      <c r="X64" s="276"/>
      <c r="Y64" s="276"/>
      <c r="Z64" s="276"/>
      <c r="AA64" s="276"/>
      <c r="AB64" s="276"/>
      <c r="AC64" s="276"/>
      <c r="AD64" s="276"/>
      <c r="AE64" s="276"/>
      <c r="AF64" s="276"/>
      <c r="AG64" s="276"/>
      <c r="AH64" s="276"/>
      <c r="AI64" s="276"/>
      <c r="AJ64" s="276"/>
      <c r="AK64" s="276"/>
      <c r="AL64" s="276"/>
      <c r="AM64" s="276"/>
      <c r="AN64" s="276"/>
      <c r="AO64" s="276"/>
    </row>
    <row r="65" spans="1:41" ht="27" customHeight="1" x14ac:dyDescent="0.2">
      <c r="A65" s="266"/>
      <c r="B65" s="266"/>
      <c r="C65" s="266"/>
      <c r="D65" s="266"/>
      <c r="E65" s="266"/>
      <c r="F65" s="266"/>
      <c r="G65" s="266"/>
      <c r="H65" s="266"/>
      <c r="W65" s="276"/>
      <c r="X65" s="276"/>
      <c r="Y65" s="276"/>
      <c r="Z65" s="276"/>
      <c r="AA65" s="276"/>
      <c r="AB65" s="276"/>
      <c r="AC65" s="276"/>
      <c r="AD65" s="276"/>
      <c r="AE65" s="276"/>
      <c r="AF65" s="276"/>
      <c r="AG65" s="276"/>
      <c r="AH65" s="276"/>
      <c r="AI65" s="276"/>
      <c r="AJ65" s="276"/>
      <c r="AK65" s="276"/>
      <c r="AL65" s="276"/>
      <c r="AM65" s="276"/>
      <c r="AN65" s="276"/>
      <c r="AO65" s="276"/>
    </row>
    <row r="66" spans="1:41" ht="27" customHeight="1" x14ac:dyDescent="0.2">
      <c r="A66" s="266"/>
      <c r="B66" s="266"/>
      <c r="C66" s="266"/>
      <c r="D66" s="266"/>
      <c r="E66" s="266"/>
      <c r="F66" s="266"/>
      <c r="G66" s="266"/>
      <c r="H66" s="266"/>
      <c r="W66" s="276"/>
      <c r="X66" s="276"/>
      <c r="Y66" s="276"/>
      <c r="Z66" s="276"/>
      <c r="AA66" s="276"/>
      <c r="AB66" s="276"/>
      <c r="AC66" s="276"/>
      <c r="AD66" s="276"/>
      <c r="AE66" s="276"/>
      <c r="AF66" s="276"/>
      <c r="AG66" s="276"/>
      <c r="AH66" s="276"/>
      <c r="AI66" s="276"/>
      <c r="AJ66" s="276"/>
      <c r="AK66" s="276"/>
      <c r="AL66" s="276"/>
      <c r="AM66" s="276"/>
      <c r="AN66" s="276"/>
      <c r="AO66" s="276"/>
    </row>
    <row r="67" spans="1:41" ht="27" customHeight="1" x14ac:dyDescent="0.2">
      <c r="A67" s="266"/>
      <c r="B67" s="266"/>
      <c r="C67" s="266"/>
      <c r="D67" s="266"/>
      <c r="E67" s="266"/>
      <c r="F67" s="266"/>
      <c r="G67" s="266"/>
      <c r="H67" s="266"/>
      <c r="W67" s="276"/>
      <c r="X67" s="276"/>
      <c r="Y67" s="276"/>
      <c r="Z67" s="276"/>
      <c r="AA67" s="276"/>
      <c r="AB67" s="276"/>
      <c r="AC67" s="276"/>
      <c r="AD67" s="276"/>
      <c r="AE67" s="276"/>
      <c r="AF67" s="276"/>
      <c r="AG67" s="276"/>
      <c r="AH67" s="276"/>
      <c r="AI67" s="276"/>
      <c r="AJ67" s="276"/>
      <c r="AK67" s="276"/>
      <c r="AL67" s="276"/>
      <c r="AM67" s="276"/>
      <c r="AN67" s="276"/>
      <c r="AO67" s="276"/>
    </row>
    <row r="68" spans="1:41" ht="27" customHeight="1" x14ac:dyDescent="0.2">
      <c r="A68" s="266"/>
      <c r="B68" s="266"/>
      <c r="C68" s="266"/>
      <c r="D68" s="266"/>
      <c r="E68" s="266"/>
      <c r="F68" s="266"/>
      <c r="G68" s="266"/>
      <c r="H68" s="266"/>
      <c r="W68" s="276"/>
      <c r="X68" s="276"/>
      <c r="Y68" s="276"/>
      <c r="Z68" s="276"/>
      <c r="AA68" s="276"/>
      <c r="AB68" s="276"/>
      <c r="AC68" s="276"/>
      <c r="AD68" s="276"/>
      <c r="AE68" s="276"/>
      <c r="AF68" s="276"/>
      <c r="AG68" s="276"/>
      <c r="AH68" s="276"/>
      <c r="AI68" s="276"/>
      <c r="AJ68" s="276"/>
      <c r="AK68" s="276"/>
      <c r="AL68" s="276"/>
      <c r="AM68" s="276"/>
      <c r="AN68" s="276"/>
      <c r="AO68" s="276"/>
    </row>
    <row r="69" spans="1:41" ht="27" customHeight="1" x14ac:dyDescent="0.2">
      <c r="A69" s="266"/>
      <c r="B69" s="266"/>
      <c r="C69" s="266"/>
      <c r="D69" s="266"/>
      <c r="E69" s="266"/>
      <c r="F69" s="266"/>
      <c r="G69" s="266"/>
      <c r="H69" s="266"/>
      <c r="W69" s="276"/>
      <c r="X69" s="276"/>
      <c r="Y69" s="276"/>
      <c r="Z69" s="276"/>
      <c r="AA69" s="276"/>
      <c r="AB69" s="276"/>
      <c r="AC69" s="276"/>
      <c r="AD69" s="276"/>
      <c r="AE69" s="276"/>
      <c r="AF69" s="276"/>
      <c r="AG69" s="276"/>
      <c r="AH69" s="276"/>
      <c r="AI69" s="276"/>
      <c r="AJ69" s="276"/>
      <c r="AK69" s="276"/>
      <c r="AL69" s="276"/>
      <c r="AM69" s="276"/>
      <c r="AN69" s="276"/>
      <c r="AO69" s="276"/>
    </row>
    <row r="70" spans="1:41" ht="27" customHeight="1" x14ac:dyDescent="0.2">
      <c r="A70" s="266"/>
      <c r="B70" s="266"/>
      <c r="C70" s="266"/>
      <c r="D70" s="266"/>
      <c r="E70" s="266"/>
      <c r="F70" s="266"/>
      <c r="G70" s="266"/>
      <c r="H70" s="266"/>
      <c r="W70" s="276"/>
      <c r="X70" s="276"/>
      <c r="Y70" s="276"/>
      <c r="Z70" s="276"/>
      <c r="AA70" s="276"/>
      <c r="AB70" s="276"/>
      <c r="AC70" s="276"/>
      <c r="AD70" s="276"/>
      <c r="AE70" s="276"/>
      <c r="AF70" s="276"/>
      <c r="AG70" s="276"/>
      <c r="AH70" s="276"/>
      <c r="AI70" s="276"/>
      <c r="AJ70" s="276"/>
      <c r="AK70" s="276"/>
      <c r="AL70" s="276"/>
      <c r="AM70" s="276"/>
      <c r="AN70" s="276"/>
      <c r="AO70" s="276"/>
    </row>
    <row r="71" spans="1:41" ht="27" customHeight="1" x14ac:dyDescent="0.2">
      <c r="A71" s="266"/>
      <c r="B71" s="266"/>
      <c r="C71" s="266"/>
      <c r="D71" s="266"/>
      <c r="E71" s="266"/>
      <c r="F71" s="266"/>
      <c r="G71" s="266"/>
      <c r="H71" s="266"/>
      <c r="W71" s="276"/>
      <c r="X71" s="276"/>
      <c r="Y71" s="276"/>
      <c r="Z71" s="276"/>
      <c r="AA71" s="276"/>
      <c r="AB71" s="276"/>
      <c r="AC71" s="276"/>
      <c r="AD71" s="276"/>
      <c r="AE71" s="276"/>
      <c r="AF71" s="276"/>
      <c r="AG71" s="276"/>
      <c r="AH71" s="276"/>
      <c r="AI71" s="276"/>
      <c r="AJ71" s="276"/>
      <c r="AK71" s="276"/>
      <c r="AL71" s="276"/>
      <c r="AM71" s="276"/>
      <c r="AN71" s="276"/>
      <c r="AO71" s="276"/>
    </row>
    <row r="72" spans="1:41" ht="27" customHeight="1" x14ac:dyDescent="0.2">
      <c r="A72" s="266"/>
      <c r="B72" s="266"/>
      <c r="C72" s="266"/>
      <c r="D72" s="266"/>
      <c r="E72" s="266"/>
      <c r="F72" s="266"/>
      <c r="G72" s="266"/>
      <c r="H72" s="266"/>
      <c r="W72" s="276"/>
      <c r="X72" s="276"/>
      <c r="Y72" s="276"/>
      <c r="Z72" s="276"/>
      <c r="AA72" s="276"/>
      <c r="AB72" s="276"/>
      <c r="AC72" s="276"/>
      <c r="AD72" s="276"/>
      <c r="AE72" s="276"/>
      <c r="AF72" s="276"/>
      <c r="AG72" s="276"/>
      <c r="AH72" s="276"/>
      <c r="AI72" s="276"/>
      <c r="AJ72" s="276"/>
      <c r="AK72" s="276"/>
      <c r="AL72" s="276"/>
      <c r="AM72" s="276"/>
      <c r="AN72" s="276"/>
      <c r="AO72" s="276"/>
    </row>
    <row r="73" spans="1:41" ht="27" customHeight="1" x14ac:dyDescent="0.2">
      <c r="A73" s="266"/>
      <c r="B73" s="266"/>
      <c r="C73" s="266"/>
      <c r="D73" s="266"/>
      <c r="E73" s="266"/>
      <c r="F73" s="266"/>
      <c r="G73" s="266"/>
      <c r="H73" s="266"/>
      <c r="W73" s="276"/>
      <c r="X73" s="276"/>
      <c r="Y73" s="276"/>
      <c r="Z73" s="276"/>
      <c r="AA73" s="276"/>
      <c r="AB73" s="276"/>
      <c r="AC73" s="276"/>
      <c r="AD73" s="276"/>
      <c r="AE73" s="276"/>
      <c r="AF73" s="276"/>
      <c r="AG73" s="276"/>
      <c r="AH73" s="276"/>
      <c r="AI73" s="276"/>
      <c r="AJ73" s="276"/>
      <c r="AK73" s="276"/>
      <c r="AL73" s="276"/>
      <c r="AM73" s="276"/>
      <c r="AN73" s="276"/>
      <c r="AO73" s="276"/>
    </row>
    <row r="74" spans="1:41" ht="27" customHeight="1" x14ac:dyDescent="0.2">
      <c r="A74" s="266"/>
      <c r="B74" s="266"/>
      <c r="C74" s="266"/>
      <c r="D74" s="266"/>
      <c r="E74" s="266"/>
      <c r="F74" s="266"/>
      <c r="G74" s="266"/>
      <c r="H74" s="266"/>
      <c r="W74" s="276"/>
      <c r="X74" s="276"/>
      <c r="Y74" s="276"/>
      <c r="Z74" s="276"/>
      <c r="AA74" s="276"/>
      <c r="AB74" s="276"/>
      <c r="AC74" s="276"/>
      <c r="AD74" s="276"/>
      <c r="AE74" s="276"/>
      <c r="AF74" s="276"/>
      <c r="AG74" s="276"/>
      <c r="AH74" s="276"/>
      <c r="AI74" s="276"/>
      <c r="AJ74" s="276"/>
      <c r="AK74" s="276"/>
      <c r="AL74" s="276"/>
      <c r="AM74" s="276"/>
      <c r="AN74" s="276"/>
      <c r="AO74" s="276"/>
    </row>
    <row r="75" spans="1:41" ht="27" customHeight="1" x14ac:dyDescent="0.2">
      <c r="A75" s="266"/>
      <c r="B75" s="266"/>
      <c r="C75" s="266"/>
      <c r="D75" s="266"/>
      <c r="E75" s="266"/>
      <c r="F75" s="266"/>
      <c r="G75" s="266"/>
      <c r="H75" s="266"/>
      <c r="W75" s="276"/>
      <c r="X75" s="276"/>
      <c r="Y75" s="276"/>
      <c r="Z75" s="276"/>
      <c r="AA75" s="276"/>
      <c r="AB75" s="276"/>
      <c r="AC75" s="276"/>
      <c r="AD75" s="276"/>
      <c r="AE75" s="276"/>
      <c r="AF75" s="276"/>
      <c r="AG75" s="276"/>
      <c r="AH75" s="276"/>
      <c r="AI75" s="276"/>
      <c r="AJ75" s="276"/>
      <c r="AK75" s="276"/>
      <c r="AL75" s="276"/>
      <c r="AM75" s="276"/>
      <c r="AN75" s="276"/>
      <c r="AO75" s="276"/>
    </row>
    <row r="76" spans="1:41" ht="27" customHeight="1" x14ac:dyDescent="0.2">
      <c r="A76" s="266"/>
      <c r="B76" s="266"/>
      <c r="C76" s="266"/>
      <c r="D76" s="266"/>
      <c r="E76" s="266"/>
      <c r="F76" s="266"/>
      <c r="G76" s="266"/>
      <c r="H76" s="266"/>
      <c r="W76" s="276"/>
      <c r="X76" s="276"/>
      <c r="Y76" s="276"/>
      <c r="Z76" s="276"/>
      <c r="AA76" s="276"/>
      <c r="AB76" s="276"/>
      <c r="AC76" s="276"/>
      <c r="AD76" s="276"/>
      <c r="AE76" s="276"/>
      <c r="AF76" s="276"/>
      <c r="AG76" s="276"/>
      <c r="AH76" s="276"/>
      <c r="AI76" s="276"/>
      <c r="AJ76" s="276"/>
      <c r="AK76" s="276"/>
      <c r="AL76" s="276"/>
      <c r="AM76" s="276"/>
      <c r="AN76" s="276"/>
      <c r="AO76" s="276"/>
    </row>
    <row r="77" spans="1:41" ht="27" customHeight="1" x14ac:dyDescent="0.2">
      <c r="A77" s="266"/>
      <c r="B77" s="266"/>
      <c r="C77" s="266"/>
      <c r="D77" s="266"/>
      <c r="E77" s="266"/>
      <c r="F77" s="266"/>
      <c r="G77" s="266"/>
      <c r="H77" s="266"/>
      <c r="W77" s="276"/>
      <c r="X77" s="276"/>
      <c r="Y77" s="276"/>
      <c r="Z77" s="276"/>
      <c r="AA77" s="276"/>
      <c r="AB77" s="276"/>
      <c r="AC77" s="276"/>
      <c r="AD77" s="276"/>
      <c r="AE77" s="276"/>
      <c r="AF77" s="276"/>
      <c r="AG77" s="276"/>
      <c r="AH77" s="276"/>
      <c r="AI77" s="276"/>
      <c r="AJ77" s="276"/>
      <c r="AK77" s="276"/>
      <c r="AL77" s="276"/>
      <c r="AM77" s="276"/>
      <c r="AN77" s="276"/>
      <c r="AO77" s="276"/>
    </row>
    <row r="78" spans="1:41" ht="27" customHeight="1" x14ac:dyDescent="0.2">
      <c r="A78" s="266"/>
      <c r="B78" s="266"/>
      <c r="C78" s="266"/>
      <c r="D78" s="266"/>
      <c r="E78" s="266"/>
      <c r="F78" s="266"/>
      <c r="G78" s="266"/>
      <c r="H78" s="266"/>
      <c r="W78" s="276"/>
      <c r="X78" s="276"/>
      <c r="Y78" s="276"/>
      <c r="Z78" s="276"/>
      <c r="AA78" s="276"/>
      <c r="AB78" s="276"/>
      <c r="AC78" s="276"/>
      <c r="AD78" s="276"/>
      <c r="AE78" s="276"/>
      <c r="AF78" s="276"/>
      <c r="AG78" s="276"/>
      <c r="AH78" s="276"/>
      <c r="AI78" s="276"/>
      <c r="AJ78" s="276"/>
      <c r="AK78" s="276"/>
      <c r="AL78" s="276"/>
      <c r="AM78" s="276"/>
      <c r="AN78" s="276"/>
      <c r="AO78" s="276"/>
    </row>
    <row r="79" spans="1:41" ht="27" customHeight="1" x14ac:dyDescent="0.2">
      <c r="A79" s="266"/>
      <c r="B79" s="266"/>
      <c r="C79" s="266"/>
      <c r="D79" s="266"/>
      <c r="E79" s="266"/>
      <c r="F79" s="266"/>
      <c r="G79" s="266"/>
      <c r="H79" s="266"/>
      <c r="W79" s="276"/>
      <c r="X79" s="276"/>
      <c r="Y79" s="276"/>
      <c r="Z79" s="276"/>
      <c r="AA79" s="276"/>
      <c r="AB79" s="276"/>
      <c r="AC79" s="276"/>
      <c r="AD79" s="276"/>
      <c r="AE79" s="276"/>
      <c r="AF79" s="276"/>
      <c r="AG79" s="276"/>
      <c r="AH79" s="276"/>
      <c r="AI79" s="276"/>
      <c r="AJ79" s="276"/>
      <c r="AK79" s="276"/>
      <c r="AL79" s="276"/>
      <c r="AM79" s="276"/>
      <c r="AN79" s="276"/>
      <c r="AO79" s="276"/>
    </row>
    <row r="80" spans="1:41" ht="27" customHeight="1" x14ac:dyDescent="0.2">
      <c r="A80" s="266"/>
      <c r="B80" s="266"/>
      <c r="C80" s="266"/>
      <c r="D80" s="266"/>
      <c r="E80" s="266"/>
      <c r="F80" s="266"/>
      <c r="G80" s="266"/>
      <c r="H80" s="266"/>
      <c r="W80" s="276"/>
      <c r="X80" s="276"/>
      <c r="Y80" s="276"/>
      <c r="Z80" s="276"/>
      <c r="AA80" s="276"/>
      <c r="AB80" s="276"/>
      <c r="AC80" s="276"/>
      <c r="AD80" s="276"/>
      <c r="AE80" s="276"/>
      <c r="AF80" s="276"/>
      <c r="AG80" s="276"/>
      <c r="AH80" s="276"/>
      <c r="AI80" s="276"/>
      <c r="AJ80" s="276"/>
      <c r="AK80" s="276"/>
      <c r="AL80" s="276"/>
      <c r="AM80" s="276"/>
      <c r="AN80" s="276"/>
      <c r="AO80" s="276"/>
    </row>
    <row r="81" spans="1:41" ht="27" customHeight="1" x14ac:dyDescent="0.2">
      <c r="A81" s="266"/>
      <c r="B81" s="266"/>
      <c r="C81" s="266"/>
      <c r="D81" s="266"/>
      <c r="E81" s="266"/>
      <c r="F81" s="266"/>
      <c r="G81" s="266"/>
      <c r="H81" s="266"/>
      <c r="W81" s="276"/>
      <c r="X81" s="276"/>
      <c r="Y81" s="276"/>
      <c r="Z81" s="276"/>
      <c r="AA81" s="276"/>
      <c r="AB81" s="276"/>
      <c r="AC81" s="276"/>
      <c r="AD81" s="276"/>
      <c r="AE81" s="276"/>
      <c r="AF81" s="276"/>
      <c r="AG81" s="276"/>
      <c r="AH81" s="276"/>
      <c r="AI81" s="276"/>
      <c r="AJ81" s="276"/>
      <c r="AK81" s="276"/>
      <c r="AL81" s="276"/>
      <c r="AM81" s="276"/>
      <c r="AN81" s="276"/>
      <c r="AO81" s="276"/>
    </row>
    <row r="82" spans="1:41" ht="27" customHeight="1" x14ac:dyDescent="0.2">
      <c r="A82" s="266"/>
      <c r="B82" s="266"/>
      <c r="C82" s="266"/>
      <c r="D82" s="266"/>
      <c r="E82" s="266"/>
      <c r="F82" s="266"/>
      <c r="G82" s="266"/>
      <c r="H82" s="266"/>
      <c r="W82" s="276"/>
      <c r="X82" s="276"/>
      <c r="Y82" s="276"/>
      <c r="Z82" s="276"/>
      <c r="AA82" s="276"/>
      <c r="AB82" s="276"/>
      <c r="AC82" s="276"/>
      <c r="AD82" s="276"/>
      <c r="AE82" s="276"/>
      <c r="AF82" s="276"/>
      <c r="AG82" s="276"/>
      <c r="AH82" s="276"/>
      <c r="AI82" s="276"/>
      <c r="AJ82" s="276"/>
      <c r="AK82" s="276"/>
      <c r="AL82" s="276"/>
      <c r="AM82" s="276"/>
      <c r="AN82" s="276"/>
      <c r="AO82" s="276"/>
    </row>
    <row r="83" spans="1:41" ht="27" customHeight="1" x14ac:dyDescent="0.2">
      <c r="A83" s="266"/>
      <c r="B83" s="266"/>
      <c r="C83" s="266"/>
      <c r="D83" s="266"/>
      <c r="E83" s="266"/>
      <c r="F83" s="266"/>
      <c r="G83" s="266"/>
      <c r="H83" s="266"/>
      <c r="W83" s="276"/>
      <c r="X83" s="276"/>
      <c r="Y83" s="276"/>
      <c r="Z83" s="276"/>
      <c r="AA83" s="276"/>
      <c r="AB83" s="276"/>
      <c r="AC83" s="276"/>
      <c r="AD83" s="276"/>
      <c r="AE83" s="276"/>
      <c r="AF83" s="276"/>
      <c r="AG83" s="276"/>
      <c r="AH83" s="276"/>
      <c r="AI83" s="276"/>
      <c r="AJ83" s="276"/>
      <c r="AK83" s="276"/>
      <c r="AL83" s="276"/>
      <c r="AM83" s="276"/>
      <c r="AN83" s="276"/>
      <c r="AO83" s="276"/>
    </row>
    <row r="84" spans="1:41" ht="27" customHeight="1" x14ac:dyDescent="0.2">
      <c r="A84" s="266"/>
      <c r="B84" s="266"/>
      <c r="C84" s="266"/>
      <c r="D84" s="266"/>
      <c r="E84" s="266"/>
      <c r="F84" s="266"/>
      <c r="G84" s="266"/>
      <c r="H84" s="266"/>
      <c r="W84" s="276"/>
      <c r="X84" s="276"/>
      <c r="Y84" s="276"/>
      <c r="Z84" s="276"/>
      <c r="AA84" s="276"/>
      <c r="AB84" s="276"/>
      <c r="AC84" s="276"/>
      <c r="AD84" s="276"/>
      <c r="AE84" s="276"/>
      <c r="AF84" s="276"/>
      <c r="AG84" s="276"/>
      <c r="AH84" s="276"/>
      <c r="AI84" s="276"/>
      <c r="AJ84" s="276"/>
      <c r="AK84" s="276"/>
      <c r="AL84" s="276"/>
      <c r="AM84" s="276"/>
      <c r="AN84" s="276"/>
      <c r="AO84" s="276"/>
    </row>
    <row r="85" spans="1:41" ht="27" customHeight="1" x14ac:dyDescent="0.2">
      <c r="A85" s="266"/>
      <c r="B85" s="266"/>
      <c r="C85" s="266"/>
      <c r="D85" s="266"/>
      <c r="E85" s="266"/>
      <c r="F85" s="266"/>
      <c r="G85" s="266"/>
      <c r="H85" s="266"/>
      <c r="W85" s="276"/>
      <c r="X85" s="276"/>
      <c r="Y85" s="276"/>
      <c r="Z85" s="276"/>
      <c r="AA85" s="276"/>
      <c r="AB85" s="276"/>
      <c r="AC85" s="276"/>
      <c r="AD85" s="276"/>
      <c r="AE85" s="276"/>
      <c r="AF85" s="276"/>
      <c r="AG85" s="276"/>
      <c r="AH85" s="276"/>
      <c r="AI85" s="276"/>
      <c r="AJ85" s="276"/>
      <c r="AK85" s="276"/>
      <c r="AL85" s="276"/>
      <c r="AM85" s="276"/>
      <c r="AN85" s="276"/>
      <c r="AO85" s="276"/>
    </row>
    <row r="86" spans="1:41" ht="27" customHeight="1" x14ac:dyDescent="0.2">
      <c r="A86" s="266"/>
      <c r="B86" s="266"/>
      <c r="C86" s="266"/>
      <c r="D86" s="266"/>
      <c r="E86" s="266"/>
      <c r="F86" s="266"/>
      <c r="G86" s="266"/>
      <c r="H86" s="266"/>
      <c r="W86" s="276"/>
      <c r="X86" s="276"/>
      <c r="Y86" s="276"/>
      <c r="Z86" s="276"/>
      <c r="AA86" s="276"/>
      <c r="AB86" s="276"/>
      <c r="AC86" s="276"/>
      <c r="AD86" s="276"/>
      <c r="AE86" s="276"/>
      <c r="AF86" s="276"/>
      <c r="AG86" s="276"/>
      <c r="AH86" s="276"/>
      <c r="AI86" s="276"/>
      <c r="AJ86" s="276"/>
      <c r="AK86" s="276"/>
      <c r="AL86" s="276"/>
      <c r="AM86" s="276"/>
      <c r="AN86" s="276"/>
      <c r="AO86" s="276"/>
    </row>
    <row r="87" spans="1:41" ht="27" customHeight="1" x14ac:dyDescent="0.2">
      <c r="A87" s="266"/>
      <c r="B87" s="266"/>
      <c r="C87" s="266"/>
      <c r="D87" s="266"/>
      <c r="E87" s="266"/>
      <c r="F87" s="266"/>
      <c r="G87" s="266"/>
      <c r="H87" s="266"/>
      <c r="W87" s="276"/>
      <c r="X87" s="276"/>
      <c r="Y87" s="276"/>
      <c r="Z87" s="276"/>
      <c r="AA87" s="276"/>
      <c r="AB87" s="276"/>
      <c r="AC87" s="276"/>
      <c r="AD87" s="276"/>
      <c r="AE87" s="276"/>
      <c r="AF87" s="276"/>
      <c r="AG87" s="276"/>
      <c r="AH87" s="276"/>
      <c r="AI87" s="276"/>
      <c r="AJ87" s="276"/>
      <c r="AK87" s="276"/>
      <c r="AL87" s="276"/>
      <c r="AM87" s="276"/>
      <c r="AN87" s="276"/>
      <c r="AO87" s="276"/>
    </row>
    <row r="88" spans="1:41" ht="27" customHeight="1" x14ac:dyDescent="0.2">
      <c r="A88" s="266"/>
      <c r="B88" s="266"/>
      <c r="C88" s="266"/>
      <c r="D88" s="266"/>
      <c r="E88" s="266"/>
      <c r="F88" s="266"/>
      <c r="G88" s="266"/>
      <c r="H88" s="266"/>
      <c r="W88" s="276"/>
      <c r="X88" s="276"/>
      <c r="Y88" s="276"/>
      <c r="Z88" s="276"/>
      <c r="AA88" s="276"/>
      <c r="AB88" s="276"/>
      <c r="AC88" s="276"/>
      <c r="AD88" s="276"/>
      <c r="AE88" s="276"/>
      <c r="AF88" s="276"/>
      <c r="AG88" s="276"/>
      <c r="AH88" s="276"/>
      <c r="AI88" s="276"/>
      <c r="AJ88" s="276"/>
      <c r="AK88" s="276"/>
      <c r="AL88" s="276"/>
      <c r="AM88" s="276"/>
      <c r="AN88" s="276"/>
      <c r="AO88" s="276"/>
    </row>
    <row r="89" spans="1:41" ht="27" customHeight="1" x14ac:dyDescent="0.2">
      <c r="A89" s="266"/>
      <c r="B89" s="266"/>
      <c r="C89" s="266"/>
      <c r="D89" s="266"/>
      <c r="E89" s="266"/>
      <c r="F89" s="266"/>
      <c r="G89" s="266"/>
      <c r="H89" s="266"/>
      <c r="W89" s="276"/>
      <c r="X89" s="276"/>
      <c r="Y89" s="276"/>
      <c r="Z89" s="276"/>
      <c r="AA89" s="276"/>
      <c r="AB89" s="276"/>
      <c r="AC89" s="276"/>
      <c r="AD89" s="276"/>
      <c r="AE89" s="276"/>
      <c r="AF89" s="276"/>
      <c r="AG89" s="276"/>
      <c r="AH89" s="276"/>
      <c r="AI89" s="276"/>
      <c r="AJ89" s="276"/>
      <c r="AK89" s="276"/>
      <c r="AL89" s="276"/>
      <c r="AM89" s="276"/>
      <c r="AN89" s="276"/>
      <c r="AO89" s="276"/>
    </row>
    <row r="90" spans="1:41" ht="27" customHeight="1" x14ac:dyDescent="0.2">
      <c r="A90" s="266"/>
      <c r="B90" s="266"/>
      <c r="C90" s="266"/>
      <c r="D90" s="266"/>
      <c r="E90" s="266"/>
      <c r="F90" s="266"/>
      <c r="G90" s="266"/>
      <c r="H90" s="266"/>
      <c r="W90" s="276"/>
      <c r="X90" s="276"/>
      <c r="Y90" s="276"/>
      <c r="Z90" s="276"/>
      <c r="AA90" s="276"/>
      <c r="AB90" s="276"/>
      <c r="AC90" s="276"/>
      <c r="AD90" s="276"/>
      <c r="AE90" s="276"/>
      <c r="AF90" s="276"/>
      <c r="AG90" s="276"/>
      <c r="AH90" s="276"/>
      <c r="AI90" s="276"/>
      <c r="AJ90" s="276"/>
      <c r="AK90" s="276"/>
      <c r="AL90" s="276"/>
      <c r="AM90" s="276"/>
      <c r="AN90" s="276"/>
      <c r="AO90" s="276"/>
    </row>
    <row r="91" spans="1:41" ht="27" customHeight="1" x14ac:dyDescent="0.2">
      <c r="A91" s="266"/>
      <c r="B91" s="266"/>
      <c r="C91" s="266"/>
      <c r="D91" s="266"/>
      <c r="E91" s="266"/>
      <c r="F91" s="266"/>
      <c r="G91" s="266"/>
      <c r="H91" s="266"/>
      <c r="W91" s="276"/>
      <c r="X91" s="276"/>
      <c r="Y91" s="276"/>
      <c r="Z91" s="276"/>
      <c r="AA91" s="276"/>
      <c r="AB91" s="276"/>
      <c r="AC91" s="276"/>
      <c r="AD91" s="276"/>
      <c r="AE91" s="276"/>
      <c r="AF91" s="276"/>
      <c r="AG91" s="276"/>
      <c r="AH91" s="276"/>
      <c r="AI91" s="276"/>
      <c r="AJ91" s="276"/>
      <c r="AK91" s="276"/>
      <c r="AL91" s="276"/>
      <c r="AM91" s="276"/>
      <c r="AN91" s="276"/>
      <c r="AO91" s="276"/>
    </row>
    <row r="92" spans="1:41" ht="27" customHeight="1" x14ac:dyDescent="0.2">
      <c r="A92" s="266"/>
      <c r="B92" s="266"/>
      <c r="C92" s="266"/>
      <c r="D92" s="266"/>
      <c r="E92" s="266"/>
      <c r="F92" s="266"/>
      <c r="G92" s="266"/>
      <c r="H92" s="266"/>
      <c r="W92" s="276"/>
      <c r="X92" s="276"/>
      <c r="Y92" s="276"/>
      <c r="Z92" s="276"/>
      <c r="AA92" s="276"/>
      <c r="AB92" s="276"/>
      <c r="AC92" s="276"/>
      <c r="AD92" s="276"/>
      <c r="AE92" s="276"/>
      <c r="AF92" s="276"/>
      <c r="AG92" s="276"/>
      <c r="AH92" s="276"/>
      <c r="AI92" s="276"/>
      <c r="AJ92" s="276"/>
      <c r="AK92" s="276"/>
      <c r="AL92" s="276"/>
      <c r="AM92" s="276"/>
      <c r="AN92" s="276"/>
      <c r="AO92" s="276"/>
    </row>
    <row r="93" spans="1:41" ht="27" customHeight="1" x14ac:dyDescent="0.2">
      <c r="A93" s="266"/>
      <c r="B93" s="266"/>
      <c r="C93" s="266"/>
      <c r="D93" s="266"/>
      <c r="E93" s="266"/>
      <c r="F93" s="266"/>
      <c r="G93" s="266"/>
      <c r="H93" s="266"/>
      <c r="W93" s="276"/>
      <c r="X93" s="276"/>
      <c r="Y93" s="276"/>
      <c r="Z93" s="276"/>
      <c r="AA93" s="276"/>
      <c r="AB93" s="276"/>
      <c r="AC93" s="276"/>
      <c r="AD93" s="276"/>
      <c r="AE93" s="276"/>
      <c r="AF93" s="276"/>
      <c r="AG93" s="276"/>
      <c r="AH93" s="276"/>
      <c r="AI93" s="276"/>
      <c r="AJ93" s="276"/>
      <c r="AK93" s="276"/>
      <c r="AL93" s="276"/>
      <c r="AM93" s="276"/>
      <c r="AN93" s="276"/>
      <c r="AO93" s="276"/>
    </row>
    <row r="94" spans="1:41" ht="27" customHeight="1" x14ac:dyDescent="0.2">
      <c r="A94" s="266"/>
      <c r="B94" s="266"/>
      <c r="C94" s="266"/>
      <c r="D94" s="266"/>
      <c r="E94" s="266"/>
      <c r="F94" s="266"/>
      <c r="G94" s="266"/>
      <c r="H94" s="266"/>
      <c r="W94" s="276"/>
      <c r="X94" s="276"/>
      <c r="Y94" s="276"/>
      <c r="Z94" s="276"/>
      <c r="AA94" s="276"/>
      <c r="AB94" s="276"/>
      <c r="AC94" s="276"/>
      <c r="AD94" s="276"/>
      <c r="AE94" s="276"/>
      <c r="AF94" s="276"/>
      <c r="AG94" s="276"/>
      <c r="AH94" s="276"/>
      <c r="AI94" s="276"/>
      <c r="AJ94" s="276"/>
      <c r="AK94" s="276"/>
      <c r="AL94" s="276"/>
      <c r="AM94" s="276"/>
      <c r="AN94" s="276"/>
      <c r="AO94" s="276"/>
    </row>
    <row r="95" spans="1:41" ht="27" customHeight="1" x14ac:dyDescent="0.2">
      <c r="A95" s="266"/>
      <c r="B95" s="266"/>
      <c r="C95" s="266"/>
      <c r="D95" s="266"/>
      <c r="E95" s="266"/>
      <c r="F95" s="266"/>
      <c r="G95" s="266"/>
      <c r="H95" s="266"/>
    </row>
    <row r="96" spans="1:41" s="266" customFormat="1" ht="27" customHeight="1" x14ac:dyDescent="0.2">
      <c r="J96" s="118"/>
      <c r="K96" s="118"/>
      <c r="L96" s="118"/>
      <c r="M96" s="267"/>
      <c r="O96" s="940"/>
      <c r="P96" s="939"/>
      <c r="T96" s="938"/>
      <c r="U96" s="271"/>
      <c r="V96" s="272"/>
      <c r="W96" s="148"/>
      <c r="X96" s="148"/>
      <c r="Y96" s="148"/>
      <c r="Z96" s="148"/>
      <c r="AA96" s="148"/>
      <c r="AB96" s="148"/>
      <c r="AC96" s="148"/>
      <c r="AD96" s="148"/>
      <c r="AE96" s="148"/>
      <c r="AF96" s="148"/>
      <c r="AG96" s="148"/>
      <c r="AH96" s="148"/>
      <c r="AI96" s="273"/>
      <c r="AJ96" s="274"/>
      <c r="AK96" s="275"/>
    </row>
    <row r="97" spans="10:37" s="266" customFormat="1" ht="27" customHeight="1" x14ac:dyDescent="0.2">
      <c r="J97" s="118"/>
      <c r="K97" s="118"/>
      <c r="L97" s="118"/>
      <c r="M97" s="267"/>
      <c r="O97" s="940"/>
      <c r="P97" s="939"/>
      <c r="T97" s="938"/>
      <c r="U97" s="271"/>
      <c r="V97" s="272"/>
      <c r="W97" s="148"/>
      <c r="X97" s="148"/>
      <c r="Y97" s="148"/>
      <c r="Z97" s="148"/>
      <c r="AA97" s="148"/>
      <c r="AB97" s="148"/>
      <c r="AC97" s="148"/>
      <c r="AD97" s="148"/>
      <c r="AE97" s="148"/>
      <c r="AF97" s="148"/>
      <c r="AG97" s="148"/>
      <c r="AH97" s="148"/>
      <c r="AI97" s="273"/>
      <c r="AJ97" s="274"/>
      <c r="AK97" s="275"/>
    </row>
    <row r="98" spans="10:37" s="266" customFormat="1" ht="27" customHeight="1" x14ac:dyDescent="0.2">
      <c r="J98" s="118"/>
      <c r="K98" s="118"/>
      <c r="L98" s="118"/>
      <c r="M98" s="267"/>
      <c r="O98" s="940"/>
      <c r="P98" s="939"/>
      <c r="T98" s="938"/>
      <c r="U98" s="271"/>
      <c r="V98" s="272"/>
      <c r="W98" s="148"/>
      <c r="X98" s="148"/>
      <c r="Y98" s="148"/>
      <c r="Z98" s="148"/>
      <c r="AA98" s="148"/>
      <c r="AB98" s="148"/>
      <c r="AC98" s="148"/>
      <c r="AD98" s="148"/>
      <c r="AE98" s="148"/>
      <c r="AF98" s="148"/>
      <c r="AG98" s="148"/>
      <c r="AH98" s="148"/>
      <c r="AI98" s="273"/>
      <c r="AJ98" s="274"/>
      <c r="AK98" s="275"/>
    </row>
    <row r="99" spans="10:37" s="266" customFormat="1" ht="27" customHeight="1" x14ac:dyDescent="0.2">
      <c r="J99" s="118"/>
      <c r="K99" s="118"/>
      <c r="L99" s="118"/>
      <c r="M99" s="267"/>
      <c r="O99" s="940"/>
      <c r="P99" s="939"/>
      <c r="T99" s="938"/>
      <c r="U99" s="271"/>
      <c r="V99" s="272"/>
      <c r="W99" s="148"/>
      <c r="X99" s="148"/>
      <c r="Y99" s="148"/>
      <c r="Z99" s="148"/>
      <c r="AA99" s="148"/>
      <c r="AB99" s="148"/>
      <c r="AC99" s="148"/>
      <c r="AD99" s="148"/>
      <c r="AE99" s="148"/>
      <c r="AF99" s="148"/>
      <c r="AG99" s="148"/>
      <c r="AH99" s="148"/>
      <c r="AI99" s="273"/>
      <c r="AJ99" s="274"/>
      <c r="AK99" s="275"/>
    </row>
    <row r="100" spans="10:37" s="266" customFormat="1" ht="27" customHeight="1" x14ac:dyDescent="0.2">
      <c r="J100" s="118"/>
      <c r="K100" s="118"/>
      <c r="L100" s="118"/>
      <c r="M100" s="267"/>
      <c r="O100" s="940"/>
      <c r="P100" s="939"/>
      <c r="T100" s="938"/>
      <c r="U100" s="271"/>
      <c r="V100" s="272"/>
      <c r="W100" s="148"/>
      <c r="X100" s="148"/>
      <c r="Y100" s="148"/>
      <c r="Z100" s="148"/>
      <c r="AA100" s="148"/>
      <c r="AB100" s="148"/>
      <c r="AC100" s="148"/>
      <c r="AD100" s="148"/>
      <c r="AE100" s="148"/>
      <c r="AF100" s="148"/>
      <c r="AG100" s="148"/>
      <c r="AH100" s="148"/>
      <c r="AI100" s="273"/>
      <c r="AJ100" s="274"/>
      <c r="AK100" s="275"/>
    </row>
    <row r="101" spans="10:37" s="266" customFormat="1" ht="27" customHeight="1" x14ac:dyDescent="0.2">
      <c r="J101" s="118"/>
      <c r="K101" s="118"/>
      <c r="L101" s="118"/>
      <c r="M101" s="267"/>
      <c r="O101" s="940"/>
      <c r="P101" s="939"/>
      <c r="T101" s="938"/>
      <c r="U101" s="271"/>
      <c r="V101" s="272"/>
      <c r="W101" s="148"/>
      <c r="X101" s="148"/>
      <c r="Y101" s="148"/>
      <c r="Z101" s="148"/>
      <c r="AA101" s="148"/>
      <c r="AB101" s="148"/>
      <c r="AC101" s="148"/>
      <c r="AD101" s="148"/>
      <c r="AE101" s="148"/>
      <c r="AF101" s="148"/>
      <c r="AG101" s="148"/>
      <c r="AH101" s="148"/>
      <c r="AI101" s="273"/>
      <c r="AJ101" s="274"/>
      <c r="AK101" s="275"/>
    </row>
    <row r="102" spans="10:37" s="266" customFormat="1" ht="27" customHeight="1" x14ac:dyDescent="0.2">
      <c r="J102" s="118"/>
      <c r="K102" s="118"/>
      <c r="L102" s="118"/>
      <c r="M102" s="267"/>
      <c r="O102" s="940"/>
      <c r="P102" s="939"/>
      <c r="T102" s="938"/>
      <c r="U102" s="271"/>
      <c r="V102" s="272"/>
      <c r="W102" s="148"/>
      <c r="X102" s="148"/>
      <c r="Y102" s="148"/>
      <c r="Z102" s="148"/>
      <c r="AA102" s="148"/>
      <c r="AB102" s="148"/>
      <c r="AC102" s="148"/>
      <c r="AD102" s="148"/>
      <c r="AE102" s="148"/>
      <c r="AF102" s="148"/>
      <c r="AG102" s="148"/>
      <c r="AH102" s="148"/>
      <c r="AI102" s="273"/>
      <c r="AJ102" s="274"/>
      <c r="AK102" s="275"/>
    </row>
  </sheetData>
  <mergeCells count="135">
    <mergeCell ref="A1:AI4"/>
    <mergeCell ref="A5:M6"/>
    <mergeCell ref="N5:V6"/>
    <mergeCell ref="W5:AK5"/>
    <mergeCell ref="W6:AH6"/>
    <mergeCell ref="AJ7:AJ8"/>
    <mergeCell ref="AK7:AK8"/>
    <mergeCell ref="V7:V8"/>
    <mergeCell ref="W7:AB7"/>
    <mergeCell ref="AC7:AH7"/>
    <mergeCell ref="AI7:AI8"/>
    <mergeCell ref="A7:A8"/>
    <mergeCell ref="B7:B8"/>
    <mergeCell ref="C7:C8"/>
    <mergeCell ref="D7:D8"/>
    <mergeCell ref="E7:E8"/>
    <mergeCell ref="F7:G8"/>
    <mergeCell ref="H7:H8"/>
    <mergeCell ref="I7:I8"/>
    <mergeCell ref="J7:J8"/>
    <mergeCell ref="K7:K8"/>
    <mergeCell ref="L7:L8"/>
    <mergeCell ref="I12:I19"/>
    <mergeCell ref="J12:J19"/>
    <mergeCell ref="K12:K19"/>
    <mergeCell ref="M12:M19"/>
    <mergeCell ref="N12:N19"/>
    <mergeCell ref="O12:O19"/>
    <mergeCell ref="P12:P19"/>
    <mergeCell ref="AK12:AK19"/>
    <mergeCell ref="M7:M8"/>
    <mergeCell ref="N7:N8"/>
    <mergeCell ref="O7:O8"/>
    <mergeCell ref="P7:P8"/>
    <mergeCell ref="Q7:Q8"/>
    <mergeCell ref="R7:R8"/>
    <mergeCell ref="S7:S8"/>
    <mergeCell ref="Y12:Y19"/>
    <mergeCell ref="Z12:Z19"/>
    <mergeCell ref="T7:T8"/>
    <mergeCell ref="U7:U8"/>
    <mergeCell ref="F13:G13"/>
    <mergeCell ref="R14:R15"/>
    <mergeCell ref="R16:R19"/>
    <mergeCell ref="F18:G18"/>
    <mergeCell ref="S18:S19"/>
    <mergeCell ref="T18:T19"/>
    <mergeCell ref="F19:G19"/>
    <mergeCell ref="AI12:AI19"/>
    <mergeCell ref="AJ12:AJ19"/>
    <mergeCell ref="AA12:AA19"/>
    <mergeCell ref="AB12:AB19"/>
    <mergeCell ref="AC12:AC19"/>
    <mergeCell ref="AD12:AD19"/>
    <mergeCell ref="AE12:AE19"/>
    <mergeCell ref="AF12:AF19"/>
    <mergeCell ref="AG12:AG19"/>
    <mergeCell ref="AH12:AH19"/>
    <mergeCell ref="Q12:Q19"/>
    <mergeCell ref="R12:R13"/>
    <mergeCell ref="U12:U19"/>
    <mergeCell ref="V12:V19"/>
    <mergeCell ref="W12:W19"/>
    <mergeCell ref="X12:X19"/>
    <mergeCell ref="H12:H19"/>
    <mergeCell ref="H20:H27"/>
    <mergeCell ref="I20:I27"/>
    <mergeCell ref="J20:J27"/>
    <mergeCell ref="K20:K27"/>
    <mergeCell ref="F21:G21"/>
    <mergeCell ref="L20:L27"/>
    <mergeCell ref="M20:M27"/>
    <mergeCell ref="N20:N27"/>
    <mergeCell ref="F26:G26"/>
    <mergeCell ref="F27:G27"/>
    <mergeCell ref="V20:V27"/>
    <mergeCell ref="W20:W27"/>
    <mergeCell ref="X20:X27"/>
    <mergeCell ref="Y20:Y27"/>
    <mergeCell ref="Z20:Z27"/>
    <mergeCell ref="O20:O27"/>
    <mergeCell ref="P20:P27"/>
    <mergeCell ref="Q20:Q27"/>
    <mergeCell ref="R20:R21"/>
    <mergeCell ref="S20:S21"/>
    <mergeCell ref="T20:T21"/>
    <mergeCell ref="U20:U27"/>
    <mergeCell ref="R22:R27"/>
    <mergeCell ref="S22:S23"/>
    <mergeCell ref="T22:T23"/>
    <mergeCell ref="AI20:AI27"/>
    <mergeCell ref="AJ20:AJ27"/>
    <mergeCell ref="AK20:AK27"/>
    <mergeCell ref="AF20:AF27"/>
    <mergeCell ref="AG20:AG27"/>
    <mergeCell ref="AH20:AH27"/>
    <mergeCell ref="AA20:AA27"/>
    <mergeCell ref="AB20:AB27"/>
    <mergeCell ref="AC20:AC27"/>
    <mergeCell ref="AD20:AD27"/>
    <mergeCell ref="AE20:AE27"/>
    <mergeCell ref="AA30:AA37"/>
    <mergeCell ref="AB30:AB37"/>
    <mergeCell ref="H30:H37"/>
    <mergeCell ref="I30:I37"/>
    <mergeCell ref="J30:J37"/>
    <mergeCell ref="K30:K37"/>
    <mergeCell ref="L30:L37"/>
    <mergeCell ref="M30:M37"/>
    <mergeCell ref="N30:N37"/>
    <mergeCell ref="O30:O37"/>
    <mergeCell ref="AL30:AL31"/>
    <mergeCell ref="F31:G31"/>
    <mergeCell ref="R32:R37"/>
    <mergeCell ref="S33:S37"/>
    <mergeCell ref="T33:T37"/>
    <mergeCell ref="F36:G36"/>
    <mergeCell ref="AI30:AI37"/>
    <mergeCell ref="AC30:AC37"/>
    <mergeCell ref="AD30:AD37"/>
    <mergeCell ref="F37:G37"/>
    <mergeCell ref="AE30:AE37"/>
    <mergeCell ref="Z30:Z37"/>
    <mergeCell ref="AJ30:AJ37"/>
    <mergeCell ref="AF30:AF37"/>
    <mergeCell ref="AG30:AG37"/>
    <mergeCell ref="AH30:AH37"/>
    <mergeCell ref="AK30:AK37"/>
    <mergeCell ref="P30:P37"/>
    <mergeCell ref="Q30:Q37"/>
    <mergeCell ref="U30:U37"/>
    <mergeCell ref="V30:V37"/>
    <mergeCell ref="W30:W37"/>
    <mergeCell ref="X30:X37"/>
    <mergeCell ref="Y30:Y37"/>
  </mergeCells>
  <pageMargins left="0.70866141732283472" right="0.70866141732283472" top="0.35433070866141736" bottom="0.35433070866141736" header="0.31496062992125984" footer="0.31496062992125984"/>
  <pageSetup paperSize="5" scale="2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ADMINISTRATIVA</vt:lpstr>
      <vt:lpstr>PLANEACION</vt:lpstr>
      <vt:lpstr>HACIENDA</vt:lpstr>
      <vt:lpstr>AGUAS E INFRAESTRUTURA</vt:lpstr>
      <vt:lpstr>INTERIOR</vt:lpstr>
      <vt:lpstr>CULTURA</vt:lpstr>
      <vt:lpstr>TURISMO</vt:lpstr>
      <vt:lpstr>AGRICULTURA</vt:lpstr>
      <vt:lpstr>OFICINA PRIVADA</vt:lpstr>
      <vt:lpstr>EDUCACION</vt:lpstr>
      <vt:lpstr>FAMILIA</vt:lpstr>
      <vt:lpstr>REP JUDICIAL</vt:lpstr>
      <vt:lpstr>SALUD</vt:lpstr>
      <vt:lpstr>INDEPORTES</vt:lpstr>
      <vt:lpstr>PROMOTORA</vt:lpstr>
      <vt:lpstr>IDTQ</vt:lpstr>
      <vt:lpstr>AGRICULTURA!Títulos_a_imprimir</vt:lpstr>
      <vt:lpstr>'AGUAS E INFRAESTRUTURA'!Títulos_a_imprimir</vt:lpstr>
      <vt:lpstr>'OFICINA PRIVADA'!Títulos_a_imprimir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dc:creator>
  <cp:lastModifiedBy>AUXPLANEACION03</cp:lastModifiedBy>
  <dcterms:created xsi:type="dcterms:W3CDTF">2017-07-29T22:37:27Z</dcterms:created>
  <dcterms:modified xsi:type="dcterms:W3CDTF">2017-08-15T00:24:06Z</dcterms:modified>
</cp:coreProperties>
</file>